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LOGISTICS AND SUPPLY CHAIN\Project\"/>
    </mc:Choice>
  </mc:AlternateContent>
  <xr:revisionPtr revIDLastSave="0" documentId="13_ncr:1_{A88DE5A9-B7D8-401C-B78D-F56D4D5B7CB8}" xr6:coauthVersionLast="47" xr6:coauthVersionMax="47" xr10:uidLastSave="{00000000-0000-0000-0000-000000000000}"/>
  <bookViews>
    <workbookView xWindow="-108" yWindow="-108" windowWidth="23256" windowHeight="12456" firstSheet="4" activeTab="8" xr2:uid="{D9153AB0-B4C6-4A48-87B7-1E8379EDAA8D}"/>
  </bookViews>
  <sheets>
    <sheet name="Biểu giá" sheetId="9" r:id="rId1"/>
    <sheet name="Historical Sale" sheetId="1" r:id="rId2"/>
    <sheet name="Biểu đồ" sheetId="10" r:id="rId3"/>
    <sheet name="observed data" sheetId="11" r:id="rId4"/>
    <sheet name="Overall" sheetId="2" r:id="rId5"/>
    <sheet name="Moving Average" sheetId="6" r:id="rId6"/>
    <sheet name="Simple Exponential Smoothing" sheetId="12" r:id="rId7"/>
    <sheet name="Holt's Method" sheetId="13" r:id="rId8"/>
    <sheet name="Winter's Method" sheetId="14" r:id="rId9"/>
    <sheet name="Summary" sheetId="8" r:id="rId10"/>
    <sheet name="Market" sheetId="3" r:id="rId11"/>
  </sheets>
  <definedNames>
    <definedName name="solver_eng" localSheetId="1" hidden="1">2</definedName>
    <definedName name="solver_neg" localSheetId="1" hidden="1">1</definedName>
    <definedName name="solver_num" localSheetId="1" hidden="1">0</definedName>
    <definedName name="solver_typ" localSheetId="1" hidden="1">1</definedName>
    <definedName name="solver_val" localSheetId="1" hidden="1">0</definedName>
    <definedName name="solver_ver" localSheetId="1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105" i="13" l="1" a="1"/>
  <c r="S105" i="13" s="1"/>
  <c r="D116" i="13"/>
  <c r="D115" i="13"/>
  <c r="R105" i="13" a="1"/>
  <c r="R105" i="13" s="1"/>
  <c r="Q81" i="13"/>
  <c r="Q71" i="13"/>
  <c r="Q70" i="13"/>
  <c r="T70" i="13" s="1"/>
  <c r="Q105" i="13" a="1"/>
  <c r="Q105" i="13" s="1"/>
  <c r="D71" i="13"/>
  <c r="D70" i="13"/>
  <c r="P105" i="13" a="1"/>
  <c r="P105" i="13" s="1"/>
  <c r="Q28" i="13"/>
  <c r="Q27" i="13"/>
  <c r="D28" i="13"/>
  <c r="D27" i="13"/>
  <c r="E27" i="13" s="1"/>
  <c r="F27" i="13" s="1"/>
  <c r="R70" i="13"/>
  <c r="P2" i="8"/>
  <c r="M4" i="8"/>
  <c r="M3" i="8"/>
  <c r="M2" i="8"/>
  <c r="L5" i="8"/>
  <c r="L4" i="8"/>
  <c r="L3" i="8"/>
  <c r="L2" i="8"/>
  <c r="N2" i="8"/>
  <c r="O2" i="8"/>
  <c r="N3" i="8"/>
  <c r="O3" i="8"/>
  <c r="P3" i="8"/>
  <c r="N4" i="8"/>
  <c r="O4" i="8"/>
  <c r="P4" i="8"/>
  <c r="M5" i="8"/>
  <c r="N5" i="8"/>
  <c r="O5" i="8"/>
  <c r="P5" i="8"/>
  <c r="M6" i="8"/>
  <c r="N6" i="8"/>
  <c r="O6" i="8"/>
  <c r="P6" i="8"/>
  <c r="L6" i="8"/>
  <c r="P75" i="12" a="1"/>
  <c r="P75" i="12" s="1"/>
  <c r="P74" i="12" a="1"/>
  <c r="P74" i="12" s="1"/>
  <c r="P73" i="12" a="1"/>
  <c r="P73" i="12"/>
  <c r="P72" i="12" a="1"/>
  <c r="P72" i="12" s="1"/>
  <c r="P71" i="12" a="1"/>
  <c r="P71" i="12" s="1"/>
  <c r="P70" i="12" a="1"/>
  <c r="P70" i="12" s="1"/>
  <c r="P69" i="12" a="1"/>
  <c r="P69" i="12" s="1"/>
  <c r="P68" i="12" a="1"/>
  <c r="P68" i="12" s="1"/>
  <c r="P67" i="12" a="1"/>
  <c r="P67" i="12" s="1"/>
  <c r="P66" i="12" a="1"/>
  <c r="P66" i="12" s="1"/>
  <c r="O75" i="12" a="1"/>
  <c r="O75" i="12" s="1"/>
  <c r="O74" i="12" a="1"/>
  <c r="O74" i="12" s="1"/>
  <c r="O73" i="12" a="1"/>
  <c r="O73" i="12" s="1"/>
  <c r="O72" i="12" a="1"/>
  <c r="O72" i="12" s="1"/>
  <c r="O71" i="12" a="1"/>
  <c r="O71" i="12" s="1"/>
  <c r="O70" i="12" a="1"/>
  <c r="O70" i="12" s="1"/>
  <c r="O69" i="12" a="1"/>
  <c r="O69" i="12" s="1"/>
  <c r="O68" i="12" a="1"/>
  <c r="O68" i="12" s="1"/>
  <c r="O67" i="12" a="1"/>
  <c r="O67" i="12" s="1"/>
  <c r="O66" i="12" a="1"/>
  <c r="O66" i="12" s="1"/>
  <c r="M75" i="12" a="1"/>
  <c r="M75" i="12" s="1"/>
  <c r="M74" i="12" a="1"/>
  <c r="M74" i="12" s="1"/>
  <c r="M73" i="12" a="1"/>
  <c r="M73" i="12" s="1"/>
  <c r="M72" i="12" a="1"/>
  <c r="M72" i="12" s="1"/>
  <c r="M71" i="12" a="1"/>
  <c r="M71" i="12" s="1"/>
  <c r="N71" i="12" s="1"/>
  <c r="M70" i="12" a="1"/>
  <c r="M70" i="12" s="1"/>
  <c r="M69" i="12" a="1"/>
  <c r="M69" i="12" s="1"/>
  <c r="M68" i="12" a="1"/>
  <c r="M68" i="12" s="1"/>
  <c r="N68" i="12" s="1"/>
  <c r="M67" i="12" a="1"/>
  <c r="M67" i="12" s="1"/>
  <c r="M66" i="12" a="1"/>
  <c r="M66" i="12" s="1"/>
  <c r="L75" i="12" a="1"/>
  <c r="L75" i="12" s="1"/>
  <c r="L74" i="12" a="1"/>
  <c r="L74" i="12" s="1"/>
  <c r="L73" i="12" a="1"/>
  <c r="L73" i="12" s="1"/>
  <c r="L72" i="12" a="1"/>
  <c r="L72" i="12" s="1"/>
  <c r="L71" i="12" a="1"/>
  <c r="L71" i="12" s="1"/>
  <c r="L70" i="12" a="1"/>
  <c r="L70" i="12" s="1"/>
  <c r="L69" i="12" a="1"/>
  <c r="L69" i="12" s="1"/>
  <c r="L68" i="12" a="1"/>
  <c r="L68" i="12" s="1"/>
  <c r="L67" i="12" a="1"/>
  <c r="L67" i="12" s="1"/>
  <c r="L66" i="12" a="1"/>
  <c r="L66" i="12"/>
  <c r="V75" i="14" a="1"/>
  <c r="V75" i="14" s="1"/>
  <c r="V74" i="14" a="1"/>
  <c r="V74" i="14" s="1"/>
  <c r="V73" i="14" a="1"/>
  <c r="V73" i="14" s="1"/>
  <c r="V72" i="14" a="1"/>
  <c r="V72" i="14" s="1"/>
  <c r="V71" i="14" a="1"/>
  <c r="V71" i="14" s="1"/>
  <c r="V70" i="14" a="1"/>
  <c r="V70" i="14" s="1"/>
  <c r="V69" i="14" a="1"/>
  <c r="V69" i="14" s="1"/>
  <c r="V68" i="14" a="1"/>
  <c r="V68" i="14" s="1"/>
  <c r="V67" i="14" a="1"/>
  <c r="V67" i="14" s="1"/>
  <c r="V66" i="14" a="1"/>
  <c r="V66" i="14" s="1"/>
  <c r="U75" i="14" a="1"/>
  <c r="U75" i="14" s="1"/>
  <c r="U74" i="14" a="1"/>
  <c r="U74" i="14" s="1"/>
  <c r="U73" i="14" a="1"/>
  <c r="U73" i="14" s="1"/>
  <c r="U72" i="14" a="1"/>
  <c r="U72" i="14" s="1"/>
  <c r="U71" i="14" a="1"/>
  <c r="U71" i="14" s="1"/>
  <c r="U70" i="14" a="1"/>
  <c r="U70" i="14" s="1"/>
  <c r="U69" i="14" a="1"/>
  <c r="U69" i="14" s="1"/>
  <c r="U68" i="14" a="1"/>
  <c r="U68" i="14" s="1"/>
  <c r="U67" i="14" a="1"/>
  <c r="U67" i="14" s="1"/>
  <c r="U66" i="14" a="1"/>
  <c r="U66" i="14" s="1"/>
  <c r="S75" i="14" a="1"/>
  <c r="S75" i="14" s="1"/>
  <c r="S74" i="14" a="1"/>
  <c r="S74" i="14" s="1"/>
  <c r="S73" i="14" a="1"/>
  <c r="S73" i="14" s="1"/>
  <c r="S72" i="14" a="1"/>
  <c r="S72" i="14" s="1"/>
  <c r="S71" i="14" a="1"/>
  <c r="S71" i="14" s="1"/>
  <c r="S70" i="14" a="1"/>
  <c r="S70" i="14" s="1"/>
  <c r="S69" i="14" a="1"/>
  <c r="S69" i="14" s="1"/>
  <c r="S68" i="14" a="1"/>
  <c r="S68" i="14" s="1"/>
  <c r="S67" i="14" a="1"/>
  <c r="S67" i="14" s="1"/>
  <c r="S66" i="14" a="1"/>
  <c r="S66" i="14" s="1"/>
  <c r="I78" i="14" a="1"/>
  <c r="I78" i="14" s="1"/>
  <c r="H78" i="14"/>
  <c r="L78" i="14" s="1"/>
  <c r="L77" i="14"/>
  <c r="L76" i="14"/>
  <c r="L75" i="14"/>
  <c r="L74" i="14"/>
  <c r="L73" i="14"/>
  <c r="L72" i="14"/>
  <c r="L71" i="14"/>
  <c r="L70" i="14"/>
  <c r="G70" i="14"/>
  <c r="F70" i="14"/>
  <c r="E70" i="14"/>
  <c r="K70" i="14" s="1"/>
  <c r="L69" i="14"/>
  <c r="K69" i="14"/>
  <c r="G69" i="14"/>
  <c r="L68" i="14"/>
  <c r="K68" i="14"/>
  <c r="G68" i="14"/>
  <c r="L67" i="14"/>
  <c r="J67" i="14"/>
  <c r="H79" i="14" s="1"/>
  <c r="J67" i="14" a="1"/>
  <c r="G67" i="14"/>
  <c r="E71" i="14" s="1"/>
  <c r="X45" i="14" a="1"/>
  <c r="X45" i="14" s="1"/>
  <c r="W45" i="14"/>
  <c r="AA45" i="14" s="1"/>
  <c r="AA44" i="14"/>
  <c r="AA43" i="14"/>
  <c r="AA42" i="14"/>
  <c r="AA41" i="14"/>
  <c r="AA40" i="14"/>
  <c r="AA39" i="14"/>
  <c r="AA38" i="14"/>
  <c r="AA37" i="14"/>
  <c r="V37" i="14"/>
  <c r="U37" i="14"/>
  <c r="T37" i="14"/>
  <c r="Z37" i="14" s="1"/>
  <c r="AA36" i="14"/>
  <c r="Z36" i="14"/>
  <c r="V36" i="14"/>
  <c r="AA35" i="14"/>
  <c r="Z35" i="14"/>
  <c r="V35" i="14"/>
  <c r="AA34" i="14"/>
  <c r="Y34" i="14"/>
  <c r="W46" i="14" s="1"/>
  <c r="Y34" i="14" a="1"/>
  <c r="V34" i="14"/>
  <c r="T38" i="14" s="1"/>
  <c r="I45" i="14" a="1"/>
  <c r="I45" i="14" s="1"/>
  <c r="H45" i="14"/>
  <c r="L44" i="14"/>
  <c r="L43" i="14"/>
  <c r="L42" i="14"/>
  <c r="L41" i="14"/>
  <c r="L40" i="14"/>
  <c r="L39" i="14"/>
  <c r="L38" i="14"/>
  <c r="L37" i="14"/>
  <c r="G37" i="14"/>
  <c r="F37" i="14"/>
  <c r="E37" i="14"/>
  <c r="K37" i="14" s="1"/>
  <c r="L36" i="14"/>
  <c r="K36" i="14"/>
  <c r="G36" i="14"/>
  <c r="L35" i="14"/>
  <c r="K35" i="14"/>
  <c r="G35" i="14"/>
  <c r="L34" i="14"/>
  <c r="J34" i="14" a="1"/>
  <c r="G34" i="14"/>
  <c r="E38" i="14" s="1"/>
  <c r="X14" i="14" a="1"/>
  <c r="X14" i="14" s="1"/>
  <c r="W14" i="14"/>
  <c r="AA13" i="14"/>
  <c r="AA12" i="14"/>
  <c r="AA11" i="14"/>
  <c r="AA10" i="14"/>
  <c r="AA9" i="14"/>
  <c r="AA8" i="14"/>
  <c r="AA7" i="14"/>
  <c r="T7" i="14"/>
  <c r="AA6" i="14"/>
  <c r="V6" i="14"/>
  <c r="U6" i="14"/>
  <c r="T6" i="14"/>
  <c r="Z6" i="14" s="1"/>
  <c r="AA5" i="14"/>
  <c r="Z5" i="14"/>
  <c r="V5" i="14"/>
  <c r="AA4" i="14"/>
  <c r="Z4" i="14"/>
  <c r="V4" i="14"/>
  <c r="AA3" i="14"/>
  <c r="Y3" i="14" a="1"/>
  <c r="Y3" i="14" s="1"/>
  <c r="W15" i="14" s="1"/>
  <c r="V3" i="14"/>
  <c r="L15" i="14"/>
  <c r="L16" i="14"/>
  <c r="L17" i="14"/>
  <c r="L18" i="14"/>
  <c r="L19" i="14"/>
  <c r="L20" i="14"/>
  <c r="L21" i="14"/>
  <c r="L22" i="14"/>
  <c r="L23" i="14"/>
  <c r="L24" i="14"/>
  <c r="L25" i="14"/>
  <c r="L26" i="14"/>
  <c r="L14" i="14"/>
  <c r="K7" i="14"/>
  <c r="K8" i="14"/>
  <c r="K9" i="14"/>
  <c r="K10" i="14"/>
  <c r="K11" i="14"/>
  <c r="K12" i="14"/>
  <c r="K13" i="14"/>
  <c r="K14" i="14"/>
  <c r="K15" i="14"/>
  <c r="K16" i="14"/>
  <c r="K17" i="14"/>
  <c r="K18" i="14"/>
  <c r="K19" i="14"/>
  <c r="K20" i="14"/>
  <c r="K21" i="14"/>
  <c r="K22" i="14"/>
  <c r="K23" i="14"/>
  <c r="K24" i="14"/>
  <c r="K25" i="14"/>
  <c r="K26" i="14"/>
  <c r="K6" i="14"/>
  <c r="J16" i="14"/>
  <c r="J17" i="14"/>
  <c r="J18" i="14"/>
  <c r="J19" i="14"/>
  <c r="J20" i="14"/>
  <c r="J21" i="14"/>
  <c r="J22" i="14"/>
  <c r="J23" i="14"/>
  <c r="J24" i="14"/>
  <c r="J25" i="14"/>
  <c r="J26" i="14"/>
  <c r="J15" i="14"/>
  <c r="I16" i="14"/>
  <c r="I15" i="14"/>
  <c r="H16" i="14" s="1"/>
  <c r="H15" i="14"/>
  <c r="I14" i="14" a="1"/>
  <c r="I14" i="14" s="1"/>
  <c r="J3" i="14" a="1"/>
  <c r="J3" i="14" s="1"/>
  <c r="H14" i="14"/>
  <c r="G8" i="14"/>
  <c r="G9" i="14"/>
  <c r="G10" i="14"/>
  <c r="G11" i="14"/>
  <c r="G7" i="14"/>
  <c r="F8" i="14"/>
  <c r="F7" i="14"/>
  <c r="E8" i="14" s="1"/>
  <c r="E7" i="14"/>
  <c r="F6" i="14"/>
  <c r="G4" i="14"/>
  <c r="G5" i="14"/>
  <c r="G6" i="14"/>
  <c r="G3" i="14"/>
  <c r="D67" i="14" a="1"/>
  <c r="S34" i="14" a="1"/>
  <c r="D34" i="14" a="1"/>
  <c r="S3" i="14" a="1"/>
  <c r="D3" i="14" a="1"/>
  <c r="H91" i="13"/>
  <c r="F91" i="13"/>
  <c r="U46" i="13"/>
  <c r="S46" i="13"/>
  <c r="H46" i="13"/>
  <c r="F46" i="13"/>
  <c r="U3" i="13"/>
  <c r="S3" i="13"/>
  <c r="H3" i="13"/>
  <c r="F3" i="13"/>
  <c r="D91" i="13" a="1"/>
  <c r="Q46" i="13" a="1"/>
  <c r="D46" i="13" a="1"/>
  <c r="Q3" i="13" a="1"/>
  <c r="D3" i="13" a="1"/>
  <c r="D3" i="13" s="1"/>
  <c r="G3" i="13" s="1"/>
  <c r="J3" i="13" s="1"/>
  <c r="P75" i="6" a="1"/>
  <c r="P75" i="6" s="1"/>
  <c r="H67" i="12"/>
  <c r="G67" i="12"/>
  <c r="F67" i="12"/>
  <c r="F68" i="12" s="1"/>
  <c r="E67" i="12"/>
  <c r="E68" i="12" s="1"/>
  <c r="O34" i="12"/>
  <c r="O35" i="12" s="1"/>
  <c r="N34" i="12"/>
  <c r="P34" i="12" s="1"/>
  <c r="F34" i="12"/>
  <c r="F35" i="12" s="1"/>
  <c r="E34" i="12"/>
  <c r="E35" i="12" s="1"/>
  <c r="O5" i="12"/>
  <c r="P4" i="12"/>
  <c r="N4" i="12"/>
  <c r="O3" i="12"/>
  <c r="O4" i="12" s="1"/>
  <c r="N3" i="12"/>
  <c r="H4" i="12"/>
  <c r="H5" i="12"/>
  <c r="H6" i="12"/>
  <c r="H7" i="12"/>
  <c r="H3" i="12"/>
  <c r="G6" i="12"/>
  <c r="G4" i="12"/>
  <c r="G5" i="12"/>
  <c r="G3" i="12"/>
  <c r="F6" i="12"/>
  <c r="F5" i="12"/>
  <c r="F7" i="12"/>
  <c r="F8" i="12" s="1"/>
  <c r="F9" i="12" s="1"/>
  <c r="F10" i="12" s="1"/>
  <c r="F11" i="12" s="1"/>
  <c r="F12" i="12" s="1"/>
  <c r="F13" i="12" s="1"/>
  <c r="F14" i="12" s="1"/>
  <c r="F15" i="12" s="1"/>
  <c r="F16" i="12" s="1"/>
  <c r="F17" i="12" s="1"/>
  <c r="F18" i="12" s="1"/>
  <c r="F19" i="12" s="1"/>
  <c r="F20" i="12" s="1"/>
  <c r="F21" i="12" s="1"/>
  <c r="F22" i="12" s="1"/>
  <c r="F23" i="12" s="1"/>
  <c r="F24" i="12" s="1"/>
  <c r="F25" i="12" s="1"/>
  <c r="F26" i="12" s="1"/>
  <c r="F27" i="12" s="1"/>
  <c r="F28" i="12" s="1"/>
  <c r="F4" i="12"/>
  <c r="E5" i="12"/>
  <c r="E4" i="12"/>
  <c r="E6" i="12"/>
  <c r="E7" i="12" s="1"/>
  <c r="E8" i="12" s="1"/>
  <c r="E9" i="12" s="1"/>
  <c r="E10" i="12" s="1"/>
  <c r="F3" i="12"/>
  <c r="E3" i="12"/>
  <c r="D67" i="12" a="1"/>
  <c r="M34" i="12" a="1"/>
  <c r="D34" i="12" a="1"/>
  <c r="M3" i="12"/>
  <c r="M27" i="12" s="1"/>
  <c r="M28" i="12" s="1"/>
  <c r="M3" i="12" a="1"/>
  <c r="D3" i="12" a="1"/>
  <c r="O75" i="6" a="1"/>
  <c r="O75" i="6" s="1"/>
  <c r="M75" i="6" a="1"/>
  <c r="M75" i="6" s="1"/>
  <c r="N75" i="6" s="1"/>
  <c r="L75" i="6" a="1"/>
  <c r="L75" i="6" s="1"/>
  <c r="P74" i="6" a="1"/>
  <c r="P74" i="6" s="1"/>
  <c r="O74" i="6" a="1"/>
  <c r="O74" i="6" s="1"/>
  <c r="M74" i="6" a="1"/>
  <c r="M74" i="6" s="1"/>
  <c r="N74" i="6" s="1"/>
  <c r="L74" i="6" a="1"/>
  <c r="L74" i="6" s="1"/>
  <c r="P73" i="6" a="1"/>
  <c r="P73" i="6" s="1"/>
  <c r="O73" i="6" a="1"/>
  <c r="O73" i="6" s="1"/>
  <c r="N73" i="6"/>
  <c r="M73" i="6" a="1"/>
  <c r="M73" i="6" s="1"/>
  <c r="L73" i="6" a="1"/>
  <c r="L73" i="6" s="1"/>
  <c r="P72" i="6" a="1"/>
  <c r="P72" i="6" s="1"/>
  <c r="O72" i="6" a="1"/>
  <c r="O72" i="6" s="1"/>
  <c r="M72" i="6" a="1"/>
  <c r="M72" i="6" s="1"/>
  <c r="N72" i="6" s="1"/>
  <c r="L72" i="6" a="1"/>
  <c r="L72" i="6" s="1"/>
  <c r="L71" i="6" a="1"/>
  <c r="L71" i="6" s="1"/>
  <c r="P70" i="6" a="1"/>
  <c r="P70" i="6" s="1"/>
  <c r="O70" i="6" a="1"/>
  <c r="O70" i="6" s="1"/>
  <c r="M70" i="6" a="1"/>
  <c r="M70" i="6" s="1"/>
  <c r="N70" i="6" s="1"/>
  <c r="L70" i="6" a="1"/>
  <c r="L70" i="6" s="1"/>
  <c r="P69" i="6" a="1"/>
  <c r="P69" i="6" s="1"/>
  <c r="O69" i="6" a="1"/>
  <c r="O69" i="6" s="1"/>
  <c r="M69" i="6" a="1"/>
  <c r="M69" i="6" s="1"/>
  <c r="N69" i="6" s="1"/>
  <c r="L69" i="6" a="1"/>
  <c r="L69" i="6" s="1"/>
  <c r="P68" i="6" a="1"/>
  <c r="P68" i="6" s="1"/>
  <c r="O68" i="6" a="1"/>
  <c r="O68" i="6" s="1"/>
  <c r="M68" i="6" a="1"/>
  <c r="M68" i="6" s="1"/>
  <c r="N68" i="6" s="1"/>
  <c r="L68" i="6" a="1"/>
  <c r="L68" i="6" s="1"/>
  <c r="L67" i="6" a="1"/>
  <c r="L67" i="6" s="1"/>
  <c r="O66" i="6" a="1"/>
  <c r="O66" i="6" s="1"/>
  <c r="P67" i="6" a="1"/>
  <c r="P67" i="6" s="1"/>
  <c r="O67" i="6" a="1"/>
  <c r="O67" i="6" s="1"/>
  <c r="M67" i="6" a="1"/>
  <c r="M67" i="6" s="1"/>
  <c r="N67" i="6" s="1"/>
  <c r="L66" i="6" a="1"/>
  <c r="L66" i="6" s="1"/>
  <c r="P71" i="6" a="1"/>
  <c r="P71" i="6" s="1"/>
  <c r="O71" i="6" a="1"/>
  <c r="O71" i="6" s="1"/>
  <c r="N71" i="6"/>
  <c r="M71" i="6" a="1"/>
  <c r="M71" i="6" s="1"/>
  <c r="P66" i="6" a="1"/>
  <c r="P66" i="6" s="1"/>
  <c r="M66" i="6" a="1"/>
  <c r="M66" i="6" s="1"/>
  <c r="D67" i="6" a="1"/>
  <c r="D67" i="6" s="1"/>
  <c r="M34" i="6" a="1"/>
  <c r="M34" i="6" s="1"/>
  <c r="D34" i="6" a="1"/>
  <c r="D34" i="6" s="1"/>
  <c r="M3" i="6" a="1"/>
  <c r="M3" i="6" s="1"/>
  <c r="D3" i="6" a="1"/>
  <c r="D3" i="6" s="1"/>
  <c r="C56" i="11"/>
  <c r="L27" i="11"/>
  <c r="K26" i="11"/>
  <c r="K3" i="11"/>
  <c r="K4" i="11"/>
  <c r="K5" i="11"/>
  <c r="K6" i="11"/>
  <c r="K7" i="11"/>
  <c r="K8" i="11"/>
  <c r="K9" i="11"/>
  <c r="K10" i="11"/>
  <c r="K11" i="11"/>
  <c r="K12" i="11"/>
  <c r="K13" i="11"/>
  <c r="K14" i="11"/>
  <c r="K15" i="11"/>
  <c r="K16" i="11"/>
  <c r="K17" i="11"/>
  <c r="K18" i="11"/>
  <c r="K19" i="11"/>
  <c r="K20" i="11"/>
  <c r="K21" i="11"/>
  <c r="K22" i="11"/>
  <c r="K23" i="11"/>
  <c r="K24" i="11"/>
  <c r="K25" i="11"/>
  <c r="K2" i="11"/>
  <c r="J2" i="11" a="1"/>
  <c r="J2" i="11" s="1"/>
  <c r="G55" i="11"/>
  <c r="I12" i="11"/>
  <c r="I13" i="11"/>
  <c r="I14" i="11"/>
  <c r="I15" i="11"/>
  <c r="I16" i="11"/>
  <c r="I17" i="11"/>
  <c r="I18" i="11"/>
  <c r="I19" i="11"/>
  <c r="I20" i="11"/>
  <c r="I21" i="11"/>
  <c r="I22" i="11"/>
  <c r="I23" i="11"/>
  <c r="I24" i="11"/>
  <c r="I25" i="11"/>
  <c r="H11" i="11"/>
  <c r="H12" i="11"/>
  <c r="H13" i="11"/>
  <c r="H14" i="11"/>
  <c r="H15" i="11"/>
  <c r="H16" i="11"/>
  <c r="H17" i="11"/>
  <c r="H18" i="11"/>
  <c r="H19" i="11"/>
  <c r="H20" i="11"/>
  <c r="H21" i="11"/>
  <c r="H22" i="11"/>
  <c r="H23" i="11"/>
  <c r="H24" i="11"/>
  <c r="H25" i="11"/>
  <c r="G10" i="11"/>
  <c r="G11" i="11"/>
  <c r="G12" i="11"/>
  <c r="G13" i="11"/>
  <c r="G14" i="11"/>
  <c r="G15" i="11"/>
  <c r="G16" i="11"/>
  <c r="G17" i="11"/>
  <c r="G18" i="11"/>
  <c r="G19" i="11"/>
  <c r="G20" i="11"/>
  <c r="G21" i="11"/>
  <c r="G22" i="11"/>
  <c r="G23" i="11"/>
  <c r="G24" i="11"/>
  <c r="G25" i="11"/>
  <c r="F21" i="11"/>
  <c r="B32" i="11"/>
  <c r="E9" i="11"/>
  <c r="F9" i="11" s="1"/>
  <c r="E10" i="11"/>
  <c r="F10" i="11" s="1"/>
  <c r="E11" i="11"/>
  <c r="F11" i="11" s="1"/>
  <c r="E12" i="11"/>
  <c r="F12" i="11" s="1"/>
  <c r="E13" i="11"/>
  <c r="F13" i="11" s="1"/>
  <c r="E14" i="11"/>
  <c r="F14" i="11" s="1"/>
  <c r="E15" i="11"/>
  <c r="F15" i="11" s="1"/>
  <c r="E16" i="11"/>
  <c r="F16" i="11" s="1"/>
  <c r="E17" i="11"/>
  <c r="F17" i="11" s="1"/>
  <c r="E18" i="11"/>
  <c r="F18" i="11" s="1"/>
  <c r="E19" i="11"/>
  <c r="F19" i="11" s="1"/>
  <c r="E20" i="11"/>
  <c r="F20" i="11" s="1"/>
  <c r="E21" i="11"/>
  <c r="E22" i="11"/>
  <c r="F22" i="11" s="1"/>
  <c r="E23" i="11"/>
  <c r="F23" i="11" s="1"/>
  <c r="E24" i="11"/>
  <c r="F24" i="11" s="1"/>
  <c r="E25" i="11"/>
  <c r="F25" i="11" s="1"/>
  <c r="D7" i="11" a="1"/>
  <c r="D7" i="11" s="1"/>
  <c r="H10" i="11" s="1"/>
  <c r="D6" i="11" a="1"/>
  <c r="D6" i="11" s="1"/>
  <c r="I10" i="11" s="1"/>
  <c r="D5" i="11"/>
  <c r="G7" i="11" s="1"/>
  <c r="D4" i="11"/>
  <c r="I8" i="11" s="1"/>
  <c r="D3" i="11"/>
  <c r="D2" i="11"/>
  <c r="H5" i="11" s="1"/>
  <c r="F4" i="9"/>
  <c r="F5" i="9"/>
  <c r="F6" i="9"/>
  <c r="F7" i="9"/>
  <c r="F8" i="9"/>
  <c r="F9" i="9"/>
  <c r="F10" i="9"/>
  <c r="F11" i="9"/>
  <c r="F12" i="9"/>
  <c r="F13" i="9"/>
  <c r="F14" i="9"/>
  <c r="F15" i="9"/>
  <c r="F16" i="9"/>
  <c r="F17" i="9"/>
  <c r="F18" i="9"/>
  <c r="F19" i="9"/>
  <c r="F20" i="9"/>
  <c r="F21" i="9"/>
  <c r="F22" i="9"/>
  <c r="F23" i="9"/>
  <c r="F24" i="9"/>
  <c r="F25" i="9"/>
  <c r="F26" i="9"/>
  <c r="F27" i="9"/>
  <c r="F28" i="9"/>
  <c r="F29" i="9"/>
  <c r="F30" i="9"/>
  <c r="F31" i="9"/>
  <c r="F32" i="9"/>
  <c r="F33" i="9"/>
  <c r="F34" i="9"/>
  <c r="F35" i="9"/>
  <c r="F36" i="9"/>
  <c r="F37" i="9"/>
  <c r="F38" i="9"/>
  <c r="F39" i="9"/>
  <c r="F40" i="9"/>
  <c r="F41" i="9"/>
  <c r="F42" i="9"/>
  <c r="F43" i="9"/>
  <c r="F44" i="9"/>
  <c r="F45" i="9"/>
  <c r="F46" i="9"/>
  <c r="F47" i="9"/>
  <c r="F48" i="9"/>
  <c r="F49" i="9"/>
  <c r="F50" i="9"/>
  <c r="F51" i="9"/>
  <c r="F52" i="9"/>
  <c r="F53" i="9"/>
  <c r="F3" i="9"/>
  <c r="H5" i="9"/>
  <c r="H6" i="9"/>
  <c r="H8" i="9"/>
  <c r="H9" i="9"/>
  <c r="H10" i="9"/>
  <c r="H11" i="9"/>
  <c r="H12" i="9"/>
  <c r="H13" i="9"/>
  <c r="H14" i="9"/>
  <c r="H15" i="9"/>
  <c r="H16" i="9"/>
  <c r="H17" i="9"/>
  <c r="H18" i="9"/>
  <c r="H19" i="9"/>
  <c r="H20" i="9"/>
  <c r="H21" i="9"/>
  <c r="H22" i="9"/>
  <c r="H23" i="9"/>
  <c r="H24" i="9"/>
  <c r="H25" i="9"/>
  <c r="H26" i="9"/>
  <c r="H27" i="9"/>
  <c r="H28" i="9"/>
  <c r="H29" i="9"/>
  <c r="H30" i="9"/>
  <c r="H31" i="9"/>
  <c r="H32" i="9"/>
  <c r="H33" i="9"/>
  <c r="H34" i="9"/>
  <c r="H35" i="9"/>
  <c r="H36" i="9"/>
  <c r="H37" i="9"/>
  <c r="H38" i="9"/>
  <c r="H39" i="9"/>
  <c r="H40" i="9"/>
  <c r="H41" i="9"/>
  <c r="H42" i="9"/>
  <c r="H43" i="9"/>
  <c r="H44" i="9"/>
  <c r="H45" i="9"/>
  <c r="H46" i="9"/>
  <c r="H47" i="9"/>
  <c r="H48" i="9"/>
  <c r="H49" i="9"/>
  <c r="H50" i="9"/>
  <c r="H51" i="9"/>
  <c r="H52" i="9"/>
  <c r="H53" i="9"/>
  <c r="H4" i="9"/>
  <c r="H3" i="9"/>
  <c r="G3" i="9"/>
  <c r="E20" i="1"/>
  <c r="E21" i="1"/>
  <c r="T71" i="13" l="1"/>
  <c r="U71" i="13" s="1"/>
  <c r="W71" i="13" s="1"/>
  <c r="U70" i="13"/>
  <c r="W70" i="13" s="1"/>
  <c r="Y70" i="13" s="1"/>
  <c r="S70" i="13"/>
  <c r="V70" i="13" s="1"/>
  <c r="X70" i="13" s="1"/>
  <c r="R71" i="13"/>
  <c r="J79" i="14"/>
  <c r="I79" i="14"/>
  <c r="L79" i="14" s="1"/>
  <c r="G71" i="14"/>
  <c r="F71" i="14"/>
  <c r="K71" i="14" s="1"/>
  <c r="V38" i="14"/>
  <c r="U38" i="14"/>
  <c r="T39" i="14" s="1"/>
  <c r="Y46" i="14"/>
  <c r="X46" i="14"/>
  <c r="W47" i="14" s="1"/>
  <c r="G38" i="14"/>
  <c r="F38" i="14"/>
  <c r="K38" i="14"/>
  <c r="E39" i="14"/>
  <c r="J34" i="14"/>
  <c r="H46" i="14" s="1"/>
  <c r="AA15" i="14"/>
  <c r="Y15" i="14"/>
  <c r="X15" i="14"/>
  <c r="W16" i="14" s="1"/>
  <c r="AA14" i="14"/>
  <c r="U7" i="14"/>
  <c r="T8" i="14" s="1"/>
  <c r="V7" i="14"/>
  <c r="H17" i="14"/>
  <c r="E9" i="14"/>
  <c r="D34" i="14"/>
  <c r="S34" i="14"/>
  <c r="D3" i="14"/>
  <c r="E6" i="14" s="1"/>
  <c r="S3" i="14"/>
  <c r="D67" i="14"/>
  <c r="E3" i="13"/>
  <c r="I3" i="13" s="1"/>
  <c r="K3" i="13" s="1"/>
  <c r="G4" i="13"/>
  <c r="Q3" i="13"/>
  <c r="D46" i="13"/>
  <c r="D91" i="13"/>
  <c r="Q46" i="13"/>
  <c r="G68" i="12"/>
  <c r="E69" i="12"/>
  <c r="H68" i="12"/>
  <c r="F69" i="12"/>
  <c r="Q35" i="12"/>
  <c r="O36" i="12"/>
  <c r="Q34" i="12"/>
  <c r="N35" i="12"/>
  <c r="G35" i="12"/>
  <c r="E36" i="12"/>
  <c r="H35" i="12"/>
  <c r="F36" i="12"/>
  <c r="G34" i="12"/>
  <c r="H34" i="12"/>
  <c r="N5" i="12"/>
  <c r="Q4" i="12"/>
  <c r="P3" i="12"/>
  <c r="Q3" i="12"/>
  <c r="E11" i="12"/>
  <c r="E12" i="12" s="1"/>
  <c r="E13" i="12" s="1"/>
  <c r="E14" i="12" s="1"/>
  <c r="G10" i="12"/>
  <c r="G11" i="12"/>
  <c r="H18" i="12"/>
  <c r="H15" i="12"/>
  <c r="H26" i="12"/>
  <c r="H25" i="12"/>
  <c r="H23" i="12"/>
  <c r="H21" i="12"/>
  <c r="H20" i="12"/>
  <c r="H17" i="12"/>
  <c r="H13" i="12"/>
  <c r="H12" i="12"/>
  <c r="H11" i="12"/>
  <c r="H10" i="12"/>
  <c r="H9" i="12"/>
  <c r="G7" i="12"/>
  <c r="G13" i="12"/>
  <c r="H14" i="12"/>
  <c r="H22" i="12"/>
  <c r="D3" i="12"/>
  <c r="G9" i="12"/>
  <c r="H19" i="12"/>
  <c r="M34" i="12"/>
  <c r="G12" i="12"/>
  <c r="H16" i="12"/>
  <c r="H24" i="12"/>
  <c r="G8" i="12"/>
  <c r="D67" i="12"/>
  <c r="D34" i="12"/>
  <c r="E72" i="6"/>
  <c r="G72" i="6" s="1"/>
  <c r="E74" i="6"/>
  <c r="G74" i="6" s="1"/>
  <c r="E76" i="6"/>
  <c r="G76" i="6" s="1"/>
  <c r="E78" i="6"/>
  <c r="G78" i="6" s="1"/>
  <c r="E80" i="6"/>
  <c r="E82" i="6"/>
  <c r="E84" i="6"/>
  <c r="G84" i="6" s="1"/>
  <c r="E86" i="6"/>
  <c r="G86" i="6" s="1"/>
  <c r="E88" i="6"/>
  <c r="E90" i="6"/>
  <c r="G90" i="6" s="1"/>
  <c r="E71" i="6"/>
  <c r="G71" i="6" s="1"/>
  <c r="F74" i="6"/>
  <c r="F76" i="6"/>
  <c r="H76" i="6" s="1"/>
  <c r="F78" i="6"/>
  <c r="H78" i="6" s="1"/>
  <c r="F80" i="6"/>
  <c r="H80" i="6" s="1"/>
  <c r="F82" i="6"/>
  <c r="H82" i="6" s="1"/>
  <c r="F84" i="6"/>
  <c r="H84" i="6" s="1"/>
  <c r="F86" i="6"/>
  <c r="H86" i="6" s="1"/>
  <c r="F88" i="6"/>
  <c r="H88" i="6" s="1"/>
  <c r="F90" i="6"/>
  <c r="G80" i="6"/>
  <c r="G82" i="6"/>
  <c r="G88" i="6"/>
  <c r="H74" i="6"/>
  <c r="H90" i="6"/>
  <c r="E73" i="6"/>
  <c r="G73" i="6" s="1"/>
  <c r="E75" i="6"/>
  <c r="E77" i="6"/>
  <c r="G77" i="6" s="1"/>
  <c r="E79" i="6"/>
  <c r="G79" i="6" s="1"/>
  <c r="E81" i="6"/>
  <c r="G81" i="6" s="1"/>
  <c r="E83" i="6"/>
  <c r="G83" i="6" s="1"/>
  <c r="E85" i="6"/>
  <c r="G85" i="6" s="1"/>
  <c r="E87" i="6"/>
  <c r="G87" i="6" s="1"/>
  <c r="E89" i="6"/>
  <c r="G89" i="6" s="1"/>
  <c r="F73" i="6"/>
  <c r="H73" i="6" s="1"/>
  <c r="F75" i="6"/>
  <c r="H75" i="6" s="1"/>
  <c r="F77" i="6"/>
  <c r="H77" i="6" s="1"/>
  <c r="F79" i="6"/>
  <c r="H79" i="6" s="1"/>
  <c r="F81" i="6"/>
  <c r="H81" i="6" s="1"/>
  <c r="F83" i="6"/>
  <c r="H83" i="6" s="1"/>
  <c r="F85" i="6"/>
  <c r="H85" i="6" s="1"/>
  <c r="F87" i="6"/>
  <c r="H87" i="6" s="1"/>
  <c r="F89" i="6"/>
  <c r="H89" i="6" s="1"/>
  <c r="G75" i="6"/>
  <c r="N39" i="6"/>
  <c r="P39" i="6" s="1"/>
  <c r="N41" i="6"/>
  <c r="P41" i="6" s="1"/>
  <c r="N43" i="6"/>
  <c r="P43" i="6" s="1"/>
  <c r="N45" i="6"/>
  <c r="N47" i="6"/>
  <c r="P47" i="6" s="1"/>
  <c r="N49" i="6"/>
  <c r="N51" i="6"/>
  <c r="P51" i="6" s="1"/>
  <c r="N53" i="6"/>
  <c r="P53" i="6" s="1"/>
  <c r="N55" i="6"/>
  <c r="P55" i="6" s="1"/>
  <c r="N57" i="6"/>
  <c r="P57" i="6" s="1"/>
  <c r="O41" i="6"/>
  <c r="Q41" i="6" s="1"/>
  <c r="O43" i="6"/>
  <c r="Q43" i="6" s="1"/>
  <c r="O45" i="6"/>
  <c r="Q45" i="6" s="1"/>
  <c r="O47" i="6"/>
  <c r="Q47" i="6" s="1"/>
  <c r="O49" i="6"/>
  <c r="Q49" i="6" s="1"/>
  <c r="O51" i="6"/>
  <c r="Q51" i="6" s="1"/>
  <c r="O53" i="6"/>
  <c r="Q53" i="6" s="1"/>
  <c r="O55" i="6"/>
  <c r="Q55" i="6" s="1"/>
  <c r="O57" i="6"/>
  <c r="Q57" i="6" s="1"/>
  <c r="P45" i="6"/>
  <c r="P49" i="6"/>
  <c r="N40" i="6"/>
  <c r="P40" i="6" s="1"/>
  <c r="N42" i="6"/>
  <c r="P42" i="6" s="1"/>
  <c r="N44" i="6"/>
  <c r="P44" i="6" s="1"/>
  <c r="N46" i="6"/>
  <c r="P46" i="6" s="1"/>
  <c r="N48" i="6"/>
  <c r="P48" i="6" s="1"/>
  <c r="N50" i="6"/>
  <c r="P50" i="6" s="1"/>
  <c r="N52" i="6"/>
  <c r="P52" i="6" s="1"/>
  <c r="N54" i="6"/>
  <c r="P54" i="6" s="1"/>
  <c r="N56" i="6"/>
  <c r="P56" i="6" s="1"/>
  <c r="O40" i="6"/>
  <c r="Q40" i="6" s="1"/>
  <c r="O42" i="6"/>
  <c r="Q42" i="6" s="1"/>
  <c r="O44" i="6"/>
  <c r="Q44" i="6" s="1"/>
  <c r="O46" i="6"/>
  <c r="Q46" i="6" s="1"/>
  <c r="O48" i="6"/>
  <c r="Q48" i="6" s="1"/>
  <c r="O50" i="6"/>
  <c r="Q50" i="6" s="1"/>
  <c r="O52" i="6"/>
  <c r="Q52" i="6" s="1"/>
  <c r="O54" i="6"/>
  <c r="Q54" i="6" s="1"/>
  <c r="O56" i="6"/>
  <c r="Q56" i="6" s="1"/>
  <c r="N38" i="6"/>
  <c r="P38" i="6" s="1"/>
  <c r="E39" i="6"/>
  <c r="G39" i="6" s="1"/>
  <c r="E41" i="6"/>
  <c r="G41" i="6" s="1"/>
  <c r="E43" i="6"/>
  <c r="E45" i="6"/>
  <c r="E47" i="6"/>
  <c r="G47" i="6" s="1"/>
  <c r="E49" i="6"/>
  <c r="G49" i="6" s="1"/>
  <c r="E51" i="6"/>
  <c r="G51" i="6" s="1"/>
  <c r="E53" i="6"/>
  <c r="G53" i="6" s="1"/>
  <c r="E55" i="6"/>
  <c r="G55" i="6" s="1"/>
  <c r="E57" i="6"/>
  <c r="G57" i="6" s="1"/>
  <c r="F41" i="6"/>
  <c r="H41" i="6" s="1"/>
  <c r="F43" i="6"/>
  <c r="H43" i="6" s="1"/>
  <c r="F45" i="6"/>
  <c r="H45" i="6" s="1"/>
  <c r="F47" i="6"/>
  <c r="H47" i="6" s="1"/>
  <c r="F49" i="6"/>
  <c r="H49" i="6" s="1"/>
  <c r="F51" i="6"/>
  <c r="H51" i="6" s="1"/>
  <c r="F53" i="6"/>
  <c r="H53" i="6" s="1"/>
  <c r="F55" i="6"/>
  <c r="H55" i="6" s="1"/>
  <c r="F57" i="6"/>
  <c r="H57" i="6" s="1"/>
  <c r="G43" i="6"/>
  <c r="G45" i="6"/>
  <c r="E40" i="6"/>
  <c r="G40" i="6" s="1"/>
  <c r="E42" i="6"/>
  <c r="E44" i="6"/>
  <c r="E46" i="6"/>
  <c r="G46" i="6" s="1"/>
  <c r="E48" i="6"/>
  <c r="G48" i="6" s="1"/>
  <c r="E50" i="6"/>
  <c r="G50" i="6" s="1"/>
  <c r="E52" i="6"/>
  <c r="G52" i="6" s="1"/>
  <c r="E54" i="6"/>
  <c r="G54" i="6" s="1"/>
  <c r="E56" i="6"/>
  <c r="G56" i="6" s="1"/>
  <c r="F40" i="6"/>
  <c r="F42" i="6"/>
  <c r="F44" i="6"/>
  <c r="H44" i="6" s="1"/>
  <c r="F46" i="6"/>
  <c r="H46" i="6" s="1"/>
  <c r="F48" i="6"/>
  <c r="H48" i="6" s="1"/>
  <c r="F50" i="6"/>
  <c r="H50" i="6" s="1"/>
  <c r="F52" i="6"/>
  <c r="H52" i="6" s="1"/>
  <c r="F54" i="6"/>
  <c r="H54" i="6" s="1"/>
  <c r="F56" i="6"/>
  <c r="H56" i="6" s="1"/>
  <c r="E38" i="6"/>
  <c r="G42" i="6"/>
  <c r="G44" i="6"/>
  <c r="G38" i="6"/>
  <c r="H40" i="6"/>
  <c r="H42" i="6"/>
  <c r="O14" i="6"/>
  <c r="Q14" i="6" s="1"/>
  <c r="O22" i="6"/>
  <c r="Q22" i="6" s="1"/>
  <c r="N8" i="6"/>
  <c r="P8" i="6" s="1"/>
  <c r="N10" i="6"/>
  <c r="P10" i="6" s="1"/>
  <c r="N12" i="6"/>
  <c r="P12" i="6" s="1"/>
  <c r="N14" i="6"/>
  <c r="P14" i="6" s="1"/>
  <c r="N16" i="6"/>
  <c r="N18" i="6"/>
  <c r="P18" i="6" s="1"/>
  <c r="N20" i="6"/>
  <c r="P20" i="6" s="1"/>
  <c r="N22" i="6"/>
  <c r="P22" i="6" s="1"/>
  <c r="N24" i="6"/>
  <c r="P24" i="6" s="1"/>
  <c r="N26" i="6"/>
  <c r="P26" i="6" s="1"/>
  <c r="O10" i="6"/>
  <c r="Q10" i="6" s="1"/>
  <c r="O12" i="6"/>
  <c r="Q12" i="6" s="1"/>
  <c r="O16" i="6"/>
  <c r="Q16" i="6" s="1"/>
  <c r="O18" i="6"/>
  <c r="Q18" i="6" s="1"/>
  <c r="O20" i="6"/>
  <c r="Q20" i="6" s="1"/>
  <c r="O24" i="6"/>
  <c r="Q24" i="6" s="1"/>
  <c r="O26" i="6"/>
  <c r="Q26" i="6" s="1"/>
  <c r="P16" i="6"/>
  <c r="N9" i="6"/>
  <c r="P9" i="6" s="1"/>
  <c r="N11" i="6"/>
  <c r="N13" i="6"/>
  <c r="P13" i="6" s="1"/>
  <c r="N15" i="6"/>
  <c r="P15" i="6" s="1"/>
  <c r="N17" i="6"/>
  <c r="N19" i="6"/>
  <c r="P19" i="6" s="1"/>
  <c r="N21" i="6"/>
  <c r="P21" i="6" s="1"/>
  <c r="N23" i="6"/>
  <c r="N25" i="6"/>
  <c r="P25" i="6" s="1"/>
  <c r="O9" i="6"/>
  <c r="Q9" i="6" s="1"/>
  <c r="O11" i="6"/>
  <c r="Q11" i="6" s="1"/>
  <c r="O13" i="6"/>
  <c r="Q13" i="6" s="1"/>
  <c r="O15" i="6"/>
  <c r="Q15" i="6" s="1"/>
  <c r="O17" i="6"/>
  <c r="Q17" i="6" s="1"/>
  <c r="O19" i="6"/>
  <c r="Q19" i="6" s="1"/>
  <c r="O21" i="6"/>
  <c r="Q21" i="6" s="1"/>
  <c r="O23" i="6"/>
  <c r="Q23" i="6" s="1"/>
  <c r="O25" i="6"/>
  <c r="Q25" i="6" s="1"/>
  <c r="N7" i="6"/>
  <c r="P7" i="6" s="1"/>
  <c r="P11" i="6"/>
  <c r="P17" i="6"/>
  <c r="P23" i="6"/>
  <c r="F14" i="6"/>
  <c r="H14" i="6" s="1"/>
  <c r="F21" i="6"/>
  <c r="H21" i="6" s="1"/>
  <c r="F20" i="6"/>
  <c r="H20" i="6" s="1"/>
  <c r="F19" i="6"/>
  <c r="H19" i="6" s="1"/>
  <c r="F18" i="6"/>
  <c r="H18" i="6" s="1"/>
  <c r="E24" i="6"/>
  <c r="G24" i="6" s="1"/>
  <c r="F23" i="6"/>
  <c r="H23" i="6" s="1"/>
  <c r="E23" i="6"/>
  <c r="G23" i="6" s="1"/>
  <c r="F22" i="6"/>
  <c r="H22" i="6" s="1"/>
  <c r="E22" i="6"/>
  <c r="G22" i="6" s="1"/>
  <c r="E13" i="6"/>
  <c r="G13" i="6" s="1"/>
  <c r="E20" i="6"/>
  <c r="G20" i="6" s="1"/>
  <c r="F26" i="6"/>
  <c r="H26" i="6" s="1"/>
  <c r="E26" i="6"/>
  <c r="G26" i="6" s="1"/>
  <c r="E18" i="6"/>
  <c r="G18" i="6" s="1"/>
  <c r="F25" i="6"/>
  <c r="H25" i="6" s="1"/>
  <c r="F17" i="6"/>
  <c r="H17" i="6" s="1"/>
  <c r="E16" i="6"/>
  <c r="G16" i="6" s="1"/>
  <c r="F15" i="6"/>
  <c r="H15" i="6" s="1"/>
  <c r="E15" i="6"/>
  <c r="G15" i="6" s="1"/>
  <c r="E14" i="6"/>
  <c r="G14" i="6" s="1"/>
  <c r="E21" i="6"/>
  <c r="G21" i="6" s="1"/>
  <c r="E12" i="6"/>
  <c r="G12" i="6" s="1"/>
  <c r="E19" i="6"/>
  <c r="G19" i="6" s="1"/>
  <c r="E25" i="6"/>
  <c r="G25" i="6" s="1"/>
  <c r="E17" i="6"/>
  <c r="G17" i="6" s="1"/>
  <c r="F24" i="6"/>
  <c r="H24" i="6" s="1"/>
  <c r="F16" i="6"/>
  <c r="H16" i="6" s="1"/>
  <c r="I6" i="11"/>
  <c r="E7" i="11"/>
  <c r="E6" i="11"/>
  <c r="F6" i="11" s="1"/>
  <c r="G4" i="11"/>
  <c r="G9" i="11"/>
  <c r="H9" i="11"/>
  <c r="H8" i="11"/>
  <c r="C58" i="11"/>
  <c r="E5" i="11"/>
  <c r="H7" i="11"/>
  <c r="E4" i="11"/>
  <c r="F4" i="11" s="1"/>
  <c r="G8" i="11"/>
  <c r="H6" i="11"/>
  <c r="I11" i="11"/>
  <c r="E3" i="11"/>
  <c r="G6" i="11"/>
  <c r="I9" i="11"/>
  <c r="G5" i="11"/>
  <c r="E8" i="11"/>
  <c r="F8" i="11" s="1"/>
  <c r="F7" i="11"/>
  <c r="I7" i="11"/>
  <c r="D26" i="11"/>
  <c r="F6" i="3"/>
  <c r="D10" i="3"/>
  <c r="X20" i="1"/>
  <c r="X21" i="1" s="1"/>
  <c r="Y20" i="1"/>
  <c r="Y21" i="1" s="1"/>
  <c r="Z20" i="1"/>
  <c r="Z21" i="1" s="1"/>
  <c r="D20" i="1"/>
  <c r="F20" i="1"/>
  <c r="G20" i="1"/>
  <c r="H20" i="1"/>
  <c r="I20" i="1"/>
  <c r="J20" i="1"/>
  <c r="K20" i="1"/>
  <c r="L20" i="1"/>
  <c r="M20" i="1"/>
  <c r="N20" i="1"/>
  <c r="O20" i="1"/>
  <c r="O21" i="1" s="1"/>
  <c r="P20" i="1"/>
  <c r="P21" i="1" s="1"/>
  <c r="Q20" i="1"/>
  <c r="Q21" i="1" s="1"/>
  <c r="R20" i="1"/>
  <c r="R21" i="1" s="1"/>
  <c r="S20" i="1"/>
  <c r="S21" i="1" s="1"/>
  <c r="T20" i="1"/>
  <c r="T21" i="1" s="1"/>
  <c r="U20" i="1"/>
  <c r="U21" i="1" s="1"/>
  <c r="V20" i="1"/>
  <c r="V21" i="1" s="1"/>
  <c r="W20" i="1"/>
  <c r="W21" i="1" s="1"/>
  <c r="C20" i="1"/>
  <c r="Y71" i="13" l="1"/>
  <c r="Q72" i="13"/>
  <c r="S71" i="13"/>
  <c r="R72" i="13" s="1"/>
  <c r="T72" i="13"/>
  <c r="R3" i="13"/>
  <c r="T3" i="13"/>
  <c r="T46" i="13"/>
  <c r="R46" i="13"/>
  <c r="E91" i="13"/>
  <c r="G91" i="13"/>
  <c r="E46" i="13"/>
  <c r="G46" i="13"/>
  <c r="E72" i="14"/>
  <c r="H80" i="14"/>
  <c r="Y47" i="14"/>
  <c r="X47" i="14"/>
  <c r="AA47" i="14" s="1"/>
  <c r="W48" i="14"/>
  <c r="V39" i="14"/>
  <c r="U39" i="14"/>
  <c r="Z39" i="14" s="1"/>
  <c r="T40" i="14"/>
  <c r="AA46" i="14"/>
  <c r="Z38" i="14"/>
  <c r="L45" i="14"/>
  <c r="J46" i="14"/>
  <c r="I46" i="14"/>
  <c r="H47" i="14" s="1"/>
  <c r="G39" i="14"/>
  <c r="F39" i="14"/>
  <c r="E40" i="14" s="1"/>
  <c r="V8" i="14"/>
  <c r="U8" i="14"/>
  <c r="Z8" i="14" s="1"/>
  <c r="T9" i="14"/>
  <c r="Y16" i="14"/>
  <c r="X16" i="14"/>
  <c r="AA16" i="14" s="1"/>
  <c r="W17" i="14"/>
  <c r="Z7" i="14"/>
  <c r="H18" i="14"/>
  <c r="I17" i="14"/>
  <c r="F9" i="14"/>
  <c r="E10" i="14" s="1"/>
  <c r="D27" i="14"/>
  <c r="D58" i="14"/>
  <c r="D59" i="14" s="1"/>
  <c r="D91" i="14"/>
  <c r="D92" i="14" s="1"/>
  <c r="S58" i="14"/>
  <c r="S59" i="14" s="1"/>
  <c r="S27" i="14"/>
  <c r="S28" i="14" s="1"/>
  <c r="H4" i="13"/>
  <c r="G5" i="13" s="1"/>
  <c r="E4" i="13"/>
  <c r="D82" i="13"/>
  <c r="D83" i="13" s="1"/>
  <c r="L3" i="13"/>
  <c r="Q82" i="13"/>
  <c r="Q83" i="13" s="1"/>
  <c r="D127" i="13"/>
  <c r="D128" i="13" s="1"/>
  <c r="H69" i="12"/>
  <c r="F70" i="12"/>
  <c r="G69" i="12"/>
  <c r="E70" i="12"/>
  <c r="P35" i="12"/>
  <c r="N36" i="12"/>
  <c r="O37" i="12"/>
  <c r="Q36" i="12"/>
  <c r="F37" i="12"/>
  <c r="H36" i="12"/>
  <c r="E37" i="12"/>
  <c r="G36" i="12"/>
  <c r="O6" i="12"/>
  <c r="Q5" i="12"/>
  <c r="N6" i="12"/>
  <c r="P5" i="12"/>
  <c r="E15" i="12"/>
  <c r="G14" i="12"/>
  <c r="D27" i="12"/>
  <c r="D28" i="12" s="1"/>
  <c r="M58" i="12"/>
  <c r="M59" i="12" s="1"/>
  <c r="D91" i="12"/>
  <c r="D92" i="12" s="1"/>
  <c r="D58" i="12"/>
  <c r="D59" i="12" s="1"/>
  <c r="D91" i="6"/>
  <c r="D92" i="6" s="1"/>
  <c r="E70" i="6"/>
  <c r="F72" i="6"/>
  <c r="M58" i="6"/>
  <c r="M59" i="6" s="1"/>
  <c r="N37" i="6"/>
  <c r="O39" i="6"/>
  <c r="D58" i="6"/>
  <c r="D59" i="6" s="1"/>
  <c r="E37" i="6"/>
  <c r="F39" i="6"/>
  <c r="M27" i="6"/>
  <c r="M28" i="6" s="1"/>
  <c r="N6" i="6"/>
  <c r="O8" i="6"/>
  <c r="C57" i="11"/>
  <c r="B29" i="11"/>
  <c r="C36" i="11" s="1"/>
  <c r="C55" i="11"/>
  <c r="F5" i="11"/>
  <c r="L28" i="11"/>
  <c r="L3" i="11" a="1"/>
  <c r="L3" i="11" s="1"/>
  <c r="L26" i="11" s="1"/>
  <c r="F3" i="11"/>
  <c r="L21" i="1"/>
  <c r="K21" i="1"/>
  <c r="J21" i="1"/>
  <c r="H21" i="1"/>
  <c r="I21" i="1"/>
  <c r="C21" i="1"/>
  <c r="D31" i="1" a="1"/>
  <c r="D31" i="1" s="1"/>
  <c r="G21" i="1"/>
  <c r="N21" i="1"/>
  <c r="F21" i="1"/>
  <c r="M21" i="1"/>
  <c r="D21" i="1"/>
  <c r="S72" i="13" l="1"/>
  <c r="V72" i="13" s="1"/>
  <c r="X72" i="13" s="1"/>
  <c r="U72" i="13"/>
  <c r="W72" i="13" s="1"/>
  <c r="V71" i="13"/>
  <c r="X71" i="13" s="1"/>
  <c r="R47" i="13"/>
  <c r="V46" i="13"/>
  <c r="X46" i="13" s="1"/>
  <c r="J91" i="13"/>
  <c r="L91" i="13" s="1"/>
  <c r="G92" i="13"/>
  <c r="W46" i="13"/>
  <c r="T47" i="13"/>
  <c r="W3" i="13"/>
  <c r="T4" i="13"/>
  <c r="U4" i="13" s="1"/>
  <c r="T5" i="13" s="1"/>
  <c r="J46" i="13"/>
  <c r="G47" i="13"/>
  <c r="H47" i="13" s="1"/>
  <c r="G48" i="13" s="1"/>
  <c r="H48" i="13" s="1"/>
  <c r="G49" i="13" s="1"/>
  <c r="H49" i="13" s="1"/>
  <c r="E92" i="13"/>
  <c r="I91" i="13"/>
  <c r="K91" i="13" s="1"/>
  <c r="E47" i="13"/>
  <c r="I46" i="13"/>
  <c r="K46" i="13" s="1"/>
  <c r="V3" i="13"/>
  <c r="R4" i="13"/>
  <c r="J80" i="14"/>
  <c r="I80" i="14"/>
  <c r="L80" i="14" s="1"/>
  <c r="H81" i="14"/>
  <c r="G72" i="14"/>
  <c r="F72" i="14"/>
  <c r="K72" i="14" s="1"/>
  <c r="E73" i="14"/>
  <c r="AA48" i="14"/>
  <c r="Y48" i="14"/>
  <c r="X48" i="14"/>
  <c r="W49" i="14"/>
  <c r="T41" i="14"/>
  <c r="Z40" i="14"/>
  <c r="V40" i="14"/>
  <c r="U40" i="14"/>
  <c r="G40" i="14"/>
  <c r="F40" i="14"/>
  <c r="E41" i="14" s="1"/>
  <c r="J47" i="14"/>
  <c r="I47" i="14"/>
  <c r="L47" i="14" s="1"/>
  <c r="K39" i="14"/>
  <c r="L46" i="14"/>
  <c r="Y17" i="14"/>
  <c r="X17" i="14"/>
  <c r="AA17" i="14" s="1"/>
  <c r="W18" i="14"/>
  <c r="V9" i="14"/>
  <c r="U9" i="14"/>
  <c r="T10" i="14" s="1"/>
  <c r="I18" i="14"/>
  <c r="H19" i="14" s="1"/>
  <c r="E11" i="14"/>
  <c r="F10" i="14"/>
  <c r="L3" i="14"/>
  <c r="D28" i="14"/>
  <c r="F4" i="13"/>
  <c r="I4" i="13" s="1"/>
  <c r="J4" i="13"/>
  <c r="L4" i="13" s="1"/>
  <c r="G70" i="12"/>
  <c r="E71" i="12"/>
  <c r="H70" i="12"/>
  <c r="F71" i="12"/>
  <c r="Q37" i="12"/>
  <c r="O38" i="12"/>
  <c r="N37" i="12"/>
  <c r="P36" i="12"/>
  <c r="G37" i="12"/>
  <c r="E38" i="12"/>
  <c r="H37" i="12"/>
  <c r="F38" i="12"/>
  <c r="P6" i="12"/>
  <c r="N7" i="12"/>
  <c r="Q6" i="12"/>
  <c r="O7" i="12"/>
  <c r="E16" i="12"/>
  <c r="G15" i="12"/>
  <c r="H8" i="12"/>
  <c r="H27" i="12" s="1"/>
  <c r="H28" i="12" s="1"/>
  <c r="H29" i="12" s="1"/>
  <c r="F91" i="6"/>
  <c r="F92" i="6" s="1"/>
  <c r="H72" i="6"/>
  <c r="H91" i="6" s="1"/>
  <c r="H92" i="6" s="1"/>
  <c r="H93" i="6" s="1"/>
  <c r="E91" i="6"/>
  <c r="E92" i="6" s="1"/>
  <c r="G70" i="6"/>
  <c r="G91" i="6" s="1"/>
  <c r="G92" i="6" s="1"/>
  <c r="G93" i="6" s="1"/>
  <c r="O58" i="6"/>
  <c r="O59" i="6" s="1"/>
  <c r="Q39" i="6"/>
  <c r="Q58" i="6" s="1"/>
  <c r="Q59" i="6" s="1"/>
  <c r="Q60" i="6" s="1"/>
  <c r="N58" i="6"/>
  <c r="N59" i="6" s="1"/>
  <c r="P37" i="6"/>
  <c r="P58" i="6" s="1"/>
  <c r="P59" i="6" s="1"/>
  <c r="P60" i="6" s="1"/>
  <c r="F58" i="6"/>
  <c r="F59" i="6" s="1"/>
  <c r="H39" i="6"/>
  <c r="H58" i="6" s="1"/>
  <c r="H59" i="6" s="1"/>
  <c r="H60" i="6" s="1"/>
  <c r="E58" i="6"/>
  <c r="E59" i="6" s="1"/>
  <c r="G37" i="6"/>
  <c r="G58" i="6" s="1"/>
  <c r="G59" i="6" s="1"/>
  <c r="G60" i="6" s="1"/>
  <c r="O27" i="6"/>
  <c r="O28" i="6" s="1"/>
  <c r="Q8" i="6"/>
  <c r="Q27" i="6" s="1"/>
  <c r="Q28" i="6" s="1"/>
  <c r="Q29" i="6" s="1"/>
  <c r="N27" i="6"/>
  <c r="N28" i="6" s="1"/>
  <c r="P6" i="6"/>
  <c r="P27" i="6" s="1"/>
  <c r="P28" i="6" s="1"/>
  <c r="P29" i="6" s="1"/>
  <c r="M11" i="11"/>
  <c r="M19" i="11"/>
  <c r="J26" i="11"/>
  <c r="M4" i="11"/>
  <c r="M12" i="11"/>
  <c r="M20" i="11"/>
  <c r="M5" i="11"/>
  <c r="M13" i="11"/>
  <c r="M21" i="11"/>
  <c r="M3" i="11"/>
  <c r="M6" i="11"/>
  <c r="M14" i="11"/>
  <c r="M22" i="11"/>
  <c r="M7" i="11"/>
  <c r="M15" i="11"/>
  <c r="M23" i="11"/>
  <c r="M8" i="11"/>
  <c r="M16" i="11"/>
  <c r="M24" i="11"/>
  <c r="M9" i="11"/>
  <c r="M17" i="11"/>
  <c r="M25" i="11"/>
  <c r="M10" i="11"/>
  <c r="M18" i="11"/>
  <c r="G58" i="11"/>
  <c r="G57" i="11"/>
  <c r="G56" i="11"/>
  <c r="F11" i="6"/>
  <c r="H11" i="6" s="1"/>
  <c r="E9" i="6"/>
  <c r="G9" i="6" s="1"/>
  <c r="F10" i="6"/>
  <c r="H10" i="6" s="1"/>
  <c r="E8" i="6"/>
  <c r="G8" i="6" s="1"/>
  <c r="F13" i="6"/>
  <c r="H13" i="6" s="1"/>
  <c r="E11" i="6"/>
  <c r="G11" i="6" s="1"/>
  <c r="E7" i="6"/>
  <c r="G7" i="6" s="1"/>
  <c r="F9" i="6"/>
  <c r="H9" i="6" s="1"/>
  <c r="F12" i="6"/>
  <c r="H12" i="6" s="1"/>
  <c r="E10" i="6"/>
  <c r="G10" i="6" s="1"/>
  <c r="F8" i="6"/>
  <c r="E6" i="6"/>
  <c r="D27" i="6"/>
  <c r="D28" i="6" s="1"/>
  <c r="Y72" i="13" l="1"/>
  <c r="Q73" i="13"/>
  <c r="T73" i="13" s="1"/>
  <c r="U73" i="13" s="1"/>
  <c r="W73" i="13" s="1"/>
  <c r="J47" i="13"/>
  <c r="L47" i="13" s="1"/>
  <c r="J48" i="13"/>
  <c r="Y46" i="13"/>
  <c r="W4" i="13"/>
  <c r="H92" i="13"/>
  <c r="G93" i="13" s="1"/>
  <c r="U47" i="13"/>
  <c r="T48" i="13" s="1"/>
  <c r="F47" i="13"/>
  <c r="E48" i="13" s="1"/>
  <c r="F92" i="13"/>
  <c r="E93" i="13" s="1"/>
  <c r="S4" i="13"/>
  <c r="R5" i="13" s="1"/>
  <c r="X3" i="13"/>
  <c r="U5" i="13"/>
  <c r="T6" i="13" s="1"/>
  <c r="U6" i="13" s="1"/>
  <c r="W6" i="13" s="1"/>
  <c r="Y3" i="13"/>
  <c r="L46" i="13"/>
  <c r="S47" i="13"/>
  <c r="R48" i="13" s="1"/>
  <c r="E74" i="14"/>
  <c r="F73" i="14"/>
  <c r="K73" i="14" s="1"/>
  <c r="G73" i="14"/>
  <c r="J81" i="14"/>
  <c r="I81" i="14"/>
  <c r="H82" i="14" s="1"/>
  <c r="Y49" i="14"/>
  <c r="X49" i="14"/>
  <c r="AA49" i="14" s="1"/>
  <c r="W50" i="14"/>
  <c r="V41" i="14"/>
  <c r="U41" i="14"/>
  <c r="T42" i="14" s="1"/>
  <c r="G41" i="14"/>
  <c r="F41" i="14"/>
  <c r="K41" i="14" s="1"/>
  <c r="E42" i="14"/>
  <c r="H48" i="14"/>
  <c r="K40" i="14"/>
  <c r="V10" i="14"/>
  <c r="U10" i="14"/>
  <c r="Z10" i="14" s="1"/>
  <c r="Z9" i="14"/>
  <c r="AA18" i="14"/>
  <c r="Y18" i="14"/>
  <c r="X18" i="14"/>
  <c r="W19" i="14"/>
  <c r="I19" i="14"/>
  <c r="H20" i="14" s="1"/>
  <c r="F11" i="14"/>
  <c r="E12" i="14" s="1"/>
  <c r="G12" i="14" s="1"/>
  <c r="AB34" i="14"/>
  <c r="M35" i="14"/>
  <c r="AB4" i="14"/>
  <c r="N34" i="14"/>
  <c r="M34" i="14"/>
  <c r="AC3" i="14"/>
  <c r="AB3" i="14"/>
  <c r="M67" i="14"/>
  <c r="M3" i="14"/>
  <c r="N68" i="14"/>
  <c r="AC35" i="14"/>
  <c r="L4" i="14"/>
  <c r="N4" i="14" s="1"/>
  <c r="N67" i="14"/>
  <c r="AC34" i="14"/>
  <c r="N3" i="14"/>
  <c r="J49" i="13"/>
  <c r="G50" i="13"/>
  <c r="K4" i="13"/>
  <c r="E5" i="13"/>
  <c r="F72" i="12"/>
  <c r="H71" i="12"/>
  <c r="E72" i="12"/>
  <c r="G71" i="12"/>
  <c r="P37" i="12"/>
  <c r="N38" i="12"/>
  <c r="O39" i="12"/>
  <c r="Q38" i="12"/>
  <c r="F39" i="12"/>
  <c r="H38" i="12"/>
  <c r="E39" i="12"/>
  <c r="G38" i="12"/>
  <c r="N8" i="12"/>
  <c r="P7" i="12"/>
  <c r="O8" i="12"/>
  <c r="Q7" i="12"/>
  <c r="E17" i="12"/>
  <c r="G16" i="12"/>
  <c r="G6" i="6"/>
  <c r="G27" i="6" s="1"/>
  <c r="N66" i="6" s="1"/>
  <c r="M26" i="11"/>
  <c r="E27" i="6"/>
  <c r="E28" i="6" s="1"/>
  <c r="F27" i="6"/>
  <c r="F28" i="6" s="1"/>
  <c r="H8" i="6"/>
  <c r="Y73" i="13" l="1"/>
  <c r="Q74" i="13"/>
  <c r="T74" i="13" s="1"/>
  <c r="R73" i="13"/>
  <c r="S73" i="13" s="1"/>
  <c r="V73" i="13" s="1"/>
  <c r="X73" i="13" s="1"/>
  <c r="W47" i="13"/>
  <c r="Y47" i="13" s="1"/>
  <c r="I92" i="13"/>
  <c r="K92" i="13" s="1"/>
  <c r="V47" i="13"/>
  <c r="X47" i="13" s="1"/>
  <c r="T7" i="13"/>
  <c r="U7" i="13" s="1"/>
  <c r="W7" i="13" s="1"/>
  <c r="W5" i="13"/>
  <c r="Y5" i="13" s="1"/>
  <c r="J92" i="13"/>
  <c r="L92" i="13" s="1"/>
  <c r="H93" i="13"/>
  <c r="G94" i="13" s="1"/>
  <c r="S48" i="13"/>
  <c r="R49" i="13" s="1"/>
  <c r="U48" i="13"/>
  <c r="W48" i="13" s="1"/>
  <c r="V4" i="13"/>
  <c r="Y4" i="13"/>
  <c r="F93" i="13"/>
  <c r="E94" i="13" s="1"/>
  <c r="S5" i="13"/>
  <c r="R6" i="13" s="1"/>
  <c r="I47" i="13"/>
  <c r="F48" i="13"/>
  <c r="I48" i="13" s="1"/>
  <c r="K48" i="13" s="1"/>
  <c r="J82" i="14"/>
  <c r="I82" i="14"/>
  <c r="L82" i="14" s="1"/>
  <c r="L81" i="14"/>
  <c r="K74" i="14"/>
  <c r="G74" i="14"/>
  <c r="F74" i="14"/>
  <c r="E75" i="14" s="1"/>
  <c r="V42" i="14"/>
  <c r="U42" i="14"/>
  <c r="Z42" i="14" s="1"/>
  <c r="Z41" i="14"/>
  <c r="AA50" i="14"/>
  <c r="Y50" i="14"/>
  <c r="X50" i="14"/>
  <c r="W51" i="14"/>
  <c r="J48" i="14"/>
  <c r="I48" i="14"/>
  <c r="L48" i="14" s="1"/>
  <c r="H49" i="14"/>
  <c r="G42" i="14"/>
  <c r="F42" i="14"/>
  <c r="K42" i="14" s="1"/>
  <c r="E43" i="14"/>
  <c r="T11" i="14"/>
  <c r="Y19" i="14"/>
  <c r="X19" i="14"/>
  <c r="AA19" i="14" s="1"/>
  <c r="I20" i="14"/>
  <c r="H21" i="14" s="1"/>
  <c r="F12" i="14"/>
  <c r="E13" i="14" s="1"/>
  <c r="G13" i="14" s="1"/>
  <c r="AC4" i="14"/>
  <c r="M68" i="14"/>
  <c r="M69" i="14"/>
  <c r="N35" i="14"/>
  <c r="K5" i="14"/>
  <c r="M5" i="14" s="1"/>
  <c r="AB35" i="14"/>
  <c r="K4" i="14"/>
  <c r="H50" i="13"/>
  <c r="G51" i="13" s="1"/>
  <c r="F5" i="13"/>
  <c r="I5" i="13" s="1"/>
  <c r="L48" i="13"/>
  <c r="Y6" i="13"/>
  <c r="H72" i="12"/>
  <c r="F73" i="12"/>
  <c r="G72" i="12"/>
  <c r="E73" i="12"/>
  <c r="Q39" i="12"/>
  <c r="O40" i="12"/>
  <c r="N39" i="12"/>
  <c r="P38" i="12"/>
  <c r="G39" i="12"/>
  <c r="E40" i="12"/>
  <c r="H39" i="12"/>
  <c r="F40" i="12"/>
  <c r="Q8" i="12"/>
  <c r="O9" i="12"/>
  <c r="P8" i="12"/>
  <c r="N9" i="12"/>
  <c r="E18" i="12"/>
  <c r="G17" i="12"/>
  <c r="H27" i="6"/>
  <c r="H28" i="6" s="1"/>
  <c r="H29" i="6" s="1"/>
  <c r="G28" i="6"/>
  <c r="G29" i="6" s="1"/>
  <c r="U74" i="13" l="1"/>
  <c r="W74" i="13" s="1"/>
  <c r="R74" i="13"/>
  <c r="I93" i="13"/>
  <c r="K93" i="13" s="1"/>
  <c r="J93" i="13"/>
  <c r="L93" i="13" s="1"/>
  <c r="E49" i="13"/>
  <c r="V5" i="13"/>
  <c r="X5" i="13" s="1"/>
  <c r="Y48" i="13"/>
  <c r="S49" i="13"/>
  <c r="V49" i="13" s="1"/>
  <c r="X49" i="13" s="1"/>
  <c r="T49" i="13"/>
  <c r="H94" i="13"/>
  <c r="J94" i="13" s="1"/>
  <c r="T8" i="13"/>
  <c r="U8" i="13" s="1"/>
  <c r="T9" i="13" s="1"/>
  <c r="X4" i="13"/>
  <c r="F94" i="13"/>
  <c r="I94" i="13" s="1"/>
  <c r="K94" i="13" s="1"/>
  <c r="K47" i="13"/>
  <c r="V48" i="13"/>
  <c r="S6" i="13"/>
  <c r="R7" i="13" s="1"/>
  <c r="G75" i="14"/>
  <c r="F75" i="14"/>
  <c r="K75" i="14" s="1"/>
  <c r="H83" i="14"/>
  <c r="T43" i="14"/>
  <c r="Y51" i="14"/>
  <c r="X51" i="14"/>
  <c r="AA51" i="14" s="1"/>
  <c r="W52" i="14"/>
  <c r="F43" i="14"/>
  <c r="K43" i="14" s="1"/>
  <c r="G43" i="14"/>
  <c r="E44" i="14"/>
  <c r="J49" i="14"/>
  <c r="I49" i="14"/>
  <c r="L49" i="14" s="1"/>
  <c r="W20" i="14"/>
  <c r="V11" i="14"/>
  <c r="U11" i="14"/>
  <c r="Z11" i="14" s="1"/>
  <c r="T12" i="14"/>
  <c r="I21" i="14"/>
  <c r="H22" i="14" s="1"/>
  <c r="F13" i="14"/>
  <c r="E14" i="14" s="1"/>
  <c r="G14" i="14" s="1"/>
  <c r="AC36" i="14"/>
  <c r="L5" i="14"/>
  <c r="N5" i="14" s="1"/>
  <c r="L6" i="14"/>
  <c r="N69" i="14"/>
  <c r="N36" i="14"/>
  <c r="AC5" i="14"/>
  <c r="M36" i="14"/>
  <c r="M4" i="14"/>
  <c r="H51" i="13"/>
  <c r="G52" i="13" s="1"/>
  <c r="J50" i="13"/>
  <c r="K5" i="13"/>
  <c r="E6" i="13"/>
  <c r="Y7" i="13"/>
  <c r="L49" i="13"/>
  <c r="G73" i="12"/>
  <c r="E74" i="12"/>
  <c r="F74" i="12"/>
  <c r="H73" i="12"/>
  <c r="O41" i="12"/>
  <c r="Q40" i="12"/>
  <c r="P39" i="12"/>
  <c r="N40" i="12"/>
  <c r="F41" i="12"/>
  <c r="H40" i="12"/>
  <c r="E41" i="12"/>
  <c r="G40" i="12"/>
  <c r="O10" i="12"/>
  <c r="Q9" i="12"/>
  <c r="N10" i="12"/>
  <c r="P9" i="12"/>
  <c r="E19" i="12"/>
  <c r="G18" i="12"/>
  <c r="Y74" i="13" l="1"/>
  <c r="Q75" i="13"/>
  <c r="S74" i="13"/>
  <c r="R75" i="13" s="1"/>
  <c r="T75" i="13"/>
  <c r="F49" i="13"/>
  <c r="I49" i="13" s="1"/>
  <c r="K49" i="13" s="1"/>
  <c r="R50" i="13"/>
  <c r="S50" i="13" s="1"/>
  <c r="V50" i="13" s="1"/>
  <c r="X50" i="13" s="1"/>
  <c r="E95" i="13"/>
  <c r="F95" i="13" s="1"/>
  <c r="E96" i="13" s="1"/>
  <c r="F96" i="13" s="1"/>
  <c r="I96" i="13" s="1"/>
  <c r="K96" i="13" s="1"/>
  <c r="L94" i="13"/>
  <c r="G95" i="13"/>
  <c r="U49" i="13"/>
  <c r="W49" i="13" s="1"/>
  <c r="X48" i="13"/>
  <c r="R51" i="13"/>
  <c r="S51" i="13" s="1"/>
  <c r="R52" i="13" s="1"/>
  <c r="V6" i="13"/>
  <c r="S7" i="13"/>
  <c r="R8" i="13" s="1"/>
  <c r="J83" i="14"/>
  <c r="I83" i="14"/>
  <c r="L83" i="14" s="1"/>
  <c r="E76" i="14"/>
  <c r="Y52" i="14"/>
  <c r="X52" i="14"/>
  <c r="AA52" i="14" s="1"/>
  <c r="U43" i="14"/>
  <c r="Z43" i="14" s="1"/>
  <c r="V43" i="14"/>
  <c r="T44" i="14"/>
  <c r="H50" i="14"/>
  <c r="G44" i="14"/>
  <c r="F44" i="14"/>
  <c r="K44" i="14" s="1"/>
  <c r="E45" i="14"/>
  <c r="V12" i="14"/>
  <c r="U12" i="14"/>
  <c r="Z12" i="14" s="1"/>
  <c r="T13" i="14"/>
  <c r="Y20" i="14"/>
  <c r="X20" i="14"/>
  <c r="W21" i="14" s="1"/>
  <c r="I22" i="14"/>
  <c r="H23" i="14" s="1"/>
  <c r="F14" i="14"/>
  <c r="E15" i="14" s="1"/>
  <c r="G15" i="14" s="1"/>
  <c r="AB6" i="14"/>
  <c r="M6" i="14"/>
  <c r="M37" i="14"/>
  <c r="AC37" i="14"/>
  <c r="N37" i="14"/>
  <c r="M70" i="14"/>
  <c r="N6" i="14"/>
  <c r="AB5" i="14"/>
  <c r="M71" i="14"/>
  <c r="AB36" i="14"/>
  <c r="AB7" i="14"/>
  <c r="H52" i="13"/>
  <c r="G53" i="13" s="1"/>
  <c r="J51" i="13"/>
  <c r="U9" i="13"/>
  <c r="T10" i="13" s="1"/>
  <c r="W8" i="13"/>
  <c r="F6" i="13"/>
  <c r="I6" i="13" s="1"/>
  <c r="L50" i="13"/>
  <c r="H74" i="12"/>
  <c r="F75" i="12"/>
  <c r="G74" i="12"/>
  <c r="E75" i="12"/>
  <c r="P40" i="12"/>
  <c r="N41" i="12"/>
  <c r="Q41" i="12"/>
  <c r="O42" i="12"/>
  <c r="G41" i="12"/>
  <c r="E42" i="12"/>
  <c r="H41" i="12"/>
  <c r="F42" i="12"/>
  <c r="P10" i="12"/>
  <c r="N11" i="12"/>
  <c r="Q10" i="12"/>
  <c r="O11" i="12"/>
  <c r="E20" i="12"/>
  <c r="G19" i="12"/>
  <c r="S75" i="13" l="1"/>
  <c r="U75" i="13"/>
  <c r="W75" i="13" s="1"/>
  <c r="V74" i="13"/>
  <c r="X74" i="13" s="1"/>
  <c r="J52" i="13"/>
  <c r="I95" i="13"/>
  <c r="K95" i="13" s="1"/>
  <c r="E97" i="13"/>
  <c r="F97" i="13" s="1"/>
  <c r="I97" i="13" s="1"/>
  <c r="K97" i="13" s="1"/>
  <c r="E50" i="13"/>
  <c r="F50" i="13" s="1"/>
  <c r="E51" i="13" s="1"/>
  <c r="F51" i="13" s="1"/>
  <c r="E52" i="13" s="1"/>
  <c r="V7" i="13"/>
  <c r="X7" i="13" s="1"/>
  <c r="T50" i="13"/>
  <c r="H95" i="13"/>
  <c r="J95" i="13" s="1"/>
  <c r="U50" i="13"/>
  <c r="T51" i="13" s="1"/>
  <c r="Y49" i="13"/>
  <c r="S8" i="13"/>
  <c r="R9" i="13" s="1"/>
  <c r="Y8" i="13"/>
  <c r="X6" i="13"/>
  <c r="F76" i="14"/>
  <c r="K76" i="14" s="1"/>
  <c r="G76" i="14"/>
  <c r="H84" i="14"/>
  <c r="V44" i="14"/>
  <c r="U44" i="14"/>
  <c r="Z44" i="14" s="1"/>
  <c r="T45" i="14"/>
  <c r="W53" i="14"/>
  <c r="G45" i="14"/>
  <c r="F45" i="14"/>
  <c r="K45" i="14" s="1"/>
  <c r="E46" i="14"/>
  <c r="J50" i="14"/>
  <c r="I50" i="14"/>
  <c r="H51" i="14" s="1"/>
  <c r="Y21" i="14"/>
  <c r="X21" i="14"/>
  <c r="AA21" i="14" s="1"/>
  <c r="W22" i="14"/>
  <c r="V13" i="14"/>
  <c r="U13" i="14"/>
  <c r="Z13" i="14" s="1"/>
  <c r="T14" i="14"/>
  <c r="AA20" i="14"/>
  <c r="I23" i="14"/>
  <c r="H24" i="14" s="1"/>
  <c r="F15" i="14"/>
  <c r="E16" i="14" s="1"/>
  <c r="G16" i="14" s="1"/>
  <c r="N38" i="14"/>
  <c r="AB37" i="14"/>
  <c r="M7" i="14"/>
  <c r="M38" i="14"/>
  <c r="N39" i="14"/>
  <c r="AC6" i="14"/>
  <c r="N70" i="14"/>
  <c r="AC7" i="14"/>
  <c r="L7" i="14"/>
  <c r="S52" i="13"/>
  <c r="V52" i="13" s="1"/>
  <c r="X52" i="13" s="1"/>
  <c r="V51" i="13"/>
  <c r="H53" i="13"/>
  <c r="J53" i="13" s="1"/>
  <c r="U10" i="13"/>
  <c r="T11" i="13" s="1"/>
  <c r="W9" i="13"/>
  <c r="K6" i="13"/>
  <c r="E7" i="13"/>
  <c r="L51" i="13"/>
  <c r="F76" i="12"/>
  <c r="H75" i="12"/>
  <c r="E76" i="12"/>
  <c r="G75" i="12"/>
  <c r="O43" i="12"/>
  <c r="Q42" i="12"/>
  <c r="P41" i="12"/>
  <c r="N42" i="12"/>
  <c r="E43" i="12"/>
  <c r="G42" i="12"/>
  <c r="F43" i="12"/>
  <c r="H42" i="12"/>
  <c r="O12" i="12"/>
  <c r="Q11" i="12"/>
  <c r="N12" i="12"/>
  <c r="P11" i="12"/>
  <c r="E21" i="12"/>
  <c r="G20" i="12"/>
  <c r="Y75" i="13" l="1"/>
  <c r="Q76" i="13"/>
  <c r="R76" i="13" s="1"/>
  <c r="S76" i="13" s="1"/>
  <c r="V75" i="13"/>
  <c r="X75" i="13" s="1"/>
  <c r="R53" i="13"/>
  <c r="S53" i="13" s="1"/>
  <c r="R54" i="13" s="1"/>
  <c r="E98" i="13"/>
  <c r="F98" i="13" s="1"/>
  <c r="E99" i="13" s="1"/>
  <c r="F99" i="13" s="1"/>
  <c r="E100" i="13" s="1"/>
  <c r="I50" i="13"/>
  <c r="K50" i="13" s="1"/>
  <c r="G96" i="13"/>
  <c r="H96" i="13" s="1"/>
  <c r="G97" i="13" s="1"/>
  <c r="U51" i="13"/>
  <c r="T52" i="13" s="1"/>
  <c r="G54" i="13"/>
  <c r="H54" i="13" s="1"/>
  <c r="J54" i="13" s="1"/>
  <c r="I51" i="13"/>
  <c r="V8" i="13"/>
  <c r="W50" i="13"/>
  <c r="Y9" i="13"/>
  <c r="F52" i="13"/>
  <c r="E53" i="13" s="1"/>
  <c r="S9" i="13"/>
  <c r="R10" i="13" s="1"/>
  <c r="L95" i="13"/>
  <c r="X51" i="13"/>
  <c r="J84" i="14"/>
  <c r="I84" i="14"/>
  <c r="L84" i="14" s="1"/>
  <c r="E77" i="14"/>
  <c r="Y53" i="14"/>
  <c r="X53" i="14"/>
  <c r="AA53" i="14" s="1"/>
  <c r="V45" i="14"/>
  <c r="U45" i="14"/>
  <c r="Z45" i="14" s="1"/>
  <c r="T46" i="14"/>
  <c r="J51" i="14"/>
  <c r="I51" i="14"/>
  <c r="L51" i="14" s="1"/>
  <c r="H52" i="14"/>
  <c r="G46" i="14"/>
  <c r="F46" i="14"/>
  <c r="K46" i="14" s="1"/>
  <c r="E47" i="14"/>
  <c r="L50" i="14"/>
  <c r="Y22" i="14"/>
  <c r="X22" i="14"/>
  <c r="AA22" i="14" s="1"/>
  <c r="U14" i="14"/>
  <c r="Z14" i="14"/>
  <c r="V14" i="14"/>
  <c r="T15" i="14"/>
  <c r="H25" i="14"/>
  <c r="I24" i="14"/>
  <c r="F16" i="14"/>
  <c r="E17" i="14" s="1"/>
  <c r="G17" i="14" s="1"/>
  <c r="N72" i="14"/>
  <c r="L8" i="14"/>
  <c r="N8" i="14" s="1"/>
  <c r="M72" i="14"/>
  <c r="AC38" i="14"/>
  <c r="AB8" i="14"/>
  <c r="M9" i="14"/>
  <c r="AB38" i="14"/>
  <c r="N7" i="14"/>
  <c r="AC8" i="14"/>
  <c r="U11" i="13"/>
  <c r="W11" i="13" s="1"/>
  <c r="W10" i="13"/>
  <c r="F7" i="13"/>
  <c r="I7" i="13" s="1"/>
  <c r="L52" i="13"/>
  <c r="G76" i="12"/>
  <c r="E77" i="12"/>
  <c r="H76" i="12"/>
  <c r="F77" i="12"/>
  <c r="P42" i="12"/>
  <c r="N43" i="12"/>
  <c r="Q43" i="12"/>
  <c r="O44" i="12"/>
  <c r="H43" i="12"/>
  <c r="F44" i="12"/>
  <c r="G43" i="12"/>
  <c r="E44" i="12"/>
  <c r="N13" i="12"/>
  <c r="P12" i="12"/>
  <c r="Q12" i="12"/>
  <c r="O13" i="12"/>
  <c r="E22" i="12"/>
  <c r="G21" i="12"/>
  <c r="T76" i="13" l="1"/>
  <c r="U76" i="13" s="1"/>
  <c r="W76" i="13" s="1"/>
  <c r="V76" i="13"/>
  <c r="X76" i="13" s="1"/>
  <c r="I98" i="13"/>
  <c r="K98" i="13" s="1"/>
  <c r="I52" i="13"/>
  <c r="K52" i="13" s="1"/>
  <c r="W51" i="13"/>
  <c r="Y51" i="13" s="1"/>
  <c r="S10" i="13"/>
  <c r="V10" i="13" s="1"/>
  <c r="X10" i="13" s="1"/>
  <c r="X8" i="13"/>
  <c r="Y10" i="13"/>
  <c r="K51" i="13"/>
  <c r="V9" i="13"/>
  <c r="X9" i="13" s="1"/>
  <c r="J96" i="13"/>
  <c r="U52" i="13"/>
  <c r="T53" i="13" s="1"/>
  <c r="Y50" i="13"/>
  <c r="H97" i="13"/>
  <c r="G98" i="13" s="1"/>
  <c r="F53" i="13"/>
  <c r="I53" i="13" s="1"/>
  <c r="K53" i="13" s="1"/>
  <c r="G77" i="14"/>
  <c r="F77" i="14"/>
  <c r="K77" i="14" s="1"/>
  <c r="H85" i="14"/>
  <c r="W54" i="14"/>
  <c r="V46" i="14"/>
  <c r="U46" i="14"/>
  <c r="Z46" i="14" s="1"/>
  <c r="T47" i="14"/>
  <c r="J52" i="14"/>
  <c r="I52" i="14"/>
  <c r="L52" i="14" s="1"/>
  <c r="H53" i="14"/>
  <c r="G47" i="14"/>
  <c r="F47" i="14"/>
  <c r="E48" i="14" s="1"/>
  <c r="W23" i="14"/>
  <c r="U15" i="14"/>
  <c r="Z15" i="14" s="1"/>
  <c r="V15" i="14"/>
  <c r="T16" i="14"/>
  <c r="H26" i="14"/>
  <c r="I26" i="14" s="1"/>
  <c r="I25" i="14"/>
  <c r="F17" i="14"/>
  <c r="E18" i="14" s="1"/>
  <c r="G18" i="14" s="1"/>
  <c r="N71" i="14"/>
  <c r="AC9" i="14"/>
  <c r="N40" i="14"/>
  <c r="AB9" i="14"/>
  <c r="AB39" i="14"/>
  <c r="M40" i="14"/>
  <c r="L9" i="14"/>
  <c r="M8" i="14"/>
  <c r="M39" i="14"/>
  <c r="F100" i="13"/>
  <c r="I100" i="13" s="1"/>
  <c r="I99" i="13"/>
  <c r="K99" i="13" s="1"/>
  <c r="S54" i="13"/>
  <c r="R55" i="13" s="1"/>
  <c r="V53" i="13"/>
  <c r="G55" i="13"/>
  <c r="T12" i="13"/>
  <c r="E8" i="13"/>
  <c r="F8" i="13" s="1"/>
  <c r="I8" i="13" s="1"/>
  <c r="K8" i="13" s="1"/>
  <c r="K7" i="13"/>
  <c r="Y11" i="13"/>
  <c r="L53" i="13"/>
  <c r="G77" i="12"/>
  <c r="E78" i="12"/>
  <c r="H77" i="12"/>
  <c r="F78" i="12"/>
  <c r="P43" i="12"/>
  <c r="N44" i="12"/>
  <c r="O45" i="12"/>
  <c r="Q44" i="12"/>
  <c r="F45" i="12"/>
  <c r="H44" i="12"/>
  <c r="E45" i="12"/>
  <c r="G44" i="12"/>
  <c r="N14" i="12"/>
  <c r="P13" i="12"/>
  <c r="O14" i="12"/>
  <c r="Q13" i="12"/>
  <c r="E23" i="12"/>
  <c r="G22" i="12"/>
  <c r="Y76" i="13" l="1"/>
  <c r="Q77" i="13"/>
  <c r="E101" i="13"/>
  <c r="F101" i="13" s="1"/>
  <c r="I101" i="13" s="1"/>
  <c r="E54" i="13"/>
  <c r="F54" i="13" s="1"/>
  <c r="I54" i="13" s="1"/>
  <c r="R11" i="13"/>
  <c r="S11" i="13" s="1"/>
  <c r="R12" i="13" s="1"/>
  <c r="S12" i="13" s="1"/>
  <c r="R13" i="13" s="1"/>
  <c r="S13" i="13" s="1"/>
  <c r="R14" i="13" s="1"/>
  <c r="E9" i="13"/>
  <c r="F9" i="13" s="1"/>
  <c r="W52" i="13"/>
  <c r="Y52" i="13" s="1"/>
  <c r="J97" i="13"/>
  <c r="L97" i="13" s="1"/>
  <c r="U53" i="13"/>
  <c r="W53" i="13" s="1"/>
  <c r="H98" i="13"/>
  <c r="J98" i="13" s="1"/>
  <c r="L98" i="13" s="1"/>
  <c r="X53" i="13"/>
  <c r="L96" i="13"/>
  <c r="J85" i="14"/>
  <c r="I85" i="14"/>
  <c r="L85" i="14" s="1"/>
  <c r="E78" i="14"/>
  <c r="V47" i="14"/>
  <c r="U47" i="14"/>
  <c r="Z47" i="14" s="1"/>
  <c r="Y54" i="14"/>
  <c r="X54" i="14"/>
  <c r="W55" i="14" s="1"/>
  <c r="G48" i="14"/>
  <c r="F48" i="14"/>
  <c r="K48" i="14" s="1"/>
  <c r="E49" i="14"/>
  <c r="J53" i="14"/>
  <c r="I53" i="14"/>
  <c r="L53" i="14" s="1"/>
  <c r="H54" i="14"/>
  <c r="K47" i="14"/>
  <c r="U16" i="14"/>
  <c r="Z16" i="14" s="1"/>
  <c r="V16" i="14"/>
  <c r="T17" i="14"/>
  <c r="Y23" i="14"/>
  <c r="X23" i="14"/>
  <c r="W24" i="14" s="1"/>
  <c r="F18" i="14"/>
  <c r="E19" i="14" s="1"/>
  <c r="G19" i="14" s="1"/>
  <c r="M73" i="14"/>
  <c r="M74" i="14"/>
  <c r="AC40" i="14"/>
  <c r="M10" i="14"/>
  <c r="AB10" i="14"/>
  <c r="N9" i="14"/>
  <c r="N73" i="14"/>
  <c r="AC39" i="14"/>
  <c r="M11" i="14"/>
  <c r="S55" i="13"/>
  <c r="R56" i="13" s="1"/>
  <c r="V54" i="13"/>
  <c r="X54" i="13" s="1"/>
  <c r="H55" i="13"/>
  <c r="J55" i="13" s="1"/>
  <c r="U12" i="13"/>
  <c r="T13" i="13" s="1"/>
  <c r="L54" i="13"/>
  <c r="K100" i="13"/>
  <c r="H78" i="12"/>
  <c r="F79" i="12"/>
  <c r="G78" i="12"/>
  <c r="E79" i="12"/>
  <c r="Q45" i="12"/>
  <c r="O46" i="12"/>
  <c r="N45" i="12"/>
  <c r="P44" i="12"/>
  <c r="G45" i="12"/>
  <c r="E46" i="12"/>
  <c r="H45" i="12"/>
  <c r="F46" i="12"/>
  <c r="Q14" i="12"/>
  <c r="O15" i="12"/>
  <c r="P14" i="12"/>
  <c r="N15" i="12"/>
  <c r="E24" i="12"/>
  <c r="G23" i="12"/>
  <c r="R77" i="13" l="1"/>
  <c r="T77" i="13"/>
  <c r="U77" i="13" s="1"/>
  <c r="W77" i="13"/>
  <c r="V12" i="13"/>
  <c r="X12" i="13" s="1"/>
  <c r="V11" i="13"/>
  <c r="X11" i="13" s="1"/>
  <c r="E102" i="13"/>
  <c r="E10" i="13"/>
  <c r="F10" i="13" s="1"/>
  <c r="I10" i="13" s="1"/>
  <c r="K10" i="13" s="1"/>
  <c r="I9" i="13"/>
  <c r="K9" i="13" s="1"/>
  <c r="T54" i="13"/>
  <c r="U54" i="13" s="1"/>
  <c r="W54" i="13" s="1"/>
  <c r="Y54" i="13" s="1"/>
  <c r="G99" i="13"/>
  <c r="E55" i="13"/>
  <c r="K54" i="13"/>
  <c r="W12" i="13"/>
  <c r="Y53" i="13"/>
  <c r="K78" i="14"/>
  <c r="G78" i="14"/>
  <c r="F78" i="14"/>
  <c r="E79" i="14" s="1"/>
  <c r="H86" i="14"/>
  <c r="Y55" i="14"/>
  <c r="X55" i="14"/>
  <c r="AA55" i="14" s="1"/>
  <c r="T48" i="14"/>
  <c r="AA54" i="14"/>
  <c r="J54" i="14"/>
  <c r="I54" i="14"/>
  <c r="L54" i="14" s="1"/>
  <c r="H55" i="14"/>
  <c r="G49" i="14"/>
  <c r="F49" i="14"/>
  <c r="K49" i="14" s="1"/>
  <c r="E50" i="14"/>
  <c r="Y24" i="14"/>
  <c r="X24" i="14"/>
  <c r="AA24" i="14" s="1"/>
  <c r="W25" i="14"/>
  <c r="U17" i="14"/>
  <c r="Z17" i="14" s="1"/>
  <c r="V17" i="14"/>
  <c r="T18" i="14"/>
  <c r="AA23" i="14"/>
  <c r="F19" i="14"/>
  <c r="E20" i="14" s="1"/>
  <c r="G20" i="14" s="1"/>
  <c r="N74" i="14"/>
  <c r="L10" i="14"/>
  <c r="N10" i="14" s="1"/>
  <c r="AC10" i="14"/>
  <c r="M41" i="14"/>
  <c r="N41" i="14"/>
  <c r="AB11" i="14"/>
  <c r="M75" i="14"/>
  <c r="M12" i="14"/>
  <c r="AB40" i="14"/>
  <c r="F102" i="13"/>
  <c r="I102" i="13" s="1"/>
  <c r="S56" i="13"/>
  <c r="R57" i="13" s="1"/>
  <c r="V55" i="13"/>
  <c r="G56" i="13"/>
  <c r="S14" i="13"/>
  <c r="V14" i="13" s="1"/>
  <c r="U13" i="13"/>
  <c r="W13" i="13" s="1"/>
  <c r="Y13" i="13" s="1"/>
  <c r="V13" i="13"/>
  <c r="K101" i="13"/>
  <c r="L55" i="13"/>
  <c r="G79" i="12"/>
  <c r="E80" i="12"/>
  <c r="F80" i="12"/>
  <c r="H79" i="12"/>
  <c r="P45" i="12"/>
  <c r="N46" i="12"/>
  <c r="O47" i="12"/>
  <c r="Q46" i="12"/>
  <c r="E47" i="12"/>
  <c r="G46" i="12"/>
  <c r="F47" i="12"/>
  <c r="H46" i="12"/>
  <c r="N16" i="12"/>
  <c r="P15" i="12"/>
  <c r="O16" i="12"/>
  <c r="Q15" i="12"/>
  <c r="E25" i="12"/>
  <c r="G24" i="12"/>
  <c r="Y77" i="13" l="1"/>
  <c r="Q78" i="13"/>
  <c r="S77" i="13"/>
  <c r="R78" i="13" s="1"/>
  <c r="S78" i="13" s="1"/>
  <c r="V78" i="13" s="1"/>
  <c r="X78" i="13" s="1"/>
  <c r="T78" i="13"/>
  <c r="U78" i="13" s="1"/>
  <c r="W78" i="13" s="1"/>
  <c r="V56" i="13"/>
  <c r="X56" i="13" s="1"/>
  <c r="E103" i="13"/>
  <c r="F103" i="13" s="1"/>
  <c r="E104" i="13" s="1"/>
  <c r="T55" i="13"/>
  <c r="H99" i="13"/>
  <c r="J99" i="13" s="1"/>
  <c r="F55" i="13"/>
  <c r="E56" i="13" s="1"/>
  <c r="Y12" i="13"/>
  <c r="X55" i="13"/>
  <c r="G79" i="14"/>
  <c r="F79" i="14"/>
  <c r="K79" i="14" s="1"/>
  <c r="E80" i="14"/>
  <c r="J86" i="14"/>
  <c r="I86" i="14"/>
  <c r="L86" i="14" s="1"/>
  <c r="H87" i="14"/>
  <c r="V48" i="14"/>
  <c r="U48" i="14"/>
  <c r="Z48" i="14" s="1"/>
  <c r="W56" i="14"/>
  <c r="G50" i="14"/>
  <c r="F50" i="14"/>
  <c r="K50" i="14" s="1"/>
  <c r="J55" i="14"/>
  <c r="I55" i="14"/>
  <c r="L55" i="14" s="1"/>
  <c r="H56" i="14"/>
  <c r="Y25" i="14"/>
  <c r="X25" i="14"/>
  <c r="AA25" i="14" s="1"/>
  <c r="W26" i="14"/>
  <c r="U18" i="14"/>
  <c r="T19" i="14" s="1"/>
  <c r="Z18" i="14"/>
  <c r="V18" i="14"/>
  <c r="F20" i="14"/>
  <c r="E21" i="14" s="1"/>
  <c r="G21" i="14" s="1"/>
  <c r="AB41" i="14"/>
  <c r="N75" i="14"/>
  <c r="AC11" i="14"/>
  <c r="N43" i="14"/>
  <c r="M76" i="14"/>
  <c r="L11" i="14"/>
  <c r="AC41" i="14"/>
  <c r="S57" i="13"/>
  <c r="V57" i="13" s="1"/>
  <c r="X57" i="13" s="1"/>
  <c r="H56" i="13"/>
  <c r="J56" i="13" s="1"/>
  <c r="T14" i="13"/>
  <c r="R15" i="13"/>
  <c r="E11" i="13"/>
  <c r="F11" i="13" s="1"/>
  <c r="I11" i="13" s="1"/>
  <c r="K11" i="13" s="1"/>
  <c r="K102" i="13"/>
  <c r="X13" i="13"/>
  <c r="H80" i="12"/>
  <c r="F81" i="12"/>
  <c r="G80" i="12"/>
  <c r="E81" i="12"/>
  <c r="P46" i="12"/>
  <c r="N47" i="12"/>
  <c r="Q47" i="12"/>
  <c r="O48" i="12"/>
  <c r="H47" i="12"/>
  <c r="F48" i="12"/>
  <c r="E48" i="12"/>
  <c r="G47" i="12"/>
  <c r="Q16" i="12"/>
  <c r="O17" i="12"/>
  <c r="P16" i="12"/>
  <c r="N17" i="12"/>
  <c r="E26" i="12"/>
  <c r="G26" i="12" s="1"/>
  <c r="G25" i="12"/>
  <c r="N66" i="12"/>
  <c r="E27" i="12"/>
  <c r="E28" i="12" s="1"/>
  <c r="V77" i="13" l="1"/>
  <c r="X77" i="13" s="1"/>
  <c r="Y78" i="13"/>
  <c r="Q79" i="13"/>
  <c r="G100" i="13"/>
  <c r="H100" i="13" s="1"/>
  <c r="J100" i="13" s="1"/>
  <c r="L100" i="13" s="1"/>
  <c r="I55" i="13"/>
  <c r="K55" i="13" s="1"/>
  <c r="F56" i="13"/>
  <c r="E57" i="13" s="1"/>
  <c r="L99" i="13"/>
  <c r="U55" i="13"/>
  <c r="T56" i="13" s="1"/>
  <c r="L56" i="13"/>
  <c r="R58" i="13"/>
  <c r="S58" i="13" s="1"/>
  <c r="R59" i="13" s="1"/>
  <c r="J87" i="14"/>
  <c r="I87" i="14"/>
  <c r="L87" i="14" s="1"/>
  <c r="H88" i="14"/>
  <c r="G80" i="14"/>
  <c r="F80" i="14"/>
  <c r="K80" i="14" s="1"/>
  <c r="E81" i="14"/>
  <c r="Y56" i="14"/>
  <c r="X56" i="14"/>
  <c r="AA56" i="14" s="1"/>
  <c r="T49" i="14"/>
  <c r="J56" i="14"/>
  <c r="I56" i="14"/>
  <c r="L56" i="14" s="1"/>
  <c r="H57" i="14"/>
  <c r="E51" i="14"/>
  <c r="U19" i="14"/>
  <c r="Z19" i="14" s="1"/>
  <c r="V19" i="14"/>
  <c r="T20" i="14"/>
  <c r="Y26" i="14"/>
  <c r="X26" i="14"/>
  <c r="AA26" i="14" s="1"/>
  <c r="AA27" i="14" s="1"/>
  <c r="F21" i="14"/>
  <c r="E22" i="14" s="1"/>
  <c r="G22" i="14" s="1"/>
  <c r="N76" i="14"/>
  <c r="AB12" i="14"/>
  <c r="L13" i="14"/>
  <c r="M13" i="14"/>
  <c r="AC42" i="14"/>
  <c r="L12" i="14"/>
  <c r="N12" i="14" s="1"/>
  <c r="M42" i="14"/>
  <c r="N42" i="14"/>
  <c r="N11" i="14"/>
  <c r="F104" i="13"/>
  <c r="E105" i="13" s="1"/>
  <c r="I103" i="13"/>
  <c r="G57" i="13"/>
  <c r="S15" i="13"/>
  <c r="R16" i="13" s="1"/>
  <c r="U14" i="13"/>
  <c r="T15" i="13" s="1"/>
  <c r="E12" i="13"/>
  <c r="X14" i="13"/>
  <c r="E82" i="12"/>
  <c r="G81" i="12"/>
  <c r="F82" i="12"/>
  <c r="H81" i="12"/>
  <c r="O49" i="12"/>
  <c r="Q48" i="12"/>
  <c r="P47" i="12"/>
  <c r="N48" i="12"/>
  <c r="E49" i="12"/>
  <c r="G48" i="12"/>
  <c r="F49" i="12"/>
  <c r="H48" i="12"/>
  <c r="N18" i="12"/>
  <c r="P17" i="12"/>
  <c r="O18" i="12"/>
  <c r="Q17" i="12"/>
  <c r="G27" i="12"/>
  <c r="G28" i="12" s="1"/>
  <c r="G29" i="12" s="1"/>
  <c r="T79" i="13" l="1"/>
  <c r="U79" i="13" s="1"/>
  <c r="W79" i="13" s="1"/>
  <c r="R79" i="13"/>
  <c r="W55" i="13"/>
  <c r="Y55" i="13" s="1"/>
  <c r="G101" i="13"/>
  <c r="H101" i="13" s="1"/>
  <c r="G102" i="13" s="1"/>
  <c r="I56" i="13"/>
  <c r="K56" i="13" s="1"/>
  <c r="I104" i="13"/>
  <c r="K104" i="13" s="1"/>
  <c r="F57" i="13"/>
  <c r="I57" i="13" s="1"/>
  <c r="W14" i="13"/>
  <c r="K103" i="13"/>
  <c r="U56" i="13"/>
  <c r="W56" i="13" s="1"/>
  <c r="Y56" i="13" s="1"/>
  <c r="G81" i="14"/>
  <c r="F81" i="14"/>
  <c r="K81" i="14" s="1"/>
  <c r="E82" i="14"/>
  <c r="J88" i="14"/>
  <c r="I88" i="14"/>
  <c r="L88" i="14" s="1"/>
  <c r="H89" i="14"/>
  <c r="V49" i="14"/>
  <c r="U49" i="14"/>
  <c r="Z49" i="14" s="1"/>
  <c r="T50" i="14"/>
  <c r="W57" i="14"/>
  <c r="G51" i="14"/>
  <c r="F51" i="14"/>
  <c r="K51" i="14" s="1"/>
  <c r="J57" i="14"/>
  <c r="I57" i="14"/>
  <c r="L57" i="14" s="1"/>
  <c r="U20" i="14"/>
  <c r="Z20" i="14" s="1"/>
  <c r="V20" i="14"/>
  <c r="T21" i="14"/>
  <c r="F22" i="14"/>
  <c r="E23" i="14" s="1"/>
  <c r="G23" i="14" s="1"/>
  <c r="M43" i="14"/>
  <c r="AB42" i="14"/>
  <c r="AC43" i="14"/>
  <c r="M14" i="14"/>
  <c r="AB13" i="14"/>
  <c r="N44" i="14"/>
  <c r="N13" i="14"/>
  <c r="M77" i="14"/>
  <c r="N14" i="14"/>
  <c r="N77" i="14"/>
  <c r="F105" i="13"/>
  <c r="I105" i="13" s="1"/>
  <c r="E106" i="13"/>
  <c r="S59" i="13"/>
  <c r="R60" i="13" s="1"/>
  <c r="V58" i="13"/>
  <c r="H57" i="13"/>
  <c r="J57" i="13" s="1"/>
  <c r="U15" i="13"/>
  <c r="W15" i="13" s="1"/>
  <c r="Y15" i="13" s="1"/>
  <c r="S16" i="13"/>
  <c r="V16" i="13" s="1"/>
  <c r="V15" i="13"/>
  <c r="F12" i="13"/>
  <c r="I12" i="13" s="1"/>
  <c r="H82" i="12"/>
  <c r="F83" i="12"/>
  <c r="G82" i="12"/>
  <c r="E83" i="12"/>
  <c r="P48" i="12"/>
  <c r="N49" i="12"/>
  <c r="Q49" i="12"/>
  <c r="O50" i="12"/>
  <c r="H49" i="12"/>
  <c r="F50" i="12"/>
  <c r="G49" i="12"/>
  <c r="E50" i="12"/>
  <c r="P18" i="12"/>
  <c r="N19" i="12"/>
  <c r="Q18" i="12"/>
  <c r="O19" i="12"/>
  <c r="S79" i="13" l="1"/>
  <c r="V79" i="13" s="1"/>
  <c r="X79" i="13" s="1"/>
  <c r="Y79" i="13"/>
  <c r="Q80" i="13"/>
  <c r="T80" i="13" s="1"/>
  <c r="H102" i="13"/>
  <c r="J102" i="13" s="1"/>
  <c r="L102" i="13" s="1"/>
  <c r="K57" i="13"/>
  <c r="E13" i="13"/>
  <c r="L57" i="13"/>
  <c r="Y14" i="13"/>
  <c r="K12" i="13"/>
  <c r="J101" i="13"/>
  <c r="T57" i="13"/>
  <c r="X15" i="13"/>
  <c r="X58" i="13"/>
  <c r="E58" i="13"/>
  <c r="J89" i="14"/>
  <c r="I89" i="14"/>
  <c r="L89" i="14" s="1"/>
  <c r="H90" i="14"/>
  <c r="G82" i="14"/>
  <c r="F82" i="14"/>
  <c r="K82" i="14" s="1"/>
  <c r="E83" i="14"/>
  <c r="Y57" i="14"/>
  <c r="X57" i="14"/>
  <c r="AA57" i="14" s="1"/>
  <c r="V50" i="14"/>
  <c r="U50" i="14"/>
  <c r="Z50" i="14" s="1"/>
  <c r="E52" i="14"/>
  <c r="U21" i="14"/>
  <c r="Z21" i="14"/>
  <c r="V21" i="14"/>
  <c r="T22" i="14"/>
  <c r="F23" i="14"/>
  <c r="E24" i="14" s="1"/>
  <c r="G24" i="14" s="1"/>
  <c r="M44" i="14"/>
  <c r="AB43" i="14"/>
  <c r="N78" i="14"/>
  <c r="N45" i="14"/>
  <c r="AB14" i="14"/>
  <c r="M16" i="14"/>
  <c r="AC13" i="14"/>
  <c r="AC12" i="14"/>
  <c r="N79" i="14"/>
  <c r="F106" i="13"/>
  <c r="E107" i="13" s="1"/>
  <c r="S60" i="13"/>
  <c r="R61" i="13" s="1"/>
  <c r="V59" i="13"/>
  <c r="X59" i="13" s="1"/>
  <c r="G58" i="13"/>
  <c r="R17" i="13"/>
  <c r="T16" i="13"/>
  <c r="F13" i="13"/>
  <c r="I13" i="13" s="1"/>
  <c r="K13" i="13" s="1"/>
  <c r="X16" i="13"/>
  <c r="K105" i="13"/>
  <c r="E84" i="12"/>
  <c r="G83" i="12"/>
  <c r="H83" i="12"/>
  <c r="F84" i="12"/>
  <c r="O51" i="12"/>
  <c r="Q50" i="12"/>
  <c r="P49" i="12"/>
  <c r="N50" i="12"/>
  <c r="F51" i="12"/>
  <c r="H50" i="12"/>
  <c r="E51" i="12"/>
  <c r="G50" i="12"/>
  <c r="O20" i="12"/>
  <c r="Q19" i="12"/>
  <c r="N20" i="12"/>
  <c r="P19" i="12"/>
  <c r="U80" i="13" l="1"/>
  <c r="W80" i="13" s="1"/>
  <c r="Y80" i="13" s="1"/>
  <c r="R80" i="13"/>
  <c r="G103" i="13"/>
  <c r="H103" i="13" s="1"/>
  <c r="G104" i="13" s="1"/>
  <c r="U57" i="13"/>
  <c r="T58" i="13" s="1"/>
  <c r="F58" i="13"/>
  <c r="E59" i="13" s="1"/>
  <c r="L101" i="13"/>
  <c r="E14" i="13"/>
  <c r="F14" i="13" s="1"/>
  <c r="I14" i="13" s="1"/>
  <c r="K14" i="13" s="1"/>
  <c r="G83" i="14"/>
  <c r="F83" i="14"/>
  <c r="K83" i="14" s="1"/>
  <c r="J90" i="14"/>
  <c r="I90" i="14"/>
  <c r="L90" i="14" s="1"/>
  <c r="T51" i="14"/>
  <c r="G52" i="14"/>
  <c r="F52" i="14"/>
  <c r="K52" i="14" s="1"/>
  <c r="E53" i="14"/>
  <c r="U22" i="14"/>
  <c r="Z22" i="14"/>
  <c r="V22" i="14"/>
  <c r="T23" i="14"/>
  <c r="F24" i="14"/>
  <c r="E25" i="14" s="1"/>
  <c r="G25" i="14" s="1"/>
  <c r="M78" i="14"/>
  <c r="AB44" i="14"/>
  <c r="M79" i="14"/>
  <c r="N15" i="14"/>
  <c r="AC14" i="14"/>
  <c r="M46" i="14"/>
  <c r="M45" i="14"/>
  <c r="M15" i="14"/>
  <c r="AC44" i="14"/>
  <c r="F107" i="13"/>
  <c r="E108" i="13" s="1"/>
  <c r="I106" i="13"/>
  <c r="S61" i="13"/>
  <c r="V61" i="13" s="1"/>
  <c r="X61" i="13" s="1"/>
  <c r="V60" i="13"/>
  <c r="X60" i="13" s="1"/>
  <c r="H58" i="13"/>
  <c r="G59" i="13" s="1"/>
  <c r="U16" i="13"/>
  <c r="T17" i="13" s="1"/>
  <c r="S17" i="13"/>
  <c r="R18" i="13" s="1"/>
  <c r="G84" i="12"/>
  <c r="E85" i="12"/>
  <c r="H84" i="12"/>
  <c r="F85" i="12"/>
  <c r="P50" i="12"/>
  <c r="N51" i="12"/>
  <c r="Q51" i="12"/>
  <c r="O52" i="12"/>
  <c r="G51" i="12"/>
  <c r="E52" i="12"/>
  <c r="H51" i="12"/>
  <c r="F52" i="12"/>
  <c r="P20" i="12"/>
  <c r="N21" i="12"/>
  <c r="Q20" i="12"/>
  <c r="O21" i="12"/>
  <c r="S80" i="13" l="1"/>
  <c r="V80" i="13" s="1"/>
  <c r="X80" i="13" s="1"/>
  <c r="R81" i="13"/>
  <c r="S81" i="13" s="1"/>
  <c r="V81" i="13" s="1"/>
  <c r="X81" i="13" s="1"/>
  <c r="T81" i="13"/>
  <c r="U81" i="13" s="1"/>
  <c r="W81" i="13" s="1"/>
  <c r="Y81" i="13" s="1"/>
  <c r="V17" i="13"/>
  <c r="X17" i="13" s="1"/>
  <c r="R62" i="13"/>
  <c r="S62" i="13" s="1"/>
  <c r="V62" i="13" s="1"/>
  <c r="X62" i="13" s="1"/>
  <c r="K106" i="13"/>
  <c r="J103" i="13"/>
  <c r="I58" i="13"/>
  <c r="H104" i="13"/>
  <c r="G105" i="13" s="1"/>
  <c r="F59" i="13"/>
  <c r="I59" i="13" s="1"/>
  <c r="K59" i="13" s="1"/>
  <c r="W57" i="13"/>
  <c r="U58" i="13"/>
  <c r="W58" i="13" s="1"/>
  <c r="Y58" i="13" s="1"/>
  <c r="E84" i="14"/>
  <c r="V51" i="14"/>
  <c r="U51" i="14"/>
  <c r="Z51" i="14" s="1"/>
  <c r="T52" i="14"/>
  <c r="G53" i="14"/>
  <c r="F53" i="14"/>
  <c r="K53" i="14" s="1"/>
  <c r="E54" i="14"/>
  <c r="U23" i="14"/>
  <c r="Z23" i="14" s="1"/>
  <c r="V23" i="14"/>
  <c r="F25" i="14"/>
  <c r="E26" i="14" s="1"/>
  <c r="N80" i="14"/>
  <c r="AB45" i="14"/>
  <c r="AC45" i="14"/>
  <c r="AB15" i="14"/>
  <c r="N46" i="14"/>
  <c r="F108" i="13"/>
  <c r="I108" i="13" s="1"/>
  <c r="I107" i="13"/>
  <c r="K107" i="13" s="1"/>
  <c r="H59" i="13"/>
  <c r="G60" i="13" s="1"/>
  <c r="J58" i="13"/>
  <c r="U17" i="13"/>
  <c r="T18" i="13" s="1"/>
  <c r="S18" i="13"/>
  <c r="V18" i="13" s="1"/>
  <c r="X18" i="13" s="1"/>
  <c r="W16" i="13"/>
  <c r="E15" i="13"/>
  <c r="F15" i="13" s="1"/>
  <c r="H85" i="12"/>
  <c r="F86" i="12"/>
  <c r="E86" i="12"/>
  <c r="G85" i="12"/>
  <c r="O53" i="12"/>
  <c r="Q52" i="12"/>
  <c r="P51" i="12"/>
  <c r="N52" i="12"/>
  <c r="F53" i="12"/>
  <c r="H52" i="12"/>
  <c r="E53" i="12"/>
  <c r="G52" i="12"/>
  <c r="O22" i="12"/>
  <c r="Q21" i="12"/>
  <c r="N22" i="12"/>
  <c r="P21" i="12"/>
  <c r="T59" i="13" l="1"/>
  <c r="U59" i="13" s="1"/>
  <c r="W59" i="13" s="1"/>
  <c r="Y59" i="13" s="1"/>
  <c r="E109" i="13"/>
  <c r="F109" i="13" s="1"/>
  <c r="I109" i="13" s="1"/>
  <c r="E60" i="13"/>
  <c r="F60" i="13" s="1"/>
  <c r="E61" i="13" s="1"/>
  <c r="L58" i="13"/>
  <c r="Y57" i="13"/>
  <c r="K58" i="13"/>
  <c r="L103" i="13"/>
  <c r="H105" i="13"/>
  <c r="G106" i="13" s="1"/>
  <c r="Y16" i="13"/>
  <c r="J104" i="13"/>
  <c r="L104" i="13" s="1"/>
  <c r="G84" i="14"/>
  <c r="F84" i="14"/>
  <c r="K84" i="14" s="1"/>
  <c r="V52" i="14"/>
  <c r="U52" i="14"/>
  <c r="Z52" i="14" s="1"/>
  <c r="T53" i="14"/>
  <c r="G54" i="14"/>
  <c r="F54" i="14"/>
  <c r="K54" i="14" s="1"/>
  <c r="E55" i="14"/>
  <c r="T24" i="14"/>
  <c r="F26" i="14"/>
  <c r="G26" i="14"/>
  <c r="N81" i="14"/>
  <c r="N47" i="14"/>
  <c r="AB46" i="14"/>
  <c r="M17" i="14"/>
  <c r="AC15" i="14"/>
  <c r="AB16" i="14"/>
  <c r="AC47" i="14"/>
  <c r="M48" i="14"/>
  <c r="M47" i="14"/>
  <c r="M80" i="14"/>
  <c r="R63" i="13"/>
  <c r="H60" i="13"/>
  <c r="G61" i="13" s="1"/>
  <c r="J59" i="13"/>
  <c r="L59" i="13" s="1"/>
  <c r="U18" i="13"/>
  <c r="W18" i="13" s="1"/>
  <c r="Y18" i="13" s="1"/>
  <c r="R19" i="13"/>
  <c r="W17" i="13"/>
  <c r="Y17" i="13" s="1"/>
  <c r="E16" i="13"/>
  <c r="F16" i="13" s="1"/>
  <c r="I15" i="13"/>
  <c r="K108" i="13"/>
  <c r="G86" i="12"/>
  <c r="E87" i="12"/>
  <c r="H86" i="12"/>
  <c r="F87" i="12"/>
  <c r="N53" i="12"/>
  <c r="P52" i="12"/>
  <c r="Q53" i="12"/>
  <c r="O54" i="12"/>
  <c r="G53" i="12"/>
  <c r="E54" i="12"/>
  <c r="H53" i="12"/>
  <c r="F54" i="12"/>
  <c r="P22" i="12"/>
  <c r="N23" i="12"/>
  <c r="Q22" i="12"/>
  <c r="O23" i="12"/>
  <c r="J60" i="13" l="1"/>
  <c r="L60" i="13" s="1"/>
  <c r="E110" i="13"/>
  <c r="F110" i="13" s="1"/>
  <c r="I110" i="13" s="1"/>
  <c r="T19" i="13"/>
  <c r="U19" i="13" s="1"/>
  <c r="T20" i="13" s="1"/>
  <c r="J105" i="13"/>
  <c r="L105" i="13" s="1"/>
  <c r="K15" i="13"/>
  <c r="I60" i="13"/>
  <c r="H106" i="13"/>
  <c r="G107" i="13" s="1"/>
  <c r="F61" i="13"/>
  <c r="I61" i="13" s="1"/>
  <c r="K61" i="13" s="1"/>
  <c r="T60" i="13"/>
  <c r="E85" i="14"/>
  <c r="V53" i="14"/>
  <c r="U53" i="14"/>
  <c r="Z53" i="14" s="1"/>
  <c r="T54" i="14"/>
  <c r="G55" i="14"/>
  <c r="F55" i="14"/>
  <c r="K55" i="14" s="1"/>
  <c r="E56" i="14"/>
  <c r="U24" i="14"/>
  <c r="Z24" i="14"/>
  <c r="V24" i="14"/>
  <c r="T25" i="14"/>
  <c r="M81" i="14"/>
  <c r="N48" i="14"/>
  <c r="N82" i="14"/>
  <c r="M18" i="14"/>
  <c r="AC16" i="14"/>
  <c r="AB47" i="14"/>
  <c r="AC46" i="14"/>
  <c r="N17" i="14"/>
  <c r="N83" i="14"/>
  <c r="N16" i="14"/>
  <c r="S63" i="13"/>
  <c r="R64" i="13" s="1"/>
  <c r="H61" i="13"/>
  <c r="J61" i="13" s="1"/>
  <c r="S19" i="13"/>
  <c r="R20" i="13" s="1"/>
  <c r="I16" i="13"/>
  <c r="K16" i="13" s="1"/>
  <c r="E17" i="13"/>
  <c r="F17" i="13" s="1"/>
  <c r="K109" i="13"/>
  <c r="F88" i="12"/>
  <c r="H87" i="12"/>
  <c r="G87" i="12"/>
  <c r="E88" i="12"/>
  <c r="O55" i="12"/>
  <c r="Q54" i="12"/>
  <c r="P53" i="12"/>
  <c r="N54" i="12"/>
  <c r="F55" i="12"/>
  <c r="H54" i="12"/>
  <c r="E55" i="12"/>
  <c r="G54" i="12"/>
  <c r="O24" i="12"/>
  <c r="Q23" i="12"/>
  <c r="N24" i="12"/>
  <c r="P23" i="12"/>
  <c r="E111" i="13" l="1"/>
  <c r="F111" i="13" s="1"/>
  <c r="I111" i="13" s="1"/>
  <c r="E62" i="13"/>
  <c r="V19" i="13"/>
  <c r="X19" i="13" s="1"/>
  <c r="E18" i="13"/>
  <c r="V63" i="13"/>
  <c r="X63" i="13" s="1"/>
  <c r="I17" i="13"/>
  <c r="K17" i="13" s="1"/>
  <c r="F62" i="13"/>
  <c r="E63" i="13" s="1"/>
  <c r="J106" i="13"/>
  <c r="U60" i="13"/>
  <c r="T61" i="13" s="1"/>
  <c r="H107" i="13"/>
  <c r="J107" i="13" s="1"/>
  <c r="L107" i="13" s="1"/>
  <c r="L61" i="13"/>
  <c r="K60" i="13"/>
  <c r="G85" i="14"/>
  <c r="F85" i="14"/>
  <c r="K85" i="14" s="1"/>
  <c r="V54" i="14"/>
  <c r="U54" i="14"/>
  <c r="Z54" i="14" s="1"/>
  <c r="T55" i="14"/>
  <c r="G56" i="14"/>
  <c r="F56" i="14"/>
  <c r="K56" i="14" s="1"/>
  <c r="E57" i="14"/>
  <c r="U25" i="14"/>
  <c r="Z25" i="14" s="1"/>
  <c r="V25" i="14"/>
  <c r="T26" i="14"/>
  <c r="AB48" i="14"/>
  <c r="M49" i="14"/>
  <c r="M82" i="14"/>
  <c r="N19" i="14"/>
  <c r="AB17" i="14"/>
  <c r="N18" i="14"/>
  <c r="AB18" i="14"/>
  <c r="S64" i="13"/>
  <c r="R65" i="13" s="1"/>
  <c r="G62" i="13"/>
  <c r="U20" i="13"/>
  <c r="T21" i="13" s="1"/>
  <c r="S20" i="13"/>
  <c r="V20" i="13" s="1"/>
  <c r="X20" i="13" s="1"/>
  <c r="W19" i="13"/>
  <c r="F18" i="13"/>
  <c r="I18" i="13" s="1"/>
  <c r="K18" i="13" s="1"/>
  <c r="K110" i="13"/>
  <c r="G88" i="12"/>
  <c r="E89" i="12"/>
  <c r="H88" i="12"/>
  <c r="F89" i="12"/>
  <c r="P54" i="12"/>
  <c r="N55" i="12"/>
  <c r="Q55" i="12"/>
  <c r="O56" i="12"/>
  <c r="G55" i="12"/>
  <c r="E56" i="12"/>
  <c r="H55" i="12"/>
  <c r="F56" i="12"/>
  <c r="P24" i="12"/>
  <c r="N25" i="12"/>
  <c r="Q24" i="12"/>
  <c r="O25" i="12"/>
  <c r="W60" i="13" l="1"/>
  <c r="Y60" i="13" s="1"/>
  <c r="G108" i="13"/>
  <c r="H108" i="13" s="1"/>
  <c r="J108" i="13" s="1"/>
  <c r="L108" i="13" s="1"/>
  <c r="F63" i="13"/>
  <c r="E64" i="13" s="1"/>
  <c r="E19" i="13"/>
  <c r="F19" i="13" s="1"/>
  <c r="I19" i="13" s="1"/>
  <c r="K19" i="13" s="1"/>
  <c r="Y19" i="13"/>
  <c r="V64" i="13"/>
  <c r="U61" i="13"/>
  <c r="T62" i="13" s="1"/>
  <c r="W20" i="13"/>
  <c r="Y20" i="13" s="1"/>
  <c r="L106" i="13"/>
  <c r="I62" i="13"/>
  <c r="E86" i="14"/>
  <c r="V55" i="14"/>
  <c r="U55" i="14"/>
  <c r="Z55" i="14" s="1"/>
  <c r="T56" i="14"/>
  <c r="G57" i="14"/>
  <c r="F57" i="14"/>
  <c r="K57" i="14" s="1"/>
  <c r="U26" i="14"/>
  <c r="Z26" i="14"/>
  <c r="Z27" i="14" s="1"/>
  <c r="V26" i="14"/>
  <c r="M19" i="14"/>
  <c r="AC48" i="14"/>
  <c r="M83" i="14"/>
  <c r="AC17" i="14"/>
  <c r="N84" i="14"/>
  <c r="M50" i="14"/>
  <c r="AB19" i="14"/>
  <c r="N50" i="14"/>
  <c r="AB49" i="14"/>
  <c r="N49" i="14"/>
  <c r="E112" i="13"/>
  <c r="S65" i="13"/>
  <c r="V65" i="13" s="1"/>
  <c r="X65" i="13" s="1"/>
  <c r="H62" i="13"/>
  <c r="J62" i="13" s="1"/>
  <c r="U21" i="13"/>
  <c r="W21" i="13" s="1"/>
  <c r="Y21" i="13" s="1"/>
  <c r="R21" i="13"/>
  <c r="K111" i="13"/>
  <c r="F90" i="12"/>
  <c r="H89" i="12"/>
  <c r="G89" i="12"/>
  <c r="E90" i="12"/>
  <c r="O57" i="12"/>
  <c r="Q56" i="12"/>
  <c r="P55" i="12"/>
  <c r="N56" i="12"/>
  <c r="F57" i="12"/>
  <c r="H56" i="12"/>
  <c r="E57" i="12"/>
  <c r="G56" i="12"/>
  <c r="O26" i="12"/>
  <c r="Q25" i="12"/>
  <c r="N26" i="12"/>
  <c r="P25" i="12"/>
  <c r="G109" i="13" l="1"/>
  <c r="I63" i="13"/>
  <c r="K63" i="13" s="1"/>
  <c r="U62" i="13"/>
  <c r="W62" i="13" s="1"/>
  <c r="Y62" i="13" s="1"/>
  <c r="T22" i="13"/>
  <c r="U22" i="13" s="1"/>
  <c r="T23" i="13" s="1"/>
  <c r="K62" i="13"/>
  <c r="X64" i="13"/>
  <c r="L62" i="13"/>
  <c r="H109" i="13"/>
  <c r="G110" i="13" s="1"/>
  <c r="H110" i="13" s="1"/>
  <c r="J110" i="13" s="1"/>
  <c r="L110" i="13" s="1"/>
  <c r="E20" i="13"/>
  <c r="W61" i="13"/>
  <c r="F64" i="13"/>
  <c r="I64" i="13" s="1"/>
  <c r="K86" i="14"/>
  <c r="G86" i="14"/>
  <c r="F86" i="14"/>
  <c r="E87" i="14"/>
  <c r="V56" i="14"/>
  <c r="U56" i="14"/>
  <c r="Z56" i="14" s="1"/>
  <c r="T57" i="14"/>
  <c r="AC49" i="14"/>
  <c r="N20" i="14"/>
  <c r="N51" i="14"/>
  <c r="AB50" i="14"/>
  <c r="M20" i="14"/>
  <c r="F112" i="13"/>
  <c r="E113" i="13" s="1"/>
  <c r="R66" i="13"/>
  <c r="G63" i="13"/>
  <c r="S21" i="13"/>
  <c r="R22" i="13" s="1"/>
  <c r="G90" i="12"/>
  <c r="G91" i="12" s="1"/>
  <c r="G92" i="12" s="1"/>
  <c r="G93" i="12" s="1"/>
  <c r="E91" i="12"/>
  <c r="E92" i="12" s="1"/>
  <c r="N70" i="12"/>
  <c r="H90" i="12"/>
  <c r="H91" i="12" s="1"/>
  <c r="H92" i="12" s="1"/>
  <c r="H93" i="12" s="1"/>
  <c r="F91" i="12"/>
  <c r="F92" i="12" s="1"/>
  <c r="N75" i="12"/>
  <c r="N57" i="12"/>
  <c r="P56" i="12"/>
  <c r="Q57" i="12"/>
  <c r="Q58" i="12" s="1"/>
  <c r="Q59" i="12" s="1"/>
  <c r="Q60" i="12" s="1"/>
  <c r="O58" i="12"/>
  <c r="O59" i="12" s="1"/>
  <c r="N74" i="12"/>
  <c r="G57" i="12"/>
  <c r="G58" i="12" s="1"/>
  <c r="G59" i="12" s="1"/>
  <c r="G60" i="12" s="1"/>
  <c r="E58" i="12"/>
  <c r="E59" i="12" s="1"/>
  <c r="H57" i="12"/>
  <c r="H58" i="12" s="1"/>
  <c r="H59" i="12" s="1"/>
  <c r="H60" i="12" s="1"/>
  <c r="N73" i="12"/>
  <c r="F58" i="12"/>
  <c r="F59" i="12" s="1"/>
  <c r="Q26" i="12"/>
  <c r="Q27" i="12" s="1"/>
  <c r="Q28" i="12" s="1"/>
  <c r="Q29" i="12" s="1"/>
  <c r="O27" i="12"/>
  <c r="O28" i="12" s="1"/>
  <c r="N72" i="12"/>
  <c r="P26" i="12"/>
  <c r="P27" i="12" s="1"/>
  <c r="P28" i="12" s="1"/>
  <c r="P29" i="12" s="1"/>
  <c r="N67" i="12"/>
  <c r="N27" i="12"/>
  <c r="N28" i="12" s="1"/>
  <c r="E65" i="13" l="1"/>
  <c r="F65" i="13" s="1"/>
  <c r="I65" i="13" s="1"/>
  <c r="K65" i="13" s="1"/>
  <c r="T63" i="13"/>
  <c r="U63" i="13" s="1"/>
  <c r="T64" i="13" s="1"/>
  <c r="F20" i="13"/>
  <c r="I20" i="13" s="1"/>
  <c r="K20" i="13" s="1"/>
  <c r="I112" i="13"/>
  <c r="K112" i="13" s="1"/>
  <c r="K64" i="13"/>
  <c r="J109" i="13"/>
  <c r="W22" i="13"/>
  <c r="Y61" i="13"/>
  <c r="G87" i="14"/>
  <c r="F87" i="14"/>
  <c r="K87" i="14" s="1"/>
  <c r="E88" i="14"/>
  <c r="V57" i="14"/>
  <c r="U57" i="14"/>
  <c r="Z57" i="14" s="1"/>
  <c r="M51" i="14"/>
  <c r="AC18" i="14"/>
  <c r="AB20" i="14"/>
  <c r="M84" i="14"/>
  <c r="M21" i="14"/>
  <c r="M52" i="14"/>
  <c r="N86" i="14"/>
  <c r="AC50" i="14"/>
  <c r="N85" i="14"/>
  <c r="G111" i="13"/>
  <c r="F113" i="13"/>
  <c r="E114" i="13" s="1"/>
  <c r="S66" i="13"/>
  <c r="R67" i="13" s="1"/>
  <c r="H63" i="13"/>
  <c r="G64" i="13" s="1"/>
  <c r="S22" i="13"/>
  <c r="V22" i="13" s="1"/>
  <c r="X22" i="13" s="1"/>
  <c r="V21" i="13"/>
  <c r="U23" i="13"/>
  <c r="W23" i="13" s="1"/>
  <c r="Y23" i="13" s="1"/>
  <c r="P57" i="12"/>
  <c r="P58" i="12" s="1"/>
  <c r="P59" i="12" s="1"/>
  <c r="P60" i="12" s="1"/>
  <c r="N58" i="12"/>
  <c r="N59" i="12" s="1"/>
  <c r="N69" i="12"/>
  <c r="E21" i="13" l="1"/>
  <c r="L109" i="13"/>
  <c r="U64" i="13"/>
  <c r="T65" i="13" s="1"/>
  <c r="E66" i="13"/>
  <c r="Y22" i="13"/>
  <c r="X21" i="13"/>
  <c r="I113" i="13"/>
  <c r="W63" i="13"/>
  <c r="G88" i="14"/>
  <c r="F88" i="14"/>
  <c r="K88" i="14" s="1"/>
  <c r="N22" i="14"/>
  <c r="AC52" i="14"/>
  <c r="AB51" i="14"/>
  <c r="N87" i="14"/>
  <c r="N52" i="14"/>
  <c r="N21" i="14"/>
  <c r="F114" i="13"/>
  <c r="I114" i="13" s="1"/>
  <c r="H111" i="13"/>
  <c r="J111" i="13" s="1"/>
  <c r="S67" i="13"/>
  <c r="R68" i="13" s="1"/>
  <c r="V66" i="13"/>
  <c r="H64" i="13"/>
  <c r="J64" i="13" s="1"/>
  <c r="L64" i="13" s="1"/>
  <c r="J63" i="13"/>
  <c r="R23" i="13"/>
  <c r="T24" i="13"/>
  <c r="G112" i="13" l="1"/>
  <c r="W64" i="13"/>
  <c r="Y64" i="13" s="1"/>
  <c r="G65" i="13"/>
  <c r="E115" i="13"/>
  <c r="F21" i="13"/>
  <c r="I21" i="13" s="1"/>
  <c r="K21" i="13" s="1"/>
  <c r="L111" i="13"/>
  <c r="K113" i="13"/>
  <c r="T94" i="13" a="1"/>
  <c r="T94" i="13" s="1"/>
  <c r="S94" i="13" a="1"/>
  <c r="S94" i="13" s="1"/>
  <c r="L63" i="13"/>
  <c r="Q94" i="13" a="1"/>
  <c r="Q94" i="13" s="1"/>
  <c r="R94" i="13" s="1"/>
  <c r="U94" i="13" s="1"/>
  <c r="P94" i="13" a="1"/>
  <c r="P94" i="13" s="1"/>
  <c r="F66" i="13"/>
  <c r="E67" i="13" s="1"/>
  <c r="U65" i="13"/>
  <c r="T66" i="13" s="1"/>
  <c r="Y63" i="13"/>
  <c r="E89" i="14"/>
  <c r="N53" i="14"/>
  <c r="AC20" i="14"/>
  <c r="AC19" i="14"/>
  <c r="M86" i="14"/>
  <c r="N23" i="14"/>
  <c r="AB52" i="14"/>
  <c r="M53" i="14"/>
  <c r="AB21" i="14"/>
  <c r="M85" i="14"/>
  <c r="AC51" i="14"/>
  <c r="K114" i="13"/>
  <c r="I127" i="13"/>
  <c r="I128" i="13" s="1"/>
  <c r="H112" i="13"/>
  <c r="G113" i="13" s="1"/>
  <c r="S68" i="13"/>
  <c r="R69" i="13" s="1"/>
  <c r="X66" i="13"/>
  <c r="V67" i="13"/>
  <c r="H65" i="13"/>
  <c r="J65" i="13" s="1"/>
  <c r="U24" i="13"/>
  <c r="T25" i="13" s="1"/>
  <c r="S23" i="13"/>
  <c r="R24" i="13" s="1"/>
  <c r="K127" i="13" l="1"/>
  <c r="K128" i="13" s="1"/>
  <c r="K129" i="13" s="1"/>
  <c r="G66" i="13"/>
  <c r="H66" i="13" s="1"/>
  <c r="G67" i="13" s="1"/>
  <c r="V68" i="13"/>
  <c r="X68" i="13" s="1"/>
  <c r="F115" i="13"/>
  <c r="E116" i="13" s="1"/>
  <c r="I66" i="13"/>
  <c r="K66" i="13" s="1"/>
  <c r="E22" i="13"/>
  <c r="F67" i="13"/>
  <c r="E68" i="13" s="1"/>
  <c r="U66" i="13"/>
  <c r="W66" i="13" s="1"/>
  <c r="Y66" i="13" s="1"/>
  <c r="W65" i="13"/>
  <c r="G89" i="14"/>
  <c r="F89" i="14"/>
  <c r="K89" i="14" s="1"/>
  <c r="E90" i="14"/>
  <c r="M23" i="14"/>
  <c r="N55" i="14"/>
  <c r="AB22" i="14"/>
  <c r="N88" i="14"/>
  <c r="N54" i="14"/>
  <c r="M54" i="14"/>
  <c r="AC53" i="14"/>
  <c r="N24" i="14"/>
  <c r="N25" i="14"/>
  <c r="M22" i="14"/>
  <c r="AC21" i="14"/>
  <c r="H113" i="13"/>
  <c r="J113" i="13" s="1"/>
  <c r="L113" i="13" s="1"/>
  <c r="J112" i="13"/>
  <c r="S69" i="13"/>
  <c r="V69" i="13" s="1"/>
  <c r="X67" i="13"/>
  <c r="L65" i="13"/>
  <c r="S24" i="13"/>
  <c r="R25" i="13" s="1"/>
  <c r="U25" i="13"/>
  <c r="W25" i="13" s="1"/>
  <c r="Y25" i="13" s="1"/>
  <c r="V23" i="13"/>
  <c r="W24" i="13"/>
  <c r="T26" i="13" l="1"/>
  <c r="I115" i="13"/>
  <c r="K115" i="13" s="1"/>
  <c r="I67" i="13"/>
  <c r="K67" i="13" s="1"/>
  <c r="F116" i="13"/>
  <c r="G114" i="13"/>
  <c r="H114" i="13" s="1"/>
  <c r="J114" i="13" s="1"/>
  <c r="S99" i="13" s="1" a="1"/>
  <c r="S99" i="13" s="1"/>
  <c r="V24" i="13"/>
  <c r="X24" i="13" s="1"/>
  <c r="F22" i="13"/>
  <c r="I22" i="13" s="1"/>
  <c r="K22" i="13" s="1"/>
  <c r="F68" i="13"/>
  <c r="I68" i="13" s="1"/>
  <c r="Q93" i="13" a="1"/>
  <c r="Q93" i="13" s="1"/>
  <c r="R93" i="13" s="1"/>
  <c r="U93" i="13" s="1"/>
  <c r="P93" i="13" a="1"/>
  <c r="P93" i="13" s="1"/>
  <c r="Y65" i="13"/>
  <c r="T67" i="13"/>
  <c r="T93" i="13" a="1"/>
  <c r="T93" i="13" s="1"/>
  <c r="S93" i="13" a="1"/>
  <c r="S93" i="13" s="1"/>
  <c r="G90" i="14"/>
  <c r="F90" i="14"/>
  <c r="K90" i="14" s="1"/>
  <c r="N89" i="14"/>
  <c r="M24" i="14"/>
  <c r="AC54" i="14"/>
  <c r="AB23" i="14"/>
  <c r="M87" i="14"/>
  <c r="AB53" i="14"/>
  <c r="L112" i="13"/>
  <c r="X69" i="13"/>
  <c r="X82" i="13" s="1"/>
  <c r="X83" i="13" s="1"/>
  <c r="X84" i="13" s="1"/>
  <c r="V82" i="13"/>
  <c r="V83" i="13" s="1"/>
  <c r="H67" i="13"/>
  <c r="G68" i="13" s="1"/>
  <c r="J66" i="13"/>
  <c r="S25" i="13"/>
  <c r="R26" i="13" s="1"/>
  <c r="Y24" i="13"/>
  <c r="X23" i="13"/>
  <c r="U26" i="13" l="1"/>
  <c r="W26" i="13" s="1"/>
  <c r="Y26" i="13" s="1"/>
  <c r="S26" i="13"/>
  <c r="V26" i="13" s="1"/>
  <c r="X26" i="13" s="1"/>
  <c r="E23" i="13"/>
  <c r="F23" i="13" s="1"/>
  <c r="I23" i="13" s="1"/>
  <c r="K23" i="13" s="1"/>
  <c r="G115" i="13"/>
  <c r="I116" i="13"/>
  <c r="K116" i="13" s="1"/>
  <c r="K68" i="13"/>
  <c r="P99" i="13" a="1"/>
  <c r="P99" i="13" s="1"/>
  <c r="Q99" i="13" a="1"/>
  <c r="Q99" i="13" s="1"/>
  <c r="R99" i="13" s="1"/>
  <c r="U99" i="13" s="1"/>
  <c r="U67" i="13"/>
  <c r="T68" i="13" s="1"/>
  <c r="E69" i="13"/>
  <c r="F69" i="13" s="1"/>
  <c r="I69" i="13" s="1"/>
  <c r="T92" i="13" s="1" a="1"/>
  <c r="T92" i="13" s="1"/>
  <c r="T99" i="13" a="1"/>
  <c r="T99" i="13" s="1"/>
  <c r="AB24" i="14"/>
  <c r="L27" i="14"/>
  <c r="L28" i="14" s="1"/>
  <c r="N26" i="14"/>
  <c r="N27" i="14" s="1"/>
  <c r="N28" i="14" s="1"/>
  <c r="N29" i="14" s="1"/>
  <c r="T71" i="14"/>
  <c r="W71" i="14" s="1"/>
  <c r="R71" i="14" a="1"/>
  <c r="R71" i="14" s="1"/>
  <c r="M88" i="14"/>
  <c r="AB54" i="14"/>
  <c r="N56" i="14"/>
  <c r="AC22" i="14"/>
  <c r="M55" i="14"/>
  <c r="AC23" i="14"/>
  <c r="L114" i="13"/>
  <c r="L127" i="13" s="1"/>
  <c r="L128" i="13" s="1"/>
  <c r="L129" i="13" s="1"/>
  <c r="J127" i="13"/>
  <c r="J128" i="13" s="1"/>
  <c r="H68" i="13"/>
  <c r="G69" i="13" s="1"/>
  <c r="L66" i="13"/>
  <c r="J67" i="13"/>
  <c r="L67" i="13" s="1"/>
  <c r="V25" i="13"/>
  <c r="T27" i="13" l="1"/>
  <c r="U27" i="13" s="1"/>
  <c r="W27" i="13" s="1"/>
  <c r="Y27" i="13" s="1"/>
  <c r="R27" i="13"/>
  <c r="S27" i="13" s="1"/>
  <c r="R28" i="13" s="1"/>
  <c r="J68" i="13"/>
  <c r="L68" i="13" s="1"/>
  <c r="W67" i="13"/>
  <c r="Y67" i="13" s="1"/>
  <c r="H115" i="13"/>
  <c r="J115" i="13" s="1"/>
  <c r="L115" i="13" s="1"/>
  <c r="E24" i="13"/>
  <c r="I82" i="13"/>
  <c r="I83" i="13" s="1"/>
  <c r="Q92" i="13" a="1"/>
  <c r="Q92" i="13" s="1"/>
  <c r="R92" i="13" s="1"/>
  <c r="U92" i="13" s="1"/>
  <c r="P92" i="13" a="1"/>
  <c r="P92" i="13" s="1"/>
  <c r="K69" i="13"/>
  <c r="K82" i="13" s="1"/>
  <c r="K83" i="13" s="1"/>
  <c r="K84" i="13" s="1"/>
  <c r="T91" i="13" a="1"/>
  <c r="T91" i="13" s="1"/>
  <c r="S91" i="13" a="1"/>
  <c r="S91" i="13" s="1"/>
  <c r="P96" i="13" a="1"/>
  <c r="P96" i="13" s="1"/>
  <c r="Q96" i="13" a="1"/>
  <c r="Q96" i="13" s="1"/>
  <c r="R96" i="13" s="1"/>
  <c r="U96" i="13" s="1"/>
  <c r="S96" i="13" a="1"/>
  <c r="S96" i="13" s="1"/>
  <c r="T96" i="13" a="1"/>
  <c r="T96" i="13" s="1"/>
  <c r="S92" i="13" a="1"/>
  <c r="S92" i="13" s="1"/>
  <c r="U68" i="13"/>
  <c r="T69" i="13" s="1"/>
  <c r="U69" i="13" s="1"/>
  <c r="W69" i="13" s="1"/>
  <c r="P91" i="13" a="1"/>
  <c r="P91" i="13" s="1"/>
  <c r="Q91" i="13" a="1"/>
  <c r="Q91" i="13" s="1"/>
  <c r="R91" i="13" s="1"/>
  <c r="U91" i="13" s="1"/>
  <c r="M56" i="14"/>
  <c r="AB25" i="14"/>
  <c r="N57" i="14"/>
  <c r="N58" i="14" s="1"/>
  <c r="N59" i="14" s="1"/>
  <c r="N60" i="14" s="1"/>
  <c r="T73" i="14"/>
  <c r="W73" i="14" s="1"/>
  <c r="R73" i="14" a="1"/>
  <c r="R73" i="14" s="1"/>
  <c r="L58" i="14"/>
  <c r="L59" i="14" s="1"/>
  <c r="AC55" i="14"/>
  <c r="M25" i="14"/>
  <c r="N90" i="14"/>
  <c r="N91" i="14" s="1"/>
  <c r="N92" i="14" s="1"/>
  <c r="N93" i="14" s="1"/>
  <c r="T75" i="14"/>
  <c r="W75" i="14" s="1"/>
  <c r="R75" i="14" a="1"/>
  <c r="R75" i="14" s="1"/>
  <c r="L91" i="14"/>
  <c r="L92" i="14" s="1"/>
  <c r="H69" i="13"/>
  <c r="J69" i="13" s="1"/>
  <c r="X25" i="13"/>
  <c r="H5" i="13"/>
  <c r="V27" i="13" l="1"/>
  <c r="X27" i="13" s="1"/>
  <c r="S28" i="13"/>
  <c r="T28" i="13"/>
  <c r="G116" i="13"/>
  <c r="H116" i="13" s="1"/>
  <c r="F24" i="13"/>
  <c r="E25" i="13" s="1"/>
  <c r="W68" i="13"/>
  <c r="P98" i="13" s="1" a="1"/>
  <c r="P98" i="13" s="1"/>
  <c r="P97" i="13" a="1"/>
  <c r="P97" i="13" s="1"/>
  <c r="Q97" i="13" a="1"/>
  <c r="Q97" i="13" s="1"/>
  <c r="R97" i="13" s="1"/>
  <c r="U97" i="13" s="1"/>
  <c r="S97" i="13" a="1"/>
  <c r="S97" i="13" s="1"/>
  <c r="T97" i="13" a="1"/>
  <c r="T97" i="13" s="1"/>
  <c r="Y69" i="13"/>
  <c r="AC56" i="14"/>
  <c r="M57" i="14"/>
  <c r="M58" i="14" s="1"/>
  <c r="M59" i="14" s="1"/>
  <c r="M60" i="14" s="1"/>
  <c r="R68" i="14" a="1"/>
  <c r="R68" i="14" s="1"/>
  <c r="T68" i="14"/>
  <c r="W68" i="14" s="1"/>
  <c r="K58" i="14"/>
  <c r="K59" i="14" s="1"/>
  <c r="AB26" i="14"/>
  <c r="AB27" i="14" s="1"/>
  <c r="AB28" i="14" s="1"/>
  <c r="AB29" i="14" s="1"/>
  <c r="R67" i="14" a="1"/>
  <c r="R67" i="14" s="1"/>
  <c r="T67" i="14"/>
  <c r="W67" i="14" s="1"/>
  <c r="Z28" i="14"/>
  <c r="M26" i="14"/>
  <c r="M27" i="14" s="1"/>
  <c r="M28" i="14" s="1"/>
  <c r="M29" i="14" s="1"/>
  <c r="T66" i="14"/>
  <c r="W66" i="14" s="1"/>
  <c r="R66" i="14" a="1"/>
  <c r="R66" i="14" s="1"/>
  <c r="K27" i="14"/>
  <c r="K28" i="14" s="1"/>
  <c r="M89" i="14"/>
  <c r="AB55" i="14"/>
  <c r="AC24" i="14"/>
  <c r="L69" i="13"/>
  <c r="L82" i="13" s="1"/>
  <c r="L83" i="13" s="1"/>
  <c r="L84" i="13" s="1"/>
  <c r="J82" i="13"/>
  <c r="J83" i="13" s="1"/>
  <c r="G6" i="13"/>
  <c r="H6" i="13" s="1"/>
  <c r="G7" i="13" s="1"/>
  <c r="J5" i="13"/>
  <c r="U28" i="13" l="1"/>
  <c r="W28" i="13" s="1"/>
  <c r="Q29" i="13" s="1"/>
  <c r="V28" i="13"/>
  <c r="Q98" i="13" a="1"/>
  <c r="Q98" i="13" s="1"/>
  <c r="R98" i="13" s="1"/>
  <c r="U98" i="13" s="1"/>
  <c r="J116" i="13"/>
  <c r="I24" i="13"/>
  <c r="K24" i="13" s="1"/>
  <c r="F25" i="13"/>
  <c r="I25" i="13" s="1"/>
  <c r="K25" i="13" s="1"/>
  <c r="Y68" i="13"/>
  <c r="Y82" i="13" s="1"/>
  <c r="Y83" i="13" s="1"/>
  <c r="Y84" i="13" s="1"/>
  <c r="S98" i="13" a="1"/>
  <c r="S98" i="13" s="1"/>
  <c r="W82" i="13"/>
  <c r="W83" i="13" s="1"/>
  <c r="T98" i="13" a="1"/>
  <c r="T98" i="13" s="1"/>
  <c r="AB56" i="14"/>
  <c r="AC25" i="14"/>
  <c r="AC57" i="14"/>
  <c r="AC58" i="14" s="1"/>
  <c r="AC59" i="14" s="1"/>
  <c r="AC60" i="14" s="1"/>
  <c r="R74" i="14" a="1"/>
  <c r="R74" i="14" s="1"/>
  <c r="T74" i="14"/>
  <c r="W74" i="14" s="1"/>
  <c r="AA58" i="14"/>
  <c r="AA59" i="14" s="1"/>
  <c r="T70" i="14"/>
  <c r="W70" i="14" s="1"/>
  <c r="R70" i="14" a="1"/>
  <c r="R70" i="14" s="1"/>
  <c r="K91" i="14"/>
  <c r="K92" i="14" s="1"/>
  <c r="L5" i="13"/>
  <c r="J6" i="13"/>
  <c r="L6" i="13" s="1"/>
  <c r="H7" i="13"/>
  <c r="G8" i="13" s="1"/>
  <c r="L116" i="13" l="1"/>
  <c r="D117" i="13"/>
  <c r="R29" i="13"/>
  <c r="S29" i="13" s="1"/>
  <c r="V29" i="13" s="1"/>
  <c r="X29" i="13" s="1"/>
  <c r="T29" i="13"/>
  <c r="U29" i="13" s="1"/>
  <c r="W29" i="13" s="1"/>
  <c r="E26" i="13"/>
  <c r="F26" i="13" s="1"/>
  <c r="I26" i="13" s="1"/>
  <c r="P90" i="13" s="1" a="1"/>
  <c r="P90" i="13" s="1"/>
  <c r="X28" i="13"/>
  <c r="Y28" i="13"/>
  <c r="M90" i="14"/>
  <c r="M91" i="14" s="1"/>
  <c r="M92" i="14" s="1"/>
  <c r="M93" i="14" s="1"/>
  <c r="AB57" i="14"/>
  <c r="AB58" i="14" s="1"/>
  <c r="AB59" i="14" s="1"/>
  <c r="AB60" i="14" s="1"/>
  <c r="T69" i="14"/>
  <c r="W69" i="14" s="1"/>
  <c r="R69" i="14" a="1"/>
  <c r="R69" i="14" s="1"/>
  <c r="Z58" i="14"/>
  <c r="Z59" i="14" s="1"/>
  <c r="J7" i="13"/>
  <c r="H8" i="13"/>
  <c r="J8" i="13" s="1"/>
  <c r="E117" i="13" l="1"/>
  <c r="G117" i="13"/>
  <c r="Y29" i="13"/>
  <c r="Q30" i="13"/>
  <c r="T30" i="13" s="1"/>
  <c r="K26" i="13"/>
  <c r="Q90" i="13" a="1"/>
  <c r="Q90" i="13" s="1"/>
  <c r="R90" i="13" s="1"/>
  <c r="U90" i="13" s="1"/>
  <c r="T90" i="13" a="1"/>
  <c r="T90" i="13" s="1"/>
  <c r="S90" i="13" a="1"/>
  <c r="S90" i="13" s="1"/>
  <c r="E28" i="13"/>
  <c r="AC26" i="14"/>
  <c r="AC27" i="14" s="1"/>
  <c r="AC28" i="14" s="1"/>
  <c r="AC29" i="14" s="1"/>
  <c r="T72" i="14"/>
  <c r="W72" i="14" s="1"/>
  <c r="AA28" i="14"/>
  <c r="R72" i="14" a="1"/>
  <c r="R72" i="14" s="1"/>
  <c r="L8" i="13"/>
  <c r="G9" i="13"/>
  <c r="H9" i="13" s="1"/>
  <c r="G10" i="13" s="1"/>
  <c r="L7" i="13"/>
  <c r="H117" i="13" l="1"/>
  <c r="J117" i="13" s="1"/>
  <c r="F117" i="13"/>
  <c r="I117" i="13"/>
  <c r="K117" i="13" s="1"/>
  <c r="R30" i="13"/>
  <c r="F28" i="13"/>
  <c r="I27" i="13"/>
  <c r="U30" i="13"/>
  <c r="W30" i="13" s="1"/>
  <c r="Q31" i="13" s="1"/>
  <c r="J9" i="13"/>
  <c r="H10" i="13"/>
  <c r="J10" i="13" s="1"/>
  <c r="L10" i="13" s="1"/>
  <c r="L117" i="13" l="1"/>
  <c r="D118" i="13"/>
  <c r="E118" i="13" s="1"/>
  <c r="G118" i="13"/>
  <c r="H118" i="13" s="1"/>
  <c r="J118" i="13" s="1"/>
  <c r="S30" i="13"/>
  <c r="R31" i="13" s="1"/>
  <c r="S31" i="13" s="1"/>
  <c r="V31" i="13" s="1"/>
  <c r="X31" i="13" s="1"/>
  <c r="V30" i="13"/>
  <c r="X30" i="13" s="1"/>
  <c r="T31" i="13"/>
  <c r="U31" i="13" s="1"/>
  <c r="W31" i="13" s="1"/>
  <c r="Y30" i="13"/>
  <c r="K27" i="13"/>
  <c r="I28" i="13"/>
  <c r="K28" i="13" s="1"/>
  <c r="G11" i="13"/>
  <c r="H11" i="13" s="1"/>
  <c r="G12" i="13" s="1"/>
  <c r="L9" i="13"/>
  <c r="F118" i="13" l="1"/>
  <c r="E119" i="13" s="1"/>
  <c r="F119" i="13" s="1"/>
  <c r="I119" i="13" s="1"/>
  <c r="K119" i="13" s="1"/>
  <c r="L118" i="13"/>
  <c r="D119" i="13"/>
  <c r="G119" i="13" s="1"/>
  <c r="Y31" i="13"/>
  <c r="Q32" i="13"/>
  <c r="R32" i="13" s="1"/>
  <c r="S32" i="13" s="1"/>
  <c r="V32" i="13" s="1"/>
  <c r="X32" i="13"/>
  <c r="T32" i="13"/>
  <c r="J11" i="13"/>
  <c r="H12" i="13"/>
  <c r="G13" i="13" s="1"/>
  <c r="H119" i="13" l="1"/>
  <c r="J119" i="13" s="1"/>
  <c r="I118" i="13"/>
  <c r="K118" i="13" s="1"/>
  <c r="U32" i="13"/>
  <c r="L11" i="13"/>
  <c r="J12" i="13"/>
  <c r="L12" i="13" s="1"/>
  <c r="H13" i="13"/>
  <c r="J13" i="13" s="1"/>
  <c r="L13" i="13" s="1"/>
  <c r="L119" i="13" l="1"/>
  <c r="D120" i="13"/>
  <c r="E120" i="13" s="1"/>
  <c r="F120" i="13" s="1"/>
  <c r="I120" i="13" s="1"/>
  <c r="K120" i="13" s="1"/>
  <c r="G120" i="13"/>
  <c r="H120" i="13" s="1"/>
  <c r="J120" i="13" s="1"/>
  <c r="W32" i="13"/>
  <c r="Q33" i="13" s="1"/>
  <c r="R33" i="13" s="1"/>
  <c r="G14" i="13"/>
  <c r="H14" i="13" s="1"/>
  <c r="G15" i="13" s="1"/>
  <c r="L120" i="13" l="1"/>
  <c r="D121" i="13"/>
  <c r="S33" i="13"/>
  <c r="V33" i="13"/>
  <c r="X33" i="13" s="1"/>
  <c r="T33" i="13"/>
  <c r="U33" i="13" s="1"/>
  <c r="Y32" i="13"/>
  <c r="J14" i="13"/>
  <c r="H15" i="13"/>
  <c r="G16" i="13" s="1"/>
  <c r="E121" i="13" l="1"/>
  <c r="G121" i="13"/>
  <c r="W33" i="13"/>
  <c r="L14" i="13"/>
  <c r="J15" i="13"/>
  <c r="L15" i="13" s="1"/>
  <c r="H16" i="13"/>
  <c r="G17" i="13" s="1"/>
  <c r="H121" i="13" l="1"/>
  <c r="J121" i="13"/>
  <c r="F121" i="13"/>
  <c r="I121" i="13" s="1"/>
  <c r="K121" i="13" s="1"/>
  <c r="Y33" i="13"/>
  <c r="Q34" i="13"/>
  <c r="J16" i="13"/>
  <c r="H17" i="13"/>
  <c r="G18" i="13" s="1"/>
  <c r="L121" i="13" l="1"/>
  <c r="D122" i="13"/>
  <c r="E122" i="13" s="1"/>
  <c r="G122" i="13"/>
  <c r="T34" i="13"/>
  <c r="R34" i="13"/>
  <c r="L16" i="13"/>
  <c r="J17" i="13"/>
  <c r="H18" i="13"/>
  <c r="G19" i="13" s="1"/>
  <c r="F122" i="13" l="1"/>
  <c r="I122" i="13"/>
  <c r="K122" i="13" s="1"/>
  <c r="H122" i="13"/>
  <c r="J122" i="13" s="1"/>
  <c r="S34" i="13"/>
  <c r="V34" i="13"/>
  <c r="U34" i="13"/>
  <c r="W34" i="13"/>
  <c r="L17" i="13"/>
  <c r="J18" i="13"/>
  <c r="H19" i="13"/>
  <c r="G20" i="13" s="1"/>
  <c r="L122" i="13" l="1"/>
  <c r="D123" i="13"/>
  <c r="G123" i="13" s="1"/>
  <c r="H123" i="13" s="1"/>
  <c r="J123" i="13" s="1"/>
  <c r="Y34" i="13"/>
  <c r="Q35" i="13"/>
  <c r="X34" i="13"/>
  <c r="T35" i="13"/>
  <c r="U35" i="13" s="1"/>
  <c r="W35" i="13" s="1"/>
  <c r="Q36" i="13" s="1"/>
  <c r="T36" i="13" s="1"/>
  <c r="U36" i="13" s="1"/>
  <c r="W36" i="13" s="1"/>
  <c r="R35" i="13"/>
  <c r="L18" i="13"/>
  <c r="J19" i="13"/>
  <c r="H20" i="13"/>
  <c r="G21" i="13" s="1"/>
  <c r="L123" i="13" l="1"/>
  <c r="D124" i="13"/>
  <c r="G124" i="13" s="1"/>
  <c r="E123" i="13"/>
  <c r="Y36" i="13"/>
  <c r="Q37" i="13"/>
  <c r="T37" i="13" s="1"/>
  <c r="U37" i="13" s="1"/>
  <c r="W37" i="13" s="1"/>
  <c r="S35" i="13"/>
  <c r="R36" i="13" s="1"/>
  <c r="Y35" i="13"/>
  <c r="L19" i="13"/>
  <c r="J20" i="13"/>
  <c r="H21" i="13"/>
  <c r="G22" i="13" s="1"/>
  <c r="H124" i="13" l="1"/>
  <c r="F123" i="13"/>
  <c r="E124" i="13" s="1"/>
  <c r="V35" i="13"/>
  <c r="S36" i="13"/>
  <c r="R37" i="13" s="1"/>
  <c r="S37" i="13" s="1"/>
  <c r="V37" i="13" s="1"/>
  <c r="X37" i="13" s="1"/>
  <c r="V36" i="13"/>
  <c r="X36" i="13" s="1"/>
  <c r="Y37" i="13"/>
  <c r="Q38" i="13"/>
  <c r="L20" i="13"/>
  <c r="J21" i="13"/>
  <c r="H22" i="13"/>
  <c r="G23" i="13" s="1"/>
  <c r="J124" i="13" l="1"/>
  <c r="I123" i="13"/>
  <c r="K123" i="13" s="1"/>
  <c r="F124" i="13"/>
  <c r="Q39" i="13"/>
  <c r="Q40" i="13" s="1"/>
  <c r="R38" i="13"/>
  <c r="S38" i="13" s="1"/>
  <c r="V38" i="13" s="1"/>
  <c r="X38" i="13" s="1"/>
  <c r="X39" i="13" s="1"/>
  <c r="X40" i="13" s="1"/>
  <c r="X41" i="13" s="1"/>
  <c r="T38" i="13"/>
  <c r="U38" i="13" s="1"/>
  <c r="W38" i="13" s="1"/>
  <c r="X35" i="13"/>
  <c r="V39" i="13"/>
  <c r="V40" i="13" s="1"/>
  <c r="L21" i="13"/>
  <c r="J22" i="13"/>
  <c r="H23" i="13"/>
  <c r="G24" i="13" s="1"/>
  <c r="L124" i="13" l="1"/>
  <c r="D125" i="13"/>
  <c r="G125" i="13" s="1"/>
  <c r="I124" i="13"/>
  <c r="K124" i="13" s="1"/>
  <c r="Y38" i="13"/>
  <c r="Y39" i="13" s="1"/>
  <c r="Y40" i="13" s="1"/>
  <c r="Y41" i="13" s="1"/>
  <c r="W39" i="13"/>
  <c r="W40" i="13" s="1"/>
  <c r="L22" i="13"/>
  <c r="J23" i="13"/>
  <c r="H24" i="13"/>
  <c r="G25" i="13" s="1"/>
  <c r="H125" i="13" l="1"/>
  <c r="J125" i="13"/>
  <c r="E125" i="13"/>
  <c r="L23" i="13"/>
  <c r="J24" i="13"/>
  <c r="H25" i="13"/>
  <c r="G26" i="13" s="1"/>
  <c r="L125" i="13" l="1"/>
  <c r="D126" i="13"/>
  <c r="F125" i="13"/>
  <c r="E126" i="13" s="1"/>
  <c r="F126" i="13" s="1"/>
  <c r="I126" i="13" s="1"/>
  <c r="K126" i="13" s="1"/>
  <c r="G126" i="13"/>
  <c r="H126" i="13" s="1"/>
  <c r="J126" i="13" s="1"/>
  <c r="L126" i="13" s="1"/>
  <c r="H26" i="13"/>
  <c r="J26" i="13" s="1"/>
  <c r="L26" i="13" s="1"/>
  <c r="L24" i="13"/>
  <c r="J25" i="13"/>
  <c r="I125" i="13" l="1"/>
  <c r="K125" i="13" s="1"/>
  <c r="G27" i="13"/>
  <c r="Q95" i="13" a="1"/>
  <c r="Q95" i="13" s="1"/>
  <c r="R95" i="13" s="1"/>
  <c r="U95" i="13" s="1"/>
  <c r="P95" i="13" a="1"/>
  <c r="P95" i="13" s="1"/>
  <c r="T95" i="13" a="1"/>
  <c r="T95" i="13" s="1"/>
  <c r="S95" i="13" a="1"/>
  <c r="S95" i="13" s="1"/>
  <c r="L25" i="13"/>
  <c r="H27" i="13" l="1"/>
  <c r="G28" i="13" s="1"/>
  <c r="J27" i="13" l="1"/>
  <c r="H28" i="13"/>
  <c r="J28" i="13" s="1"/>
  <c r="L27" i="13"/>
  <c r="L28" i="13" l="1"/>
  <c r="D29" i="13"/>
  <c r="G29" i="13" s="1"/>
  <c r="E29" i="13" l="1"/>
  <c r="H29" i="13"/>
  <c r="F29" i="13" l="1"/>
  <c r="I29" i="13" s="1"/>
  <c r="J29" i="13"/>
  <c r="D30" i="13" s="1"/>
  <c r="K29" i="13" l="1"/>
  <c r="E30" i="13"/>
  <c r="G30" i="13"/>
  <c r="H30" i="13" s="1"/>
  <c r="L29" i="13"/>
  <c r="F30" i="13" l="1"/>
  <c r="I30" i="13" s="1"/>
  <c r="J30" i="13"/>
  <c r="K30" i="13" l="1"/>
  <c r="L30" i="13"/>
  <c r="D31" i="13"/>
  <c r="G31" i="13" l="1"/>
  <c r="H31" i="13" s="1"/>
  <c r="J31" i="13" s="1"/>
  <c r="E31" i="13"/>
  <c r="F31" i="13" l="1"/>
  <c r="I31" i="13"/>
  <c r="L31" i="13"/>
  <c r="D32" i="13"/>
  <c r="G32" i="13" l="1"/>
  <c r="K31" i="13"/>
  <c r="E32" i="13"/>
  <c r="H32" i="13" l="1"/>
  <c r="J32" i="13" s="1"/>
  <c r="F32" i="13"/>
  <c r="I32" i="13"/>
  <c r="D33" i="13" l="1"/>
  <c r="L32" i="13"/>
  <c r="E33" i="13"/>
  <c r="K32" i="13"/>
  <c r="G33" i="13"/>
  <c r="H33" i="13" l="1"/>
  <c r="J33" i="13" s="1"/>
  <c r="F33" i="13"/>
  <c r="L33" i="13" l="1"/>
  <c r="D34" i="13"/>
  <c r="E34" i="13" s="1"/>
  <c r="I33" i="13"/>
  <c r="G34" i="13"/>
  <c r="F34" i="13" l="1"/>
  <c r="I34" i="13"/>
  <c r="H34" i="13"/>
  <c r="J34" i="13" s="1"/>
  <c r="K33" i="13"/>
  <c r="K34" i="13"/>
  <c r="L34" i="13" l="1"/>
  <c r="D35" i="13"/>
  <c r="E35" i="13" s="1"/>
  <c r="G35" i="13"/>
  <c r="F35" i="13" l="1"/>
  <c r="I35" i="13" s="1"/>
  <c r="K35" i="13" s="1"/>
  <c r="H35" i="13"/>
  <c r="J35" i="13"/>
  <c r="L35" i="13" l="1"/>
  <c r="D36" i="13"/>
  <c r="G36" i="13"/>
  <c r="E36" i="13"/>
  <c r="F36" i="13" l="1"/>
  <c r="H36" i="13"/>
  <c r="J36" i="13"/>
  <c r="L36" i="13" l="1"/>
  <c r="D37" i="13"/>
  <c r="E37" i="13" s="1"/>
  <c r="G37" i="13"/>
  <c r="I36" i="13"/>
  <c r="K36" i="13" s="1"/>
  <c r="F37" i="13" l="1"/>
  <c r="I37" i="13"/>
  <c r="K37" i="13" s="1"/>
  <c r="H37" i="13"/>
  <c r="J37" i="13"/>
  <c r="L37" i="13" l="1"/>
  <c r="D38" i="13"/>
  <c r="O105" i="13" a="1"/>
  <c r="O105" i="13" s="1"/>
  <c r="G38" i="13"/>
  <c r="H38" i="13" s="1"/>
  <c r="J38" i="13" s="1"/>
  <c r="E38" i="13"/>
  <c r="F38" i="13" s="1"/>
  <c r="I38" i="13" s="1"/>
  <c r="D39" i="13" l="1"/>
  <c r="D40" i="13" s="1"/>
  <c r="L38" i="13"/>
  <c r="L39" i="13" s="1"/>
  <c r="L40" i="13" s="1"/>
  <c r="L41" i="13" s="1"/>
  <c r="J39" i="13"/>
  <c r="J40" i="13" s="1"/>
  <c r="K38" i="13"/>
  <c r="K39" i="13" s="1"/>
  <c r="K40" i="13" s="1"/>
  <c r="K41" i="13" s="1"/>
  <c r="I39" i="13"/>
  <c r="I40" i="13" s="1"/>
  <c r="E70" i="13"/>
  <c r="F70" i="13" s="1"/>
  <c r="I70" i="13" s="1"/>
  <c r="K70" i="13" s="1"/>
  <c r="G70" i="13"/>
  <c r="H70" i="13" l="1"/>
  <c r="G71" i="13" s="1"/>
  <c r="H71" i="13" s="1"/>
  <c r="J71" i="13" s="1"/>
  <c r="J70" i="13"/>
  <c r="L70" i="13" s="1"/>
  <c r="E71" i="13"/>
  <c r="L71" i="13" l="1"/>
  <c r="D72" i="13"/>
  <c r="F71" i="13"/>
  <c r="E72" i="13"/>
  <c r="I71" i="13"/>
  <c r="K71" i="13" s="1"/>
  <c r="G72" i="13"/>
  <c r="H72" i="13" l="1"/>
  <c r="F72" i="13"/>
  <c r="I72" i="13" s="1"/>
  <c r="K72" i="13" s="1"/>
  <c r="J72" i="13" l="1"/>
  <c r="L72" i="13" l="1"/>
  <c r="D73" i="13"/>
  <c r="E73" i="13" l="1"/>
  <c r="G73" i="13"/>
  <c r="H73" i="13" l="1"/>
  <c r="J73" i="13"/>
  <c r="F73" i="13"/>
  <c r="I73" i="13"/>
  <c r="K73" i="13" s="1"/>
  <c r="L73" i="13" l="1"/>
  <c r="D74" i="13"/>
  <c r="E74" i="13" s="1"/>
  <c r="F74" i="13" s="1"/>
  <c r="I74" i="13" s="1"/>
  <c r="K74" i="13" s="1"/>
  <c r="G74" i="13"/>
  <c r="H74" i="13" s="1"/>
  <c r="J74" i="13" s="1"/>
  <c r="L74" i="13" l="1"/>
  <c r="D75" i="13"/>
  <c r="G75" i="13" l="1"/>
  <c r="H75" i="13" s="1"/>
  <c r="J75" i="13" s="1"/>
  <c r="E75" i="13"/>
  <c r="F75" i="13" l="1"/>
  <c r="I75" i="13"/>
  <c r="K75" i="13" s="1"/>
  <c r="L75" i="13"/>
  <c r="D76" i="13"/>
  <c r="G76" i="13" s="1"/>
  <c r="H76" i="13" s="1"/>
  <c r="J76" i="13" s="1"/>
  <c r="L76" i="13" l="1"/>
  <c r="D77" i="13"/>
  <c r="G77" i="13" s="1"/>
  <c r="H77" i="13" s="1"/>
  <c r="J77" i="13" s="1"/>
  <c r="E76" i="13"/>
  <c r="L77" i="13" l="1"/>
  <c r="D78" i="13"/>
  <c r="F76" i="13"/>
  <c r="E77" i="13" s="1"/>
  <c r="F77" i="13" s="1"/>
  <c r="I77" i="13" s="1"/>
  <c r="K77" i="13" s="1"/>
  <c r="G78" i="13"/>
  <c r="H78" i="13" s="1"/>
  <c r="J78" i="13" l="1"/>
  <c r="I76" i="13"/>
  <c r="K76" i="13" s="1"/>
  <c r="E78" i="13"/>
  <c r="F78" i="13" s="1"/>
  <c r="I78" i="13" s="1"/>
  <c r="K78" i="13" s="1"/>
  <c r="L78" i="13" l="1"/>
  <c r="D79" i="13"/>
  <c r="E79" i="13" l="1"/>
  <c r="F79" i="13" s="1"/>
  <c r="I79" i="13" s="1"/>
  <c r="K79" i="13" s="1"/>
  <c r="G79" i="13"/>
  <c r="H79" i="13" l="1"/>
  <c r="J79" i="13" s="1"/>
  <c r="L79" i="13" l="1"/>
  <c r="D80" i="13"/>
  <c r="E80" i="13" l="1"/>
  <c r="G80" i="13"/>
  <c r="H80" i="13" s="1"/>
  <c r="J80" i="13" s="1"/>
  <c r="L80" i="13" l="1"/>
  <c r="D81" i="13"/>
  <c r="G81" i="13" s="1"/>
  <c r="H81" i="13" s="1"/>
  <c r="J81" i="13" s="1"/>
  <c r="L81" i="13" s="1"/>
  <c r="F80" i="13"/>
  <c r="E81" i="13" s="1"/>
  <c r="I80" i="13"/>
  <c r="K80" i="13" s="1"/>
  <c r="F81" i="13" l="1"/>
  <c r="I81" i="13" s="1"/>
  <c r="K81" i="13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<sst xmlns="http://schemas.openxmlformats.org/spreadsheetml/2006/main" count="1284" uniqueCount="198">
  <si>
    <t>Group</t>
  </si>
  <si>
    <t>Products</t>
  </si>
  <si>
    <t>Thép xây dựng</t>
  </si>
  <si>
    <t>Phôi thép</t>
  </si>
  <si>
    <t>Thép cuộn</t>
  </si>
  <si>
    <t>Thép đặc biệt</t>
  </si>
  <si>
    <t>Thép thanh</t>
  </si>
  <si>
    <t>Ống thép</t>
  </si>
  <si>
    <t>Ống thép đen</t>
  </si>
  <si>
    <t>Ống thép mạ kẽm nhúng nóng</t>
  </si>
  <si>
    <t>Ống thép cỡ lớn</t>
  </si>
  <si>
    <t>Tôn cuộn mạ kẽm</t>
  </si>
  <si>
    <t>Điện máy gia dụng</t>
  </si>
  <si>
    <t>Nông nghiệp</t>
  </si>
  <si>
    <t>Thép cuộn cán nóng ( HRC )</t>
  </si>
  <si>
    <t>Tôn</t>
  </si>
  <si>
    <t>Dữ liệu 2021</t>
  </si>
  <si>
    <t>Dữ liệu 2022</t>
  </si>
  <si>
    <t>Đơn vị</t>
  </si>
  <si>
    <t>Tấn</t>
  </si>
  <si>
    <t>Sản lượng bán ra tập đoàn Hòa Phát</t>
  </si>
  <si>
    <t>Tổng</t>
  </si>
  <si>
    <t>Dữ liệu 2023</t>
  </si>
  <si>
    <t>Australia</t>
  </si>
  <si>
    <t xml:space="preserve"> </t>
  </si>
  <si>
    <t>Tổng giá trị</t>
  </si>
  <si>
    <t>1.44 tỷ $</t>
  </si>
  <si>
    <t>700 tr $</t>
  </si>
  <si>
    <t>tấn than</t>
  </si>
  <si>
    <t>1 tàu : Harmony : tàu của HPG</t>
  </si>
  <si>
    <t>Nhập khẩu</t>
  </si>
  <si>
    <t>Xuất khẩu</t>
  </si>
  <si>
    <t xml:space="preserve">Thị trường : Canada, Úc,Hồng Kông, Nhật, Hàn Quốc, Campuchia </t>
  </si>
  <si>
    <t>Thị trường : Úc</t>
  </si>
  <si>
    <t>Than các loại</t>
  </si>
  <si>
    <t xml:space="preserve">Quặng </t>
  </si>
  <si>
    <t>Total</t>
  </si>
  <si>
    <t>Mean</t>
  </si>
  <si>
    <t>Year</t>
  </si>
  <si>
    <t>Month</t>
  </si>
  <si>
    <t>Seq</t>
  </si>
  <si>
    <t>Amount of rain (Y)</t>
  </si>
  <si>
    <t>Error</t>
  </si>
  <si>
    <t>Error^2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</si>
  <si>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</si>
  <si>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</si>
  <si>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</si>
  <si>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</si>
  <si>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</si>
  <si>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</si>
  <si>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</si>
  <si>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</si>
  <si>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</si>
  <si>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</si>
  <si>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</si>
  <si>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</si>
  <si>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MAD</t>
  </si>
  <si>
    <t>MSE</t>
  </si>
  <si>
    <t>RMSE</t>
  </si>
  <si>
    <t>MAPE</t>
  </si>
  <si>
    <t>MPE</t>
  </si>
  <si>
    <t>MA(3)</t>
  </si>
  <si>
    <t>MA(5)</t>
  </si>
  <si>
    <t>(D[i]-MA(3))^2</t>
  </si>
  <si>
    <t>(D[i]-MA(5))^2</t>
  </si>
  <si>
    <t>L[t]</t>
  </si>
  <si>
    <t>F[t+m]</t>
  </si>
  <si>
    <t>T[t]</t>
  </si>
  <si>
    <t>`</t>
  </si>
  <si>
    <t>Nhóm</t>
  </si>
  <si>
    <t>kg</t>
  </si>
  <si>
    <t xml:space="preserve">Thép cuộn phi 6,8 ( 250kg )/ cuộn </t>
  </si>
  <si>
    <t>Thép HP Dung Quất</t>
  </si>
  <si>
    <t>Kg</t>
  </si>
  <si>
    <t>tấn</t>
  </si>
  <si>
    <t>Ống phi 21 - dày 1.0mm</t>
  </si>
  <si>
    <t>cây</t>
  </si>
  <si>
    <t>Ống phi 21 - dày 1.2mm</t>
  </si>
  <si>
    <t>Ống phi 27 - dày 1.2mm</t>
  </si>
  <si>
    <t>Ống phi 27 - dày 1.4mm</t>
  </si>
  <si>
    <t>Ống phi 27 - dày 1.8mm</t>
  </si>
  <si>
    <t>Ống phi 34 - dày 1.0mm</t>
  </si>
  <si>
    <t>Ống phi 34 - dày 1.2mm</t>
  </si>
  <si>
    <t>Ống phi 34 - dày 1.4mm</t>
  </si>
  <si>
    <t>Ống phi 34 - dày 1.8mm</t>
  </si>
  <si>
    <t>Ống phi 34 - dày 2.0mm</t>
  </si>
  <si>
    <t>Ống phi 42 - dày 1.2mm</t>
  </si>
  <si>
    <t>Ống phi 42 - dày 1.4mm</t>
  </si>
  <si>
    <t>Ống phi 42 - dày 1.8mm</t>
  </si>
  <si>
    <t>Ống phi 42 - dày  2.0mm</t>
  </si>
  <si>
    <t>Ống phi 42 - dày  2.3mm</t>
  </si>
  <si>
    <t>Ống phi 49 - dày 1.2mm</t>
  </si>
  <si>
    <t>Ống phi 49 - dày 1.4mm</t>
  </si>
  <si>
    <t>Ống phi 49 - dày 1.8mm</t>
  </si>
  <si>
    <t>Ống phi 49 - dày  2.0mm</t>
  </si>
  <si>
    <t>Ống phi 49 - dày  2.3mm</t>
  </si>
  <si>
    <t>Ống phi 60- dày 1.2mm</t>
  </si>
  <si>
    <t>Ống phi 60- dày 1.4mm</t>
  </si>
  <si>
    <t>Ống phi 60- dày 1.8mm</t>
  </si>
  <si>
    <t>Ống phi 60- dày 2.0mm</t>
  </si>
  <si>
    <t>Ống phi 76 - dày 1.2mm</t>
  </si>
  <si>
    <t>Ống phi 76- dày 1.4mm</t>
  </si>
  <si>
    <t>Ống phi 76- dày 1.8mm</t>
  </si>
  <si>
    <t>Ống phi 76- dày 2.0mm</t>
  </si>
  <si>
    <t>Ống phi 90- dày 1.4mm</t>
  </si>
  <si>
    <t>Ống phi 90- dày 1.8mm</t>
  </si>
  <si>
    <t>Ống phi 90- dày 2.0mm</t>
  </si>
  <si>
    <t>Ống phi 114- dày 1.4mm</t>
  </si>
  <si>
    <t>Ống phi 114- dày 1.8mm</t>
  </si>
  <si>
    <t>Ống phi 114- dày 2.0mm</t>
  </si>
  <si>
    <t>Ống phi 114- dày 3.0mm</t>
  </si>
  <si>
    <t>Phi 21 - 1.6mm</t>
  </si>
  <si>
    <t>Phi 26.65 - 2.6mm</t>
  </si>
  <si>
    <t>Phi 33.5 2.5mm</t>
  </si>
  <si>
    <t>Phi 42.2 - 2.3mm</t>
  </si>
  <si>
    <t>Phi 48.1 - 2.5mm</t>
  </si>
  <si>
    <t>Kg/Cây</t>
  </si>
  <si>
    <t>Đơn giá (VNĐ/Kg)</t>
  </si>
  <si>
    <t>Ống đen cỡ lớn D141.3 x 3.96</t>
  </si>
  <si>
    <t>Ống đen cỡ lớn D168.3 x 6.35</t>
  </si>
  <si>
    <t>Ống đen cỡ lớn D273 x 6.35</t>
  </si>
  <si>
    <t>Loại tôn dày 2.0-5.0mm</t>
  </si>
  <si>
    <t>mét</t>
  </si>
  <si>
    <t>Tôn lợp mái HP</t>
  </si>
  <si>
    <t>tấm</t>
  </si>
  <si>
    <t>Biểu giá bán ra Hòa Phát</t>
  </si>
  <si>
    <t>Giá bán ra ( VAT + discount )</t>
  </si>
  <si>
    <t>Giá bán ra ( không discount ) - 15%</t>
  </si>
  <si>
    <t>Giá nguyên vật liệu ( 35% )</t>
  </si>
  <si>
    <t>Amount of Sale</t>
  </si>
  <si>
    <t>Sale</t>
  </si>
  <si>
    <t>EXPLORING DATA PATTERNS WITH AUTOCORRELATION ANALYSIS</t>
  </si>
  <si>
    <t>Autocorrelation is the correlation between a variable lagged one or more time periods and itself.</t>
  </si>
  <si>
    <t>r</t>
  </si>
  <si>
    <t>Y-1</t>
  </si>
  <si>
    <t>Giá trị quá thấp, không sử dụng Naive dc, data fluctuation qúa lớn</t>
  </si>
  <si>
    <t>Are the data random?</t>
  </si>
  <si>
    <t>SE(r1)</t>
  </si>
  <si>
    <t>Range of confident</t>
  </si>
  <si>
    <t>0 ± t × SE(rk)</t>
  </si>
  <si>
    <t>Khả năng cao là data random</t>
  </si>
  <si>
    <t>Ho : pi = 0</t>
  </si>
  <si>
    <t>H1 : pi ~= 0</t>
  </si>
  <si>
    <t>t test statistics</t>
  </si>
  <si>
    <t>t critical</t>
  </si>
  <si>
    <t>Cannot reject the lag 1 autocorrelation is significantly different from 0.</t>
  </si>
  <si>
    <t>Tức là : data có độ tương đồng giống nhau</t>
  </si>
  <si>
    <t>Do the Data Have a Trend?</t>
  </si>
  <si>
    <t>Y - Yt-1</t>
  </si>
  <si>
    <t>Conclude : No Trend</t>
  </si>
  <si>
    <t>Are the Data Seasonal?</t>
  </si>
  <si>
    <t>r2</t>
  </si>
  <si>
    <t>r3</t>
  </si>
  <si>
    <t>r4</t>
  </si>
  <si>
    <t>r1</t>
  </si>
  <si>
    <t>critical value ( SE )</t>
  </si>
  <si>
    <t>critical valueSE(2)</t>
  </si>
  <si>
    <t>Critical value SE(3)</t>
  </si>
  <si>
    <t>Critical value SE(4)</t>
  </si>
  <si>
    <t>Yt-Ymean</t>
  </si>
  <si>
    <t>Yt-1 - Yt</t>
  </si>
  <si>
    <t>sum</t>
  </si>
  <si>
    <t>Yt-1 - Y Mean X Y( t- Ymean)</t>
  </si>
  <si>
    <t>(Yt-Ymean)^2</t>
  </si>
  <si>
    <t>Autocorrelation (r1)</t>
  </si>
  <si>
    <t>Autocorrelation (r2)</t>
  </si>
  <si>
    <t>Autocorrelation (r3)</t>
  </si>
  <si>
    <t>Autocorrelation (r4)</t>
  </si>
  <si>
    <t>&lt;</t>
  </si>
  <si>
    <t>MA : Phôi thép</t>
  </si>
  <si>
    <t>MA : Thép HRC</t>
  </si>
  <si>
    <t>MA : Thép thanh</t>
  </si>
  <si>
    <t>MA : Ống thép đen</t>
  </si>
  <si>
    <t>HRC</t>
  </si>
  <si>
    <t>MA : Tôn</t>
  </si>
  <si>
    <t>F(alpha = 0.1)</t>
  </si>
  <si>
    <t>F(alpha = 0.35)</t>
  </si>
  <si>
    <t>(D[i]-F(0.1))^2</t>
  </si>
  <si>
    <t>(D[i]-F(0.35))^2</t>
  </si>
  <si>
    <t>Alpha = 0.1</t>
  </si>
  <si>
    <t>Alpha = 0.35</t>
  </si>
  <si>
    <t>Tracking signal</t>
  </si>
  <si>
    <t>F[t+m] ( al:0.3 ; b= 0.1)</t>
  </si>
  <si>
    <t>F[t+m] ( al:0. 7; b= 0.3)</t>
  </si>
  <si>
    <t>Alpha = 0.3 ; Beta = 0.1</t>
  </si>
  <si>
    <t>Alpha = 0.7 ; Beta = 0.3</t>
  </si>
  <si>
    <t>F[t+m] ( al:0.3 ; b= 0.1, gamma = 0.1)  season = 4</t>
  </si>
  <si>
    <t>F[t+m] ( al:0.7 ; b= 0.3, gamma = 0.3)  season = 12</t>
  </si>
  <si>
    <t>B</t>
  </si>
  <si>
    <t>S</t>
  </si>
  <si>
    <t>Moving average</t>
  </si>
  <si>
    <t>Exponential Smoothing</t>
  </si>
  <si>
    <t>Holt's</t>
  </si>
  <si>
    <t>Winter's</t>
  </si>
  <si>
    <t>Min</t>
  </si>
  <si>
    <t>Decision</t>
  </si>
  <si>
    <t>Holt's 2</t>
  </si>
  <si>
    <t>Unit : Tấn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</si>
</sst>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_(* #,##0_);_(* \(#,##0\);_(* &quot;-&quot;??_);_(@_)"/>
    <numFmt numFmtId="165" formatCode="_([$VND]\ * #,##0.00_);_([$VND]\ * \(#,##0.00\);_([$VND]\ * &quot;-&quot;??_);_(@_)"/>
    <numFmt numFmtId="166" formatCode="#,##0\ \&amp;\ &quot;kg&quot;"/>
    <numFmt numFmtId="167" formatCode="#,##0.0000"/>
  </numFmts>
  <fonts count="10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8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  <font>
      <b/>
      <sz val="12"/>
      <color theme="1"/>
      <name val="Aptos Narrow"/>
      <family val="2"/>
      <scheme val="minor"/>
    </font>
    <font>
      <b/>
      <sz val="22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43" fontId="3" fillId="0" borderId="0" applyFont="0" applyFill="0" applyBorder="0" applyAlignment="0" applyProtection="0"/>
    <xf numFmtId="9" fontId="3" fillId="0" borderId="0" applyFont="0" applyFill="0" applyBorder="0" applyAlignment="0" applyProtection="0"/>
  </cellStyleXfs>
  <cellXfs count="58">
    <xf numFmtId="0" fontId="0" fillId="0" borderId="0" xfId="0"/>
    <xf numFmtId="0" fontId="0" fillId="0" borderId="1" xfId="0" applyBorder="1" applyAlignment="1">
      <alignment vertical="center"/>
    </xf>
    <xf numFmtId="17" fontId="0" fillId="0" borderId="0" xfId="0" applyNumberFormat="1"/>
    <xf numFmtId="0" fontId="1" fillId="0" borderId="0" xfId="1"/>
    <xf numFmtId="3" fontId="0" fillId="0" borderId="1" xfId="0" applyNumberFormat="1" applyBorder="1" applyAlignment="1">
      <alignment vertical="center"/>
    </xf>
    <xf numFmtId="3" fontId="0" fillId="0" borderId="2" xfId="0" applyNumberFormat="1" applyBorder="1" applyAlignment="1">
      <alignment vertical="center"/>
    </xf>
    <xf numFmtId="3" fontId="0" fillId="0" borderId="3" xfId="0" applyNumberFormat="1" applyBorder="1" applyAlignment="1">
      <alignment vertical="center"/>
    </xf>
    <xf numFmtId="3" fontId="0" fillId="0" borderId="0" xfId="0" applyNumberFormat="1"/>
    <xf numFmtId="0" fontId="0" fillId="0" borderId="1" xfId="0" applyBorder="1"/>
    <xf numFmtId="3" fontId="0" fillId="0" borderId="1" xfId="0" applyNumberFormat="1" applyBorder="1"/>
    <xf numFmtId="0" fontId="2" fillId="0" borderId="0" xfId="0" applyFont="1" applyAlignment="1">
      <alignment horizontal="center" vertical="center"/>
    </xf>
    <xf numFmtId="43" fontId="0" fillId="0" borderId="1" xfId="2" applyFont="1" applyBorder="1"/>
    <xf numFmtId="164" fontId="0" fillId="0" borderId="1" xfId="2" applyNumberFormat="1" applyFont="1" applyBorder="1"/>
    <xf numFmtId="0" fontId="6" fillId="0" borderId="1" xfId="0" applyFont="1" applyBorder="1"/>
    <xf numFmtId="1" fontId="0" fillId="0" borderId="1" xfId="0" applyNumberFormat="1" applyBorder="1" applyAlignment="1">
      <alignment vertical="center"/>
    </xf>
    <xf numFmtId="165" fontId="0" fillId="0" borderId="1" xfId="0" applyNumberFormat="1" applyBorder="1"/>
    <xf numFmtId="3" fontId="6" fillId="0" borderId="1" xfId="0" applyNumberFormat="1" applyFont="1" applyBorder="1"/>
    <xf numFmtId="2" fontId="0" fillId="0" borderId="1" xfId="0" applyNumberFormat="1" applyBorder="1"/>
    <xf numFmtId="2" fontId="6" fillId="0" borderId="1" xfId="0" applyNumberFormat="1" applyFont="1" applyBorder="1"/>
    <xf numFmtId="166" fontId="6" fillId="0" borderId="1" xfId="0" applyNumberFormat="1" applyFont="1" applyBorder="1"/>
    <xf numFmtId="0" fontId="5" fillId="0" borderId="1" xfId="0" applyFont="1" applyBorder="1" applyAlignment="1">
      <alignment vertical="center"/>
    </xf>
    <xf numFmtId="0" fontId="7" fillId="0" borderId="1" xfId="0" applyFont="1" applyBorder="1"/>
    <xf numFmtId="0" fontId="8" fillId="0" borderId="1" xfId="0" applyFont="1" applyBorder="1" applyAlignment="1">
      <alignment vertical="center"/>
    </xf>
    <xf numFmtId="0" fontId="8" fillId="0" borderId="1" xfId="0" applyFont="1" applyBorder="1"/>
    <xf numFmtId="165" fontId="0" fillId="0" borderId="1" xfId="0" applyNumberFormat="1" applyBorder="1" applyAlignment="1">
      <alignment vertical="center"/>
    </xf>
    <xf numFmtId="0" fontId="0" fillId="2" borderId="1" xfId="0" applyFill="1" applyBorder="1"/>
    <xf numFmtId="0" fontId="5" fillId="0" borderId="0" xfId="0" applyFont="1"/>
    <xf numFmtId="0" fontId="0" fillId="0" borderId="1" xfId="0" applyBorder="1" applyAlignment="1">
      <alignment horizontal="center"/>
    </xf>
    <xf numFmtId="167" fontId="0" fillId="0" borderId="0" xfId="0" applyNumberFormat="1"/>
    <xf numFmtId="9" fontId="0" fillId="0" borderId="1" xfId="3" applyFont="1" applyBorder="1"/>
    <xf numFmtId="43" fontId="0" fillId="0" borderId="0" xfId="2" applyFont="1" applyBorder="1"/>
    <xf numFmtId="3" fontId="0" fillId="4" borderId="1" xfId="0" applyNumberFormat="1" applyFill="1" applyBorder="1"/>
    <xf numFmtId="3" fontId="0" fillId="5" borderId="1" xfId="0" applyNumberFormat="1" applyFill="1" applyBorder="1"/>
    <xf numFmtId="3" fontId="0" fillId="6" borderId="1" xfId="0" applyNumberFormat="1" applyFill="1" applyBorder="1"/>
    <xf numFmtId="0" fontId="0" fillId="6" borderId="1" xfId="0" applyFill="1" applyBorder="1"/>
    <xf numFmtId="9" fontId="0" fillId="6" borderId="1" xfId="3" applyFont="1" applyFill="1" applyBorder="1"/>
    <xf numFmtId="3" fontId="0" fillId="2" borderId="1" xfId="0" applyNumberFormat="1" applyFill="1" applyBorder="1"/>
    <xf numFmtId="3" fontId="0" fillId="3" borderId="1" xfId="0" applyNumberFormat="1" applyFill="1" applyBorder="1"/>
    <xf numFmtId="0" fontId="9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wrapText="1"/>
    </xf>
  </cellXfs>
  <cellStyles count="4">
    <cellStyle name="Comma" xfId="2" builtinId="3"/>
    <cellStyle name="Hyperlink" xfId="1" builtinId="8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18" Type="http://schemas.microsoft.com/office/2017/06/relationships/rdRichValueStructure" Target="richData/rdrichvaluestructure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microsoft.com/office/2017/06/relationships/rdRichValue" Target="richData/rdrichvalue.xml"/><Relationship Id="rId2" Type="http://schemas.openxmlformats.org/officeDocument/2006/relationships/worksheet" Target="worksheets/sheet2.xml"/><Relationship Id="rId16" Type="http://schemas.microsoft.com/office/2022/10/relationships/richValueRel" Target="richData/richValueRel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microsoft.com/office/2017/06/relationships/rdRichValueTypes" Target="richData/rdRichValueTyp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vi-VN"/>
              <a:t>Sản lượng bán ra của Hòa Phát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1"/>
          <c:order val="1"/>
          <c:tx>
            <c:strRef>
              <c:f>'Historical Sale'!$B$7</c:f>
              <c:strCache>
                <c:ptCount val="1"/>
                <c:pt idx="0">
                  <c:v>Phôi thép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'Historical Sale'!$C$5:$Z$5</c:f>
              <c:numCache>
                <c:formatCode>mmm\-yy</c:formatCode>
                <c:ptCount val="24"/>
                <c:pt idx="0">
                  <c:v>44197</c:v>
                </c:pt>
                <c:pt idx="1">
                  <c:v>44228</c:v>
                </c:pt>
                <c:pt idx="2">
                  <c:v>44256</c:v>
                </c:pt>
                <c:pt idx="3">
                  <c:v>44287</c:v>
                </c:pt>
                <c:pt idx="4">
                  <c:v>44317</c:v>
                </c:pt>
                <c:pt idx="5">
                  <c:v>44348</c:v>
                </c:pt>
                <c:pt idx="6">
                  <c:v>44378</c:v>
                </c:pt>
                <c:pt idx="7">
                  <c:v>44409</c:v>
                </c:pt>
                <c:pt idx="8">
                  <c:v>44440</c:v>
                </c:pt>
                <c:pt idx="9">
                  <c:v>44470</c:v>
                </c:pt>
                <c:pt idx="10">
                  <c:v>44501</c:v>
                </c:pt>
                <c:pt idx="11">
                  <c:v>44531</c:v>
                </c:pt>
                <c:pt idx="12">
                  <c:v>44562</c:v>
                </c:pt>
                <c:pt idx="13">
                  <c:v>44593</c:v>
                </c:pt>
                <c:pt idx="14">
                  <c:v>44621</c:v>
                </c:pt>
                <c:pt idx="15">
                  <c:v>44652</c:v>
                </c:pt>
                <c:pt idx="16">
                  <c:v>44682</c:v>
                </c:pt>
                <c:pt idx="17">
                  <c:v>44713</c:v>
                </c:pt>
                <c:pt idx="18">
                  <c:v>44743</c:v>
                </c:pt>
                <c:pt idx="19">
                  <c:v>44774</c:v>
                </c:pt>
                <c:pt idx="20">
                  <c:v>44805</c:v>
                </c:pt>
                <c:pt idx="21">
                  <c:v>44835</c:v>
                </c:pt>
                <c:pt idx="22">
                  <c:v>44866</c:v>
                </c:pt>
                <c:pt idx="23">
                  <c:v>44896</c:v>
                </c:pt>
              </c:numCache>
            </c:numRef>
          </c:cat>
          <c:val>
            <c:numRef>
              <c:f>'Historical Sale'!$C$7:$Z$7</c:f>
              <c:numCache>
                <c:formatCode>#,##0</c:formatCode>
                <c:ptCount val="24"/>
                <c:pt idx="0">
                  <c:v>110000</c:v>
                </c:pt>
                <c:pt idx="1">
                  <c:v>60000</c:v>
                </c:pt>
                <c:pt idx="2">
                  <c:v>200000</c:v>
                </c:pt>
                <c:pt idx="3">
                  <c:v>100000</c:v>
                </c:pt>
                <c:pt idx="4">
                  <c:v>40000</c:v>
                </c:pt>
                <c:pt idx="5">
                  <c:v>20000</c:v>
                </c:pt>
                <c:pt idx="6">
                  <c:v>10000</c:v>
                </c:pt>
                <c:pt idx="7">
                  <c:v>60000</c:v>
                </c:pt>
                <c:pt idx="8">
                  <c:v>100000</c:v>
                </c:pt>
                <c:pt idx="9">
                  <c:v>110000</c:v>
                </c:pt>
                <c:pt idx="10">
                  <c:v>110000</c:v>
                </c:pt>
                <c:pt idx="11">
                  <c:v>70000</c:v>
                </c:pt>
                <c:pt idx="12">
                  <c:v>10000</c:v>
                </c:pt>
                <c:pt idx="13">
                  <c:v>15000</c:v>
                </c:pt>
                <c:pt idx="14">
                  <c:v>20000</c:v>
                </c:pt>
                <c:pt idx="15">
                  <c:v>40000</c:v>
                </c:pt>
                <c:pt idx="16">
                  <c:v>40000</c:v>
                </c:pt>
                <c:pt idx="17">
                  <c:v>10000</c:v>
                </c:pt>
                <c:pt idx="18">
                  <c:v>5000</c:v>
                </c:pt>
                <c:pt idx="19">
                  <c:v>8000</c:v>
                </c:pt>
                <c:pt idx="20">
                  <c:v>10000</c:v>
                </c:pt>
                <c:pt idx="21">
                  <c:v>10000</c:v>
                </c:pt>
                <c:pt idx="22">
                  <c:v>8000</c:v>
                </c:pt>
                <c:pt idx="23">
                  <c:v>80000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A49-42CD-8EE2-51AA39B9A052}"/>
            </c:ext>
          </c:extLst>
        </c:ser>
        <c:ser>
          <c:idx val="3"/>
          <c:order val="3"/>
          <c:tx>
            <c:strRef>
              <c:f>'Historical Sale'!$B$9</c:f>
              <c:strCache>
                <c:ptCount val="1"/>
                <c:pt idx="0">
                  <c:v>Thép cuộn cán nóng ( HRC )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'Historical Sale'!$C$5:$Z$5</c:f>
              <c:numCache>
                <c:formatCode>mmm\-yy</c:formatCode>
                <c:ptCount val="24"/>
                <c:pt idx="0">
                  <c:v>44197</c:v>
                </c:pt>
                <c:pt idx="1">
                  <c:v>44228</c:v>
                </c:pt>
                <c:pt idx="2">
                  <c:v>44256</c:v>
                </c:pt>
                <c:pt idx="3">
                  <c:v>44287</c:v>
                </c:pt>
                <c:pt idx="4">
                  <c:v>44317</c:v>
                </c:pt>
                <c:pt idx="5">
                  <c:v>44348</c:v>
                </c:pt>
                <c:pt idx="6">
                  <c:v>44378</c:v>
                </c:pt>
                <c:pt idx="7">
                  <c:v>44409</c:v>
                </c:pt>
                <c:pt idx="8">
                  <c:v>44440</c:v>
                </c:pt>
                <c:pt idx="9">
                  <c:v>44470</c:v>
                </c:pt>
                <c:pt idx="10">
                  <c:v>44501</c:v>
                </c:pt>
                <c:pt idx="11">
                  <c:v>44531</c:v>
                </c:pt>
                <c:pt idx="12">
                  <c:v>44562</c:v>
                </c:pt>
                <c:pt idx="13">
                  <c:v>44593</c:v>
                </c:pt>
                <c:pt idx="14">
                  <c:v>44621</c:v>
                </c:pt>
                <c:pt idx="15">
                  <c:v>44652</c:v>
                </c:pt>
                <c:pt idx="16">
                  <c:v>44682</c:v>
                </c:pt>
                <c:pt idx="17">
                  <c:v>44713</c:v>
                </c:pt>
                <c:pt idx="18">
                  <c:v>44743</c:v>
                </c:pt>
                <c:pt idx="19">
                  <c:v>44774</c:v>
                </c:pt>
                <c:pt idx="20">
                  <c:v>44805</c:v>
                </c:pt>
                <c:pt idx="21">
                  <c:v>44835</c:v>
                </c:pt>
                <c:pt idx="22">
                  <c:v>44866</c:v>
                </c:pt>
                <c:pt idx="23">
                  <c:v>44896</c:v>
                </c:pt>
              </c:numCache>
            </c:numRef>
          </c:cat>
          <c:val>
            <c:numRef>
              <c:f>'Historical Sale'!$C$9:$Z$9</c:f>
              <c:numCache>
                <c:formatCode>#,##0</c:formatCode>
                <c:ptCount val="24"/>
                <c:pt idx="0">
                  <c:v>230000</c:v>
                </c:pt>
                <c:pt idx="1">
                  <c:v>200000</c:v>
                </c:pt>
                <c:pt idx="2">
                  <c:v>240000</c:v>
                </c:pt>
                <c:pt idx="3">
                  <c:v>200000</c:v>
                </c:pt>
                <c:pt idx="4">
                  <c:v>210000</c:v>
                </c:pt>
                <c:pt idx="5">
                  <c:v>220000</c:v>
                </c:pt>
                <c:pt idx="6">
                  <c:v>200000</c:v>
                </c:pt>
                <c:pt idx="7">
                  <c:v>300000</c:v>
                </c:pt>
                <c:pt idx="8">
                  <c:v>200000</c:v>
                </c:pt>
                <c:pt idx="9">
                  <c:v>200000</c:v>
                </c:pt>
                <c:pt idx="10">
                  <c:v>210000</c:v>
                </c:pt>
                <c:pt idx="11">
                  <c:v>200000</c:v>
                </c:pt>
                <c:pt idx="12">
                  <c:v>230000</c:v>
                </c:pt>
                <c:pt idx="13">
                  <c:v>250000</c:v>
                </c:pt>
                <c:pt idx="14">
                  <c:v>300000</c:v>
                </c:pt>
                <c:pt idx="15">
                  <c:v>270000</c:v>
                </c:pt>
                <c:pt idx="16">
                  <c:v>200000</c:v>
                </c:pt>
                <c:pt idx="17">
                  <c:v>200000</c:v>
                </c:pt>
                <c:pt idx="18">
                  <c:v>180000</c:v>
                </c:pt>
                <c:pt idx="19">
                  <c:v>240000</c:v>
                </c:pt>
                <c:pt idx="20">
                  <c:v>220000</c:v>
                </c:pt>
                <c:pt idx="21">
                  <c:v>250000</c:v>
                </c:pt>
                <c:pt idx="22">
                  <c:v>200000</c:v>
                </c:pt>
                <c:pt idx="23">
                  <c:v>180000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A49-42CD-8EE2-51AA39B9A052}"/>
            </c:ext>
          </c:extLst>
        </c:ser>
        <c:ser>
          <c:idx val="5"/>
          <c:order val="5"/>
          <c:tx>
            <c:strRef>
              <c:f>'Historical Sale'!$B$11</c:f>
              <c:strCache>
                <c:ptCount val="1"/>
                <c:pt idx="0">
                  <c:v>Thép thanh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'Historical Sale'!$C$5:$Z$5</c:f>
              <c:numCache>
                <c:formatCode>mmm\-yy</c:formatCode>
                <c:ptCount val="24"/>
                <c:pt idx="0">
                  <c:v>44197</c:v>
                </c:pt>
                <c:pt idx="1">
                  <c:v>44228</c:v>
                </c:pt>
                <c:pt idx="2">
                  <c:v>44256</c:v>
                </c:pt>
                <c:pt idx="3">
                  <c:v>44287</c:v>
                </c:pt>
                <c:pt idx="4">
                  <c:v>44317</c:v>
                </c:pt>
                <c:pt idx="5">
                  <c:v>44348</c:v>
                </c:pt>
                <c:pt idx="6">
                  <c:v>44378</c:v>
                </c:pt>
                <c:pt idx="7">
                  <c:v>44409</c:v>
                </c:pt>
                <c:pt idx="8">
                  <c:v>44440</c:v>
                </c:pt>
                <c:pt idx="9">
                  <c:v>44470</c:v>
                </c:pt>
                <c:pt idx="10">
                  <c:v>44501</c:v>
                </c:pt>
                <c:pt idx="11">
                  <c:v>44531</c:v>
                </c:pt>
                <c:pt idx="12">
                  <c:v>44562</c:v>
                </c:pt>
                <c:pt idx="13">
                  <c:v>44593</c:v>
                </c:pt>
                <c:pt idx="14">
                  <c:v>44621</c:v>
                </c:pt>
                <c:pt idx="15">
                  <c:v>44652</c:v>
                </c:pt>
                <c:pt idx="16">
                  <c:v>44682</c:v>
                </c:pt>
                <c:pt idx="17">
                  <c:v>44713</c:v>
                </c:pt>
                <c:pt idx="18">
                  <c:v>44743</c:v>
                </c:pt>
                <c:pt idx="19">
                  <c:v>44774</c:v>
                </c:pt>
                <c:pt idx="20">
                  <c:v>44805</c:v>
                </c:pt>
                <c:pt idx="21">
                  <c:v>44835</c:v>
                </c:pt>
                <c:pt idx="22">
                  <c:v>44866</c:v>
                </c:pt>
                <c:pt idx="23">
                  <c:v>44896</c:v>
                </c:pt>
              </c:numCache>
            </c:numRef>
          </c:cat>
          <c:val>
            <c:numRef>
              <c:f>'Historical Sale'!$C$11:$Z$11</c:f>
              <c:numCache>
                <c:formatCode>#,##0</c:formatCode>
                <c:ptCount val="24"/>
                <c:pt idx="0">
                  <c:v>190000</c:v>
                </c:pt>
                <c:pt idx="1">
                  <c:v>190000</c:v>
                </c:pt>
                <c:pt idx="2">
                  <c:v>480000</c:v>
                </c:pt>
                <c:pt idx="3">
                  <c:v>420000</c:v>
                </c:pt>
                <c:pt idx="4">
                  <c:v>360000</c:v>
                </c:pt>
                <c:pt idx="5">
                  <c:v>220000</c:v>
                </c:pt>
                <c:pt idx="6">
                  <c:v>380000</c:v>
                </c:pt>
                <c:pt idx="7">
                  <c:v>230000</c:v>
                </c:pt>
                <c:pt idx="8">
                  <c:v>360000</c:v>
                </c:pt>
                <c:pt idx="9">
                  <c:v>440000</c:v>
                </c:pt>
                <c:pt idx="10">
                  <c:v>280000</c:v>
                </c:pt>
                <c:pt idx="11">
                  <c:v>380000</c:v>
                </c:pt>
                <c:pt idx="12">
                  <c:v>380000</c:v>
                </c:pt>
                <c:pt idx="13">
                  <c:v>450000</c:v>
                </c:pt>
                <c:pt idx="14">
                  <c:v>510000</c:v>
                </c:pt>
                <c:pt idx="15">
                  <c:v>300000</c:v>
                </c:pt>
                <c:pt idx="16">
                  <c:v>390000</c:v>
                </c:pt>
                <c:pt idx="17">
                  <c:v>350000</c:v>
                </c:pt>
                <c:pt idx="18">
                  <c:v>380000</c:v>
                </c:pt>
                <c:pt idx="19">
                  <c:v>390000</c:v>
                </c:pt>
                <c:pt idx="20">
                  <c:v>320000</c:v>
                </c:pt>
                <c:pt idx="21">
                  <c:v>210000</c:v>
                </c:pt>
                <c:pt idx="22">
                  <c:v>250000</c:v>
                </c:pt>
                <c:pt idx="23">
                  <c:v>350000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A49-42CD-8EE2-51AA39B9A052}"/>
            </c:ext>
          </c:extLst>
        </c:ser>
        <c:ser>
          <c:idx val="7"/>
          <c:order val="7"/>
          <c:tx>
            <c:strRef>
              <c:f>'Historical Sale'!$B$13</c:f>
              <c:strCache>
                <c:ptCount val="1"/>
                <c:pt idx="0">
                  <c:v>Ống thép đen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'Historical Sale'!$C$5:$Z$5</c:f>
              <c:numCache>
                <c:formatCode>mmm\-yy</c:formatCode>
                <c:ptCount val="24"/>
                <c:pt idx="0">
                  <c:v>44197</c:v>
                </c:pt>
                <c:pt idx="1">
                  <c:v>44228</c:v>
                </c:pt>
                <c:pt idx="2">
                  <c:v>44256</c:v>
                </c:pt>
                <c:pt idx="3">
                  <c:v>44287</c:v>
                </c:pt>
                <c:pt idx="4">
                  <c:v>44317</c:v>
                </c:pt>
                <c:pt idx="5">
                  <c:v>44348</c:v>
                </c:pt>
                <c:pt idx="6">
                  <c:v>44378</c:v>
                </c:pt>
                <c:pt idx="7">
                  <c:v>44409</c:v>
                </c:pt>
                <c:pt idx="8">
                  <c:v>44440</c:v>
                </c:pt>
                <c:pt idx="9">
                  <c:v>44470</c:v>
                </c:pt>
                <c:pt idx="10">
                  <c:v>44501</c:v>
                </c:pt>
                <c:pt idx="11">
                  <c:v>44531</c:v>
                </c:pt>
                <c:pt idx="12">
                  <c:v>44562</c:v>
                </c:pt>
                <c:pt idx="13">
                  <c:v>44593</c:v>
                </c:pt>
                <c:pt idx="14">
                  <c:v>44621</c:v>
                </c:pt>
                <c:pt idx="15">
                  <c:v>44652</c:v>
                </c:pt>
                <c:pt idx="16">
                  <c:v>44682</c:v>
                </c:pt>
                <c:pt idx="17">
                  <c:v>44713</c:v>
                </c:pt>
                <c:pt idx="18">
                  <c:v>44743</c:v>
                </c:pt>
                <c:pt idx="19">
                  <c:v>44774</c:v>
                </c:pt>
                <c:pt idx="20">
                  <c:v>44805</c:v>
                </c:pt>
                <c:pt idx="21">
                  <c:v>44835</c:v>
                </c:pt>
                <c:pt idx="22">
                  <c:v>44866</c:v>
                </c:pt>
                <c:pt idx="23">
                  <c:v>44896</c:v>
                </c:pt>
              </c:numCache>
            </c:numRef>
          </c:cat>
          <c:val>
            <c:numRef>
              <c:f>'Historical Sale'!$C$13:$Z$13</c:f>
              <c:numCache>
                <c:formatCode>#,##0</c:formatCode>
                <c:ptCount val="24"/>
                <c:pt idx="0">
                  <c:v>50000</c:v>
                </c:pt>
                <c:pt idx="1">
                  <c:v>60000</c:v>
                </c:pt>
                <c:pt idx="2">
                  <c:v>60000</c:v>
                </c:pt>
                <c:pt idx="3">
                  <c:v>60000</c:v>
                </c:pt>
                <c:pt idx="4">
                  <c:v>64000</c:v>
                </c:pt>
                <c:pt idx="5">
                  <c:v>40000</c:v>
                </c:pt>
                <c:pt idx="6">
                  <c:v>50000</c:v>
                </c:pt>
                <c:pt idx="7">
                  <c:v>50000</c:v>
                </c:pt>
                <c:pt idx="8">
                  <c:v>40000</c:v>
                </c:pt>
                <c:pt idx="9">
                  <c:v>80000</c:v>
                </c:pt>
                <c:pt idx="10">
                  <c:v>60000</c:v>
                </c:pt>
                <c:pt idx="11">
                  <c:v>60000</c:v>
                </c:pt>
                <c:pt idx="12">
                  <c:v>50000</c:v>
                </c:pt>
                <c:pt idx="13">
                  <c:v>80000</c:v>
                </c:pt>
                <c:pt idx="14">
                  <c:v>70000</c:v>
                </c:pt>
                <c:pt idx="15">
                  <c:v>50000</c:v>
                </c:pt>
                <c:pt idx="16">
                  <c:v>60000</c:v>
                </c:pt>
                <c:pt idx="17">
                  <c:v>80000</c:v>
                </c:pt>
                <c:pt idx="18">
                  <c:v>70000</c:v>
                </c:pt>
                <c:pt idx="19">
                  <c:v>70000</c:v>
                </c:pt>
                <c:pt idx="20">
                  <c:v>80000</c:v>
                </c:pt>
                <c:pt idx="21">
                  <c:v>60000</c:v>
                </c:pt>
                <c:pt idx="22">
                  <c:v>60000</c:v>
                </c:pt>
                <c:pt idx="23">
                  <c:v>80000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A49-42CD-8EE2-51AA39B9A052}"/>
            </c:ext>
          </c:extLst>
        </c:ser>
        <c:ser>
          <c:idx val="11"/>
          <c:order val="11"/>
          <c:tx>
            <c:strRef>
              <c:f>'Historical Sale'!$B$17</c:f>
              <c:strCache>
                <c:ptCount val="1"/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'Historical Sale'!$C$5:$Z$5</c:f>
              <c:numCache>
                <c:formatCode>mmm\-yy</c:formatCode>
                <c:ptCount val="24"/>
                <c:pt idx="0">
                  <c:v>44197</c:v>
                </c:pt>
                <c:pt idx="1">
                  <c:v>44228</c:v>
                </c:pt>
                <c:pt idx="2">
                  <c:v>44256</c:v>
                </c:pt>
                <c:pt idx="3">
                  <c:v>44287</c:v>
                </c:pt>
                <c:pt idx="4">
                  <c:v>44317</c:v>
                </c:pt>
                <c:pt idx="5">
                  <c:v>44348</c:v>
                </c:pt>
                <c:pt idx="6">
                  <c:v>44378</c:v>
                </c:pt>
                <c:pt idx="7">
                  <c:v>44409</c:v>
                </c:pt>
                <c:pt idx="8">
                  <c:v>44440</c:v>
                </c:pt>
                <c:pt idx="9">
                  <c:v>44470</c:v>
                </c:pt>
                <c:pt idx="10">
                  <c:v>44501</c:v>
                </c:pt>
                <c:pt idx="11">
                  <c:v>44531</c:v>
                </c:pt>
                <c:pt idx="12">
                  <c:v>44562</c:v>
                </c:pt>
                <c:pt idx="13">
                  <c:v>44593</c:v>
                </c:pt>
                <c:pt idx="14">
                  <c:v>44621</c:v>
                </c:pt>
                <c:pt idx="15">
                  <c:v>44652</c:v>
                </c:pt>
                <c:pt idx="16">
                  <c:v>44682</c:v>
                </c:pt>
                <c:pt idx="17">
                  <c:v>44713</c:v>
                </c:pt>
                <c:pt idx="18">
                  <c:v>44743</c:v>
                </c:pt>
                <c:pt idx="19">
                  <c:v>44774</c:v>
                </c:pt>
                <c:pt idx="20">
                  <c:v>44805</c:v>
                </c:pt>
                <c:pt idx="21">
                  <c:v>44835</c:v>
                </c:pt>
                <c:pt idx="22">
                  <c:v>44866</c:v>
                </c:pt>
                <c:pt idx="23">
                  <c:v>44896</c:v>
                </c:pt>
              </c:numCache>
            </c:numRef>
          </c:cat>
          <c:val>
            <c:numRef>
              <c:f>'Historical Sale'!$C$17:$Z$17</c:f>
              <c:numCache>
                <c:formatCode>#,##0</c:formatCode>
                <c:ptCount val="24"/>
                <c:pt idx="0">
                  <c:v>30000</c:v>
                </c:pt>
                <c:pt idx="1">
                  <c:v>20000</c:v>
                </c:pt>
                <c:pt idx="2">
                  <c:v>40000</c:v>
                </c:pt>
                <c:pt idx="3">
                  <c:v>20000</c:v>
                </c:pt>
                <c:pt idx="4">
                  <c:v>30000</c:v>
                </c:pt>
                <c:pt idx="5">
                  <c:v>40000</c:v>
                </c:pt>
                <c:pt idx="6">
                  <c:v>40000</c:v>
                </c:pt>
                <c:pt idx="7">
                  <c:v>30000</c:v>
                </c:pt>
                <c:pt idx="8">
                  <c:v>60000</c:v>
                </c:pt>
                <c:pt idx="9">
                  <c:v>40000</c:v>
                </c:pt>
                <c:pt idx="10">
                  <c:v>50000</c:v>
                </c:pt>
                <c:pt idx="11">
                  <c:v>40000</c:v>
                </c:pt>
                <c:pt idx="12">
                  <c:v>40000</c:v>
                </c:pt>
                <c:pt idx="13">
                  <c:v>35000</c:v>
                </c:pt>
                <c:pt idx="14">
                  <c:v>30000</c:v>
                </c:pt>
                <c:pt idx="15">
                  <c:v>30000</c:v>
                </c:pt>
                <c:pt idx="16">
                  <c:v>20000</c:v>
                </c:pt>
                <c:pt idx="17">
                  <c:v>20000</c:v>
                </c:pt>
                <c:pt idx="18">
                  <c:v>20000</c:v>
                </c:pt>
                <c:pt idx="19">
                  <c:v>40000</c:v>
                </c:pt>
                <c:pt idx="20">
                  <c:v>30000</c:v>
                </c:pt>
                <c:pt idx="21">
                  <c:v>40000</c:v>
                </c:pt>
                <c:pt idx="22">
                  <c:v>40000</c:v>
                </c:pt>
                <c:pt idx="23">
                  <c:v>30000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8A49-42CD-8EE2-51AA39B9A052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681768768"/>
        <c:axId val="681764448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'Historical Sale'!$B$6</c15:sqref>
                        </c15:formulaRef>
                      </c:ext>
                    </c:extLst>
                    <c:strCache>
                      <c:ptCount val="1"/>
                      <c:pt idx="0">
                        <c:v>Products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t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>
                      <c:ext uri="{02D57815-91ED-43cb-92C2-25804820EDAC}">
                        <c15:formulaRef>
                          <c15:sqref>'Historical Sale'!$C$5:$Z$5</c15:sqref>
                        </c15:formulaRef>
                      </c:ext>
                    </c:extLst>
                    <c:numCache>
                      <c:formatCode>mmm\-yy</c:formatCode>
                      <c:ptCount val="24"/>
                      <c:pt idx="0">
                        <c:v>44197</c:v>
                      </c:pt>
                      <c:pt idx="1">
                        <c:v>44228</c:v>
                      </c:pt>
                      <c:pt idx="2">
                        <c:v>44256</c:v>
                      </c:pt>
                      <c:pt idx="3">
                        <c:v>44287</c:v>
                      </c:pt>
                      <c:pt idx="4">
                        <c:v>44317</c:v>
                      </c:pt>
                      <c:pt idx="5">
                        <c:v>44348</c:v>
                      </c:pt>
                      <c:pt idx="6">
                        <c:v>44378</c:v>
                      </c:pt>
                      <c:pt idx="7">
                        <c:v>44409</c:v>
                      </c:pt>
                      <c:pt idx="8">
                        <c:v>44440</c:v>
                      </c:pt>
                      <c:pt idx="9">
                        <c:v>44470</c:v>
                      </c:pt>
                      <c:pt idx="10">
                        <c:v>44501</c:v>
                      </c:pt>
                      <c:pt idx="11">
                        <c:v>44531</c:v>
                      </c:pt>
                      <c:pt idx="12">
                        <c:v>44562</c:v>
                      </c:pt>
                      <c:pt idx="13">
                        <c:v>44593</c:v>
                      </c:pt>
                      <c:pt idx="14">
                        <c:v>44621</c:v>
                      </c:pt>
                      <c:pt idx="15">
                        <c:v>44652</c:v>
                      </c:pt>
                      <c:pt idx="16">
                        <c:v>44682</c:v>
                      </c:pt>
                      <c:pt idx="17">
                        <c:v>44713</c:v>
                      </c:pt>
                      <c:pt idx="18">
                        <c:v>44743</c:v>
                      </c:pt>
                      <c:pt idx="19">
                        <c:v>44774</c:v>
                      </c:pt>
                      <c:pt idx="20">
                        <c:v>44805</c:v>
                      </c:pt>
                      <c:pt idx="21">
                        <c:v>44835</c:v>
                      </c:pt>
                      <c:pt idx="22">
                        <c:v>44866</c:v>
                      </c:pt>
                      <c:pt idx="23">
                        <c:v>44896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'Historical Sale'!$C$6:$Z$6</c15:sqref>
                        </c15:formulaRef>
                      </c:ext>
                    </c:extLst>
                    <c:numCache>
                      <c:formatCode>General</c:formatCode>
                      <c:ptCount val="24"/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5-8A49-42CD-8EE2-51AA39B9A052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'Historical Sale'!$B$8</c15:sqref>
                        </c15:formulaRef>
                      </c:ext>
                    </c:extLst>
                    <c:strCache>
                      <c:ptCount val="1"/>
                      <c:pt idx="0">
                        <c:v>Thép cuộn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t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'Historical Sale'!$C$5:$Z$5</c15:sqref>
                        </c15:formulaRef>
                      </c:ext>
                    </c:extLst>
                    <c:numCache>
                      <c:formatCode>mmm\-yy</c:formatCode>
                      <c:ptCount val="24"/>
                      <c:pt idx="0">
                        <c:v>44197</c:v>
                      </c:pt>
                      <c:pt idx="1">
                        <c:v>44228</c:v>
                      </c:pt>
                      <c:pt idx="2">
                        <c:v>44256</c:v>
                      </c:pt>
                      <c:pt idx="3">
                        <c:v>44287</c:v>
                      </c:pt>
                      <c:pt idx="4">
                        <c:v>44317</c:v>
                      </c:pt>
                      <c:pt idx="5">
                        <c:v>44348</c:v>
                      </c:pt>
                      <c:pt idx="6">
                        <c:v>44378</c:v>
                      </c:pt>
                      <c:pt idx="7">
                        <c:v>44409</c:v>
                      </c:pt>
                      <c:pt idx="8">
                        <c:v>44440</c:v>
                      </c:pt>
                      <c:pt idx="9">
                        <c:v>44470</c:v>
                      </c:pt>
                      <c:pt idx="10">
                        <c:v>44501</c:v>
                      </c:pt>
                      <c:pt idx="11">
                        <c:v>44531</c:v>
                      </c:pt>
                      <c:pt idx="12">
                        <c:v>44562</c:v>
                      </c:pt>
                      <c:pt idx="13">
                        <c:v>44593</c:v>
                      </c:pt>
                      <c:pt idx="14">
                        <c:v>44621</c:v>
                      </c:pt>
                      <c:pt idx="15">
                        <c:v>44652</c:v>
                      </c:pt>
                      <c:pt idx="16">
                        <c:v>44682</c:v>
                      </c:pt>
                      <c:pt idx="17">
                        <c:v>44713</c:v>
                      </c:pt>
                      <c:pt idx="18">
                        <c:v>44743</c:v>
                      </c:pt>
                      <c:pt idx="19">
                        <c:v>44774</c:v>
                      </c:pt>
                      <c:pt idx="20">
                        <c:v>44805</c:v>
                      </c:pt>
                      <c:pt idx="21">
                        <c:v>44835</c:v>
                      </c:pt>
                      <c:pt idx="22">
                        <c:v>44866</c:v>
                      </c:pt>
                      <c:pt idx="23">
                        <c:v>44896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'Historical Sale'!$C$8:$Z$8</c15:sqref>
                        </c15:formulaRef>
                      </c:ext>
                    </c:extLst>
                    <c:numCache>
                      <c:formatCode>#,##0</c:formatCode>
                      <c:ptCount val="24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8A49-42CD-8EE2-51AA39B9A052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'Historical Sale'!$B$10</c15:sqref>
                        </c15:formulaRef>
                      </c:ext>
                    </c:extLst>
                    <c:strCache>
                      <c:ptCount val="1"/>
                      <c:pt idx="0">
                        <c:v>Thép đặc biệt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t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'Historical Sale'!$C$5:$Z$5</c15:sqref>
                        </c15:formulaRef>
                      </c:ext>
                    </c:extLst>
                    <c:numCache>
                      <c:formatCode>mmm\-yy</c:formatCode>
                      <c:ptCount val="24"/>
                      <c:pt idx="0">
                        <c:v>44197</c:v>
                      </c:pt>
                      <c:pt idx="1">
                        <c:v>44228</c:v>
                      </c:pt>
                      <c:pt idx="2">
                        <c:v>44256</c:v>
                      </c:pt>
                      <c:pt idx="3">
                        <c:v>44287</c:v>
                      </c:pt>
                      <c:pt idx="4">
                        <c:v>44317</c:v>
                      </c:pt>
                      <c:pt idx="5">
                        <c:v>44348</c:v>
                      </c:pt>
                      <c:pt idx="6">
                        <c:v>44378</c:v>
                      </c:pt>
                      <c:pt idx="7">
                        <c:v>44409</c:v>
                      </c:pt>
                      <c:pt idx="8">
                        <c:v>44440</c:v>
                      </c:pt>
                      <c:pt idx="9">
                        <c:v>44470</c:v>
                      </c:pt>
                      <c:pt idx="10">
                        <c:v>44501</c:v>
                      </c:pt>
                      <c:pt idx="11">
                        <c:v>44531</c:v>
                      </c:pt>
                      <c:pt idx="12">
                        <c:v>44562</c:v>
                      </c:pt>
                      <c:pt idx="13">
                        <c:v>44593</c:v>
                      </c:pt>
                      <c:pt idx="14">
                        <c:v>44621</c:v>
                      </c:pt>
                      <c:pt idx="15">
                        <c:v>44652</c:v>
                      </c:pt>
                      <c:pt idx="16">
                        <c:v>44682</c:v>
                      </c:pt>
                      <c:pt idx="17">
                        <c:v>44713</c:v>
                      </c:pt>
                      <c:pt idx="18">
                        <c:v>44743</c:v>
                      </c:pt>
                      <c:pt idx="19">
                        <c:v>44774</c:v>
                      </c:pt>
                      <c:pt idx="20">
                        <c:v>44805</c:v>
                      </c:pt>
                      <c:pt idx="21">
                        <c:v>44835</c:v>
                      </c:pt>
                      <c:pt idx="22">
                        <c:v>44866</c:v>
                      </c:pt>
                      <c:pt idx="23">
                        <c:v>44896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'Historical Sale'!$C$10:$Z$10</c15:sqref>
                        </c15:formulaRef>
                      </c:ext>
                    </c:extLst>
                    <c:numCache>
                      <c:formatCode>#,##0</c:formatCode>
                      <c:ptCount val="24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8A49-42CD-8EE2-51AA39B9A052}"/>
                  </c:ext>
                </c:extLst>
              </c15:ser>
            </c15:filteredLineSeries>
            <c15:filteredLine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'Historical Sale'!$B$12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</a:schemeClr>
                    </a:solidFill>
                    <a:ln w="9525">
                      <a:solidFill>
                        <a:schemeClr val="accent1">
                          <a:lumMod val="60000"/>
                        </a:schemeClr>
                      </a:solidFill>
                    </a:ln>
                    <a:effectLst/>
                  </c:spPr>
                </c:marker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t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'Historical Sale'!$C$5:$Z$5</c15:sqref>
                        </c15:formulaRef>
                      </c:ext>
                    </c:extLst>
                    <c:numCache>
                      <c:formatCode>mmm\-yy</c:formatCode>
                      <c:ptCount val="24"/>
                      <c:pt idx="0">
                        <c:v>44197</c:v>
                      </c:pt>
                      <c:pt idx="1">
                        <c:v>44228</c:v>
                      </c:pt>
                      <c:pt idx="2">
                        <c:v>44256</c:v>
                      </c:pt>
                      <c:pt idx="3">
                        <c:v>44287</c:v>
                      </c:pt>
                      <c:pt idx="4">
                        <c:v>44317</c:v>
                      </c:pt>
                      <c:pt idx="5">
                        <c:v>44348</c:v>
                      </c:pt>
                      <c:pt idx="6">
                        <c:v>44378</c:v>
                      </c:pt>
                      <c:pt idx="7">
                        <c:v>44409</c:v>
                      </c:pt>
                      <c:pt idx="8">
                        <c:v>44440</c:v>
                      </c:pt>
                      <c:pt idx="9">
                        <c:v>44470</c:v>
                      </c:pt>
                      <c:pt idx="10">
                        <c:v>44501</c:v>
                      </c:pt>
                      <c:pt idx="11">
                        <c:v>44531</c:v>
                      </c:pt>
                      <c:pt idx="12">
                        <c:v>44562</c:v>
                      </c:pt>
                      <c:pt idx="13">
                        <c:v>44593</c:v>
                      </c:pt>
                      <c:pt idx="14">
                        <c:v>44621</c:v>
                      </c:pt>
                      <c:pt idx="15">
                        <c:v>44652</c:v>
                      </c:pt>
                      <c:pt idx="16">
                        <c:v>44682</c:v>
                      </c:pt>
                      <c:pt idx="17">
                        <c:v>44713</c:v>
                      </c:pt>
                      <c:pt idx="18">
                        <c:v>44743</c:v>
                      </c:pt>
                      <c:pt idx="19">
                        <c:v>44774</c:v>
                      </c:pt>
                      <c:pt idx="20">
                        <c:v>44805</c:v>
                      </c:pt>
                      <c:pt idx="21">
                        <c:v>44835</c:v>
                      </c:pt>
                      <c:pt idx="22">
                        <c:v>44866</c:v>
                      </c:pt>
                      <c:pt idx="23">
                        <c:v>44896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'Historical Sale'!$C$12:$Z$12</c15:sqref>
                        </c15:formulaRef>
                      </c:ext>
                    </c:extLst>
                    <c:numCache>
                      <c:formatCode>#,##0</c:formatCode>
                      <c:ptCount val="24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8A49-42CD-8EE2-51AA39B9A052}"/>
                  </c:ext>
                </c:extLst>
              </c15:ser>
            </c15:filteredLineSeries>
            <c15:filteredLine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'Historical Sale'!$B$14</c15:sqref>
                        </c15:formulaRef>
                      </c:ext>
                    </c:extLst>
                    <c:strCache>
                      <c:ptCount val="1"/>
                      <c:pt idx="0">
                        <c:v>Ống thép mạ kẽm nhúng nóng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</a:schemeClr>
                    </a:solidFill>
                    <a:ln w="9525">
                      <a:solidFill>
                        <a:schemeClr val="accent3">
                          <a:lumMod val="60000"/>
                        </a:schemeClr>
                      </a:solidFill>
                    </a:ln>
                    <a:effectLst/>
                  </c:spPr>
                </c:marker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t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'Historical Sale'!$C$5:$Z$5</c15:sqref>
                        </c15:formulaRef>
                      </c:ext>
                    </c:extLst>
                    <c:numCache>
                      <c:formatCode>mmm\-yy</c:formatCode>
                      <c:ptCount val="24"/>
                      <c:pt idx="0">
                        <c:v>44197</c:v>
                      </c:pt>
                      <c:pt idx="1">
                        <c:v>44228</c:v>
                      </c:pt>
                      <c:pt idx="2">
                        <c:v>44256</c:v>
                      </c:pt>
                      <c:pt idx="3">
                        <c:v>44287</c:v>
                      </c:pt>
                      <c:pt idx="4">
                        <c:v>44317</c:v>
                      </c:pt>
                      <c:pt idx="5">
                        <c:v>44348</c:v>
                      </c:pt>
                      <c:pt idx="6">
                        <c:v>44378</c:v>
                      </c:pt>
                      <c:pt idx="7">
                        <c:v>44409</c:v>
                      </c:pt>
                      <c:pt idx="8">
                        <c:v>44440</c:v>
                      </c:pt>
                      <c:pt idx="9">
                        <c:v>44470</c:v>
                      </c:pt>
                      <c:pt idx="10">
                        <c:v>44501</c:v>
                      </c:pt>
                      <c:pt idx="11">
                        <c:v>44531</c:v>
                      </c:pt>
                      <c:pt idx="12">
                        <c:v>44562</c:v>
                      </c:pt>
                      <c:pt idx="13">
                        <c:v>44593</c:v>
                      </c:pt>
                      <c:pt idx="14">
                        <c:v>44621</c:v>
                      </c:pt>
                      <c:pt idx="15">
                        <c:v>44652</c:v>
                      </c:pt>
                      <c:pt idx="16">
                        <c:v>44682</c:v>
                      </c:pt>
                      <c:pt idx="17">
                        <c:v>44713</c:v>
                      </c:pt>
                      <c:pt idx="18">
                        <c:v>44743</c:v>
                      </c:pt>
                      <c:pt idx="19">
                        <c:v>44774</c:v>
                      </c:pt>
                      <c:pt idx="20">
                        <c:v>44805</c:v>
                      </c:pt>
                      <c:pt idx="21">
                        <c:v>44835</c:v>
                      </c:pt>
                      <c:pt idx="22">
                        <c:v>44866</c:v>
                      </c:pt>
                      <c:pt idx="23">
                        <c:v>44896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'Historical Sale'!$C$14:$Z$14</c15:sqref>
                        </c15:formulaRef>
                      </c:ext>
                    </c:extLst>
                    <c:numCache>
                      <c:formatCode>#,##0</c:formatCode>
                      <c:ptCount val="24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8A49-42CD-8EE2-51AA39B9A052}"/>
                  </c:ext>
                </c:extLst>
              </c15:ser>
            </c15:filteredLineSeries>
            <c15:filteredLine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'Historical Sale'!$B$15</c15:sqref>
                        </c15:formulaRef>
                      </c:ext>
                    </c:extLst>
                    <c:strCache>
                      <c:ptCount val="1"/>
                      <c:pt idx="0">
                        <c:v>Ống thép cỡ lớn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</a:schemeClr>
                    </a:solidFill>
                    <a:ln w="9525">
                      <a:solidFill>
                        <a:schemeClr val="accent4">
                          <a:lumMod val="60000"/>
                        </a:schemeClr>
                      </a:solidFill>
                    </a:ln>
                    <a:effectLst/>
                  </c:spPr>
                </c:marker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t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'Historical Sale'!$C$5:$Z$5</c15:sqref>
                        </c15:formulaRef>
                      </c:ext>
                    </c:extLst>
                    <c:numCache>
                      <c:formatCode>mmm\-yy</c:formatCode>
                      <c:ptCount val="24"/>
                      <c:pt idx="0">
                        <c:v>44197</c:v>
                      </c:pt>
                      <c:pt idx="1">
                        <c:v>44228</c:v>
                      </c:pt>
                      <c:pt idx="2">
                        <c:v>44256</c:v>
                      </c:pt>
                      <c:pt idx="3">
                        <c:v>44287</c:v>
                      </c:pt>
                      <c:pt idx="4">
                        <c:v>44317</c:v>
                      </c:pt>
                      <c:pt idx="5">
                        <c:v>44348</c:v>
                      </c:pt>
                      <c:pt idx="6">
                        <c:v>44378</c:v>
                      </c:pt>
                      <c:pt idx="7">
                        <c:v>44409</c:v>
                      </c:pt>
                      <c:pt idx="8">
                        <c:v>44440</c:v>
                      </c:pt>
                      <c:pt idx="9">
                        <c:v>44470</c:v>
                      </c:pt>
                      <c:pt idx="10">
                        <c:v>44501</c:v>
                      </c:pt>
                      <c:pt idx="11">
                        <c:v>44531</c:v>
                      </c:pt>
                      <c:pt idx="12">
                        <c:v>44562</c:v>
                      </c:pt>
                      <c:pt idx="13">
                        <c:v>44593</c:v>
                      </c:pt>
                      <c:pt idx="14">
                        <c:v>44621</c:v>
                      </c:pt>
                      <c:pt idx="15">
                        <c:v>44652</c:v>
                      </c:pt>
                      <c:pt idx="16">
                        <c:v>44682</c:v>
                      </c:pt>
                      <c:pt idx="17">
                        <c:v>44713</c:v>
                      </c:pt>
                      <c:pt idx="18">
                        <c:v>44743</c:v>
                      </c:pt>
                      <c:pt idx="19">
                        <c:v>44774</c:v>
                      </c:pt>
                      <c:pt idx="20">
                        <c:v>44805</c:v>
                      </c:pt>
                      <c:pt idx="21">
                        <c:v>44835</c:v>
                      </c:pt>
                      <c:pt idx="22">
                        <c:v>44866</c:v>
                      </c:pt>
                      <c:pt idx="23">
                        <c:v>44896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'Historical Sale'!$C$15:$Z$15</c15:sqref>
                        </c15:formulaRef>
                      </c:ext>
                    </c:extLst>
                    <c:numCache>
                      <c:formatCode>#,##0</c:formatCode>
                      <c:ptCount val="24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8A49-42CD-8EE2-51AA39B9A052}"/>
                  </c:ext>
                </c:extLst>
              </c15:ser>
            </c15:filteredLineSeries>
            <c15:filteredLine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'Historical Sale'!$B$16</c15:sqref>
                        </c15:formulaRef>
                      </c:ext>
                    </c:extLst>
                    <c:strCache>
                      <c:ptCount val="1"/>
                      <c:pt idx="0">
                        <c:v>Tôn cuộn mạ kẽm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60000"/>
                      </a:schemeClr>
                    </a:solidFill>
                    <a:ln w="9525">
                      <a:solidFill>
                        <a:schemeClr val="accent5">
                          <a:lumMod val="60000"/>
                        </a:schemeClr>
                      </a:solidFill>
                    </a:ln>
                    <a:effectLst/>
                  </c:spPr>
                </c:marker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t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'Historical Sale'!$C$5:$Z$5</c15:sqref>
                        </c15:formulaRef>
                      </c:ext>
                    </c:extLst>
                    <c:numCache>
                      <c:formatCode>mmm\-yy</c:formatCode>
                      <c:ptCount val="24"/>
                      <c:pt idx="0">
                        <c:v>44197</c:v>
                      </c:pt>
                      <c:pt idx="1">
                        <c:v>44228</c:v>
                      </c:pt>
                      <c:pt idx="2">
                        <c:v>44256</c:v>
                      </c:pt>
                      <c:pt idx="3">
                        <c:v>44287</c:v>
                      </c:pt>
                      <c:pt idx="4">
                        <c:v>44317</c:v>
                      </c:pt>
                      <c:pt idx="5">
                        <c:v>44348</c:v>
                      </c:pt>
                      <c:pt idx="6">
                        <c:v>44378</c:v>
                      </c:pt>
                      <c:pt idx="7">
                        <c:v>44409</c:v>
                      </c:pt>
                      <c:pt idx="8">
                        <c:v>44440</c:v>
                      </c:pt>
                      <c:pt idx="9">
                        <c:v>44470</c:v>
                      </c:pt>
                      <c:pt idx="10">
                        <c:v>44501</c:v>
                      </c:pt>
                      <c:pt idx="11">
                        <c:v>44531</c:v>
                      </c:pt>
                      <c:pt idx="12">
                        <c:v>44562</c:v>
                      </c:pt>
                      <c:pt idx="13">
                        <c:v>44593</c:v>
                      </c:pt>
                      <c:pt idx="14">
                        <c:v>44621</c:v>
                      </c:pt>
                      <c:pt idx="15">
                        <c:v>44652</c:v>
                      </c:pt>
                      <c:pt idx="16">
                        <c:v>44682</c:v>
                      </c:pt>
                      <c:pt idx="17">
                        <c:v>44713</c:v>
                      </c:pt>
                      <c:pt idx="18">
                        <c:v>44743</c:v>
                      </c:pt>
                      <c:pt idx="19">
                        <c:v>44774</c:v>
                      </c:pt>
                      <c:pt idx="20">
                        <c:v>44805</c:v>
                      </c:pt>
                      <c:pt idx="21">
                        <c:v>44835</c:v>
                      </c:pt>
                      <c:pt idx="22">
                        <c:v>44866</c:v>
                      </c:pt>
                      <c:pt idx="23">
                        <c:v>44896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'Historical Sale'!$C$16:$Z$16</c15:sqref>
                        </c15:formulaRef>
                      </c:ext>
                    </c:extLst>
                    <c:numCache>
                      <c:formatCode>#,##0</c:formatCode>
                      <c:ptCount val="24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8A49-42CD-8EE2-51AA39B9A052}"/>
                  </c:ext>
                </c:extLst>
              </c15:ser>
            </c15:filteredLineSeries>
          </c:ext>
        </c:extLst>
      </c:lineChart>
      <c:dateAx>
        <c:axId val="681768768"/>
        <c:scaling>
          <c:orientation val="minMax"/>
        </c:scaling>
        <c:delete val="0"/>
        <c:axPos val="b"/>
        <c:numFmt formatCode="mmm\-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1764448"/>
        <c:crosses val="autoZero"/>
        <c:auto val="1"/>
        <c:lblOffset val="100"/>
        <c:baseTimeUnit val="months"/>
      </c:dateAx>
      <c:valAx>
        <c:axId val="681764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17687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'observed data'!$C$1</c:f>
              <c:strCache>
                <c:ptCount val="1"/>
                <c:pt idx="0">
                  <c:v>Seq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'observed data'!$B$2:$B$25</c:f>
              <c:strCache>
                <c:ptCount val="24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  <c:pt idx="12">
                  <c:v>Jan</c:v>
                </c:pt>
                <c:pt idx="13">
                  <c:v>Feb</c:v>
                </c:pt>
                <c:pt idx="14">
                  <c:v>Mar</c:v>
                </c:pt>
                <c:pt idx="15">
                  <c:v>Apr</c:v>
                </c:pt>
                <c:pt idx="16">
                  <c:v>May</c:v>
                </c:pt>
                <c:pt idx="17">
                  <c:v>Jun</c:v>
                </c:pt>
                <c:pt idx="18">
                  <c:v>Jul</c:v>
                </c:pt>
                <c:pt idx="19">
                  <c:v>Aug</c:v>
                </c:pt>
                <c:pt idx="20">
                  <c:v>Sep</c:v>
                </c:pt>
                <c:pt idx="21">
                  <c:v>Oct</c:v>
                </c:pt>
                <c:pt idx="22">
                  <c:v>Nov</c:v>
                </c:pt>
                <c:pt idx="23">
                  <c:v>Dec</c:v>
                </c:pt>
              </c:strCache>
            </c:strRef>
          </c:cat>
          <c:val>
            <c:numRef>
              <c:f>'observed data'!$C$2:$C$25</c:f>
              <c:numCache>
                <c:formatCode>General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BB6-43B2-830D-7AB885DAAC37}"/>
            </c:ext>
          </c:extLst>
        </c:ser>
        <c:ser>
          <c:idx val="3"/>
          <c:order val="3"/>
          <c:tx>
            <c:strRef>
              <c:f>'observed data'!$F$1</c:f>
              <c:strCache>
                <c:ptCount val="1"/>
                <c:pt idx="0">
                  <c:v>Y - Yt-1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'observed data'!$B$2:$B$25</c:f>
              <c:strCache>
                <c:ptCount val="24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  <c:pt idx="12">
                  <c:v>Jan</c:v>
                </c:pt>
                <c:pt idx="13">
                  <c:v>Feb</c:v>
                </c:pt>
                <c:pt idx="14">
                  <c:v>Mar</c:v>
                </c:pt>
                <c:pt idx="15">
                  <c:v>Apr</c:v>
                </c:pt>
                <c:pt idx="16">
                  <c:v>May</c:v>
                </c:pt>
                <c:pt idx="17">
                  <c:v>Jun</c:v>
                </c:pt>
                <c:pt idx="18">
                  <c:v>Jul</c:v>
                </c:pt>
                <c:pt idx="19">
                  <c:v>Aug</c:v>
                </c:pt>
                <c:pt idx="20">
                  <c:v>Sep</c:v>
                </c:pt>
                <c:pt idx="21">
                  <c:v>Oct</c:v>
                </c:pt>
                <c:pt idx="22">
                  <c:v>Nov</c:v>
                </c:pt>
                <c:pt idx="23">
                  <c:v>Dec</c:v>
                </c:pt>
              </c:strCache>
            </c:strRef>
          </c:cat>
          <c:val>
            <c:numRef>
              <c:f>'observed data'!$F$2:$F$25</c:f>
              <c:numCache>
                <c:formatCode>#,##0</c:formatCode>
                <c:ptCount val="24"/>
                <c:pt idx="0">
                  <c:v>0</c:v>
                </c:pt>
                <c:pt idx="1">
                  <c:v>-80000</c:v>
                </c:pt>
                <c:pt idx="2">
                  <c:v>490000</c:v>
                </c:pt>
                <c:pt idx="3">
                  <c:v>-220000</c:v>
                </c:pt>
                <c:pt idx="4">
                  <c:v>-96000</c:v>
                </c:pt>
                <c:pt idx="5">
                  <c:v>-164000</c:v>
                </c:pt>
                <c:pt idx="6">
                  <c:v>140000</c:v>
                </c:pt>
                <c:pt idx="7">
                  <c:v>-10000</c:v>
                </c:pt>
                <c:pt idx="8">
                  <c:v>90000</c:v>
                </c:pt>
                <c:pt idx="9">
                  <c:v>110000</c:v>
                </c:pt>
                <c:pt idx="10">
                  <c:v>-160000</c:v>
                </c:pt>
                <c:pt idx="11">
                  <c:v>40000</c:v>
                </c:pt>
                <c:pt idx="12">
                  <c:v>-40000</c:v>
                </c:pt>
                <c:pt idx="13">
                  <c:v>120000</c:v>
                </c:pt>
                <c:pt idx="14">
                  <c:v>100000</c:v>
                </c:pt>
                <c:pt idx="15">
                  <c:v>-240000</c:v>
                </c:pt>
                <c:pt idx="16">
                  <c:v>20000</c:v>
                </c:pt>
                <c:pt idx="17">
                  <c:v>-50000</c:v>
                </c:pt>
                <c:pt idx="18">
                  <c:v>-5000</c:v>
                </c:pt>
                <c:pt idx="19">
                  <c:v>93000</c:v>
                </c:pt>
                <c:pt idx="20">
                  <c:v>-88000</c:v>
                </c:pt>
                <c:pt idx="21">
                  <c:v>-90000</c:v>
                </c:pt>
                <c:pt idx="22">
                  <c:v>-12000</c:v>
                </c:pt>
                <c:pt idx="23">
                  <c:v>162000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BB6-43B2-830D-7AB885DAAC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16252703"/>
        <c:axId val="1416253663"/>
        <c:extLst>
          <c:ext xmlns:c15="http://schemas.microsoft.com/office/drawing/2012/chart" uri="{02D57815-91ED-43cb-92C2-25804820EDAC}">
            <c15:filteredLine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'observed data'!$D$1</c15:sqref>
                        </c15:formulaRef>
                      </c:ext>
                    </c:extLst>
                    <c:strCache>
                      <c:ptCount val="1"/>
                      <c:pt idx="0">
                        <c:v>Sale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ormulaRef>
                          <c15:sqref>'observed data'!$B$2:$B$25</c15:sqref>
                        </c15:formulaRef>
                      </c:ext>
                    </c:extLst>
                    <c:strCache>
                      <c:ptCount val="24"/>
                      <c:pt idx="0">
                        <c:v>Jan</c:v>
                      </c:pt>
                      <c:pt idx="1">
                        <c:v>Feb</c:v>
                      </c:pt>
                      <c:pt idx="2">
                        <c:v>Mar</c:v>
                      </c:pt>
                      <c:pt idx="3">
                        <c:v>Apr</c:v>
                      </c:pt>
                      <c:pt idx="4">
                        <c:v>May</c:v>
                      </c:pt>
                      <c:pt idx="5">
                        <c:v>Jun</c:v>
                      </c:pt>
                      <c:pt idx="6">
                        <c:v>Jul</c:v>
                      </c:pt>
                      <c:pt idx="7">
                        <c:v>Aug</c:v>
                      </c:pt>
                      <c:pt idx="8">
                        <c:v>Sep</c:v>
                      </c:pt>
                      <c:pt idx="9">
                        <c:v>Oct</c:v>
                      </c:pt>
                      <c:pt idx="10">
                        <c:v>Nov</c:v>
                      </c:pt>
                      <c:pt idx="11">
                        <c:v>Dec</c:v>
                      </c:pt>
                      <c:pt idx="12">
                        <c:v>Jan</c:v>
                      </c:pt>
                      <c:pt idx="13">
                        <c:v>Feb</c:v>
                      </c:pt>
                      <c:pt idx="14">
                        <c:v>Mar</c:v>
                      </c:pt>
                      <c:pt idx="15">
                        <c:v>Apr</c:v>
                      </c:pt>
                      <c:pt idx="16">
                        <c:v>May</c:v>
                      </c:pt>
                      <c:pt idx="17">
                        <c:v>Jun</c:v>
                      </c:pt>
                      <c:pt idx="18">
                        <c:v>Jul</c:v>
                      </c:pt>
                      <c:pt idx="19">
                        <c:v>Aug</c:v>
                      </c:pt>
                      <c:pt idx="20">
                        <c:v>Sep</c:v>
                      </c:pt>
                      <c:pt idx="21">
                        <c:v>Oct</c:v>
                      </c:pt>
                      <c:pt idx="22">
                        <c:v>Nov</c:v>
                      </c:pt>
                      <c:pt idx="23">
                        <c:v>Dec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'observed data'!$D$2:$D$25</c15:sqref>
                        </c15:formulaRef>
                      </c:ext>
                    </c:extLst>
                    <c:numCache>
                      <c:formatCode>#,##0</c:formatCode>
                      <c:ptCount val="24"/>
                      <c:pt idx="0">
                        <c:v>610000</c:v>
                      </c:pt>
                      <c:pt idx="1">
                        <c:v>530000</c:v>
                      </c:pt>
                      <c:pt idx="2">
                        <c:v>1020000</c:v>
                      </c:pt>
                      <c:pt idx="3">
                        <c:v>800000</c:v>
                      </c:pt>
                      <c:pt idx="4">
                        <c:v>704000</c:v>
                      </c:pt>
                      <c:pt idx="5">
                        <c:v>540000</c:v>
                      </c:pt>
                      <c:pt idx="6" formatCode="General">
                        <c:v>680000</c:v>
                      </c:pt>
                      <c:pt idx="7" formatCode="General">
                        <c:v>670000</c:v>
                      </c:pt>
                      <c:pt idx="8" formatCode="General">
                        <c:v>760000</c:v>
                      </c:pt>
                      <c:pt idx="9" formatCode="General">
                        <c:v>870000</c:v>
                      </c:pt>
                      <c:pt idx="10" formatCode="General">
                        <c:v>710000</c:v>
                      </c:pt>
                      <c:pt idx="11" formatCode="General">
                        <c:v>750000</c:v>
                      </c:pt>
                      <c:pt idx="12" formatCode="General">
                        <c:v>710000</c:v>
                      </c:pt>
                      <c:pt idx="13" formatCode="General">
                        <c:v>830000</c:v>
                      </c:pt>
                      <c:pt idx="14" formatCode="General">
                        <c:v>930000</c:v>
                      </c:pt>
                      <c:pt idx="15" formatCode="General">
                        <c:v>690000</c:v>
                      </c:pt>
                      <c:pt idx="16" formatCode="General">
                        <c:v>710000</c:v>
                      </c:pt>
                      <c:pt idx="17" formatCode="General">
                        <c:v>660000</c:v>
                      </c:pt>
                      <c:pt idx="18" formatCode="General">
                        <c:v>655000</c:v>
                      </c:pt>
                      <c:pt idx="19" formatCode="General">
                        <c:v>748000</c:v>
                      </c:pt>
                      <c:pt idx="20" formatCode="General">
                        <c:v>660000</c:v>
                      </c:pt>
                      <c:pt idx="21" formatCode="General">
                        <c:v>570000</c:v>
                      </c:pt>
                      <c:pt idx="22" formatCode="General">
                        <c:v>558000</c:v>
                      </c:pt>
                      <c:pt idx="23" formatCode="General">
                        <c:v>720000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BBB6-43B2-830D-7AB885DAAC37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'observed data'!$E$1</c15:sqref>
                        </c15:formulaRef>
                      </c:ext>
                    </c:extLst>
                    <c:strCache>
                      <c:ptCount val="1"/>
                      <c:pt idx="0">
                        <c:v>Y-1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'observed data'!$B$2:$B$25</c15:sqref>
                        </c15:formulaRef>
                      </c:ext>
                    </c:extLst>
                    <c:strCache>
                      <c:ptCount val="24"/>
                      <c:pt idx="0">
                        <c:v>Jan</c:v>
                      </c:pt>
                      <c:pt idx="1">
                        <c:v>Feb</c:v>
                      </c:pt>
                      <c:pt idx="2">
                        <c:v>Mar</c:v>
                      </c:pt>
                      <c:pt idx="3">
                        <c:v>Apr</c:v>
                      </c:pt>
                      <c:pt idx="4">
                        <c:v>May</c:v>
                      </c:pt>
                      <c:pt idx="5">
                        <c:v>Jun</c:v>
                      </c:pt>
                      <c:pt idx="6">
                        <c:v>Jul</c:v>
                      </c:pt>
                      <c:pt idx="7">
                        <c:v>Aug</c:v>
                      </c:pt>
                      <c:pt idx="8">
                        <c:v>Sep</c:v>
                      </c:pt>
                      <c:pt idx="9">
                        <c:v>Oct</c:v>
                      </c:pt>
                      <c:pt idx="10">
                        <c:v>Nov</c:v>
                      </c:pt>
                      <c:pt idx="11">
                        <c:v>Dec</c:v>
                      </c:pt>
                      <c:pt idx="12">
                        <c:v>Jan</c:v>
                      </c:pt>
                      <c:pt idx="13">
                        <c:v>Feb</c:v>
                      </c:pt>
                      <c:pt idx="14">
                        <c:v>Mar</c:v>
                      </c:pt>
                      <c:pt idx="15">
                        <c:v>Apr</c:v>
                      </c:pt>
                      <c:pt idx="16">
                        <c:v>May</c:v>
                      </c:pt>
                      <c:pt idx="17">
                        <c:v>Jun</c:v>
                      </c:pt>
                      <c:pt idx="18">
                        <c:v>Jul</c:v>
                      </c:pt>
                      <c:pt idx="19">
                        <c:v>Aug</c:v>
                      </c:pt>
                      <c:pt idx="20">
                        <c:v>Sep</c:v>
                      </c:pt>
                      <c:pt idx="21">
                        <c:v>Oct</c:v>
                      </c:pt>
                      <c:pt idx="22">
                        <c:v>Nov</c:v>
                      </c:pt>
                      <c:pt idx="23">
                        <c:v>Dec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'observed data'!$E$2:$E$25</c15:sqref>
                        </c15:formulaRef>
                      </c:ext>
                    </c:extLst>
                    <c:numCache>
                      <c:formatCode>#,##0</c:formatCode>
                      <c:ptCount val="24"/>
                      <c:pt idx="1">
                        <c:v>610000</c:v>
                      </c:pt>
                      <c:pt idx="2">
                        <c:v>530000</c:v>
                      </c:pt>
                      <c:pt idx="3">
                        <c:v>1020000</c:v>
                      </c:pt>
                      <c:pt idx="4">
                        <c:v>800000</c:v>
                      </c:pt>
                      <c:pt idx="5">
                        <c:v>704000</c:v>
                      </c:pt>
                      <c:pt idx="6">
                        <c:v>540000</c:v>
                      </c:pt>
                      <c:pt idx="7">
                        <c:v>680000</c:v>
                      </c:pt>
                      <c:pt idx="8">
                        <c:v>670000</c:v>
                      </c:pt>
                      <c:pt idx="9">
                        <c:v>760000</c:v>
                      </c:pt>
                      <c:pt idx="10">
                        <c:v>870000</c:v>
                      </c:pt>
                      <c:pt idx="11">
                        <c:v>710000</c:v>
                      </c:pt>
                      <c:pt idx="12">
                        <c:v>750000</c:v>
                      </c:pt>
                      <c:pt idx="13">
                        <c:v>710000</c:v>
                      </c:pt>
                      <c:pt idx="14">
                        <c:v>830000</c:v>
                      </c:pt>
                      <c:pt idx="15">
                        <c:v>930000</c:v>
                      </c:pt>
                      <c:pt idx="16">
                        <c:v>690000</c:v>
                      </c:pt>
                      <c:pt idx="17">
                        <c:v>710000</c:v>
                      </c:pt>
                      <c:pt idx="18">
                        <c:v>660000</c:v>
                      </c:pt>
                      <c:pt idx="19">
                        <c:v>655000</c:v>
                      </c:pt>
                      <c:pt idx="20">
                        <c:v>748000</c:v>
                      </c:pt>
                      <c:pt idx="21">
                        <c:v>660000</c:v>
                      </c:pt>
                      <c:pt idx="22">
                        <c:v>570000</c:v>
                      </c:pt>
                      <c:pt idx="23">
                        <c:v>558000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BBB6-43B2-830D-7AB885DAAC37}"/>
                  </c:ext>
                </c:extLst>
              </c15:ser>
            </c15:filteredLineSeries>
          </c:ext>
        </c:extLst>
      </c:lineChart>
      <c:catAx>
        <c:axId val="14162527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6253663"/>
        <c:crosses val="autoZero"/>
        <c:auto val="1"/>
        <c:lblAlgn val="ctr"/>
        <c:lblOffset val="100"/>
        <c:noMultiLvlLbl val="0"/>
      </c:catAx>
      <c:valAx>
        <c:axId val="14162536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625270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'observed data'!$D$1</c:f>
              <c:strCache>
                <c:ptCount val="1"/>
                <c:pt idx="0">
                  <c:v>Sale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'observed data'!$B$2:$B$25</c:f>
              <c:strCache>
                <c:ptCount val="24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  <c:pt idx="12">
                  <c:v>Jan</c:v>
                </c:pt>
                <c:pt idx="13">
                  <c:v>Feb</c:v>
                </c:pt>
                <c:pt idx="14">
                  <c:v>Mar</c:v>
                </c:pt>
                <c:pt idx="15">
                  <c:v>Apr</c:v>
                </c:pt>
                <c:pt idx="16">
                  <c:v>May</c:v>
                </c:pt>
                <c:pt idx="17">
                  <c:v>Jun</c:v>
                </c:pt>
                <c:pt idx="18">
                  <c:v>Jul</c:v>
                </c:pt>
                <c:pt idx="19">
                  <c:v>Aug</c:v>
                </c:pt>
                <c:pt idx="20">
                  <c:v>Sep</c:v>
                </c:pt>
                <c:pt idx="21">
                  <c:v>Oct</c:v>
                </c:pt>
                <c:pt idx="22">
                  <c:v>Nov</c:v>
                </c:pt>
                <c:pt idx="23">
                  <c:v>Dec</c:v>
                </c:pt>
              </c:strCache>
            </c:strRef>
          </c:cat>
          <c:val>
            <c:numRef>
              <c:f>'observed data'!$D$2:$D$25</c:f>
              <c:numCache>
                <c:formatCode>#,##0</c:formatCode>
                <c:ptCount val="24"/>
                <c:pt idx="0">
                  <c:v>610000</c:v>
                </c:pt>
                <c:pt idx="1">
                  <c:v>530000</c:v>
                </c:pt>
                <c:pt idx="2">
                  <c:v>1020000</c:v>
                </c:pt>
                <c:pt idx="3">
                  <c:v>800000</c:v>
                </c:pt>
                <c:pt idx="4">
                  <c:v>704000</c:v>
                </c:pt>
                <c:pt idx="5">
                  <c:v>540000</c:v>
                </c:pt>
                <c:pt idx="6" formatCode="General">
                  <c:v>680000</c:v>
                </c:pt>
                <c:pt idx="7" formatCode="General">
                  <c:v>670000</c:v>
                </c:pt>
                <c:pt idx="8" formatCode="General">
                  <c:v>760000</c:v>
                </c:pt>
                <c:pt idx="9" formatCode="General">
                  <c:v>870000</c:v>
                </c:pt>
                <c:pt idx="10" formatCode="General">
                  <c:v>710000</c:v>
                </c:pt>
                <c:pt idx="11" formatCode="General">
                  <c:v>750000</c:v>
                </c:pt>
                <c:pt idx="12" formatCode="General">
                  <c:v>710000</c:v>
                </c:pt>
                <c:pt idx="13" formatCode="General">
                  <c:v>830000</c:v>
                </c:pt>
                <c:pt idx="14" formatCode="General">
                  <c:v>930000</c:v>
                </c:pt>
                <c:pt idx="15" formatCode="General">
                  <c:v>690000</c:v>
                </c:pt>
                <c:pt idx="16" formatCode="General">
                  <c:v>710000</c:v>
                </c:pt>
                <c:pt idx="17" formatCode="General">
                  <c:v>660000</c:v>
                </c:pt>
                <c:pt idx="18" formatCode="General">
                  <c:v>655000</c:v>
                </c:pt>
                <c:pt idx="19" formatCode="General">
                  <c:v>748000</c:v>
                </c:pt>
                <c:pt idx="20" formatCode="General">
                  <c:v>660000</c:v>
                </c:pt>
                <c:pt idx="21" formatCode="General">
                  <c:v>570000</c:v>
                </c:pt>
                <c:pt idx="22" formatCode="General">
                  <c:v>558000</c:v>
                </c:pt>
                <c:pt idx="23" formatCode="General">
                  <c:v>720000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C17-4A06-996E-A3251FFE96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19810751"/>
        <c:axId val="974419248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'observed data'!$C$1</c15:sqref>
                        </c15:formulaRef>
                      </c:ext>
                    </c:extLst>
                    <c:strCache>
                      <c:ptCount val="1"/>
                      <c:pt idx="0">
                        <c:v>Seq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ormulaRef>
                          <c15:sqref>'observed data'!$B$2:$B$25</c15:sqref>
                        </c15:formulaRef>
                      </c:ext>
                    </c:extLst>
                    <c:strCache>
                      <c:ptCount val="24"/>
                      <c:pt idx="0">
                        <c:v>Jan</c:v>
                      </c:pt>
                      <c:pt idx="1">
                        <c:v>Feb</c:v>
                      </c:pt>
                      <c:pt idx="2">
                        <c:v>Mar</c:v>
                      </c:pt>
                      <c:pt idx="3">
                        <c:v>Apr</c:v>
                      </c:pt>
                      <c:pt idx="4">
                        <c:v>May</c:v>
                      </c:pt>
                      <c:pt idx="5">
                        <c:v>Jun</c:v>
                      </c:pt>
                      <c:pt idx="6">
                        <c:v>Jul</c:v>
                      </c:pt>
                      <c:pt idx="7">
                        <c:v>Aug</c:v>
                      </c:pt>
                      <c:pt idx="8">
                        <c:v>Sep</c:v>
                      </c:pt>
                      <c:pt idx="9">
                        <c:v>Oct</c:v>
                      </c:pt>
                      <c:pt idx="10">
                        <c:v>Nov</c:v>
                      </c:pt>
                      <c:pt idx="11">
                        <c:v>Dec</c:v>
                      </c:pt>
                      <c:pt idx="12">
                        <c:v>Jan</c:v>
                      </c:pt>
                      <c:pt idx="13">
                        <c:v>Feb</c:v>
                      </c:pt>
                      <c:pt idx="14">
                        <c:v>Mar</c:v>
                      </c:pt>
                      <c:pt idx="15">
                        <c:v>Apr</c:v>
                      </c:pt>
                      <c:pt idx="16">
                        <c:v>May</c:v>
                      </c:pt>
                      <c:pt idx="17">
                        <c:v>Jun</c:v>
                      </c:pt>
                      <c:pt idx="18">
                        <c:v>Jul</c:v>
                      </c:pt>
                      <c:pt idx="19">
                        <c:v>Aug</c:v>
                      </c:pt>
                      <c:pt idx="20">
                        <c:v>Sep</c:v>
                      </c:pt>
                      <c:pt idx="21">
                        <c:v>Oct</c:v>
                      </c:pt>
                      <c:pt idx="22">
                        <c:v>Nov</c:v>
                      </c:pt>
                      <c:pt idx="23">
                        <c:v>Dec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'observed data'!$C$2:$C$25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6C17-4A06-996E-A3251FFE966B}"/>
                  </c:ext>
                </c:extLst>
              </c15:ser>
            </c15:filteredLineSeries>
          </c:ext>
        </c:extLst>
      </c:lineChart>
      <c:catAx>
        <c:axId val="14198107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4419248"/>
        <c:crosses val="autoZero"/>
        <c:auto val="1"/>
        <c:lblAlgn val="ctr"/>
        <c:lblOffset val="100"/>
        <c:noMultiLvlLbl val="0"/>
      </c:catAx>
      <c:valAx>
        <c:axId val="974419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981075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21</xdr:col>
      <xdr:colOff>515670</xdr:colOff>
      <xdr:row>43</xdr:row>
      <xdr:rowOff>152094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198B181-EEC9-4CC8-8672-CE5240E3F33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41</xdr:row>
      <xdr:rowOff>110490</xdr:rowOff>
    </xdr:from>
    <xdr:to>
      <xdr:col>3</xdr:col>
      <xdr:colOff>472440</xdr:colOff>
      <xdr:row>48</xdr:row>
      <xdr:rowOff>160020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C33E1FD-55A4-088C-AD7B-BECA28DFA8E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510540</xdr:colOff>
      <xdr:row>41</xdr:row>
      <xdr:rowOff>80010</xdr:rowOff>
    </xdr:from>
    <xdr:to>
      <xdr:col>9</xdr:col>
      <xdr:colOff>45720</xdr:colOff>
      <xdr:row>50</xdr:row>
      <xdr:rowOff>45720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84107D9-8176-DE3B-A007-C3CCDBE1298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19</xdr:row>
      <xdr:rowOff>165653</xdr:rowOff>
    </xdr:from>
    <xdr:to>
      <xdr:col>9</xdr:col>
      <xdr:colOff>325168</xdr:colOff>
      <xdr:row>36</xdr:row>
      <xdr:rowOff>115073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98AFBB8-8ECC-2D45-7D05-5CFCC670A3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732696"/>
          <a:ext cx="5791690" cy="3140986"/>
        </a:xfrm>
        <a:prstGeom prst="rect">
          <a:avLst/>
        </a:prstGeom>
      </xdr:spPr>
    </xdr:pic>
    <xdr:clientData/>
  </xdr:twoCellAnchor>
  <xdr:twoCellAnchor editAs="oneCell">
    <xdr:from>
      <xdr:col>9</xdr:col>
      <xdr:colOff>360792</xdr:colOff>
      <xdr:row>0</xdr:row>
      <xdr:rowOff>1</xdr:rowOff>
    </xdr:from>
    <xdr:to>
      <xdr:col>19</xdr:col>
      <xdr:colOff>3942</xdr:colOff>
      <xdr:row>20</xdr:row>
      <xdr:rowOff>55218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E69E8CB-0822-E4F0-6818-6EE37199FA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827314" y="1"/>
          <a:ext cx="5717063" cy="3810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394073</xdr:colOff>
      <xdr:row>20</xdr:row>
      <xdr:rowOff>64273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20EA2091-E8FF-48D6-9058-E9B642235F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860595" cy="3819056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47626</xdr:colOff>
      <xdr:row>64</xdr:row>
      <xdr:rowOff>95250</xdr:rowOff>
    </xdr:from>
    <xdr:to>
      <xdr:col>26</xdr:col>
      <xdr:colOff>562814</xdr:colOff>
      <xdr:row>91</xdr:row>
      <xdr:rowOff>67837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7E46FDF-56D7-5ECB-38DA-268ABD9593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680407" y="11525250"/>
          <a:ext cx="5980157" cy="4794618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273844</xdr:colOff>
      <xdr:row>61</xdr:row>
      <xdr:rowOff>142875</xdr:rowOff>
    </xdr:from>
    <xdr:to>
      <xdr:col>25</xdr:col>
      <xdr:colOff>455658</xdr:colOff>
      <xdr:row>88</xdr:row>
      <xdr:rowOff>115462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2B18E18-5596-4686-BDE0-D17C4D1988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966032" y="11037094"/>
          <a:ext cx="5980157" cy="4794618"/>
        </a:xfrm>
        <a:prstGeom prst="rect">
          <a:avLst/>
        </a:prstGeom>
      </xdr:spPr>
    </xdr:pic>
    <xdr:clientData/>
  </xdr:twoCellAnchor>
</xdr:wsDr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7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498890E3-990B-4AC7-8FEC-B8CCEA7D1916}">
  <we:reference id="wa200005502" version="1.0.0.11" store="en-US" storeType="OMEX"/>
  <we:alternateReferences>
    <we:reference id="wa200005502" version="1.0.0.11" store="wa200005502" storeType="OMEX"/>
  </we:alternateReferences>
  <we:properties>
    <we:property name="docId" value="&quot;mQn94rOmZ26iCvj45gBJX&quot;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_xldudf_GPT</we:customFunctionIds>
        <we:customFunctionIds>_xldudf_GPT_LIST</we:customFunctionIds>
        <we:customFunctionIds>_xldudf_GPT_HLIST</we:customFunctionIds>
        <we:customFunctionIds>_xldudf_GPT_CLASSIFY</we:customFunctionIds>
        <we:customFunctionIds>_xldudf_GPT_TRANSLATE</we:customFunctionIds>
        <we:customFunctionIds>_xldudf_GPT_EXTRACT</we:customFunctionIds>
        <we:customFunctionIds>_xldudf_GPT_TAG</we:customFunctionIds>
        <we:customFunctionIds>_xldudf_GPT_CONVERT</we:customFunctionIds>
        <we:customFunctionIds>_xldudf_GPT_FORMAT</we:customFunctionIds>
        <we:customFunctionIds>_xldudf_GPT_SUMMARIZE</we:customFunctionIds>
        <we:customFunctionIds>_xldudf_GPT_TABLE</we:customFunctionIds>
        <we:customFunctionIds>_xldudf_GPT_FILL</we:customFunctionIds>
        <we:customFunctionIds>_xldudf_GPT_SPLIT</we:customFunctionIds>
        <we:customFunctionIds>_xldudf_GPT_HSPLIT</we:customFunctionIds>
        <we:customFunctionIds>_xldudf_GPT_EDIT</we:customFunctionIds>
        <we:customFunctionIds>_xldudf_GPT_MATCH</we:customFunctionIds>
        <we:customFunctionIds>_xldudf_GPT_VISION</we:customFunctionIds>
        <we:customFunctionIds>_xldudf_GPT_WEB</we:customFunctionIds>
      </we:customFunctionIdList>
    </a:ext>
  </we:extLst>
</we:webextension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viettimes.vn/hoa-phat-ban-67-trieu-tan-thep-trong-nam-2023-post172585.html" TargetMode="External"/><Relationship Id="rId2" Type="http://schemas.openxmlformats.org/officeDocument/2006/relationships/hyperlink" Target="https://www.hoaphat.com.vn/tin-tuc/hoa-phat-ban-hon-7-2-trieu-tan-thep-nam-2022.html" TargetMode="External"/><Relationship Id="rId1" Type="http://schemas.openxmlformats.org/officeDocument/2006/relationships/hyperlink" Target="https://www.hoaphat.com.vn/tin-tuc/nam-2021-hoa-phat-dat-san-luong-ban-hang-8-8-trieu-tan-thep-cac-loai-tang-35-so-voi-cung-ky-xuat-khau-2-6-trieu-tan.html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B3965-BCD5-4892-B949-642E3EF27F56}">
  <dimension ref="A1:I57"/>
  <sheetViews>
    <sheetView zoomScale="95" workbookViewId="0">
      <selection activeCell="H7" sqref="H7"/>
    </sheetView>
  </sheetViews>
  <sheetFormatPr defaultRowHeight="14.4" x14ac:dyDescent="0.3"/>
  <cols>
    <col min="1" max="1" width="15.33203125" bestFit="1" customWidth="1"/>
    <col min="2" max="2" width="24.5546875" bestFit="1" customWidth="1"/>
    <col min="3" max="3" width="27.5546875" bestFit="1" customWidth="1"/>
    <col min="4" max="4" width="15.109375" customWidth="1"/>
    <col min="5" max="5" width="17.21875" bestFit="1" customWidth="1"/>
    <col min="6" max="6" width="26.21875" bestFit="1" customWidth="1"/>
    <col min="7" max="7" width="27.109375" bestFit="1" customWidth="1"/>
    <col min="8" max="8" width="33.33203125" bestFit="1" customWidth="1"/>
  </cols>
  <sheetData>
    <row r="1" spans="1:9" ht="29.4" customHeight="1" x14ac:dyDescent="0.55000000000000004">
      <c r="A1" s="38" t="s">
        <v>125</v>
      </c>
      <c r="B1" s="38"/>
      <c r="C1" s="38"/>
      <c r="D1" s="38"/>
      <c r="E1" s="38"/>
      <c r="F1" s="38"/>
      <c r="G1" s="38"/>
      <c r="H1" s="38"/>
      <c r="I1" s="38"/>
    </row>
    <row r="2" spans="1:9" ht="15.6" x14ac:dyDescent="0.3">
      <c r="A2" s="22" t="s">
        <v>0</v>
      </c>
      <c r="B2" s="22" t="s">
        <v>1</v>
      </c>
      <c r="C2" s="22" t="s">
        <v>69</v>
      </c>
      <c r="D2" s="21" t="s">
        <v>116</v>
      </c>
      <c r="E2" s="21" t="s">
        <v>117</v>
      </c>
      <c r="F2" s="21" t="s">
        <v>128</v>
      </c>
      <c r="G2" s="23" t="s">
        <v>126</v>
      </c>
      <c r="H2" s="23" t="s">
        <v>127</v>
      </c>
      <c r="I2" s="23" t="s">
        <v>18</v>
      </c>
    </row>
    <row r="3" spans="1:9" x14ac:dyDescent="0.3">
      <c r="A3" s="40" t="s">
        <v>2</v>
      </c>
      <c r="B3" s="1" t="s">
        <v>3</v>
      </c>
      <c r="C3" s="1"/>
      <c r="D3" s="14"/>
      <c r="E3" s="1"/>
      <c r="F3" s="24">
        <f>35%*H3</f>
        <v>5107725</v>
      </c>
      <c r="G3" s="15">
        <f>540*23500</f>
        <v>12690000</v>
      </c>
      <c r="H3" s="15">
        <f>G3+(G3*15%)</f>
        <v>14593500</v>
      </c>
      <c r="I3" s="8" t="s">
        <v>74</v>
      </c>
    </row>
    <row r="4" spans="1:9" x14ac:dyDescent="0.3">
      <c r="A4" s="41"/>
      <c r="B4" s="1" t="s">
        <v>4</v>
      </c>
      <c r="C4" s="1" t="s">
        <v>71</v>
      </c>
      <c r="D4" s="14"/>
      <c r="E4" s="1"/>
      <c r="F4" s="24">
        <f t="shared" ref="F4:F53" si="0">35%*H4</f>
        <v>5232.5</v>
      </c>
      <c r="G4" s="15">
        <v>13000</v>
      </c>
      <c r="H4" s="15">
        <f>G4+(G4*15%)</f>
        <v>14950</v>
      </c>
      <c r="I4" s="8" t="s">
        <v>70</v>
      </c>
    </row>
    <row r="5" spans="1:9" x14ac:dyDescent="0.3">
      <c r="A5" s="41"/>
      <c r="B5" s="1" t="s">
        <v>14</v>
      </c>
      <c r="C5" s="1" t="s">
        <v>72</v>
      </c>
      <c r="D5" s="14"/>
      <c r="E5" s="1"/>
      <c r="F5" s="24">
        <f t="shared" si="0"/>
        <v>8516.9</v>
      </c>
      <c r="G5" s="15">
        <v>21160</v>
      </c>
      <c r="H5" s="15">
        <f t="shared" ref="H5:H53" si="1">G5+(G5*15%)</f>
        <v>24334</v>
      </c>
      <c r="I5" s="8" t="s">
        <v>70</v>
      </c>
    </row>
    <row r="6" spans="1:9" x14ac:dyDescent="0.3">
      <c r="A6" s="41"/>
      <c r="B6" s="1" t="s">
        <v>5</v>
      </c>
      <c r="C6" s="1"/>
      <c r="D6" s="14"/>
      <c r="E6" s="1"/>
      <c r="F6" s="24">
        <f t="shared" si="0"/>
        <v>8049.9999999999991</v>
      </c>
      <c r="G6" s="15">
        <v>20000</v>
      </c>
      <c r="H6" s="15">
        <f t="shared" si="1"/>
        <v>23000</v>
      </c>
      <c r="I6" s="8" t="s">
        <v>73</v>
      </c>
    </row>
    <row r="7" spans="1:9" x14ac:dyDescent="0.3">
      <c r="A7" s="41"/>
      <c r="B7" s="1"/>
      <c r="C7" s="1"/>
      <c r="D7" s="14"/>
      <c r="E7" s="1"/>
      <c r="F7" s="24">
        <f t="shared" si="0"/>
        <v>0</v>
      </c>
      <c r="G7" s="15"/>
      <c r="H7" s="15"/>
      <c r="I7" s="8"/>
    </row>
    <row r="8" spans="1:9" x14ac:dyDescent="0.3">
      <c r="A8" s="42"/>
      <c r="B8" s="1" t="s">
        <v>6</v>
      </c>
      <c r="C8" s="1"/>
      <c r="D8" s="14"/>
      <c r="E8" s="1"/>
      <c r="F8" s="24">
        <f t="shared" si="0"/>
        <v>5691350</v>
      </c>
      <c r="G8" s="15">
        <v>14140000</v>
      </c>
      <c r="H8" s="15">
        <f t="shared" si="1"/>
        <v>16261000</v>
      </c>
      <c r="I8" s="8" t="s">
        <v>74</v>
      </c>
    </row>
    <row r="9" spans="1:9" ht="14.4" customHeight="1" x14ac:dyDescent="0.3">
      <c r="A9" s="40" t="s">
        <v>7</v>
      </c>
      <c r="B9" s="39" t="s">
        <v>8</v>
      </c>
      <c r="C9" s="1" t="s">
        <v>75</v>
      </c>
      <c r="D9" s="14"/>
      <c r="E9" s="1"/>
      <c r="F9" s="24">
        <f t="shared" si="0"/>
        <v>14852.249999999998</v>
      </c>
      <c r="G9" s="15">
        <v>36900</v>
      </c>
      <c r="H9" s="15">
        <f t="shared" si="1"/>
        <v>42435</v>
      </c>
      <c r="I9" s="1" t="s">
        <v>76</v>
      </c>
    </row>
    <row r="10" spans="1:9" ht="14.4" customHeight="1" x14ac:dyDescent="0.3">
      <c r="A10" s="41"/>
      <c r="B10" s="39"/>
      <c r="C10" s="1" t="s">
        <v>77</v>
      </c>
      <c r="D10" s="14"/>
      <c r="E10" s="1"/>
      <c r="F10" s="24">
        <f t="shared" si="0"/>
        <v>18112.5</v>
      </c>
      <c r="G10" s="15">
        <v>45000</v>
      </c>
      <c r="H10" s="15">
        <f t="shared" si="1"/>
        <v>51750</v>
      </c>
      <c r="I10" s="1" t="s">
        <v>76</v>
      </c>
    </row>
    <row r="11" spans="1:9" ht="14.4" customHeight="1" x14ac:dyDescent="0.3">
      <c r="A11" s="41"/>
      <c r="B11" s="39"/>
      <c r="C11" s="1" t="s">
        <v>78</v>
      </c>
      <c r="D11" s="14"/>
      <c r="E11" s="1"/>
      <c r="F11" s="24">
        <f t="shared" si="0"/>
        <v>19199.25</v>
      </c>
      <c r="G11" s="15">
        <v>47700</v>
      </c>
      <c r="H11" s="15">
        <f t="shared" si="1"/>
        <v>54855</v>
      </c>
      <c r="I11" s="1" t="s">
        <v>76</v>
      </c>
    </row>
    <row r="12" spans="1:9" ht="14.4" customHeight="1" x14ac:dyDescent="0.3">
      <c r="A12" s="41"/>
      <c r="B12" s="39"/>
      <c r="C12" s="1" t="s">
        <v>79</v>
      </c>
      <c r="D12" s="14"/>
      <c r="E12" s="1"/>
      <c r="F12" s="24">
        <f t="shared" si="0"/>
        <v>22459.5</v>
      </c>
      <c r="G12" s="15">
        <v>55800</v>
      </c>
      <c r="H12" s="15">
        <f t="shared" si="1"/>
        <v>64170</v>
      </c>
      <c r="I12" s="1" t="s">
        <v>76</v>
      </c>
    </row>
    <row r="13" spans="1:9" ht="14.4" customHeight="1" x14ac:dyDescent="0.3">
      <c r="A13" s="41"/>
      <c r="B13" s="39"/>
      <c r="C13" s="1" t="s">
        <v>80</v>
      </c>
      <c r="D13" s="14"/>
      <c r="E13" s="1"/>
      <c r="F13" s="24">
        <f t="shared" si="0"/>
        <v>35862.75</v>
      </c>
      <c r="G13" s="15">
        <v>89100</v>
      </c>
      <c r="H13" s="15">
        <f t="shared" si="1"/>
        <v>102465</v>
      </c>
      <c r="I13" s="1" t="s">
        <v>76</v>
      </c>
    </row>
    <row r="14" spans="1:9" ht="14.4" customHeight="1" x14ac:dyDescent="0.3">
      <c r="A14" s="41"/>
      <c r="B14" s="39"/>
      <c r="C14" s="1" t="s">
        <v>81</v>
      </c>
      <c r="D14" s="14"/>
      <c r="E14" s="1"/>
      <c r="F14" s="24">
        <f t="shared" si="0"/>
        <v>24633</v>
      </c>
      <c r="G14" s="15">
        <v>61200</v>
      </c>
      <c r="H14" s="15">
        <f t="shared" si="1"/>
        <v>70380</v>
      </c>
      <c r="I14" s="1" t="s">
        <v>76</v>
      </c>
    </row>
    <row r="15" spans="1:9" ht="14.4" customHeight="1" x14ac:dyDescent="0.3">
      <c r="A15" s="41"/>
      <c r="B15" s="39"/>
      <c r="C15" s="1" t="s">
        <v>82</v>
      </c>
      <c r="D15" s="14"/>
      <c r="E15" s="1"/>
      <c r="F15" s="24">
        <f t="shared" si="0"/>
        <v>29704.499999999996</v>
      </c>
      <c r="G15" s="15">
        <v>73800</v>
      </c>
      <c r="H15" s="15">
        <f t="shared" si="1"/>
        <v>84870</v>
      </c>
      <c r="I15" s="1" t="s">
        <v>76</v>
      </c>
    </row>
    <row r="16" spans="1:9" ht="14.4" customHeight="1" x14ac:dyDescent="0.3">
      <c r="A16" s="41"/>
      <c r="B16" s="39"/>
      <c r="C16" s="1" t="s">
        <v>85</v>
      </c>
      <c r="D16" s="14"/>
      <c r="E16" s="1"/>
      <c r="F16" s="24">
        <f t="shared" si="0"/>
        <v>36949.5</v>
      </c>
      <c r="G16" s="15">
        <v>91800</v>
      </c>
      <c r="H16" s="15">
        <f t="shared" si="1"/>
        <v>105570</v>
      </c>
      <c r="I16" s="1" t="s">
        <v>76</v>
      </c>
    </row>
    <row r="17" spans="1:9" ht="14.4" customHeight="1" x14ac:dyDescent="0.3">
      <c r="A17" s="41"/>
      <c r="B17" s="39"/>
      <c r="C17" s="1" t="s">
        <v>84</v>
      </c>
      <c r="D17" s="14"/>
      <c r="E17" s="1"/>
      <c r="F17" s="24">
        <f t="shared" si="0"/>
        <v>46730.25</v>
      </c>
      <c r="G17" s="15">
        <v>116100</v>
      </c>
      <c r="H17" s="15">
        <f t="shared" si="1"/>
        <v>133515</v>
      </c>
      <c r="I17" s="1" t="s">
        <v>76</v>
      </c>
    </row>
    <row r="18" spans="1:9" ht="14.4" customHeight="1" x14ac:dyDescent="0.3">
      <c r="A18" s="41"/>
      <c r="B18" s="39"/>
      <c r="C18" s="1" t="s">
        <v>83</v>
      </c>
      <c r="D18" s="14"/>
      <c r="E18" s="1"/>
      <c r="F18" s="24">
        <f t="shared" si="0"/>
        <v>61220.249999999993</v>
      </c>
      <c r="G18" s="15">
        <v>152100</v>
      </c>
      <c r="H18" s="15">
        <f t="shared" si="1"/>
        <v>174915</v>
      </c>
      <c r="I18" s="1" t="s">
        <v>76</v>
      </c>
    </row>
    <row r="19" spans="1:9" ht="14.4" customHeight="1" x14ac:dyDescent="0.3">
      <c r="A19" s="41"/>
      <c r="B19" s="39"/>
      <c r="C19" s="1" t="s">
        <v>86</v>
      </c>
      <c r="D19" s="14"/>
      <c r="E19" s="1"/>
      <c r="F19" s="24">
        <f t="shared" si="0"/>
        <v>43470</v>
      </c>
      <c r="G19" s="15">
        <v>108000</v>
      </c>
      <c r="H19" s="15">
        <f t="shared" si="1"/>
        <v>124200</v>
      </c>
      <c r="I19" s="1" t="s">
        <v>76</v>
      </c>
    </row>
    <row r="20" spans="1:9" ht="14.4" customHeight="1" x14ac:dyDescent="0.3">
      <c r="A20" s="41"/>
      <c r="B20" s="39"/>
      <c r="C20" s="1" t="s">
        <v>87</v>
      </c>
      <c r="D20" s="14"/>
      <c r="E20" s="1"/>
      <c r="F20" s="24">
        <f t="shared" si="0"/>
        <v>47092.5</v>
      </c>
      <c r="G20" s="15">
        <v>117000</v>
      </c>
      <c r="H20" s="15">
        <f t="shared" si="1"/>
        <v>134550</v>
      </c>
      <c r="I20" s="1" t="s">
        <v>76</v>
      </c>
    </row>
    <row r="21" spans="1:9" ht="14.4" customHeight="1" x14ac:dyDescent="0.3">
      <c r="A21" s="41"/>
      <c r="B21" s="39"/>
      <c r="C21" s="1" t="s">
        <v>88</v>
      </c>
      <c r="D21" s="14"/>
      <c r="E21" s="1"/>
      <c r="F21" s="24">
        <f t="shared" si="0"/>
        <v>57597.749999999993</v>
      </c>
      <c r="G21" s="15">
        <v>143100</v>
      </c>
      <c r="H21" s="15">
        <f t="shared" si="1"/>
        <v>164565</v>
      </c>
      <c r="I21" s="1" t="s">
        <v>76</v>
      </c>
    </row>
    <row r="22" spans="1:9" ht="14.4" customHeight="1" x14ac:dyDescent="0.3">
      <c r="A22" s="41"/>
      <c r="B22" s="39"/>
      <c r="C22" s="1" t="s">
        <v>89</v>
      </c>
      <c r="D22" s="14"/>
      <c r="E22" s="1"/>
      <c r="F22" s="24">
        <f t="shared" si="0"/>
        <v>70638.75</v>
      </c>
      <c r="G22" s="15">
        <v>175500</v>
      </c>
      <c r="H22" s="15">
        <f t="shared" si="1"/>
        <v>201825</v>
      </c>
      <c r="I22" s="1" t="s">
        <v>76</v>
      </c>
    </row>
    <row r="23" spans="1:9" ht="14.4" customHeight="1" x14ac:dyDescent="0.3">
      <c r="A23" s="41"/>
      <c r="B23" s="39"/>
      <c r="C23" s="1" t="s">
        <v>90</v>
      </c>
      <c r="D23" s="14"/>
      <c r="E23" s="1"/>
      <c r="F23" s="24">
        <f t="shared" si="0"/>
        <v>80419.5</v>
      </c>
      <c r="G23" s="15">
        <v>199800</v>
      </c>
      <c r="H23" s="15">
        <f t="shared" si="1"/>
        <v>229770</v>
      </c>
      <c r="I23" s="1" t="s">
        <v>76</v>
      </c>
    </row>
    <row r="24" spans="1:9" ht="14.4" customHeight="1" x14ac:dyDescent="0.3">
      <c r="A24" s="41"/>
      <c r="B24" s="39"/>
      <c r="C24" s="1" t="s">
        <v>91</v>
      </c>
      <c r="D24" s="14"/>
      <c r="E24" s="1"/>
      <c r="F24" s="24">
        <f t="shared" si="0"/>
        <v>43470</v>
      </c>
      <c r="G24" s="15">
        <v>108000</v>
      </c>
      <c r="H24" s="15">
        <f t="shared" si="1"/>
        <v>124200</v>
      </c>
      <c r="I24" s="1" t="s">
        <v>76</v>
      </c>
    </row>
    <row r="25" spans="1:9" ht="14.4" customHeight="1" x14ac:dyDescent="0.3">
      <c r="A25" s="41"/>
      <c r="B25" s="39"/>
      <c r="C25" s="1" t="s">
        <v>92</v>
      </c>
      <c r="D25" s="14"/>
      <c r="E25" s="1"/>
      <c r="F25" s="24">
        <f t="shared" si="0"/>
        <v>53975.25</v>
      </c>
      <c r="G25" s="15">
        <v>134100</v>
      </c>
      <c r="H25" s="15">
        <f t="shared" si="1"/>
        <v>154215</v>
      </c>
      <c r="I25" s="1" t="s">
        <v>76</v>
      </c>
    </row>
    <row r="26" spans="1:9" ht="14.4" customHeight="1" x14ac:dyDescent="0.3">
      <c r="A26" s="41"/>
      <c r="B26" s="39"/>
      <c r="C26" s="1" t="s">
        <v>93</v>
      </c>
      <c r="D26" s="14"/>
      <c r="E26" s="1"/>
      <c r="F26" s="24">
        <f t="shared" si="0"/>
        <v>69552</v>
      </c>
      <c r="G26" s="15">
        <v>172800</v>
      </c>
      <c r="H26" s="15">
        <f t="shared" si="1"/>
        <v>198720</v>
      </c>
      <c r="I26" s="1" t="s">
        <v>76</v>
      </c>
    </row>
    <row r="27" spans="1:9" ht="14.4" customHeight="1" x14ac:dyDescent="0.3">
      <c r="A27" s="41"/>
      <c r="B27" s="39"/>
      <c r="C27" s="1" t="s">
        <v>94</v>
      </c>
      <c r="D27" s="14"/>
      <c r="E27" s="1"/>
      <c r="F27" s="24">
        <f t="shared" si="0"/>
        <v>82230.75</v>
      </c>
      <c r="G27" s="15">
        <v>204300</v>
      </c>
      <c r="H27" s="15">
        <f t="shared" si="1"/>
        <v>234945</v>
      </c>
      <c r="I27" s="1" t="s">
        <v>76</v>
      </c>
    </row>
    <row r="28" spans="1:9" ht="14.4" customHeight="1" x14ac:dyDescent="0.3">
      <c r="A28" s="41"/>
      <c r="B28" s="39"/>
      <c r="C28" s="1" t="s">
        <v>95</v>
      </c>
      <c r="D28" s="14"/>
      <c r="E28" s="1"/>
      <c r="F28" s="24">
        <f t="shared" si="0"/>
        <v>93460.5</v>
      </c>
      <c r="G28" s="15">
        <v>232200</v>
      </c>
      <c r="H28" s="15">
        <f t="shared" si="1"/>
        <v>267030</v>
      </c>
      <c r="I28" s="1" t="s">
        <v>76</v>
      </c>
    </row>
    <row r="29" spans="1:9" ht="14.4" customHeight="1" x14ac:dyDescent="0.3">
      <c r="A29" s="41"/>
      <c r="B29" s="39"/>
      <c r="C29" s="1" t="s">
        <v>96</v>
      </c>
      <c r="D29" s="14"/>
      <c r="E29" s="1"/>
      <c r="F29" s="24">
        <f t="shared" si="0"/>
        <v>51439.5</v>
      </c>
      <c r="G29" s="15">
        <v>127800</v>
      </c>
      <c r="H29" s="15">
        <f t="shared" si="1"/>
        <v>146970</v>
      </c>
      <c r="I29" s="1" t="s">
        <v>76</v>
      </c>
    </row>
    <row r="30" spans="1:9" ht="14.4" customHeight="1" x14ac:dyDescent="0.3">
      <c r="A30" s="41"/>
      <c r="B30" s="39"/>
      <c r="C30" s="1" t="s">
        <v>97</v>
      </c>
      <c r="D30" s="14"/>
      <c r="E30" s="1"/>
      <c r="F30" s="24">
        <f t="shared" si="0"/>
        <v>67016.25</v>
      </c>
      <c r="G30" s="15">
        <v>166500</v>
      </c>
      <c r="H30" s="15">
        <f t="shared" si="1"/>
        <v>191475</v>
      </c>
      <c r="I30" s="1" t="s">
        <v>76</v>
      </c>
    </row>
    <row r="31" spans="1:9" ht="14.4" customHeight="1" x14ac:dyDescent="0.3">
      <c r="A31" s="41"/>
      <c r="B31" s="39"/>
      <c r="C31" s="1" t="s">
        <v>98</v>
      </c>
      <c r="D31" s="14"/>
      <c r="E31" s="1"/>
      <c r="F31" s="24">
        <f t="shared" si="0"/>
        <v>80781.75</v>
      </c>
      <c r="G31" s="15">
        <v>200700</v>
      </c>
      <c r="H31" s="15">
        <f t="shared" si="1"/>
        <v>230805</v>
      </c>
      <c r="I31" s="1" t="s">
        <v>76</v>
      </c>
    </row>
    <row r="32" spans="1:9" ht="14.4" customHeight="1" x14ac:dyDescent="0.3">
      <c r="A32" s="41"/>
      <c r="B32" s="39"/>
      <c r="C32" s="1" t="s">
        <v>99</v>
      </c>
      <c r="D32" s="14"/>
      <c r="E32" s="1"/>
      <c r="F32" s="24">
        <f t="shared" si="0"/>
        <v>101067.75</v>
      </c>
      <c r="G32" s="15">
        <v>251100</v>
      </c>
      <c r="H32" s="15">
        <f t="shared" si="1"/>
        <v>288765</v>
      </c>
      <c r="I32" s="1" t="s">
        <v>76</v>
      </c>
    </row>
    <row r="33" spans="1:9" ht="14.4" customHeight="1" x14ac:dyDescent="0.3">
      <c r="A33" s="41"/>
      <c r="B33" s="39"/>
      <c r="C33" s="1" t="s">
        <v>100</v>
      </c>
      <c r="D33" s="14"/>
      <c r="E33" s="1"/>
      <c r="F33" s="24">
        <f t="shared" si="0"/>
        <v>68827.5</v>
      </c>
      <c r="G33" s="15">
        <v>171000</v>
      </c>
      <c r="H33" s="15">
        <f t="shared" si="1"/>
        <v>196650</v>
      </c>
      <c r="I33" s="1" t="s">
        <v>76</v>
      </c>
    </row>
    <row r="34" spans="1:9" ht="14.4" customHeight="1" x14ac:dyDescent="0.3">
      <c r="A34" s="41"/>
      <c r="B34" s="39"/>
      <c r="C34" s="1" t="s">
        <v>101</v>
      </c>
      <c r="D34" s="14"/>
      <c r="E34" s="1"/>
      <c r="F34" s="24">
        <f t="shared" si="0"/>
        <v>84766.5</v>
      </c>
      <c r="G34" s="15">
        <v>210600</v>
      </c>
      <c r="H34" s="15">
        <f t="shared" si="1"/>
        <v>242190</v>
      </c>
      <c r="I34" s="1" t="s">
        <v>76</v>
      </c>
    </row>
    <row r="35" spans="1:9" ht="14.4" customHeight="1" x14ac:dyDescent="0.3">
      <c r="A35" s="41"/>
      <c r="B35" s="39"/>
      <c r="C35" s="1" t="s">
        <v>102</v>
      </c>
      <c r="D35" s="14"/>
      <c r="E35" s="1"/>
      <c r="F35" s="24">
        <f t="shared" si="0"/>
        <v>105777</v>
      </c>
      <c r="G35" s="15">
        <v>262800</v>
      </c>
      <c r="H35" s="15">
        <f t="shared" si="1"/>
        <v>302220</v>
      </c>
      <c r="I35" s="1" t="s">
        <v>76</v>
      </c>
    </row>
    <row r="36" spans="1:9" ht="14.4" customHeight="1" x14ac:dyDescent="0.3">
      <c r="A36" s="41"/>
      <c r="B36" s="39"/>
      <c r="C36" s="1" t="s">
        <v>103</v>
      </c>
      <c r="D36" s="14"/>
      <c r="E36" s="1"/>
      <c r="F36" s="24">
        <f t="shared" si="0"/>
        <v>131134.5</v>
      </c>
      <c r="G36" s="15">
        <v>325800</v>
      </c>
      <c r="H36" s="15">
        <f t="shared" si="1"/>
        <v>374670</v>
      </c>
      <c r="I36" s="1" t="s">
        <v>76</v>
      </c>
    </row>
    <row r="37" spans="1:9" ht="14.4" customHeight="1" x14ac:dyDescent="0.3">
      <c r="A37" s="41"/>
      <c r="B37" s="39"/>
      <c r="C37" s="1" t="s">
        <v>104</v>
      </c>
      <c r="D37" s="14"/>
      <c r="E37" s="1"/>
      <c r="F37" s="24">
        <f t="shared" si="0"/>
        <v>99618.75</v>
      </c>
      <c r="G37" s="15">
        <v>247500</v>
      </c>
      <c r="H37" s="15">
        <f t="shared" si="1"/>
        <v>284625</v>
      </c>
      <c r="I37" s="1" t="s">
        <v>76</v>
      </c>
    </row>
    <row r="38" spans="1:9" ht="14.4" customHeight="1" x14ac:dyDescent="0.3">
      <c r="A38" s="41"/>
      <c r="B38" s="39"/>
      <c r="C38" s="1" t="s">
        <v>105</v>
      </c>
      <c r="D38" s="14"/>
      <c r="E38" s="1"/>
      <c r="F38" s="24">
        <f t="shared" si="0"/>
        <v>126425.24999999999</v>
      </c>
      <c r="G38" s="15">
        <v>314100</v>
      </c>
      <c r="H38" s="15">
        <f t="shared" si="1"/>
        <v>361215</v>
      </c>
      <c r="I38" s="1" t="s">
        <v>76</v>
      </c>
    </row>
    <row r="39" spans="1:9" ht="14.4" customHeight="1" x14ac:dyDescent="0.3">
      <c r="A39" s="41"/>
      <c r="B39" s="39"/>
      <c r="C39" s="1" t="s">
        <v>106</v>
      </c>
      <c r="D39" s="14"/>
      <c r="E39" s="1"/>
      <c r="F39" s="24">
        <f t="shared" si="0"/>
        <v>163374.75</v>
      </c>
      <c r="G39" s="15">
        <v>405900</v>
      </c>
      <c r="H39" s="15">
        <f t="shared" si="1"/>
        <v>466785</v>
      </c>
      <c r="I39" s="1" t="s">
        <v>76</v>
      </c>
    </row>
    <row r="40" spans="1:9" ht="14.4" customHeight="1" x14ac:dyDescent="0.3">
      <c r="A40" s="41"/>
      <c r="B40" s="39"/>
      <c r="C40" s="1" t="s">
        <v>107</v>
      </c>
      <c r="D40" s="14"/>
      <c r="E40" s="1"/>
      <c r="F40" s="24">
        <f t="shared" si="0"/>
        <v>127874.24999999999</v>
      </c>
      <c r="G40" s="15">
        <v>317700</v>
      </c>
      <c r="H40" s="15">
        <f t="shared" si="1"/>
        <v>365355</v>
      </c>
      <c r="I40" s="1" t="s">
        <v>76</v>
      </c>
    </row>
    <row r="41" spans="1:9" ht="14.4" customHeight="1" x14ac:dyDescent="0.3">
      <c r="A41" s="41"/>
      <c r="B41" s="39"/>
      <c r="C41" s="1" t="s">
        <v>108</v>
      </c>
      <c r="D41" s="14"/>
      <c r="E41" s="1"/>
      <c r="F41" s="24">
        <f t="shared" si="0"/>
        <v>156492</v>
      </c>
      <c r="G41" s="15">
        <v>388800</v>
      </c>
      <c r="H41" s="15">
        <f t="shared" si="1"/>
        <v>447120</v>
      </c>
      <c r="I41" s="1" t="s">
        <v>76</v>
      </c>
    </row>
    <row r="42" spans="1:9" ht="14.4" customHeight="1" x14ac:dyDescent="0.3">
      <c r="A42" s="41"/>
      <c r="B42" s="39"/>
      <c r="C42" s="1" t="s">
        <v>109</v>
      </c>
      <c r="D42" s="14"/>
      <c r="E42" s="1"/>
      <c r="F42" s="24">
        <f t="shared" si="0"/>
        <v>200686.5</v>
      </c>
      <c r="G42" s="15">
        <v>498600</v>
      </c>
      <c r="H42" s="15">
        <f t="shared" si="1"/>
        <v>573390</v>
      </c>
      <c r="I42" s="1" t="s">
        <v>76</v>
      </c>
    </row>
    <row r="43" spans="1:9" ht="14.4" customHeight="1" x14ac:dyDescent="0.3">
      <c r="A43" s="41"/>
      <c r="B43" s="39"/>
      <c r="C43" s="1" t="s">
        <v>110</v>
      </c>
      <c r="D43" s="14"/>
      <c r="E43" s="1"/>
      <c r="F43" s="24">
        <f t="shared" si="0"/>
        <v>280743.75</v>
      </c>
      <c r="G43" s="15">
        <v>697500</v>
      </c>
      <c r="H43" s="15">
        <f t="shared" si="1"/>
        <v>802125</v>
      </c>
      <c r="I43" s="1" t="s">
        <v>76</v>
      </c>
    </row>
    <row r="44" spans="1:9" ht="15.6" x14ac:dyDescent="0.3">
      <c r="A44" s="41"/>
      <c r="B44" s="45" t="s">
        <v>9</v>
      </c>
      <c r="C44" s="13" t="s">
        <v>111</v>
      </c>
      <c r="D44" s="16">
        <v>4642</v>
      </c>
      <c r="E44" s="15">
        <v>19000</v>
      </c>
      <c r="F44" s="24">
        <f t="shared" si="0"/>
        <v>35499.695</v>
      </c>
      <c r="G44" s="15">
        <v>88198</v>
      </c>
      <c r="H44" s="15">
        <f t="shared" si="1"/>
        <v>101427.7</v>
      </c>
      <c r="I44" s="1" t="s">
        <v>76</v>
      </c>
    </row>
    <row r="45" spans="1:9" ht="15.6" x14ac:dyDescent="0.3">
      <c r="A45" s="41"/>
      <c r="B45" s="46"/>
      <c r="C45" s="13" t="s">
        <v>112</v>
      </c>
      <c r="D45" s="13">
        <v>9.36</v>
      </c>
      <c r="E45" s="15">
        <v>19000</v>
      </c>
      <c r="F45" s="24">
        <f t="shared" si="0"/>
        <v>71580.599999999991</v>
      </c>
      <c r="G45" s="15">
        <v>177840</v>
      </c>
      <c r="H45" s="15">
        <f t="shared" si="1"/>
        <v>204516</v>
      </c>
      <c r="I45" s="1" t="s">
        <v>76</v>
      </c>
    </row>
    <row r="46" spans="1:9" ht="15.6" x14ac:dyDescent="0.3">
      <c r="A46" s="41"/>
      <c r="B46" s="46"/>
      <c r="C46" s="13" t="s">
        <v>113</v>
      </c>
      <c r="D46" s="13">
        <v>11.46</v>
      </c>
      <c r="E46" s="15">
        <v>19000</v>
      </c>
      <c r="F46" s="24">
        <f t="shared" si="0"/>
        <v>87640.349999999991</v>
      </c>
      <c r="G46" s="15">
        <v>217740</v>
      </c>
      <c r="H46" s="15">
        <f t="shared" si="1"/>
        <v>250401</v>
      </c>
      <c r="I46" s="1" t="s">
        <v>76</v>
      </c>
    </row>
    <row r="47" spans="1:9" ht="15.6" x14ac:dyDescent="0.3">
      <c r="A47" s="41"/>
      <c r="B47" s="46"/>
      <c r="C47" s="13" t="s">
        <v>114</v>
      </c>
      <c r="D47" s="13">
        <v>13.56</v>
      </c>
      <c r="E47" s="15">
        <v>19000</v>
      </c>
      <c r="F47" s="24">
        <f t="shared" si="0"/>
        <v>103700.09999999999</v>
      </c>
      <c r="G47" s="15">
        <v>257640</v>
      </c>
      <c r="H47" s="15">
        <f t="shared" si="1"/>
        <v>296286</v>
      </c>
      <c r="I47" s="1" t="s">
        <v>76</v>
      </c>
    </row>
    <row r="48" spans="1:9" ht="15.6" x14ac:dyDescent="0.3">
      <c r="A48" s="41"/>
      <c r="B48" s="47"/>
      <c r="C48" s="13" t="s">
        <v>115</v>
      </c>
      <c r="D48" s="13">
        <v>16.98</v>
      </c>
      <c r="E48" s="15">
        <v>19000</v>
      </c>
      <c r="F48" s="24">
        <f t="shared" si="0"/>
        <v>129854.54999999999</v>
      </c>
      <c r="G48" s="15">
        <v>322620</v>
      </c>
      <c r="H48" s="15">
        <f t="shared" si="1"/>
        <v>371013</v>
      </c>
      <c r="I48" s="1" t="s">
        <v>76</v>
      </c>
    </row>
    <row r="49" spans="1:9" ht="15.6" x14ac:dyDescent="0.3">
      <c r="A49" s="41"/>
      <c r="B49" s="45" t="s">
        <v>10</v>
      </c>
      <c r="C49" s="13" t="s">
        <v>118</v>
      </c>
      <c r="D49" s="17">
        <v>80.459999999999994</v>
      </c>
      <c r="E49" s="15">
        <v>14591</v>
      </c>
      <c r="F49" s="24">
        <f t="shared" si="0"/>
        <v>472531.77999999997</v>
      </c>
      <c r="G49" s="15">
        <v>1173992</v>
      </c>
      <c r="H49" s="15">
        <f t="shared" si="1"/>
        <v>1350090.8</v>
      </c>
      <c r="I49" s="1" t="s">
        <v>76</v>
      </c>
    </row>
    <row r="50" spans="1:9" ht="15.6" x14ac:dyDescent="0.3">
      <c r="A50" s="41"/>
      <c r="B50" s="46"/>
      <c r="C50" s="13" t="s">
        <v>119</v>
      </c>
      <c r="D50" s="13">
        <v>130.62</v>
      </c>
      <c r="E50" s="15">
        <v>14591</v>
      </c>
      <c r="F50" s="24">
        <f t="shared" si="0"/>
        <v>767115.09</v>
      </c>
      <c r="G50" s="15">
        <v>1905876</v>
      </c>
      <c r="H50" s="15">
        <f t="shared" si="1"/>
        <v>2191757.4</v>
      </c>
      <c r="I50" s="1" t="s">
        <v>76</v>
      </c>
    </row>
    <row r="51" spans="1:9" ht="15.6" x14ac:dyDescent="0.3">
      <c r="A51" s="42"/>
      <c r="B51" s="47"/>
      <c r="C51" s="13" t="s">
        <v>120</v>
      </c>
      <c r="D51" s="18">
        <v>250.5</v>
      </c>
      <c r="E51" s="15">
        <v>14591</v>
      </c>
      <c r="F51" s="24">
        <f t="shared" si="0"/>
        <v>1471156.0150000001</v>
      </c>
      <c r="G51" s="15">
        <v>3655046</v>
      </c>
      <c r="H51" s="15">
        <f t="shared" si="1"/>
        <v>4203302.9000000004</v>
      </c>
      <c r="I51" s="1" t="s">
        <v>76</v>
      </c>
    </row>
    <row r="52" spans="1:9" ht="15.6" x14ac:dyDescent="0.3">
      <c r="A52" s="43" t="s">
        <v>15</v>
      </c>
      <c r="B52" s="20" t="s">
        <v>11</v>
      </c>
      <c r="C52" s="13" t="s">
        <v>121</v>
      </c>
      <c r="D52" s="19"/>
      <c r="E52" s="15"/>
      <c r="F52" s="24">
        <f t="shared" si="0"/>
        <v>28577.5</v>
      </c>
      <c r="G52" s="15">
        <v>71000</v>
      </c>
      <c r="H52" s="15">
        <f t="shared" si="1"/>
        <v>81650</v>
      </c>
      <c r="I52" s="1" t="s">
        <v>122</v>
      </c>
    </row>
    <row r="53" spans="1:9" ht="15.6" x14ac:dyDescent="0.3">
      <c r="A53" s="44"/>
      <c r="B53" s="20" t="s">
        <v>123</v>
      </c>
      <c r="D53" s="19"/>
      <c r="E53" s="8"/>
      <c r="F53" s="24">
        <f t="shared" si="0"/>
        <v>56350</v>
      </c>
      <c r="G53" s="15">
        <v>140000</v>
      </c>
      <c r="H53" s="15">
        <f t="shared" si="1"/>
        <v>161000</v>
      </c>
      <c r="I53" s="1" t="s">
        <v>124</v>
      </c>
    </row>
    <row r="54" spans="1:9" ht="15.6" x14ac:dyDescent="0.3">
      <c r="A54" s="20" t="s">
        <v>12</v>
      </c>
      <c r="B54" s="20"/>
      <c r="C54" s="8"/>
      <c r="D54" s="19"/>
      <c r="E54" s="8"/>
      <c r="F54" s="24"/>
      <c r="G54" s="8"/>
      <c r="H54" s="15"/>
      <c r="I54" s="8"/>
    </row>
    <row r="55" spans="1:9" x14ac:dyDescent="0.3">
      <c r="A55" s="20" t="s">
        <v>13</v>
      </c>
      <c r="B55" s="20"/>
      <c r="C55" s="8"/>
      <c r="D55" s="8"/>
      <c r="E55" s="8"/>
      <c r="F55" s="24"/>
      <c r="G55" s="8"/>
      <c r="H55" s="15"/>
      <c r="I55" s="8"/>
    </row>
    <row r="56" spans="1:9" x14ac:dyDescent="0.3">
      <c r="A56" s="1"/>
      <c r="B56" s="1" t="s">
        <v>21</v>
      </c>
      <c r="C56" s="8"/>
      <c r="D56" s="8"/>
      <c r="E56" s="8"/>
      <c r="F56" s="24"/>
      <c r="G56" s="8"/>
      <c r="H56" s="15"/>
      <c r="I56" s="8"/>
    </row>
    <row r="57" spans="1:9" x14ac:dyDescent="0.3">
      <c r="A57" s="1"/>
      <c r="B57" s="1" t="s">
        <v>37</v>
      </c>
      <c r="C57" s="8"/>
      <c r="D57" s="8"/>
      <c r="E57" s="8"/>
      <c r="F57" s="24"/>
      <c r="G57" s="8"/>
      <c r="H57" s="15"/>
      <c r="I57" s="8"/>
    </row>
  </sheetData>
  <mergeCells count="7">
    <mergeCell ref="A1:I1"/>
    <mergeCell ref="B9:B43"/>
    <mergeCell ref="A3:A8"/>
    <mergeCell ref="A9:A51"/>
    <mergeCell ref="A52:A53"/>
    <mergeCell ref="B44:B48"/>
    <mergeCell ref="B49:B51"/>
  </mergeCells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CF1C3-3727-4AAC-940A-1758A06E6CCD}">
  <dimension ref="A1:AA50"/>
  <sheetViews>
    <sheetView zoomScale="80" zoomScaleNormal="100" workbookViewId="0">
      <pane xSplit="2" ySplit="6" topLeftCell="R7" activePane="bottomRight" state="frozen"/>
      <selection pane="topRight" activeCell="C1" sqref="C1"/>
      <selection pane="bottomLeft" activeCell="A4" sqref="A4"/>
      <selection pane="bottomRight" activeCell="AA12" sqref="AA12"/>
    </sheetView>
  </sheetViews>
  <sheetFormatPr defaultRowHeight="14.4" x14ac:dyDescent="0.3"/>
  <cols>
    <col min="2" max="2" width="25.77734375" bestFit="1" customWidth="1"/>
    <col min="3" max="3" width="10.88671875" bestFit="1" customWidth="1"/>
    <col min="4" max="4" width="7.5546875" bestFit="1" customWidth="1"/>
    <col min="5" max="5" width="9.44140625" bestFit="1" customWidth="1"/>
    <col min="6" max="23" width="7.77734375" bestFit="1" customWidth="1"/>
    <col min="24" max="26" width="7.5546875" bestFit="1" customWidth="1"/>
    <col min="27" max="27" width="9.109375" bestFit="1" customWidth="1"/>
  </cols>
  <sheetData>
    <row r="1" spans="1:27" x14ac:dyDescent="0.3">
      <c r="A1" t="s">
        <v>18</v>
      </c>
      <c r="B1" t="s">
        <v>19</v>
      </c>
      <c r="C1" s="48" t="s">
        <v>20</v>
      </c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8"/>
      <c r="V1" s="48"/>
      <c r="W1" s="48"/>
      <c r="X1" s="48"/>
      <c r="Y1" s="48"/>
      <c r="Z1" s="48"/>
    </row>
    <row r="2" spans="1:27" x14ac:dyDescent="0.3">
      <c r="B2" s="3" t="s">
        <v>22</v>
      </c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  <c r="S2" s="48"/>
      <c r="T2" s="48"/>
      <c r="U2" s="48"/>
      <c r="V2" s="48"/>
      <c r="W2" s="48"/>
      <c r="X2" s="48"/>
      <c r="Y2" s="48"/>
      <c r="Z2" s="48"/>
    </row>
    <row r="3" spans="1:27" x14ac:dyDescent="0.3">
      <c r="B3" s="3" t="s">
        <v>17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  <c r="O3" s="48"/>
      <c r="P3" s="48"/>
      <c r="Q3" s="48"/>
      <c r="R3" s="48"/>
      <c r="S3" s="48"/>
      <c r="T3" s="48"/>
      <c r="U3" s="48"/>
      <c r="V3" s="48"/>
      <c r="W3" s="48"/>
      <c r="X3" s="48"/>
      <c r="Y3" s="48"/>
      <c r="Z3" s="48"/>
    </row>
    <row r="4" spans="1:27" ht="23.4" x14ac:dyDescent="0.3">
      <c r="B4" s="3" t="s">
        <v>16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spans="1:27" x14ac:dyDescent="0.3">
      <c r="C5" s="2">
        <v>44197</v>
      </c>
      <c r="D5" s="2">
        <v>44228</v>
      </c>
      <c r="E5" s="2">
        <v>44256</v>
      </c>
      <c r="F5" s="2">
        <v>44287</v>
      </c>
      <c r="G5" s="2">
        <v>44317</v>
      </c>
      <c r="H5" s="2">
        <v>44348</v>
      </c>
      <c r="I5" s="2">
        <v>44378</v>
      </c>
      <c r="J5" s="2">
        <v>44409</v>
      </c>
      <c r="K5" s="2">
        <v>44440</v>
      </c>
      <c r="L5" s="2">
        <v>44470</v>
      </c>
      <c r="M5" s="2">
        <v>44501</v>
      </c>
      <c r="N5" s="2">
        <v>44531</v>
      </c>
      <c r="O5" s="2">
        <v>44562</v>
      </c>
      <c r="P5" s="2">
        <v>44593</v>
      </c>
      <c r="Q5" s="2">
        <v>44621</v>
      </c>
      <c r="R5" s="2">
        <v>44652</v>
      </c>
      <c r="S5" s="2">
        <v>44682</v>
      </c>
      <c r="T5" s="2">
        <v>44713</v>
      </c>
      <c r="U5" s="2">
        <v>44743</v>
      </c>
      <c r="V5" s="2">
        <v>44774</v>
      </c>
      <c r="W5" s="2">
        <v>44805</v>
      </c>
      <c r="X5" s="2">
        <v>44835</v>
      </c>
      <c r="Y5" s="2">
        <v>44866</v>
      </c>
      <c r="Z5" s="2">
        <v>44896</v>
      </c>
      <c r="AA5" s="2"/>
    </row>
    <row r="6" spans="1:27" x14ac:dyDescent="0.3">
      <c r="A6" s="1" t="s">
        <v>0</v>
      </c>
      <c r="B6" s="1" t="s">
        <v>1</v>
      </c>
      <c r="C6" s="1"/>
      <c r="D6" s="1"/>
      <c r="E6" s="1"/>
      <c r="F6" s="1"/>
    </row>
    <row r="7" spans="1:27" x14ac:dyDescent="0.3">
      <c r="A7" s="1" t="s">
        <v>2</v>
      </c>
      <c r="B7" s="1" t="s">
        <v>3</v>
      </c>
      <c r="C7" s="4">
        <v>110000</v>
      </c>
      <c r="D7" s="4">
        <v>60000</v>
      </c>
      <c r="E7" s="4">
        <v>200000</v>
      </c>
      <c r="F7" s="4">
        <v>100000</v>
      </c>
      <c r="G7" s="5">
        <v>40000</v>
      </c>
      <c r="H7" s="5">
        <v>20000</v>
      </c>
      <c r="I7" s="5">
        <v>10000</v>
      </c>
      <c r="J7" s="6">
        <v>60000</v>
      </c>
      <c r="K7" s="6">
        <v>100000</v>
      </c>
      <c r="L7" s="6">
        <v>110000</v>
      </c>
      <c r="M7" s="6">
        <v>110000</v>
      </c>
      <c r="N7" s="6">
        <v>70000</v>
      </c>
      <c r="O7" s="7">
        <v>10000</v>
      </c>
      <c r="P7" s="7">
        <v>15000</v>
      </c>
      <c r="Q7" s="7">
        <v>20000</v>
      </c>
      <c r="R7" s="7">
        <v>40000</v>
      </c>
      <c r="S7" s="7">
        <v>40000</v>
      </c>
      <c r="T7" s="7">
        <v>10000</v>
      </c>
      <c r="U7" s="7">
        <v>5000</v>
      </c>
      <c r="V7" s="7">
        <v>8000</v>
      </c>
      <c r="W7" s="7">
        <v>10000</v>
      </c>
      <c r="X7" s="7">
        <v>10000</v>
      </c>
      <c r="Y7" s="7">
        <v>8000</v>
      </c>
      <c r="Z7" s="7">
        <v>80000</v>
      </c>
    </row>
    <row r="8" spans="1:27" x14ac:dyDescent="0.3">
      <c r="A8" s="1"/>
      <c r="B8" s="1" t="s">
        <v>4</v>
      </c>
      <c r="C8" s="4"/>
      <c r="D8" s="4"/>
      <c r="E8" s="4"/>
      <c r="F8" s="4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7" x14ac:dyDescent="0.3">
      <c r="A9" s="1"/>
      <c r="B9" s="1" t="s">
        <v>14</v>
      </c>
      <c r="C9" s="4">
        <v>230000</v>
      </c>
      <c r="D9" s="4">
        <v>200000</v>
      </c>
      <c r="E9" s="4">
        <v>240000</v>
      </c>
      <c r="F9" s="4">
        <v>200000</v>
      </c>
      <c r="G9" s="5">
        <v>210000</v>
      </c>
      <c r="H9" s="5">
        <v>220000</v>
      </c>
      <c r="I9" s="5">
        <v>200000</v>
      </c>
      <c r="J9" s="5">
        <v>300000</v>
      </c>
      <c r="K9" s="5">
        <v>200000</v>
      </c>
      <c r="L9" s="5">
        <v>200000</v>
      </c>
      <c r="M9" s="5">
        <v>210000</v>
      </c>
      <c r="N9" s="5">
        <v>200000</v>
      </c>
      <c r="O9" s="7">
        <v>230000</v>
      </c>
      <c r="P9" s="7">
        <v>250000</v>
      </c>
      <c r="Q9" s="7">
        <v>300000</v>
      </c>
      <c r="R9" s="7">
        <v>270000</v>
      </c>
      <c r="S9" s="7">
        <v>200000</v>
      </c>
      <c r="T9" s="7">
        <v>200000</v>
      </c>
      <c r="U9" s="7">
        <v>180000</v>
      </c>
      <c r="V9" s="7">
        <v>240000</v>
      </c>
      <c r="W9" s="7">
        <v>220000</v>
      </c>
      <c r="X9" s="7">
        <v>250000</v>
      </c>
      <c r="Y9" s="7">
        <v>200000</v>
      </c>
      <c r="Z9" s="7">
        <v>180000</v>
      </c>
      <c r="AA9" s="7"/>
    </row>
    <row r="10" spans="1:27" x14ac:dyDescent="0.3">
      <c r="A10" s="1"/>
      <c r="B10" s="1" t="s">
        <v>5</v>
      </c>
      <c r="C10" s="4"/>
      <c r="D10" s="4"/>
      <c r="E10" s="4"/>
      <c r="F10" s="4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7" x14ac:dyDescent="0.3">
      <c r="A11" s="1"/>
      <c r="B11" s="1" t="s">
        <v>6</v>
      </c>
      <c r="C11" s="4">
        <v>190000</v>
      </c>
      <c r="D11" s="4">
        <v>190000</v>
      </c>
      <c r="E11" s="4">
        <v>480000</v>
      </c>
      <c r="F11" s="4">
        <v>420000</v>
      </c>
      <c r="G11" s="5">
        <v>360000</v>
      </c>
      <c r="H11" s="5">
        <v>220000</v>
      </c>
      <c r="I11" s="5">
        <v>380000</v>
      </c>
      <c r="J11" s="5">
        <v>230000</v>
      </c>
      <c r="K11" s="5">
        <v>360000</v>
      </c>
      <c r="L11" s="5">
        <v>440000</v>
      </c>
      <c r="M11" s="5">
        <v>280000</v>
      </c>
      <c r="N11" s="5">
        <v>380000</v>
      </c>
      <c r="O11" s="7">
        <v>380000</v>
      </c>
      <c r="P11" s="7">
        <v>450000</v>
      </c>
      <c r="Q11" s="7">
        <v>510000</v>
      </c>
      <c r="R11" s="7">
        <v>300000</v>
      </c>
      <c r="S11" s="7">
        <v>390000</v>
      </c>
      <c r="T11" s="7">
        <v>350000</v>
      </c>
      <c r="U11" s="7">
        <v>380000</v>
      </c>
      <c r="V11" s="7">
        <v>390000</v>
      </c>
      <c r="W11" s="7">
        <v>320000</v>
      </c>
      <c r="X11" s="7">
        <v>210000</v>
      </c>
      <c r="Y11" s="7">
        <v>250000</v>
      </c>
      <c r="Z11" s="7">
        <v>350000</v>
      </c>
      <c r="AA11" s="7"/>
    </row>
    <row r="12" spans="1:27" x14ac:dyDescent="0.3">
      <c r="A12" s="1"/>
      <c r="B12" s="1"/>
      <c r="C12" s="4"/>
      <c r="D12" s="4"/>
      <c r="E12" s="4"/>
      <c r="F12" s="4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7" x14ac:dyDescent="0.3">
      <c r="A13" s="1" t="s">
        <v>7</v>
      </c>
      <c r="B13" s="1" t="s">
        <v>8</v>
      </c>
      <c r="C13" s="4">
        <v>50000</v>
      </c>
      <c r="D13" s="4">
        <v>60000</v>
      </c>
      <c r="E13" s="4">
        <v>60000</v>
      </c>
      <c r="F13" s="4">
        <v>60000</v>
      </c>
      <c r="G13" s="5">
        <v>64000</v>
      </c>
      <c r="H13" s="5">
        <v>40000</v>
      </c>
      <c r="I13" s="5">
        <v>50000</v>
      </c>
      <c r="J13" s="5">
        <v>50000</v>
      </c>
      <c r="K13" s="5">
        <v>40000</v>
      </c>
      <c r="L13" s="5">
        <v>80000</v>
      </c>
      <c r="M13" s="5">
        <v>60000</v>
      </c>
      <c r="N13" s="5">
        <v>60000</v>
      </c>
      <c r="O13" s="7">
        <v>50000</v>
      </c>
      <c r="P13" s="7">
        <v>80000</v>
      </c>
      <c r="Q13" s="7">
        <v>70000</v>
      </c>
      <c r="R13" s="7">
        <v>50000</v>
      </c>
      <c r="S13" s="7">
        <v>60000</v>
      </c>
      <c r="T13" s="7">
        <v>80000</v>
      </c>
      <c r="U13" s="7">
        <v>70000</v>
      </c>
      <c r="V13" s="7">
        <v>70000</v>
      </c>
      <c r="W13" s="7">
        <v>80000</v>
      </c>
      <c r="X13" s="7">
        <v>60000</v>
      </c>
      <c r="Y13" s="7">
        <v>60000</v>
      </c>
      <c r="Z13" s="7">
        <v>80000</v>
      </c>
    </row>
    <row r="14" spans="1:27" x14ac:dyDescent="0.3">
      <c r="A14" s="1"/>
      <c r="B14" s="1" t="s">
        <v>9</v>
      </c>
      <c r="C14" s="4"/>
      <c r="D14" s="4"/>
      <c r="E14" s="4"/>
      <c r="F14" s="4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7" x14ac:dyDescent="0.3">
      <c r="A15" s="1"/>
      <c r="B15" s="1" t="s">
        <v>10</v>
      </c>
      <c r="C15" s="4"/>
      <c r="D15" s="4"/>
      <c r="E15" s="4"/>
      <c r="F15" s="4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7" x14ac:dyDescent="0.3">
      <c r="A16" s="1"/>
      <c r="B16" s="1" t="s">
        <v>11</v>
      </c>
      <c r="C16" s="4"/>
      <c r="D16" s="4"/>
      <c r="E16" s="4"/>
      <c r="F16" s="4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x14ac:dyDescent="0.3">
      <c r="A17" s="1" t="s">
        <v>15</v>
      </c>
      <c r="B17" s="1"/>
      <c r="C17" s="4">
        <v>30000</v>
      </c>
      <c r="D17" s="4">
        <v>20000</v>
      </c>
      <c r="E17" s="4">
        <v>40000</v>
      </c>
      <c r="F17" s="4">
        <v>20000</v>
      </c>
      <c r="G17" s="5">
        <v>30000</v>
      </c>
      <c r="H17" s="5">
        <v>40000</v>
      </c>
      <c r="I17" s="5">
        <v>40000</v>
      </c>
      <c r="J17" s="5">
        <v>30000</v>
      </c>
      <c r="K17" s="5">
        <v>60000</v>
      </c>
      <c r="L17" s="5">
        <v>40000</v>
      </c>
      <c r="M17" s="5">
        <v>50000</v>
      </c>
      <c r="N17" s="5">
        <v>40000</v>
      </c>
      <c r="O17" s="7">
        <v>40000</v>
      </c>
      <c r="P17" s="7">
        <v>35000</v>
      </c>
      <c r="Q17" s="7">
        <v>30000</v>
      </c>
      <c r="R17" s="7">
        <v>30000</v>
      </c>
      <c r="S17" s="7">
        <v>20000</v>
      </c>
      <c r="T17" s="7">
        <v>20000</v>
      </c>
      <c r="U17" s="7">
        <v>20000</v>
      </c>
      <c r="V17" s="7">
        <v>40000</v>
      </c>
      <c r="W17" s="7">
        <v>30000</v>
      </c>
      <c r="X17" s="7">
        <v>40000</v>
      </c>
      <c r="Y17" s="7">
        <v>40000</v>
      </c>
      <c r="Z17" s="7">
        <v>30000</v>
      </c>
    </row>
    <row r="18" spans="1:26" x14ac:dyDescent="0.3">
      <c r="A18" s="1" t="s">
        <v>12</v>
      </c>
      <c r="B18" s="1"/>
      <c r="C18" s="4"/>
      <c r="D18" s="4"/>
      <c r="E18" s="4"/>
      <c r="F18" s="4"/>
      <c r="G18" s="7"/>
      <c r="H18" s="7"/>
      <c r="I18" s="7"/>
      <c r="J18" s="7" t="s">
        <v>68</v>
      </c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x14ac:dyDescent="0.3">
      <c r="A19" s="1" t="s">
        <v>13</v>
      </c>
      <c r="B19" s="1"/>
      <c r="C19" s="4"/>
      <c r="D19" s="4"/>
      <c r="E19" s="4"/>
      <c r="F19" s="4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x14ac:dyDescent="0.3">
      <c r="A20" s="1"/>
      <c r="B20" s="1" t="s">
        <v>21</v>
      </c>
      <c r="C20" s="4">
        <f>SUM(C7:C17)</f>
        <v>610000</v>
      </c>
      <c r="D20" s="4">
        <f t="shared" ref="D20:Z20" si="0">SUM(D7:D17)</f>
        <v>530000</v>
      </c>
      <c r="E20" s="4">
        <f>SUM(E7:E17)</f>
        <v>1020000</v>
      </c>
      <c r="F20" s="4">
        <f t="shared" si="0"/>
        <v>800000</v>
      </c>
      <c r="G20" s="4">
        <f t="shared" si="0"/>
        <v>704000</v>
      </c>
      <c r="H20" s="4">
        <f t="shared" si="0"/>
        <v>540000</v>
      </c>
      <c r="I20" s="4">
        <f t="shared" si="0"/>
        <v>680000</v>
      </c>
      <c r="J20" s="4">
        <f t="shared" si="0"/>
        <v>670000</v>
      </c>
      <c r="K20" s="4">
        <f t="shared" si="0"/>
        <v>760000</v>
      </c>
      <c r="L20" s="4">
        <f t="shared" si="0"/>
        <v>870000</v>
      </c>
      <c r="M20" s="4">
        <f t="shared" si="0"/>
        <v>710000</v>
      </c>
      <c r="N20" s="4">
        <f t="shared" si="0"/>
        <v>750000</v>
      </c>
      <c r="O20" s="4">
        <f t="shared" si="0"/>
        <v>710000</v>
      </c>
      <c r="P20" s="4">
        <f t="shared" si="0"/>
        <v>830000</v>
      </c>
      <c r="Q20" s="4">
        <f t="shared" si="0"/>
        <v>930000</v>
      </c>
      <c r="R20" s="4">
        <f t="shared" si="0"/>
        <v>690000</v>
      </c>
      <c r="S20" s="4">
        <f t="shared" si="0"/>
        <v>710000</v>
      </c>
      <c r="T20" s="4">
        <f t="shared" si="0"/>
        <v>660000</v>
      </c>
      <c r="U20" s="4">
        <f t="shared" si="0"/>
        <v>655000</v>
      </c>
      <c r="V20" s="4">
        <f t="shared" si="0"/>
        <v>748000</v>
      </c>
      <c r="W20" s="4">
        <f t="shared" si="0"/>
        <v>660000</v>
      </c>
      <c r="X20" s="4">
        <f>SUM(X7:X17)</f>
        <v>570000</v>
      </c>
      <c r="Y20" s="4">
        <f t="shared" si="0"/>
        <v>558000</v>
      </c>
      <c r="Z20" s="4">
        <f t="shared" si="0"/>
        <v>720000</v>
      </c>
    </row>
    <row r="21" spans="1:26" x14ac:dyDescent="0.3">
      <c r="A21" s="1"/>
      <c r="B21" s="1" t="s">
        <v>37</v>
      </c>
      <c r="C21" s="4">
        <f>C20/COUNT(C7:C19)</f>
        <v>122000</v>
      </c>
      <c r="D21" s="4">
        <f t="shared" ref="D21:Z21" si="1">D20/COUNT(D7:D19)</f>
        <v>106000</v>
      </c>
      <c r="E21" s="4">
        <f t="shared" si="1"/>
        <v>204000</v>
      </c>
      <c r="F21" s="4">
        <f t="shared" si="1"/>
        <v>160000</v>
      </c>
      <c r="G21" s="4">
        <f t="shared" si="1"/>
        <v>140800</v>
      </c>
      <c r="H21" s="4">
        <f t="shared" si="1"/>
        <v>108000</v>
      </c>
      <c r="I21" s="4">
        <f t="shared" si="1"/>
        <v>136000</v>
      </c>
      <c r="J21" s="4">
        <f t="shared" si="1"/>
        <v>134000</v>
      </c>
      <c r="K21" s="4">
        <f t="shared" si="1"/>
        <v>152000</v>
      </c>
      <c r="L21" s="4">
        <f t="shared" si="1"/>
        <v>174000</v>
      </c>
      <c r="M21" s="4">
        <f t="shared" si="1"/>
        <v>142000</v>
      </c>
      <c r="N21" s="4">
        <f t="shared" si="1"/>
        <v>150000</v>
      </c>
      <c r="O21" s="4">
        <f t="shared" si="1"/>
        <v>142000</v>
      </c>
      <c r="P21" s="4">
        <f t="shared" si="1"/>
        <v>166000</v>
      </c>
      <c r="Q21" s="4">
        <f t="shared" si="1"/>
        <v>186000</v>
      </c>
      <c r="R21" s="4">
        <f t="shared" si="1"/>
        <v>138000</v>
      </c>
      <c r="S21" s="4">
        <f t="shared" si="1"/>
        <v>142000</v>
      </c>
      <c r="T21" s="4">
        <f t="shared" si="1"/>
        <v>132000</v>
      </c>
      <c r="U21" s="4">
        <f t="shared" si="1"/>
        <v>131000</v>
      </c>
      <c r="V21" s="4">
        <f t="shared" si="1"/>
        <v>149600</v>
      </c>
      <c r="W21" s="4">
        <f t="shared" si="1"/>
        <v>132000</v>
      </c>
      <c r="X21" s="4">
        <f t="shared" si="1"/>
        <v>114000</v>
      </c>
      <c r="Y21" s="4">
        <f t="shared" si="1"/>
        <v>111600</v>
      </c>
      <c r="Z21" s="4">
        <f t="shared" si="1"/>
        <v>144000</v>
      </c>
    </row>
    <row r="22" spans="1:26" x14ac:dyDescent="0.3">
      <c r="A22" s="1"/>
      <c r="B22" s="1"/>
      <c r="C22" s="1"/>
      <c r="D22" s="1"/>
      <c r="E22" s="1"/>
      <c r="F22" s="1"/>
    </row>
    <row r="23" spans="1:26" x14ac:dyDescent="0.3">
      <c r="A23" s="1"/>
      <c r="B23" s="1"/>
      <c r="C23" s="1"/>
      <c r="D23" s="1"/>
      <c r="E23" s="1"/>
      <c r="F23" s="1"/>
    </row>
    <row r="24" spans="1:26" x14ac:dyDescent="0.3">
      <c r="A24" s="1"/>
      <c r="B24" s="1"/>
      <c r="C24" s="1"/>
      <c r="D24" s="1"/>
      <c r="E24" s="1"/>
      <c r="F24" s="1"/>
    </row>
    <row r="25" spans="1:26" x14ac:dyDescent="0.3">
      <c r="A25" s="1"/>
      <c r="B25" s="1"/>
      <c r="C25" s="1"/>
      <c r="D25" s="1"/>
      <c r="E25" s="1"/>
      <c r="F25" s="1"/>
    </row>
    <row r="31" spans="1:26" x14ac:dyDescent="0.3">
      <c r="D31" cm="1">
        <f t="array" ref="D31:D50">TRANSPOSE(G20:Z20)</f>
        <v>704000</v>
      </c>
    </row>
    <row r="32" spans="1:26" x14ac:dyDescent="0.3">
      <c r="D32">
        <v>540000</v>
      </c>
    </row>
    <row r="33" spans="4:4" x14ac:dyDescent="0.3">
      <c r="D33">
        <v>680000</v>
      </c>
    </row>
    <row r="34" spans="4:4" x14ac:dyDescent="0.3">
      <c r="D34">
        <v>670000</v>
      </c>
    </row>
    <row r="35" spans="4:4" x14ac:dyDescent="0.3">
      <c r="D35">
        <v>760000</v>
      </c>
    </row>
    <row r="36" spans="4:4" x14ac:dyDescent="0.3">
      <c r="D36">
        <v>870000</v>
      </c>
    </row>
    <row r="37" spans="4:4" x14ac:dyDescent="0.3">
      <c r="D37">
        <v>710000</v>
      </c>
    </row>
    <row r="38" spans="4:4" x14ac:dyDescent="0.3">
      <c r="D38">
        <v>750000</v>
      </c>
    </row>
    <row r="39" spans="4:4" x14ac:dyDescent="0.3">
      <c r="D39">
        <v>710000</v>
      </c>
    </row>
    <row r="40" spans="4:4" x14ac:dyDescent="0.3">
      <c r="D40">
        <v>830000</v>
      </c>
    </row>
    <row r="41" spans="4:4" x14ac:dyDescent="0.3">
      <c r="D41">
        <v>930000</v>
      </c>
    </row>
    <row r="42" spans="4:4" x14ac:dyDescent="0.3">
      <c r="D42">
        <v>690000</v>
      </c>
    </row>
    <row r="43" spans="4:4" x14ac:dyDescent="0.3">
      <c r="D43">
        <v>710000</v>
      </c>
    </row>
    <row r="44" spans="4:4" x14ac:dyDescent="0.3">
      <c r="D44">
        <v>660000</v>
      </c>
    </row>
    <row r="45" spans="4:4" x14ac:dyDescent="0.3">
      <c r="D45">
        <v>655000</v>
      </c>
    </row>
    <row r="46" spans="4:4" x14ac:dyDescent="0.3">
      <c r="D46">
        <v>748000</v>
      </c>
    </row>
    <row r="47" spans="4:4" x14ac:dyDescent="0.3">
      <c r="D47">
        <v>660000</v>
      </c>
    </row>
    <row r="48" spans="4:4" x14ac:dyDescent="0.3">
      <c r="D48">
        <v>570000</v>
      </c>
    </row>
    <row r="49" spans="4:4" x14ac:dyDescent="0.3">
      <c r="D49">
        <v>558000</v>
      </c>
    </row>
    <row r="50" spans="4:4" x14ac:dyDescent="0.3">
      <c r="D50">
        <v>720000</v>
      </c>
    </row>
  </sheetData>
  <scenarios current="0" show="0">
    <scenario name="Khảo sát" locked="1" count="1" user="phong" comment="Created by phong on 3/22/2024">
      <inputCells r="T8" val=""/>
    </scenario>
  </scenarios>
  <mergeCells count="1">
    <mergeCell ref="C1:Z3"/>
  </mergeCells>
  <hyperlinks>
    <hyperlink ref="B4" r:id="rId1" xr:uid="{2EDBD9BF-889F-43DB-8275-941EB8E045EC}"/>
    <hyperlink ref="B3" r:id="rId2" xr:uid="{DC8AE960-F945-4CE2-9E28-615A4176292B}"/>
    <hyperlink ref="B2" r:id="rId3" xr:uid="{3222281B-5178-4E43-9B70-750F202BC4F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507AB-4AE3-42B9-ADB8-C44419CA88DE}">
  <dimension ref="A1"/>
  <sheetViews>
    <sheetView topLeftCell="A10" zoomScale="66" workbookViewId="0">
      <selection activeCell="M46" sqref="M46"/>
    </sheetView>
  </sheetViews>
  <sheetFormatPr defaultRowHeight="14.4" x14ac:dyDescent="0.3"/>
  <cols>
    <col min="1" max="1" width="12.44140625" bestFit="1" customWidth="1"/>
  </cols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6C9CF-B2EF-4BF5-BE96-4A93D6ED2615}">
  <dimension ref="A1:M58"/>
  <sheetViews>
    <sheetView topLeftCell="A37" workbookViewId="0">
      <selection activeCell="N56" sqref="N56"/>
    </sheetView>
  </sheetViews>
  <sheetFormatPr defaultRowHeight="14.4" x14ac:dyDescent="0.3"/>
  <cols>
    <col min="3" max="3" width="11.5546875" customWidth="1"/>
    <col min="11" max="11" width="14.77734375" bestFit="1" customWidth="1"/>
    <col min="13" max="13" width="12" bestFit="1" customWidth="1"/>
  </cols>
  <sheetData>
    <row r="1" spans="1:13" x14ac:dyDescent="0.3">
      <c r="A1" t="s">
        <v>38</v>
      </c>
      <c r="B1" t="s">
        <v>39</v>
      </c>
      <c r="C1" t="s">
        <v>40</v>
      </c>
      <c r="D1" t="s">
        <v>130</v>
      </c>
      <c r="E1" t="s">
        <v>134</v>
      </c>
      <c r="F1" t="s">
        <v>148</v>
      </c>
      <c r="G1" t="s">
        <v>151</v>
      </c>
      <c r="H1" t="s">
        <v>152</v>
      </c>
      <c r="I1" t="s">
        <v>153</v>
      </c>
      <c r="J1" t="s">
        <v>159</v>
      </c>
      <c r="K1" t="s">
        <v>163</v>
      </c>
      <c r="L1" t="s">
        <v>160</v>
      </c>
      <c r="M1" t="s">
        <v>162</v>
      </c>
    </row>
    <row r="2" spans="1:13" x14ac:dyDescent="0.3">
      <c r="A2" s="49">
        <v>2021</v>
      </c>
      <c r="B2" t="s">
        <v>44</v>
      </c>
      <c r="C2">
        <v>1</v>
      </c>
      <c r="D2" s="7">
        <f>'Historical Sale'!C20</f>
        <v>610000</v>
      </c>
      <c r="F2" s="7">
        <v>0</v>
      </c>
      <c r="J2" s="7" cm="1">
        <f t="array" ref="J2:J25">D2:D25-D26</f>
        <v>-101875</v>
      </c>
      <c r="K2" s="7">
        <f>J2^2</f>
        <v>10378515625</v>
      </c>
    </row>
    <row r="3" spans="1:13" x14ac:dyDescent="0.3">
      <c r="A3" s="49"/>
      <c r="B3" t="s">
        <v>45</v>
      </c>
      <c r="C3">
        <v>2</v>
      </c>
      <c r="D3" s="7">
        <f>'Historical Sale'!D20</f>
        <v>530000</v>
      </c>
      <c r="E3" s="7">
        <f>D2</f>
        <v>610000</v>
      </c>
      <c r="F3" s="7">
        <f>D3-E3</f>
        <v>-80000</v>
      </c>
      <c r="J3">
        <v>-181875</v>
      </c>
      <c r="K3" s="7">
        <f t="shared" ref="K3:K25" si="0">J3^2</f>
        <v>33078515625</v>
      </c>
      <c r="L3" s="7" cm="1">
        <f t="array" ref="L3:L25">E3:E25-D26</f>
        <v>-101875</v>
      </c>
      <c r="M3">
        <f>J3*L3</f>
        <v>18528515625</v>
      </c>
    </row>
    <row r="4" spans="1:13" x14ac:dyDescent="0.3">
      <c r="A4" s="49"/>
      <c r="B4" t="s">
        <v>46</v>
      </c>
      <c r="C4">
        <v>3</v>
      </c>
      <c r="D4" s="7">
        <f>SUM('Historical Sale'!E20)</f>
        <v>1020000</v>
      </c>
      <c r="E4" s="7">
        <f t="shared" ref="E4:E25" si="1">D3</f>
        <v>530000</v>
      </c>
      <c r="F4" s="7">
        <f>D4-E4</f>
        <v>490000</v>
      </c>
      <c r="G4" s="7">
        <f>D2</f>
        <v>610000</v>
      </c>
      <c r="J4">
        <v>308125</v>
      </c>
      <c r="K4" s="7">
        <f t="shared" si="0"/>
        <v>94941015625</v>
      </c>
      <c r="L4">
        <v>-181875</v>
      </c>
      <c r="M4">
        <f t="shared" ref="M4:M25" si="2">J4*L4</f>
        <v>-56040234375</v>
      </c>
    </row>
    <row r="5" spans="1:13" x14ac:dyDescent="0.3">
      <c r="A5" s="49"/>
      <c r="B5" t="s">
        <v>47</v>
      </c>
      <c r="C5">
        <v>4</v>
      </c>
      <c r="D5" s="7">
        <f>SUM('Historical Sale'!F20)</f>
        <v>800000</v>
      </c>
      <c r="E5" s="7">
        <f t="shared" si="1"/>
        <v>1020000</v>
      </c>
      <c r="F5" s="7">
        <f>D5-E5</f>
        <v>-220000</v>
      </c>
      <c r="G5" s="7">
        <f t="shared" ref="G5:G25" si="3">D3</f>
        <v>530000</v>
      </c>
      <c r="H5" s="7">
        <f>D2</f>
        <v>610000</v>
      </c>
      <c r="J5">
        <v>88125</v>
      </c>
      <c r="K5" s="7">
        <f t="shared" si="0"/>
        <v>7766015625</v>
      </c>
      <c r="L5">
        <v>308125</v>
      </c>
      <c r="M5">
        <f t="shared" si="2"/>
        <v>27153515625</v>
      </c>
    </row>
    <row r="6" spans="1:13" x14ac:dyDescent="0.3">
      <c r="A6" s="49"/>
      <c r="B6" t="s">
        <v>48</v>
      </c>
      <c r="C6">
        <v>5</v>
      </c>
      <c r="D6" s="7" cm="1">
        <f t="array" ref="D6">TRANSPOSE('Historical Sale'!G20)</f>
        <v>704000</v>
      </c>
      <c r="E6" s="7">
        <f t="shared" si="1"/>
        <v>800000</v>
      </c>
      <c r="F6" s="7">
        <f t="shared" ref="F6:F25" si="4">D6-E6</f>
        <v>-96000</v>
      </c>
      <c r="G6" s="7">
        <f t="shared" si="3"/>
        <v>1020000</v>
      </c>
      <c r="H6" s="7">
        <f t="shared" ref="H6:H25" si="5">D3</f>
        <v>530000</v>
      </c>
      <c r="I6" s="7">
        <f>D2</f>
        <v>610000</v>
      </c>
      <c r="J6">
        <v>-7875</v>
      </c>
      <c r="K6" s="7">
        <f t="shared" si="0"/>
        <v>62015625</v>
      </c>
      <c r="L6">
        <v>88125</v>
      </c>
      <c r="M6">
        <f t="shared" si="2"/>
        <v>-693984375</v>
      </c>
    </row>
    <row r="7" spans="1:13" x14ac:dyDescent="0.3">
      <c r="A7" s="49"/>
      <c r="B7" t="s">
        <v>49</v>
      </c>
      <c r="C7">
        <v>6</v>
      </c>
      <c r="D7" s="7" cm="1">
        <f t="array" ref="D7">TRANSPOSE('Historical Sale'!H20)</f>
        <v>540000</v>
      </c>
      <c r="E7" s="7">
        <f t="shared" si="1"/>
        <v>704000</v>
      </c>
      <c r="F7" s="7">
        <f t="shared" si="4"/>
        <v>-164000</v>
      </c>
      <c r="G7" s="7">
        <f t="shared" si="3"/>
        <v>800000</v>
      </c>
      <c r="H7" s="7">
        <f t="shared" si="5"/>
        <v>1020000</v>
      </c>
      <c r="I7" s="7">
        <f t="shared" ref="I7:I25" si="6">D3</f>
        <v>530000</v>
      </c>
      <c r="J7">
        <v>-171875</v>
      </c>
      <c r="K7" s="7">
        <f t="shared" si="0"/>
        <v>29541015625</v>
      </c>
      <c r="L7">
        <v>-7875</v>
      </c>
      <c r="M7">
        <f t="shared" si="2"/>
        <v>1353515625</v>
      </c>
    </row>
    <row r="8" spans="1:13" x14ac:dyDescent="0.3">
      <c r="A8" s="49"/>
      <c r="B8" t="s">
        <v>50</v>
      </c>
      <c r="C8">
        <v>7</v>
      </c>
      <c r="D8">
        <v>680000</v>
      </c>
      <c r="E8" s="7">
        <f t="shared" si="1"/>
        <v>540000</v>
      </c>
      <c r="F8" s="7">
        <f t="shared" si="4"/>
        <v>140000</v>
      </c>
      <c r="G8" s="7">
        <f t="shared" si="3"/>
        <v>704000</v>
      </c>
      <c r="H8" s="7">
        <f t="shared" si="5"/>
        <v>800000</v>
      </c>
      <c r="I8" s="7">
        <f t="shared" si="6"/>
        <v>1020000</v>
      </c>
      <c r="J8">
        <v>-31875</v>
      </c>
      <c r="K8" s="7">
        <f t="shared" si="0"/>
        <v>1016015625</v>
      </c>
      <c r="L8">
        <v>-171875</v>
      </c>
      <c r="M8">
        <f t="shared" si="2"/>
        <v>5478515625</v>
      </c>
    </row>
    <row r="9" spans="1:13" x14ac:dyDescent="0.3">
      <c r="A9" s="49"/>
      <c r="B9" t="s">
        <v>51</v>
      </c>
      <c r="C9">
        <v>8</v>
      </c>
      <c r="D9">
        <v>670000</v>
      </c>
      <c r="E9" s="7">
        <f t="shared" si="1"/>
        <v>680000</v>
      </c>
      <c r="F9" s="7">
        <f t="shared" si="4"/>
        <v>-10000</v>
      </c>
      <c r="G9" s="7">
        <f t="shared" si="3"/>
        <v>540000</v>
      </c>
      <c r="H9" s="7">
        <f t="shared" si="5"/>
        <v>704000</v>
      </c>
      <c r="I9" s="7">
        <f t="shared" si="6"/>
        <v>800000</v>
      </c>
      <c r="J9">
        <v>-41875</v>
      </c>
      <c r="K9" s="7">
        <f t="shared" si="0"/>
        <v>1753515625</v>
      </c>
      <c r="L9">
        <v>-31875</v>
      </c>
      <c r="M9">
        <f t="shared" si="2"/>
        <v>1334765625</v>
      </c>
    </row>
    <row r="10" spans="1:13" x14ac:dyDescent="0.3">
      <c r="A10" s="49"/>
      <c r="B10" t="s">
        <v>52</v>
      </c>
      <c r="C10">
        <v>9</v>
      </c>
      <c r="D10">
        <v>760000</v>
      </c>
      <c r="E10" s="7">
        <f t="shared" si="1"/>
        <v>670000</v>
      </c>
      <c r="F10" s="7">
        <f t="shared" si="4"/>
        <v>90000</v>
      </c>
      <c r="G10" s="7">
        <f t="shared" si="3"/>
        <v>680000</v>
      </c>
      <c r="H10" s="7">
        <f t="shared" si="5"/>
        <v>540000</v>
      </c>
      <c r="I10" s="7">
        <f t="shared" si="6"/>
        <v>704000</v>
      </c>
      <c r="J10">
        <v>48125</v>
      </c>
      <c r="K10" s="7">
        <f t="shared" si="0"/>
        <v>2316015625</v>
      </c>
      <c r="L10">
        <v>-41875</v>
      </c>
      <c r="M10">
        <f t="shared" si="2"/>
        <v>-2015234375</v>
      </c>
    </row>
    <row r="11" spans="1:13" x14ac:dyDescent="0.3">
      <c r="A11" s="49"/>
      <c r="B11" t="s">
        <v>53</v>
      </c>
      <c r="C11">
        <v>10</v>
      </c>
      <c r="D11">
        <v>870000</v>
      </c>
      <c r="E11" s="7">
        <f t="shared" si="1"/>
        <v>760000</v>
      </c>
      <c r="F11" s="7">
        <f t="shared" si="4"/>
        <v>110000</v>
      </c>
      <c r="G11" s="7">
        <f t="shared" si="3"/>
        <v>670000</v>
      </c>
      <c r="H11" s="7">
        <f t="shared" si="5"/>
        <v>680000</v>
      </c>
      <c r="I11" s="7">
        <f t="shared" si="6"/>
        <v>540000</v>
      </c>
      <c r="J11">
        <v>158125</v>
      </c>
      <c r="K11" s="7">
        <f t="shared" si="0"/>
        <v>25003515625</v>
      </c>
      <c r="L11">
        <v>48125</v>
      </c>
      <c r="M11">
        <f t="shared" si="2"/>
        <v>7609765625</v>
      </c>
    </row>
    <row r="12" spans="1:13" x14ac:dyDescent="0.3">
      <c r="A12" s="49"/>
      <c r="B12" t="s">
        <v>54</v>
      </c>
      <c r="C12">
        <v>11</v>
      </c>
      <c r="D12">
        <v>710000</v>
      </c>
      <c r="E12" s="7">
        <f t="shared" si="1"/>
        <v>870000</v>
      </c>
      <c r="F12" s="7">
        <f t="shared" si="4"/>
        <v>-160000</v>
      </c>
      <c r="G12" s="7">
        <f t="shared" si="3"/>
        <v>760000</v>
      </c>
      <c r="H12" s="7">
        <f t="shared" si="5"/>
        <v>670000</v>
      </c>
      <c r="I12" s="7">
        <f t="shared" si="6"/>
        <v>680000</v>
      </c>
      <c r="J12">
        <v>-1875</v>
      </c>
      <c r="K12" s="7">
        <f t="shared" si="0"/>
        <v>3515625</v>
      </c>
      <c r="L12">
        <v>158125</v>
      </c>
      <c r="M12">
        <f t="shared" si="2"/>
        <v>-296484375</v>
      </c>
    </row>
    <row r="13" spans="1:13" x14ac:dyDescent="0.3">
      <c r="A13" s="49"/>
      <c r="B13" t="s">
        <v>55</v>
      </c>
      <c r="C13">
        <v>12</v>
      </c>
      <c r="D13">
        <v>750000</v>
      </c>
      <c r="E13" s="7">
        <f t="shared" si="1"/>
        <v>710000</v>
      </c>
      <c r="F13" s="7">
        <f t="shared" si="4"/>
        <v>40000</v>
      </c>
      <c r="G13" s="7">
        <f t="shared" si="3"/>
        <v>870000</v>
      </c>
      <c r="H13" s="7">
        <f t="shared" si="5"/>
        <v>760000</v>
      </c>
      <c r="I13" s="7">
        <f t="shared" si="6"/>
        <v>670000</v>
      </c>
      <c r="J13">
        <v>38125</v>
      </c>
      <c r="K13" s="7">
        <f t="shared" si="0"/>
        <v>1453515625</v>
      </c>
      <c r="L13">
        <v>-1875</v>
      </c>
      <c r="M13">
        <f t="shared" si="2"/>
        <v>-71484375</v>
      </c>
    </row>
    <row r="14" spans="1:13" x14ac:dyDescent="0.3">
      <c r="A14" s="49">
        <v>2022</v>
      </c>
      <c r="B14" t="s">
        <v>44</v>
      </c>
      <c r="C14">
        <v>13</v>
      </c>
      <c r="D14">
        <v>710000</v>
      </c>
      <c r="E14" s="7">
        <f t="shared" si="1"/>
        <v>750000</v>
      </c>
      <c r="F14" s="7">
        <f t="shared" si="4"/>
        <v>-40000</v>
      </c>
      <c r="G14" s="7">
        <f t="shared" si="3"/>
        <v>710000</v>
      </c>
      <c r="H14" s="7">
        <f t="shared" si="5"/>
        <v>870000</v>
      </c>
      <c r="I14" s="7">
        <f t="shared" si="6"/>
        <v>760000</v>
      </c>
      <c r="J14">
        <v>-1875</v>
      </c>
      <c r="K14" s="7">
        <f t="shared" si="0"/>
        <v>3515625</v>
      </c>
      <c r="L14">
        <v>38125</v>
      </c>
      <c r="M14">
        <f t="shared" si="2"/>
        <v>-71484375</v>
      </c>
    </row>
    <row r="15" spans="1:13" x14ac:dyDescent="0.3">
      <c r="A15" s="49"/>
      <c r="B15" t="s">
        <v>45</v>
      </c>
      <c r="C15">
        <v>14</v>
      </c>
      <c r="D15">
        <v>830000</v>
      </c>
      <c r="E15" s="7">
        <f t="shared" si="1"/>
        <v>710000</v>
      </c>
      <c r="F15" s="7">
        <f t="shared" si="4"/>
        <v>120000</v>
      </c>
      <c r="G15" s="7">
        <f t="shared" si="3"/>
        <v>750000</v>
      </c>
      <c r="H15" s="7">
        <f t="shared" si="5"/>
        <v>710000</v>
      </c>
      <c r="I15" s="7">
        <f t="shared" si="6"/>
        <v>870000</v>
      </c>
      <c r="J15">
        <v>118125</v>
      </c>
      <c r="K15" s="7">
        <f t="shared" si="0"/>
        <v>13953515625</v>
      </c>
      <c r="L15">
        <v>-1875</v>
      </c>
      <c r="M15">
        <f t="shared" si="2"/>
        <v>-221484375</v>
      </c>
    </row>
    <row r="16" spans="1:13" x14ac:dyDescent="0.3">
      <c r="A16" s="49"/>
      <c r="B16" t="s">
        <v>46</v>
      </c>
      <c r="C16">
        <v>15</v>
      </c>
      <c r="D16">
        <v>930000</v>
      </c>
      <c r="E16" s="7">
        <f t="shared" si="1"/>
        <v>830000</v>
      </c>
      <c r="F16" s="7">
        <f t="shared" si="4"/>
        <v>100000</v>
      </c>
      <c r="G16" s="7">
        <f t="shared" si="3"/>
        <v>710000</v>
      </c>
      <c r="H16" s="7">
        <f t="shared" si="5"/>
        <v>750000</v>
      </c>
      <c r="I16" s="7">
        <f t="shared" si="6"/>
        <v>710000</v>
      </c>
      <c r="J16">
        <v>218125</v>
      </c>
      <c r="K16" s="7">
        <f t="shared" si="0"/>
        <v>47578515625</v>
      </c>
      <c r="L16">
        <v>118125</v>
      </c>
      <c r="M16">
        <f t="shared" si="2"/>
        <v>25766015625</v>
      </c>
    </row>
    <row r="17" spans="1:13" x14ac:dyDescent="0.3">
      <c r="A17" s="49"/>
      <c r="B17" t="s">
        <v>47</v>
      </c>
      <c r="C17">
        <v>16</v>
      </c>
      <c r="D17">
        <v>690000</v>
      </c>
      <c r="E17" s="7">
        <f t="shared" si="1"/>
        <v>930000</v>
      </c>
      <c r="F17" s="7">
        <f t="shared" si="4"/>
        <v>-240000</v>
      </c>
      <c r="G17" s="7">
        <f t="shared" si="3"/>
        <v>830000</v>
      </c>
      <c r="H17" s="7">
        <f t="shared" si="5"/>
        <v>710000</v>
      </c>
      <c r="I17" s="7">
        <f t="shared" si="6"/>
        <v>750000</v>
      </c>
      <c r="J17">
        <v>-21875</v>
      </c>
      <c r="K17" s="7">
        <f t="shared" si="0"/>
        <v>478515625</v>
      </c>
      <c r="L17">
        <v>218125</v>
      </c>
      <c r="M17">
        <f t="shared" si="2"/>
        <v>-4771484375</v>
      </c>
    </row>
    <row r="18" spans="1:13" x14ac:dyDescent="0.3">
      <c r="A18" s="49"/>
      <c r="B18" t="s">
        <v>48</v>
      </c>
      <c r="C18">
        <v>17</v>
      </c>
      <c r="D18">
        <v>710000</v>
      </c>
      <c r="E18" s="7">
        <f t="shared" si="1"/>
        <v>690000</v>
      </c>
      <c r="F18" s="7">
        <f t="shared" si="4"/>
        <v>20000</v>
      </c>
      <c r="G18" s="7">
        <f t="shared" si="3"/>
        <v>930000</v>
      </c>
      <c r="H18" s="7">
        <f t="shared" si="5"/>
        <v>830000</v>
      </c>
      <c r="I18" s="7">
        <f t="shared" si="6"/>
        <v>710000</v>
      </c>
      <c r="J18">
        <v>-1875</v>
      </c>
      <c r="K18" s="7">
        <f t="shared" si="0"/>
        <v>3515625</v>
      </c>
      <c r="L18">
        <v>-21875</v>
      </c>
      <c r="M18">
        <f t="shared" si="2"/>
        <v>41015625</v>
      </c>
    </row>
    <row r="19" spans="1:13" x14ac:dyDescent="0.3">
      <c r="A19" s="49"/>
      <c r="B19" t="s">
        <v>49</v>
      </c>
      <c r="C19">
        <v>18</v>
      </c>
      <c r="D19">
        <v>660000</v>
      </c>
      <c r="E19" s="7">
        <f t="shared" si="1"/>
        <v>710000</v>
      </c>
      <c r="F19" s="7">
        <f t="shared" si="4"/>
        <v>-50000</v>
      </c>
      <c r="G19" s="7">
        <f t="shared" si="3"/>
        <v>690000</v>
      </c>
      <c r="H19" s="7">
        <f t="shared" si="5"/>
        <v>930000</v>
      </c>
      <c r="I19" s="7">
        <f t="shared" si="6"/>
        <v>830000</v>
      </c>
      <c r="J19">
        <v>-51875</v>
      </c>
      <c r="K19" s="7">
        <f t="shared" si="0"/>
        <v>2691015625</v>
      </c>
      <c r="L19">
        <v>-1875</v>
      </c>
      <c r="M19">
        <f t="shared" si="2"/>
        <v>97265625</v>
      </c>
    </row>
    <row r="20" spans="1:13" x14ac:dyDescent="0.3">
      <c r="A20" s="49"/>
      <c r="B20" t="s">
        <v>50</v>
      </c>
      <c r="C20">
        <v>19</v>
      </c>
      <c r="D20">
        <v>655000</v>
      </c>
      <c r="E20" s="7">
        <f t="shared" si="1"/>
        <v>660000</v>
      </c>
      <c r="F20" s="7">
        <f t="shared" si="4"/>
        <v>-5000</v>
      </c>
      <c r="G20" s="7">
        <f t="shared" si="3"/>
        <v>710000</v>
      </c>
      <c r="H20" s="7">
        <f t="shared" si="5"/>
        <v>690000</v>
      </c>
      <c r="I20" s="7">
        <f t="shared" si="6"/>
        <v>930000</v>
      </c>
      <c r="J20">
        <v>-56875</v>
      </c>
      <c r="K20" s="7">
        <f t="shared" si="0"/>
        <v>3234765625</v>
      </c>
      <c r="L20">
        <v>-51875</v>
      </c>
      <c r="M20">
        <f t="shared" si="2"/>
        <v>2950390625</v>
      </c>
    </row>
    <row r="21" spans="1:13" x14ac:dyDescent="0.3">
      <c r="A21" s="49"/>
      <c r="B21" t="s">
        <v>51</v>
      </c>
      <c r="C21">
        <v>20</v>
      </c>
      <c r="D21">
        <v>748000</v>
      </c>
      <c r="E21" s="7">
        <f t="shared" si="1"/>
        <v>655000</v>
      </c>
      <c r="F21" s="7">
        <f t="shared" si="4"/>
        <v>93000</v>
      </c>
      <c r="G21" s="7">
        <f t="shared" si="3"/>
        <v>660000</v>
      </c>
      <c r="H21" s="7">
        <f t="shared" si="5"/>
        <v>710000</v>
      </c>
      <c r="I21" s="7">
        <f t="shared" si="6"/>
        <v>690000</v>
      </c>
      <c r="J21">
        <v>36125</v>
      </c>
      <c r="K21" s="7">
        <f t="shared" si="0"/>
        <v>1305015625</v>
      </c>
      <c r="L21">
        <v>-56875</v>
      </c>
      <c r="M21">
        <f t="shared" si="2"/>
        <v>-2054609375</v>
      </c>
    </row>
    <row r="22" spans="1:13" x14ac:dyDescent="0.3">
      <c r="A22" s="49"/>
      <c r="B22" t="s">
        <v>52</v>
      </c>
      <c r="C22">
        <v>21</v>
      </c>
      <c r="D22">
        <v>660000</v>
      </c>
      <c r="E22" s="7">
        <f t="shared" si="1"/>
        <v>748000</v>
      </c>
      <c r="F22" s="7">
        <f t="shared" si="4"/>
        <v>-88000</v>
      </c>
      <c r="G22" s="7">
        <f t="shared" si="3"/>
        <v>655000</v>
      </c>
      <c r="H22" s="7">
        <f t="shared" si="5"/>
        <v>660000</v>
      </c>
      <c r="I22" s="7">
        <f t="shared" si="6"/>
        <v>710000</v>
      </c>
      <c r="J22">
        <v>-51875</v>
      </c>
      <c r="K22" s="7">
        <f t="shared" si="0"/>
        <v>2691015625</v>
      </c>
      <c r="L22">
        <v>36125</v>
      </c>
      <c r="M22">
        <f t="shared" si="2"/>
        <v>-1873984375</v>
      </c>
    </row>
    <row r="23" spans="1:13" x14ac:dyDescent="0.3">
      <c r="A23" s="49"/>
      <c r="B23" t="s">
        <v>53</v>
      </c>
      <c r="C23">
        <v>22</v>
      </c>
      <c r="D23">
        <v>570000</v>
      </c>
      <c r="E23" s="7">
        <f t="shared" si="1"/>
        <v>660000</v>
      </c>
      <c r="F23" s="7">
        <f t="shared" si="4"/>
        <v>-90000</v>
      </c>
      <c r="G23" s="7">
        <f t="shared" si="3"/>
        <v>748000</v>
      </c>
      <c r="H23" s="7">
        <f t="shared" si="5"/>
        <v>655000</v>
      </c>
      <c r="I23" s="7">
        <f t="shared" si="6"/>
        <v>660000</v>
      </c>
      <c r="J23">
        <v>-141875</v>
      </c>
      <c r="K23" s="7">
        <f t="shared" si="0"/>
        <v>20128515625</v>
      </c>
      <c r="L23">
        <v>-51875</v>
      </c>
      <c r="M23">
        <f t="shared" si="2"/>
        <v>7359765625</v>
      </c>
    </row>
    <row r="24" spans="1:13" x14ac:dyDescent="0.3">
      <c r="A24" s="49"/>
      <c r="B24" t="s">
        <v>54</v>
      </c>
      <c r="C24">
        <v>23</v>
      </c>
      <c r="D24">
        <v>558000</v>
      </c>
      <c r="E24" s="7">
        <f t="shared" si="1"/>
        <v>570000</v>
      </c>
      <c r="F24" s="7">
        <f t="shared" si="4"/>
        <v>-12000</v>
      </c>
      <c r="G24" s="7">
        <f t="shared" si="3"/>
        <v>660000</v>
      </c>
      <c r="H24" s="7">
        <f t="shared" si="5"/>
        <v>748000</v>
      </c>
      <c r="I24" s="7">
        <f t="shared" si="6"/>
        <v>655000</v>
      </c>
      <c r="J24">
        <v>-153875</v>
      </c>
      <c r="K24" s="7">
        <f t="shared" si="0"/>
        <v>23677515625</v>
      </c>
      <c r="L24">
        <v>-141875</v>
      </c>
      <c r="M24">
        <f t="shared" si="2"/>
        <v>21831015625</v>
      </c>
    </row>
    <row r="25" spans="1:13" x14ac:dyDescent="0.3">
      <c r="A25" s="49"/>
      <c r="B25" t="s">
        <v>55</v>
      </c>
      <c r="C25">
        <v>24</v>
      </c>
      <c r="D25">
        <v>720000</v>
      </c>
      <c r="E25" s="7">
        <f t="shared" si="1"/>
        <v>558000</v>
      </c>
      <c r="F25" s="7">
        <f t="shared" si="4"/>
        <v>162000</v>
      </c>
      <c r="G25" s="7">
        <f t="shared" si="3"/>
        <v>570000</v>
      </c>
      <c r="H25" s="7">
        <f t="shared" si="5"/>
        <v>660000</v>
      </c>
      <c r="I25" s="7">
        <f t="shared" si="6"/>
        <v>748000</v>
      </c>
      <c r="J25">
        <v>8125</v>
      </c>
      <c r="K25" s="7">
        <f t="shared" si="0"/>
        <v>66015625</v>
      </c>
      <c r="L25">
        <v>-153875</v>
      </c>
      <c r="M25">
        <f t="shared" si="2"/>
        <v>-1250234375</v>
      </c>
    </row>
    <row r="26" spans="1:13" x14ac:dyDescent="0.3">
      <c r="C26" t="s">
        <v>37</v>
      </c>
      <c r="D26" s="7">
        <f>AVERAGE(D2:D25)</f>
        <v>711875</v>
      </c>
      <c r="I26" t="s">
        <v>161</v>
      </c>
      <c r="J26">
        <f>SUM(J3:J25)</f>
        <v>101875</v>
      </c>
      <c r="K26" s="7">
        <f>SUM(K2:K25)</f>
        <v>323124625000</v>
      </c>
      <c r="L26">
        <f>SUM(L3:L25)</f>
        <v>-8125</v>
      </c>
      <c r="M26">
        <f>SUM(M3:M25)</f>
        <v>50143359375</v>
      </c>
    </row>
    <row r="27" spans="1:13" x14ac:dyDescent="0.3">
      <c r="A27" s="26" t="s">
        <v>131</v>
      </c>
      <c r="J27" t="s">
        <v>154</v>
      </c>
      <c r="L27">
        <f>M26/(K26)</f>
        <v>0.15518272361631366</v>
      </c>
    </row>
    <row r="28" spans="1:13" x14ac:dyDescent="0.3">
      <c r="A28" t="s">
        <v>132</v>
      </c>
      <c r="L28">
        <f>CORREL(D3:D25,E3:E25)</f>
        <v>0.15798063581296687</v>
      </c>
    </row>
    <row r="29" spans="1:13" x14ac:dyDescent="0.3">
      <c r="A29" t="s">
        <v>133</v>
      </c>
      <c r="B29">
        <f>CORREL(D3:D25,E3:E25)</f>
        <v>0.15798063581296687</v>
      </c>
      <c r="C29" t="s">
        <v>135</v>
      </c>
    </row>
    <row r="31" spans="1:13" x14ac:dyDescent="0.3">
      <c r="A31" s="26" t="s">
        <v>136</v>
      </c>
    </row>
    <row r="32" spans="1:13" x14ac:dyDescent="0.3">
      <c r="A32" t="s">
        <v>137</v>
      </c>
      <c r="B32">
        <f>SQRT(1/24)</f>
        <v>0.20412414523193151</v>
      </c>
    </row>
    <row r="33" spans="1:4" x14ac:dyDescent="0.3">
      <c r="A33" t="s">
        <v>138</v>
      </c>
      <c r="C33" t="s">
        <v>139</v>
      </c>
      <c r="D33" t="s">
        <v>140</v>
      </c>
    </row>
    <row r="34" spans="1:4" x14ac:dyDescent="0.3">
      <c r="A34" t="s">
        <v>141</v>
      </c>
    </row>
    <row r="35" spans="1:4" x14ac:dyDescent="0.3">
      <c r="A35" t="s">
        <v>142</v>
      </c>
    </row>
    <row r="36" spans="1:4" x14ac:dyDescent="0.3">
      <c r="A36" t="s">
        <v>143</v>
      </c>
      <c r="C36">
        <f>B29/B32</f>
        <v>0.77394389396445429</v>
      </c>
    </row>
    <row r="37" spans="1:4" x14ac:dyDescent="0.3">
      <c r="A37" t="s">
        <v>144</v>
      </c>
      <c r="C37">
        <v>1.7110000000000001</v>
      </c>
    </row>
    <row r="38" spans="1:4" x14ac:dyDescent="0.3">
      <c r="A38" t="s">
        <v>145</v>
      </c>
    </row>
    <row r="39" spans="1:4" x14ac:dyDescent="0.3">
      <c r="A39" t="s">
        <v>146</v>
      </c>
    </row>
    <row r="41" spans="1:4" x14ac:dyDescent="0.3">
      <c r="A41" s="26" t="s">
        <v>147</v>
      </c>
    </row>
    <row r="52" spans="1:7" x14ac:dyDescent="0.3">
      <c r="A52" t="s">
        <v>149</v>
      </c>
    </row>
    <row r="54" spans="1:7" x14ac:dyDescent="0.3">
      <c r="A54" s="26" t="s">
        <v>150</v>
      </c>
    </row>
    <row r="55" spans="1:7" x14ac:dyDescent="0.3">
      <c r="A55" t="s">
        <v>164</v>
      </c>
      <c r="C55">
        <f>CORREL(D2:D25,E2:E25)</f>
        <v>0.15798063581296687</v>
      </c>
      <c r="D55" t="s">
        <v>168</v>
      </c>
      <c r="E55" t="s">
        <v>155</v>
      </c>
      <c r="G55">
        <f xml:space="preserve"> 1.96*SQRT(1/24)</f>
        <v>0.40008332465458574</v>
      </c>
    </row>
    <row r="56" spans="1:7" x14ac:dyDescent="0.3">
      <c r="A56" t="s">
        <v>165</v>
      </c>
      <c r="C56">
        <f>CORREL(D2:D25,G2:G25)</f>
        <v>-0.19691241734736006</v>
      </c>
      <c r="D56" t="s">
        <v>168</v>
      </c>
      <c r="E56" t="s">
        <v>156</v>
      </c>
      <c r="G56">
        <f>1.96*SQRT((1+2*(C55^2))/24)</f>
        <v>0.40994696778677409</v>
      </c>
    </row>
    <row r="57" spans="1:7" x14ac:dyDescent="0.3">
      <c r="A57" t="s">
        <v>166</v>
      </c>
      <c r="C57">
        <f>CORREL(D2:D25,H2:H25)</f>
        <v>-0.31835850479487365</v>
      </c>
      <c r="D57" t="s">
        <v>168</v>
      </c>
      <c r="E57" t="s">
        <v>157</v>
      </c>
      <c r="G57">
        <f>1.96*SQRT((1+2*(C55^2+C56^2))/24)</f>
        <v>0.42481705046373047</v>
      </c>
    </row>
    <row r="58" spans="1:7" x14ac:dyDescent="0.3">
      <c r="A58" t="s">
        <v>167</v>
      </c>
      <c r="C58">
        <f>CORREL(D2:D25,I2:I25)</f>
        <v>2.6971693132231363E-2</v>
      </c>
      <c r="D58" t="s">
        <v>168</v>
      </c>
      <c r="E58" t="s">
        <v>158</v>
      </c>
      <c r="G58">
        <f>1.96*SQRT((1+2*(C55^2+C56^2+C57^2))/24)</f>
        <v>0.46142791853887632</v>
      </c>
    </row>
  </sheetData>
  <mergeCells count="2">
    <mergeCell ref="A2:A13"/>
    <mergeCell ref="A14:A25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8C407-8EC9-44B4-9078-6ED05CB5D9C5}">
  <dimension ref="A1"/>
  <sheetViews>
    <sheetView topLeftCell="A13" zoomScale="111" workbookViewId="0">
      <selection activeCell="L23" sqref="L23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59A25-BFB0-40EF-B5DE-4C2B592137BA}">
  <dimension ref="A1:Q93"/>
  <sheetViews>
    <sheetView topLeftCell="A53" zoomScale="64" zoomScaleNormal="64" workbookViewId="0">
      <selection activeCell="J83" sqref="J83"/>
    </sheetView>
  </sheetViews>
  <sheetFormatPr defaultRowHeight="14.4" x14ac:dyDescent="0.3"/>
  <cols>
    <col min="4" max="4" width="15.109375" bestFit="1" customWidth="1"/>
    <col min="5" max="5" width="12" bestFit="1" customWidth="1"/>
    <col min="6" max="6" width="10.109375" bestFit="1" customWidth="1"/>
    <col min="7" max="8" width="18.44140625" bestFit="1" customWidth="1"/>
    <col min="11" max="11" width="19.21875" bestFit="1" customWidth="1"/>
    <col min="13" max="13" width="15.6640625" customWidth="1"/>
    <col min="14" max="15" width="12" bestFit="1" customWidth="1"/>
    <col min="16" max="17" width="13.77734375" bestFit="1" customWidth="1"/>
  </cols>
  <sheetData>
    <row r="1" spans="1:17" x14ac:dyDescent="0.3">
      <c r="A1" s="51" t="s">
        <v>169</v>
      </c>
      <c r="B1" s="51"/>
      <c r="C1" s="51"/>
      <c r="D1" s="51"/>
      <c r="E1" s="51"/>
      <c r="F1" s="51"/>
      <c r="G1" s="51"/>
      <c r="H1" s="51"/>
      <c r="J1" s="51" t="s">
        <v>170</v>
      </c>
      <c r="K1" s="51"/>
      <c r="L1" s="51"/>
      <c r="M1" s="51"/>
      <c r="N1" s="51"/>
      <c r="O1" s="51"/>
      <c r="P1" s="51"/>
      <c r="Q1" s="51"/>
    </row>
    <row r="2" spans="1:17" x14ac:dyDescent="0.3">
      <c r="A2" s="8" t="s">
        <v>38</v>
      </c>
      <c r="B2" s="8" t="s">
        <v>39</v>
      </c>
      <c r="C2" s="8" t="s">
        <v>40</v>
      </c>
      <c r="D2" s="8" t="s">
        <v>129</v>
      </c>
      <c r="E2" s="8" t="s">
        <v>61</v>
      </c>
      <c r="F2" s="8" t="s">
        <v>62</v>
      </c>
      <c r="G2" s="8" t="s">
        <v>63</v>
      </c>
      <c r="H2" s="8" t="s">
        <v>64</v>
      </c>
      <c r="J2" s="8" t="s">
        <v>38</v>
      </c>
      <c r="K2" s="8" t="s">
        <v>39</v>
      </c>
      <c r="L2" s="8" t="s">
        <v>40</v>
      </c>
      <c r="M2" s="8" t="s">
        <v>129</v>
      </c>
      <c r="N2" s="8" t="s">
        <v>61</v>
      </c>
      <c r="O2" s="8" t="s">
        <v>62</v>
      </c>
      <c r="P2" s="8" t="s">
        <v>63</v>
      </c>
      <c r="Q2" s="8" t="s">
        <v>64</v>
      </c>
    </row>
    <row r="3" spans="1:17" x14ac:dyDescent="0.3">
      <c r="A3" s="50">
        <v>2021</v>
      </c>
      <c r="B3" s="8" t="s">
        <v>44</v>
      </c>
      <c r="C3" s="8">
        <v>1</v>
      </c>
      <c r="D3" s="9" cm="1">
        <f t="array" ref="D3:D26">TRANSPOSE('Historical Sale'!C7:Z7)</f>
        <v>110000</v>
      </c>
      <c r="E3" s="8"/>
      <c r="F3" s="8"/>
      <c r="G3" s="8"/>
      <c r="H3" s="8"/>
      <c r="J3" s="50">
        <v>2021</v>
      </c>
      <c r="K3" s="8" t="s">
        <v>44</v>
      </c>
      <c r="L3" s="8">
        <v>1</v>
      </c>
      <c r="M3" s="9" cm="1">
        <f t="array" ref="M3:M26">TRANSPOSE('Historical Sale'!C9:Z9)</f>
        <v>230000</v>
      </c>
      <c r="N3" s="8"/>
      <c r="O3" s="8"/>
      <c r="P3" s="8"/>
      <c r="Q3" s="8"/>
    </row>
    <row r="4" spans="1:17" x14ac:dyDescent="0.3">
      <c r="A4" s="50"/>
      <c r="B4" s="8" t="s">
        <v>45</v>
      </c>
      <c r="C4" s="8">
        <v>2</v>
      </c>
      <c r="D4" s="9">
        <v>60000</v>
      </c>
      <c r="E4" s="8"/>
      <c r="F4" s="8"/>
      <c r="G4" s="8"/>
      <c r="H4" s="8"/>
      <c r="J4" s="50"/>
      <c r="K4" s="8" t="s">
        <v>45</v>
      </c>
      <c r="L4" s="8">
        <v>2</v>
      </c>
      <c r="M4" s="9">
        <v>200000</v>
      </c>
      <c r="N4" s="8"/>
      <c r="O4" s="8"/>
      <c r="P4" s="8"/>
      <c r="Q4" s="8"/>
    </row>
    <row r="5" spans="1:17" x14ac:dyDescent="0.3">
      <c r="A5" s="50"/>
      <c r="B5" s="8" t="s">
        <v>46</v>
      </c>
      <c r="C5" s="8">
        <v>3</v>
      </c>
      <c r="D5" s="9">
        <v>200000</v>
      </c>
      <c r="E5" s="8"/>
      <c r="F5" s="8"/>
      <c r="G5" s="8"/>
      <c r="H5" s="8"/>
      <c r="J5" s="50"/>
      <c r="K5" s="8" t="s">
        <v>46</v>
      </c>
      <c r="L5" s="8">
        <v>3</v>
      </c>
      <c r="M5" s="9">
        <v>240000</v>
      </c>
      <c r="N5" s="8"/>
      <c r="O5" s="8"/>
      <c r="P5" s="8"/>
      <c r="Q5" s="8"/>
    </row>
    <row r="6" spans="1:17" x14ac:dyDescent="0.3">
      <c r="A6" s="50"/>
      <c r="B6" s="8" t="s">
        <v>47</v>
      </c>
      <c r="C6" s="8">
        <v>4</v>
      </c>
      <c r="D6" s="9">
        <v>100000</v>
      </c>
      <c r="E6" s="8">
        <f>SUM(D3:D5)/3</f>
        <v>123333.33333333333</v>
      </c>
      <c r="F6" s="8"/>
      <c r="G6" s="9">
        <f>(D6-E6)^2</f>
        <v>544444444.44444418</v>
      </c>
      <c r="H6" s="8"/>
      <c r="J6" s="50"/>
      <c r="K6" s="8" t="s">
        <v>47</v>
      </c>
      <c r="L6" s="8">
        <v>4</v>
      </c>
      <c r="M6" s="9">
        <v>200000</v>
      </c>
      <c r="N6" s="8">
        <f>SUM(M3:M5)/3</f>
        <v>223333.33333333334</v>
      </c>
      <c r="O6" s="8"/>
      <c r="P6" s="9">
        <f>(M6-N6)^2</f>
        <v>544444444.44444489</v>
      </c>
      <c r="Q6" s="8"/>
    </row>
    <row r="7" spans="1:17" x14ac:dyDescent="0.3">
      <c r="A7" s="50"/>
      <c r="B7" s="8" t="s">
        <v>48</v>
      </c>
      <c r="C7" s="8">
        <v>5</v>
      </c>
      <c r="D7" s="9">
        <v>40000</v>
      </c>
      <c r="E7" s="8">
        <f t="shared" ref="E7:E26" si="0">SUM(D4:D6)/3</f>
        <v>120000</v>
      </c>
      <c r="F7" s="8"/>
      <c r="G7" s="9">
        <f t="shared" ref="G7:G26" si="1">(D7-E7)^2</f>
        <v>6400000000</v>
      </c>
      <c r="H7" s="8"/>
      <c r="J7" s="50"/>
      <c r="K7" s="8" t="s">
        <v>48</v>
      </c>
      <c r="L7" s="8">
        <v>5</v>
      </c>
      <c r="M7" s="9">
        <v>210000</v>
      </c>
      <c r="N7" s="8">
        <f t="shared" ref="N7:N26" si="2">SUM(M4:M6)/3</f>
        <v>213333.33333333334</v>
      </c>
      <c r="O7" s="8"/>
      <c r="P7" s="9">
        <f t="shared" ref="P7:P26" si="3">(M7-N7)^2</f>
        <v>11111111.111111175</v>
      </c>
      <c r="Q7" s="8"/>
    </row>
    <row r="8" spans="1:17" x14ac:dyDescent="0.3">
      <c r="A8" s="50"/>
      <c r="B8" s="8" t="s">
        <v>49</v>
      </c>
      <c r="C8" s="8">
        <v>6</v>
      </c>
      <c r="D8" s="9">
        <v>20000</v>
      </c>
      <c r="E8" s="8">
        <f t="shared" si="0"/>
        <v>113333.33333333333</v>
      </c>
      <c r="F8" s="8">
        <f>SUM(D3:D7)/5</f>
        <v>102000</v>
      </c>
      <c r="G8" s="9">
        <f t="shared" si="1"/>
        <v>8711111111.1111107</v>
      </c>
      <c r="H8" s="9">
        <f>(D8-F8)^2</f>
        <v>6724000000</v>
      </c>
      <c r="J8" s="50"/>
      <c r="K8" s="8" t="s">
        <v>49</v>
      </c>
      <c r="L8" s="8">
        <v>6</v>
      </c>
      <c r="M8" s="9">
        <v>220000</v>
      </c>
      <c r="N8" s="8">
        <f t="shared" si="2"/>
        <v>216666.66666666666</v>
      </c>
      <c r="O8" s="8">
        <f>SUM(M3:M7)/5</f>
        <v>216000</v>
      </c>
      <c r="P8" s="9">
        <f t="shared" si="3"/>
        <v>11111111.111111175</v>
      </c>
      <c r="Q8" s="9">
        <f>(M8-O8)^2</f>
        <v>16000000</v>
      </c>
    </row>
    <row r="9" spans="1:17" x14ac:dyDescent="0.3">
      <c r="A9" s="50"/>
      <c r="B9" s="8" t="s">
        <v>50</v>
      </c>
      <c r="C9" s="8">
        <v>7</v>
      </c>
      <c r="D9" s="8">
        <v>10000</v>
      </c>
      <c r="E9" s="8">
        <f t="shared" si="0"/>
        <v>53333.333333333336</v>
      </c>
      <c r="F9" s="8">
        <f t="shared" ref="F9:F26" si="4">SUM(D4:D8)/5</f>
        <v>84000</v>
      </c>
      <c r="G9" s="9">
        <f t="shared" si="1"/>
        <v>1877777777.7777779</v>
      </c>
      <c r="H9" s="9">
        <f t="shared" ref="H9:H26" si="5">(D9-F9)^2</f>
        <v>5476000000</v>
      </c>
      <c r="J9" s="50"/>
      <c r="K9" s="8" t="s">
        <v>50</v>
      </c>
      <c r="L9" s="8">
        <v>7</v>
      </c>
      <c r="M9" s="8">
        <v>200000</v>
      </c>
      <c r="N9" s="8">
        <f t="shared" si="2"/>
        <v>210000</v>
      </c>
      <c r="O9" s="8">
        <f t="shared" ref="O9:O26" si="6">SUM(M4:M8)/5</f>
        <v>214000</v>
      </c>
      <c r="P9" s="9">
        <f t="shared" si="3"/>
        <v>100000000</v>
      </c>
      <c r="Q9" s="9">
        <f t="shared" ref="Q9:Q26" si="7">(M9-O9)^2</f>
        <v>196000000</v>
      </c>
    </row>
    <row r="10" spans="1:17" x14ac:dyDescent="0.3">
      <c r="A10" s="50"/>
      <c r="B10" s="8" t="s">
        <v>51</v>
      </c>
      <c r="C10" s="8">
        <v>8</v>
      </c>
      <c r="D10" s="8">
        <v>60000</v>
      </c>
      <c r="E10" s="8">
        <f t="shared" si="0"/>
        <v>23333.333333333332</v>
      </c>
      <c r="F10" s="8">
        <f t="shared" si="4"/>
        <v>74000</v>
      </c>
      <c r="G10" s="9">
        <f t="shared" si="1"/>
        <v>1344444444.4444449</v>
      </c>
      <c r="H10" s="9">
        <f t="shared" si="5"/>
        <v>196000000</v>
      </c>
      <c r="J10" s="50"/>
      <c r="K10" s="8" t="s">
        <v>51</v>
      </c>
      <c r="L10" s="8">
        <v>8</v>
      </c>
      <c r="M10" s="8">
        <v>300000</v>
      </c>
      <c r="N10" s="8">
        <f t="shared" si="2"/>
        <v>210000</v>
      </c>
      <c r="O10" s="8">
        <f t="shared" si="6"/>
        <v>214000</v>
      </c>
      <c r="P10" s="9">
        <f t="shared" si="3"/>
        <v>8100000000</v>
      </c>
      <c r="Q10" s="9">
        <f t="shared" si="7"/>
        <v>7396000000</v>
      </c>
    </row>
    <row r="11" spans="1:17" x14ac:dyDescent="0.3">
      <c r="A11" s="50"/>
      <c r="B11" s="8" t="s">
        <v>52</v>
      </c>
      <c r="C11" s="8">
        <v>9</v>
      </c>
      <c r="D11" s="8">
        <v>100000</v>
      </c>
      <c r="E11" s="8">
        <f t="shared" si="0"/>
        <v>30000</v>
      </c>
      <c r="F11" s="8">
        <f t="shared" si="4"/>
        <v>46000</v>
      </c>
      <c r="G11" s="9">
        <f t="shared" si="1"/>
        <v>4900000000</v>
      </c>
      <c r="H11" s="9">
        <f t="shared" si="5"/>
        <v>2916000000</v>
      </c>
      <c r="J11" s="50"/>
      <c r="K11" s="8" t="s">
        <v>52</v>
      </c>
      <c r="L11" s="8">
        <v>9</v>
      </c>
      <c r="M11" s="8">
        <v>200000</v>
      </c>
      <c r="N11" s="8">
        <f t="shared" si="2"/>
        <v>240000</v>
      </c>
      <c r="O11" s="8">
        <f t="shared" si="6"/>
        <v>226000</v>
      </c>
      <c r="P11" s="9">
        <f t="shared" si="3"/>
        <v>1600000000</v>
      </c>
      <c r="Q11" s="9">
        <f t="shared" si="7"/>
        <v>676000000</v>
      </c>
    </row>
    <row r="12" spans="1:17" x14ac:dyDescent="0.3">
      <c r="A12" s="50"/>
      <c r="B12" s="8" t="s">
        <v>53</v>
      </c>
      <c r="C12" s="8">
        <v>10</v>
      </c>
      <c r="D12" s="8">
        <v>110000</v>
      </c>
      <c r="E12" s="8">
        <f t="shared" si="0"/>
        <v>56666.666666666664</v>
      </c>
      <c r="F12" s="8">
        <f t="shared" si="4"/>
        <v>46000</v>
      </c>
      <c r="G12" s="9">
        <f t="shared" si="1"/>
        <v>2844444444.4444447</v>
      </c>
      <c r="H12" s="9">
        <f t="shared" si="5"/>
        <v>4096000000</v>
      </c>
      <c r="J12" s="50"/>
      <c r="K12" s="8" t="s">
        <v>53</v>
      </c>
      <c r="L12" s="8">
        <v>10</v>
      </c>
      <c r="M12" s="8">
        <v>200000</v>
      </c>
      <c r="N12" s="8">
        <f t="shared" si="2"/>
        <v>233333.33333333334</v>
      </c>
      <c r="O12" s="8">
        <f t="shared" si="6"/>
        <v>226000</v>
      </c>
      <c r="P12" s="9">
        <f t="shared" si="3"/>
        <v>1111111111.1111116</v>
      </c>
      <c r="Q12" s="9">
        <f t="shared" si="7"/>
        <v>676000000</v>
      </c>
    </row>
    <row r="13" spans="1:17" x14ac:dyDescent="0.3">
      <c r="A13" s="50"/>
      <c r="B13" s="8" t="s">
        <v>54</v>
      </c>
      <c r="C13" s="8">
        <v>11</v>
      </c>
      <c r="D13" s="8">
        <v>110000</v>
      </c>
      <c r="E13" s="8">
        <f t="shared" si="0"/>
        <v>90000</v>
      </c>
      <c r="F13" s="8">
        <f t="shared" si="4"/>
        <v>60000</v>
      </c>
      <c r="G13" s="9">
        <f t="shared" si="1"/>
        <v>400000000</v>
      </c>
      <c r="H13" s="9">
        <f t="shared" si="5"/>
        <v>2500000000</v>
      </c>
      <c r="J13" s="50"/>
      <c r="K13" s="8" t="s">
        <v>54</v>
      </c>
      <c r="L13" s="8">
        <v>11</v>
      </c>
      <c r="M13" s="8">
        <v>210000</v>
      </c>
      <c r="N13" s="8">
        <f t="shared" si="2"/>
        <v>233333.33333333334</v>
      </c>
      <c r="O13" s="8">
        <f t="shared" si="6"/>
        <v>224000</v>
      </c>
      <c r="P13" s="9">
        <f t="shared" si="3"/>
        <v>544444444.44444489</v>
      </c>
      <c r="Q13" s="9">
        <f t="shared" si="7"/>
        <v>196000000</v>
      </c>
    </row>
    <row r="14" spans="1:17" x14ac:dyDescent="0.3">
      <c r="A14" s="50"/>
      <c r="B14" s="8" t="s">
        <v>55</v>
      </c>
      <c r="C14" s="8">
        <v>12</v>
      </c>
      <c r="D14" s="8">
        <v>70000</v>
      </c>
      <c r="E14" s="8">
        <f t="shared" si="0"/>
        <v>106666.66666666667</v>
      </c>
      <c r="F14" s="8">
        <f t="shared" si="4"/>
        <v>78000</v>
      </c>
      <c r="G14" s="9">
        <f t="shared" si="1"/>
        <v>1344444444.4444449</v>
      </c>
      <c r="H14" s="9">
        <f t="shared" si="5"/>
        <v>64000000</v>
      </c>
      <c r="J14" s="50"/>
      <c r="K14" s="8" t="s">
        <v>55</v>
      </c>
      <c r="L14" s="8">
        <v>12</v>
      </c>
      <c r="M14" s="8">
        <v>200000</v>
      </c>
      <c r="N14" s="8">
        <f t="shared" si="2"/>
        <v>203333.33333333334</v>
      </c>
      <c r="O14" s="8">
        <f t="shared" si="6"/>
        <v>222000</v>
      </c>
      <c r="P14" s="9">
        <f t="shared" si="3"/>
        <v>11111111.111111175</v>
      </c>
      <c r="Q14" s="9">
        <f t="shared" si="7"/>
        <v>484000000</v>
      </c>
    </row>
    <row r="15" spans="1:17" x14ac:dyDescent="0.3">
      <c r="A15" s="50">
        <v>2022</v>
      </c>
      <c r="B15" s="8" t="s">
        <v>44</v>
      </c>
      <c r="C15" s="8">
        <v>13</v>
      </c>
      <c r="D15" s="8">
        <v>10000</v>
      </c>
      <c r="E15" s="8">
        <f t="shared" si="0"/>
        <v>96666.666666666672</v>
      </c>
      <c r="F15" s="8">
        <f t="shared" si="4"/>
        <v>90000</v>
      </c>
      <c r="G15" s="9">
        <f t="shared" si="1"/>
        <v>7511111111.1111116</v>
      </c>
      <c r="H15" s="9">
        <f t="shared" si="5"/>
        <v>6400000000</v>
      </c>
      <c r="J15" s="50">
        <v>2022</v>
      </c>
      <c r="K15" s="8" t="s">
        <v>44</v>
      </c>
      <c r="L15" s="8">
        <v>13</v>
      </c>
      <c r="M15" s="8">
        <v>230000</v>
      </c>
      <c r="N15" s="8">
        <f t="shared" si="2"/>
        <v>203333.33333333334</v>
      </c>
      <c r="O15" s="8">
        <f t="shared" si="6"/>
        <v>222000</v>
      </c>
      <c r="P15" s="9">
        <f t="shared" si="3"/>
        <v>711111111.11111057</v>
      </c>
      <c r="Q15" s="9">
        <f t="shared" si="7"/>
        <v>64000000</v>
      </c>
    </row>
    <row r="16" spans="1:17" x14ac:dyDescent="0.3">
      <c r="A16" s="50"/>
      <c r="B16" s="8" t="s">
        <v>45</v>
      </c>
      <c r="C16" s="8">
        <v>14</v>
      </c>
      <c r="D16" s="8">
        <v>15000</v>
      </c>
      <c r="E16" s="8">
        <f t="shared" si="0"/>
        <v>63333.333333333336</v>
      </c>
      <c r="F16" s="8">
        <f t="shared" si="4"/>
        <v>80000</v>
      </c>
      <c r="G16" s="9">
        <f t="shared" si="1"/>
        <v>2336111111.1111112</v>
      </c>
      <c r="H16" s="9">
        <f t="shared" si="5"/>
        <v>4225000000</v>
      </c>
      <c r="J16" s="50"/>
      <c r="K16" s="8" t="s">
        <v>45</v>
      </c>
      <c r="L16" s="8">
        <v>14</v>
      </c>
      <c r="M16" s="8">
        <v>250000</v>
      </c>
      <c r="N16" s="8">
        <f t="shared" si="2"/>
        <v>213333.33333333334</v>
      </c>
      <c r="O16" s="8">
        <f t="shared" si="6"/>
        <v>208000</v>
      </c>
      <c r="P16" s="9">
        <f t="shared" si="3"/>
        <v>1344444444.4444437</v>
      </c>
      <c r="Q16" s="9">
        <f t="shared" si="7"/>
        <v>1764000000</v>
      </c>
    </row>
    <row r="17" spans="1:17" x14ac:dyDescent="0.3">
      <c r="A17" s="50"/>
      <c r="B17" s="8" t="s">
        <v>46</v>
      </c>
      <c r="C17" s="8">
        <v>15</v>
      </c>
      <c r="D17" s="8">
        <v>20000</v>
      </c>
      <c r="E17" s="8">
        <f t="shared" si="0"/>
        <v>31666.666666666668</v>
      </c>
      <c r="F17" s="8">
        <f t="shared" si="4"/>
        <v>63000</v>
      </c>
      <c r="G17" s="9">
        <f t="shared" si="1"/>
        <v>136111111.11111113</v>
      </c>
      <c r="H17" s="9">
        <f t="shared" si="5"/>
        <v>1849000000</v>
      </c>
      <c r="J17" s="50"/>
      <c r="K17" s="8" t="s">
        <v>46</v>
      </c>
      <c r="L17" s="8">
        <v>15</v>
      </c>
      <c r="M17" s="8">
        <v>300000</v>
      </c>
      <c r="N17" s="8">
        <f t="shared" si="2"/>
        <v>226666.66666666666</v>
      </c>
      <c r="O17" s="8">
        <f t="shared" si="6"/>
        <v>218000</v>
      </c>
      <c r="P17" s="9">
        <f t="shared" si="3"/>
        <v>5377777777.7777796</v>
      </c>
      <c r="Q17" s="9">
        <f t="shared" si="7"/>
        <v>6724000000</v>
      </c>
    </row>
    <row r="18" spans="1:17" x14ac:dyDescent="0.3">
      <c r="A18" s="50"/>
      <c r="B18" s="8" t="s">
        <v>47</v>
      </c>
      <c r="C18" s="8">
        <v>16</v>
      </c>
      <c r="D18" s="8">
        <v>40000</v>
      </c>
      <c r="E18" s="8">
        <f t="shared" si="0"/>
        <v>15000</v>
      </c>
      <c r="F18" s="8">
        <f t="shared" si="4"/>
        <v>45000</v>
      </c>
      <c r="G18" s="9">
        <f t="shared" si="1"/>
        <v>625000000</v>
      </c>
      <c r="H18" s="9">
        <f t="shared" si="5"/>
        <v>25000000</v>
      </c>
      <c r="J18" s="50"/>
      <c r="K18" s="8" t="s">
        <v>47</v>
      </c>
      <c r="L18" s="8">
        <v>16</v>
      </c>
      <c r="M18" s="8">
        <v>270000</v>
      </c>
      <c r="N18" s="8">
        <f t="shared" si="2"/>
        <v>260000</v>
      </c>
      <c r="O18" s="8">
        <f t="shared" si="6"/>
        <v>238000</v>
      </c>
      <c r="P18" s="9">
        <f t="shared" si="3"/>
        <v>100000000</v>
      </c>
      <c r="Q18" s="9">
        <f t="shared" si="7"/>
        <v>1024000000</v>
      </c>
    </row>
    <row r="19" spans="1:17" x14ac:dyDescent="0.3">
      <c r="A19" s="50"/>
      <c r="B19" s="8" t="s">
        <v>48</v>
      </c>
      <c r="C19" s="8">
        <v>17</v>
      </c>
      <c r="D19" s="8">
        <v>40000</v>
      </c>
      <c r="E19" s="8">
        <f t="shared" si="0"/>
        <v>25000</v>
      </c>
      <c r="F19" s="8">
        <f t="shared" si="4"/>
        <v>31000</v>
      </c>
      <c r="G19" s="9">
        <f t="shared" si="1"/>
        <v>225000000</v>
      </c>
      <c r="H19" s="9">
        <f t="shared" si="5"/>
        <v>81000000</v>
      </c>
      <c r="J19" s="50"/>
      <c r="K19" s="8" t="s">
        <v>48</v>
      </c>
      <c r="L19" s="8">
        <v>17</v>
      </c>
      <c r="M19" s="8">
        <v>200000</v>
      </c>
      <c r="N19" s="8">
        <f t="shared" si="2"/>
        <v>273333.33333333331</v>
      </c>
      <c r="O19" s="8">
        <f t="shared" si="6"/>
        <v>250000</v>
      </c>
      <c r="P19" s="9">
        <f t="shared" si="3"/>
        <v>5377777777.7777748</v>
      </c>
      <c r="Q19" s="9">
        <f t="shared" si="7"/>
        <v>2500000000</v>
      </c>
    </row>
    <row r="20" spans="1:17" x14ac:dyDescent="0.3">
      <c r="A20" s="50"/>
      <c r="B20" s="8" t="s">
        <v>49</v>
      </c>
      <c r="C20" s="8">
        <v>18</v>
      </c>
      <c r="D20" s="8">
        <v>10000</v>
      </c>
      <c r="E20" s="8">
        <f t="shared" si="0"/>
        <v>33333.333333333336</v>
      </c>
      <c r="F20" s="8">
        <f t="shared" si="4"/>
        <v>25000</v>
      </c>
      <c r="G20" s="9">
        <f t="shared" si="1"/>
        <v>544444444.44444454</v>
      </c>
      <c r="H20" s="9">
        <f t="shared" si="5"/>
        <v>225000000</v>
      </c>
      <c r="J20" s="50"/>
      <c r="K20" s="8" t="s">
        <v>49</v>
      </c>
      <c r="L20" s="8">
        <v>18</v>
      </c>
      <c r="M20" s="8">
        <v>200000</v>
      </c>
      <c r="N20" s="8">
        <f t="shared" si="2"/>
        <v>256666.66666666666</v>
      </c>
      <c r="O20" s="8">
        <f t="shared" si="6"/>
        <v>250000</v>
      </c>
      <c r="P20" s="9">
        <f t="shared" si="3"/>
        <v>3211111111.1111102</v>
      </c>
      <c r="Q20" s="9">
        <f t="shared" si="7"/>
        <v>2500000000</v>
      </c>
    </row>
    <row r="21" spans="1:17" x14ac:dyDescent="0.3">
      <c r="A21" s="50"/>
      <c r="B21" s="8" t="s">
        <v>50</v>
      </c>
      <c r="C21" s="8">
        <v>19</v>
      </c>
      <c r="D21" s="8">
        <v>5000</v>
      </c>
      <c r="E21" s="8">
        <f t="shared" si="0"/>
        <v>30000</v>
      </c>
      <c r="F21" s="8">
        <f t="shared" si="4"/>
        <v>25000</v>
      </c>
      <c r="G21" s="9">
        <f t="shared" si="1"/>
        <v>625000000</v>
      </c>
      <c r="H21" s="9">
        <f t="shared" si="5"/>
        <v>400000000</v>
      </c>
      <c r="J21" s="50"/>
      <c r="K21" s="8" t="s">
        <v>50</v>
      </c>
      <c r="L21" s="8">
        <v>19</v>
      </c>
      <c r="M21" s="8">
        <v>180000</v>
      </c>
      <c r="N21" s="8">
        <f t="shared" si="2"/>
        <v>223333.33333333334</v>
      </c>
      <c r="O21" s="8">
        <f t="shared" si="6"/>
        <v>244000</v>
      </c>
      <c r="P21" s="9">
        <f t="shared" si="3"/>
        <v>1877777777.7777786</v>
      </c>
      <c r="Q21" s="9">
        <f t="shared" si="7"/>
        <v>4096000000</v>
      </c>
    </row>
    <row r="22" spans="1:17" x14ac:dyDescent="0.3">
      <c r="A22" s="50"/>
      <c r="B22" s="8" t="s">
        <v>51</v>
      </c>
      <c r="C22" s="8">
        <v>20</v>
      </c>
      <c r="D22" s="8">
        <v>8000</v>
      </c>
      <c r="E22" s="8">
        <f t="shared" si="0"/>
        <v>18333.333333333332</v>
      </c>
      <c r="F22" s="8">
        <f t="shared" si="4"/>
        <v>23000</v>
      </c>
      <c r="G22" s="9">
        <f t="shared" si="1"/>
        <v>106777777.77777775</v>
      </c>
      <c r="H22" s="9">
        <f t="shared" si="5"/>
        <v>225000000</v>
      </c>
      <c r="J22" s="50"/>
      <c r="K22" s="8" t="s">
        <v>51</v>
      </c>
      <c r="L22" s="8">
        <v>20</v>
      </c>
      <c r="M22" s="8">
        <v>240000</v>
      </c>
      <c r="N22" s="8">
        <f t="shared" si="2"/>
        <v>193333.33333333334</v>
      </c>
      <c r="O22" s="8">
        <f t="shared" si="6"/>
        <v>230000</v>
      </c>
      <c r="P22" s="9">
        <f t="shared" si="3"/>
        <v>2177777777.7777767</v>
      </c>
      <c r="Q22" s="9">
        <f t="shared" si="7"/>
        <v>100000000</v>
      </c>
    </row>
    <row r="23" spans="1:17" x14ac:dyDescent="0.3">
      <c r="A23" s="50"/>
      <c r="B23" s="8" t="s">
        <v>52</v>
      </c>
      <c r="C23" s="8">
        <v>21</v>
      </c>
      <c r="D23" s="8">
        <v>10000</v>
      </c>
      <c r="E23" s="8">
        <f t="shared" si="0"/>
        <v>7666.666666666667</v>
      </c>
      <c r="F23" s="8">
        <f t="shared" si="4"/>
        <v>20600</v>
      </c>
      <c r="G23" s="9">
        <f t="shared" si="1"/>
        <v>5444444.4444444431</v>
      </c>
      <c r="H23" s="9">
        <f t="shared" si="5"/>
        <v>112360000</v>
      </c>
      <c r="J23" s="50"/>
      <c r="K23" s="8" t="s">
        <v>52</v>
      </c>
      <c r="L23" s="8">
        <v>21</v>
      </c>
      <c r="M23" s="8">
        <v>220000</v>
      </c>
      <c r="N23" s="8">
        <f t="shared" si="2"/>
        <v>206666.66666666666</v>
      </c>
      <c r="O23" s="8">
        <f t="shared" si="6"/>
        <v>218000</v>
      </c>
      <c r="P23" s="9">
        <f t="shared" si="3"/>
        <v>177777777.77777803</v>
      </c>
      <c r="Q23" s="9">
        <f t="shared" si="7"/>
        <v>4000000</v>
      </c>
    </row>
    <row r="24" spans="1:17" x14ac:dyDescent="0.3">
      <c r="A24" s="50"/>
      <c r="B24" s="8" t="s">
        <v>53</v>
      </c>
      <c r="C24" s="8">
        <v>22</v>
      </c>
      <c r="D24" s="8">
        <v>10000</v>
      </c>
      <c r="E24" s="8">
        <f t="shared" si="0"/>
        <v>7666.666666666667</v>
      </c>
      <c r="F24" s="8">
        <f t="shared" si="4"/>
        <v>14600</v>
      </c>
      <c r="G24" s="9">
        <f t="shared" si="1"/>
        <v>5444444.4444444431</v>
      </c>
      <c r="H24" s="9">
        <f t="shared" si="5"/>
        <v>21160000</v>
      </c>
      <c r="J24" s="50"/>
      <c r="K24" s="8" t="s">
        <v>53</v>
      </c>
      <c r="L24" s="8">
        <v>22</v>
      </c>
      <c r="M24" s="8">
        <v>250000</v>
      </c>
      <c r="N24" s="8">
        <f t="shared" si="2"/>
        <v>213333.33333333334</v>
      </c>
      <c r="O24" s="8">
        <f t="shared" si="6"/>
        <v>208000</v>
      </c>
      <c r="P24" s="9">
        <f t="shared" si="3"/>
        <v>1344444444.4444437</v>
      </c>
      <c r="Q24" s="9">
        <f t="shared" si="7"/>
        <v>1764000000</v>
      </c>
    </row>
    <row r="25" spans="1:17" x14ac:dyDescent="0.3">
      <c r="A25" s="50"/>
      <c r="B25" s="8" t="s">
        <v>54</v>
      </c>
      <c r="C25" s="8">
        <v>23</v>
      </c>
      <c r="D25" s="8">
        <v>8000</v>
      </c>
      <c r="E25" s="8">
        <f t="shared" si="0"/>
        <v>9333.3333333333339</v>
      </c>
      <c r="F25" s="8">
        <f t="shared" si="4"/>
        <v>8600</v>
      </c>
      <c r="G25" s="9">
        <f t="shared" si="1"/>
        <v>1777777.7777777794</v>
      </c>
      <c r="H25" s="9">
        <f t="shared" si="5"/>
        <v>360000</v>
      </c>
      <c r="J25" s="50"/>
      <c r="K25" s="8" t="s">
        <v>54</v>
      </c>
      <c r="L25" s="8">
        <v>23</v>
      </c>
      <c r="M25" s="8">
        <v>200000</v>
      </c>
      <c r="N25" s="8">
        <f t="shared" si="2"/>
        <v>236666.66666666666</v>
      </c>
      <c r="O25" s="8">
        <f t="shared" si="6"/>
        <v>218000</v>
      </c>
      <c r="P25" s="9">
        <f t="shared" si="3"/>
        <v>1344444444.4444437</v>
      </c>
      <c r="Q25" s="9">
        <f t="shared" si="7"/>
        <v>324000000</v>
      </c>
    </row>
    <row r="26" spans="1:17" x14ac:dyDescent="0.3">
      <c r="A26" s="50"/>
      <c r="B26" s="8" t="s">
        <v>55</v>
      </c>
      <c r="C26" s="8">
        <v>24</v>
      </c>
      <c r="D26" s="8">
        <v>80000</v>
      </c>
      <c r="E26" s="8">
        <f t="shared" si="0"/>
        <v>9333.3333333333339</v>
      </c>
      <c r="F26" s="8">
        <f t="shared" si="4"/>
        <v>8200</v>
      </c>
      <c r="G26" s="9">
        <f t="shared" si="1"/>
        <v>4993777777.7777786</v>
      </c>
      <c r="H26" s="9">
        <f t="shared" si="5"/>
        <v>5155240000</v>
      </c>
      <c r="J26" s="50"/>
      <c r="K26" s="8" t="s">
        <v>55</v>
      </c>
      <c r="L26" s="8">
        <v>24</v>
      </c>
      <c r="M26" s="8">
        <v>180000</v>
      </c>
      <c r="N26" s="8">
        <f t="shared" si="2"/>
        <v>223333.33333333334</v>
      </c>
      <c r="O26" s="8">
        <f t="shared" si="6"/>
        <v>218000</v>
      </c>
      <c r="P26" s="9">
        <f t="shared" si="3"/>
        <v>1877777777.7777786</v>
      </c>
      <c r="Q26" s="9">
        <f t="shared" si="7"/>
        <v>1444000000</v>
      </c>
    </row>
    <row r="27" spans="1:17" x14ac:dyDescent="0.3">
      <c r="A27" s="8" t="s">
        <v>36</v>
      </c>
      <c r="B27" s="8"/>
      <c r="C27" s="8"/>
      <c r="D27" s="9">
        <f>SUM(D3:D26)</f>
        <v>1246000</v>
      </c>
      <c r="E27" s="9">
        <f t="shared" ref="E27:H27" si="8">SUM(E3:E26)</f>
        <v>1063999.9999999998</v>
      </c>
      <c r="F27" s="9">
        <f t="shared" si="8"/>
        <v>924000</v>
      </c>
      <c r="G27" s="9">
        <f>SUM(G3:G26)</f>
        <v>45482666666.666672</v>
      </c>
      <c r="H27" s="9">
        <f t="shared" si="8"/>
        <v>40691120000</v>
      </c>
      <c r="J27" s="8" t="s">
        <v>36</v>
      </c>
      <c r="K27" s="8"/>
      <c r="L27" s="8"/>
      <c r="M27" s="9">
        <f>SUM(M3:M26)</f>
        <v>5330000</v>
      </c>
      <c r="N27" s="9">
        <f t="shared" ref="N27:Q27" si="9">SUM(N3:N26)</f>
        <v>4713333.333333333</v>
      </c>
      <c r="O27" s="9">
        <f t="shared" si="9"/>
        <v>4264000</v>
      </c>
      <c r="P27" s="9">
        <f t="shared" si="9"/>
        <v>36955555555.55555</v>
      </c>
      <c r="Q27" s="9">
        <f t="shared" si="9"/>
        <v>31948000000</v>
      </c>
    </row>
    <row r="28" spans="1:17" x14ac:dyDescent="0.3">
      <c r="A28" s="8" t="s">
        <v>37</v>
      </c>
      <c r="B28" s="8"/>
      <c r="C28" s="8"/>
      <c r="D28" s="8">
        <f>D27/COUNT(D3:D26)</f>
        <v>51916.666666666664</v>
      </c>
      <c r="E28" s="8">
        <f t="shared" ref="E28:H28" si="10">E27/COUNT(E3:E26)</f>
        <v>50666.666666666657</v>
      </c>
      <c r="F28" s="8">
        <f t="shared" si="10"/>
        <v>48631.57894736842</v>
      </c>
      <c r="G28" s="8">
        <f t="shared" si="10"/>
        <v>2165841269.84127</v>
      </c>
      <c r="H28" s="8">
        <f t="shared" si="10"/>
        <v>2141637894.7368422</v>
      </c>
      <c r="J28" s="8" t="s">
        <v>37</v>
      </c>
      <c r="K28" s="8"/>
      <c r="L28" s="8"/>
      <c r="M28" s="8">
        <f>M27/COUNT(M3:M26)</f>
        <v>222083.33333333334</v>
      </c>
      <c r="N28" s="8">
        <f t="shared" ref="N28:Q28" si="11">N27/COUNT(N3:N26)</f>
        <v>224444.44444444444</v>
      </c>
      <c r="O28" s="8">
        <f t="shared" si="11"/>
        <v>224421.05263157896</v>
      </c>
      <c r="P28" s="8">
        <f t="shared" si="11"/>
        <v>1759788359.7883594</v>
      </c>
      <c r="Q28" s="8">
        <f t="shared" si="11"/>
        <v>1681473684.2105262</v>
      </c>
    </row>
    <row r="29" spans="1:17" x14ac:dyDescent="0.3">
      <c r="A29" s="25" t="s">
        <v>58</v>
      </c>
      <c r="B29" s="25"/>
      <c r="C29" s="25"/>
      <c r="D29" s="25"/>
      <c r="E29" s="25"/>
      <c r="F29" s="25"/>
      <c r="G29" s="25">
        <f>SQRT(G28)/COUNT(G3:G26)</f>
        <v>2216.1237992309048</v>
      </c>
      <c r="H29" s="25">
        <f>SQRT(H28)/COUNT(H3:H26)</f>
        <v>2435.6754594710205</v>
      </c>
      <c r="J29" s="25" t="s">
        <v>58</v>
      </c>
      <c r="K29" s="25"/>
      <c r="L29" s="25"/>
      <c r="M29" s="25"/>
      <c r="N29" s="25"/>
      <c r="O29" s="25"/>
      <c r="P29" s="25">
        <f>SQRT(P28)/COUNT(P3:P26)</f>
        <v>1997.6110220557098</v>
      </c>
      <c r="Q29" s="25">
        <f>SQRT(Q28)/COUNT(Q3:Q26)</f>
        <v>2158.1987489381872</v>
      </c>
    </row>
    <row r="32" spans="1:17" x14ac:dyDescent="0.3">
      <c r="A32" s="51" t="s">
        <v>171</v>
      </c>
      <c r="B32" s="51"/>
      <c r="C32" s="51"/>
      <c r="D32" s="51"/>
      <c r="E32" s="51"/>
      <c r="F32" s="51"/>
      <c r="G32" s="51"/>
      <c r="H32" s="51"/>
      <c r="J32" s="51" t="s">
        <v>172</v>
      </c>
      <c r="K32" s="51"/>
      <c r="L32" s="51"/>
      <c r="M32" s="51"/>
      <c r="N32" s="51"/>
      <c r="O32" s="51"/>
      <c r="P32" s="51"/>
      <c r="Q32" s="51"/>
    </row>
    <row r="33" spans="1:17" x14ac:dyDescent="0.3">
      <c r="A33" s="8" t="s">
        <v>38</v>
      </c>
      <c r="B33" s="8" t="s">
        <v>39</v>
      </c>
      <c r="C33" s="8" t="s">
        <v>40</v>
      </c>
      <c r="D33" s="8" t="s">
        <v>129</v>
      </c>
      <c r="E33" s="8" t="s">
        <v>61</v>
      </c>
      <c r="F33" s="8" t="s">
        <v>62</v>
      </c>
      <c r="G33" s="8" t="s">
        <v>63</v>
      </c>
      <c r="H33" s="8" t="s">
        <v>64</v>
      </c>
      <c r="J33" s="8" t="s">
        <v>38</v>
      </c>
      <c r="K33" s="8" t="s">
        <v>39</v>
      </c>
      <c r="L33" s="8" t="s">
        <v>40</v>
      </c>
      <c r="M33" s="8" t="s">
        <v>129</v>
      </c>
      <c r="N33" s="8" t="s">
        <v>61</v>
      </c>
      <c r="O33" s="8" t="s">
        <v>62</v>
      </c>
      <c r="P33" s="8" t="s">
        <v>63</v>
      </c>
      <c r="Q33" s="8" t="s">
        <v>64</v>
      </c>
    </row>
    <row r="34" spans="1:17" x14ac:dyDescent="0.3">
      <c r="A34" s="50">
        <v>2021</v>
      </c>
      <c r="B34" s="8" t="s">
        <v>44</v>
      </c>
      <c r="C34" s="8">
        <v>1</v>
      </c>
      <c r="D34" s="9" cm="1">
        <f t="array" ref="D34:D57">TRANSPOSE('Historical Sale'!C11:Z11)</f>
        <v>190000</v>
      </c>
      <c r="E34" s="8"/>
      <c r="F34" s="8"/>
      <c r="G34" s="8"/>
      <c r="H34" s="8"/>
      <c r="J34" s="50">
        <v>2021</v>
      </c>
      <c r="K34" s="8" t="s">
        <v>44</v>
      </c>
      <c r="L34" s="8">
        <v>1</v>
      </c>
      <c r="M34" s="9" cm="1">
        <f t="array" ref="M34:M57">TRANSPOSE('Historical Sale'!C13:Z13)</f>
        <v>50000</v>
      </c>
      <c r="N34" s="8"/>
      <c r="O34" s="8"/>
      <c r="P34" s="8"/>
      <c r="Q34" s="8"/>
    </row>
    <row r="35" spans="1:17" x14ac:dyDescent="0.3">
      <c r="A35" s="50"/>
      <c r="B35" s="8" t="s">
        <v>45</v>
      </c>
      <c r="C35" s="8">
        <v>2</v>
      </c>
      <c r="D35" s="9">
        <v>190000</v>
      </c>
      <c r="E35" s="8"/>
      <c r="F35" s="8"/>
      <c r="G35" s="8"/>
      <c r="H35" s="8"/>
      <c r="J35" s="50"/>
      <c r="K35" s="8" t="s">
        <v>45</v>
      </c>
      <c r="L35" s="8">
        <v>2</v>
      </c>
      <c r="M35" s="9">
        <v>60000</v>
      </c>
      <c r="N35" s="8"/>
      <c r="O35" s="8"/>
      <c r="P35" s="8"/>
      <c r="Q35" s="8"/>
    </row>
    <row r="36" spans="1:17" x14ac:dyDescent="0.3">
      <c r="A36" s="50"/>
      <c r="B36" s="8" t="s">
        <v>46</v>
      </c>
      <c r="C36" s="8">
        <v>3</v>
      </c>
      <c r="D36" s="9">
        <v>480000</v>
      </c>
      <c r="E36" s="8"/>
      <c r="F36" s="8"/>
      <c r="G36" s="8"/>
      <c r="H36" s="8"/>
      <c r="J36" s="50"/>
      <c r="K36" s="8" t="s">
        <v>46</v>
      </c>
      <c r="L36" s="8">
        <v>3</v>
      </c>
      <c r="M36" s="9">
        <v>60000</v>
      </c>
      <c r="N36" s="8"/>
      <c r="O36" s="8"/>
      <c r="P36" s="8"/>
      <c r="Q36" s="8"/>
    </row>
    <row r="37" spans="1:17" x14ac:dyDescent="0.3">
      <c r="A37" s="50"/>
      <c r="B37" s="8" t="s">
        <v>47</v>
      </c>
      <c r="C37" s="8">
        <v>4</v>
      </c>
      <c r="D37" s="9">
        <v>420000</v>
      </c>
      <c r="E37" s="8">
        <f>SUM(D34:D36)/3</f>
        <v>286666.66666666669</v>
      </c>
      <c r="F37" s="8"/>
      <c r="G37" s="9">
        <f>(D37-E37)^2</f>
        <v>17777777777.777771</v>
      </c>
      <c r="H37" s="8"/>
      <c r="J37" s="50"/>
      <c r="K37" s="8" t="s">
        <v>47</v>
      </c>
      <c r="L37" s="8">
        <v>4</v>
      </c>
      <c r="M37" s="9">
        <v>60000</v>
      </c>
      <c r="N37" s="8">
        <f>SUM(M34:M36)/3</f>
        <v>56666.666666666664</v>
      </c>
      <c r="O37" s="8"/>
      <c r="P37" s="9">
        <f>(M37-N37)^2</f>
        <v>11111111.111111127</v>
      </c>
      <c r="Q37" s="8"/>
    </row>
    <row r="38" spans="1:17" x14ac:dyDescent="0.3">
      <c r="A38" s="50"/>
      <c r="B38" s="8" t="s">
        <v>48</v>
      </c>
      <c r="C38" s="8">
        <v>5</v>
      </c>
      <c r="D38" s="9">
        <v>360000</v>
      </c>
      <c r="E38" s="8">
        <f t="shared" ref="E38:E57" si="12">SUM(D35:D37)/3</f>
        <v>363333.33333333331</v>
      </c>
      <c r="F38" s="8"/>
      <c r="G38" s="9">
        <f t="shared" ref="G38:G57" si="13">(D38-E38)^2</f>
        <v>11111111.111110982</v>
      </c>
      <c r="H38" s="8"/>
      <c r="J38" s="50"/>
      <c r="K38" s="8" t="s">
        <v>48</v>
      </c>
      <c r="L38" s="8">
        <v>5</v>
      </c>
      <c r="M38" s="9">
        <v>64000</v>
      </c>
      <c r="N38" s="8">
        <f t="shared" ref="N38:N57" si="14">SUM(M35:M37)/3</f>
        <v>60000</v>
      </c>
      <c r="O38" s="8"/>
      <c r="P38" s="9">
        <f t="shared" ref="P38:P57" si="15">(M38-N38)^2</f>
        <v>16000000</v>
      </c>
      <c r="Q38" s="8"/>
    </row>
    <row r="39" spans="1:17" x14ac:dyDescent="0.3">
      <c r="A39" s="50"/>
      <c r="B39" s="8" t="s">
        <v>49</v>
      </c>
      <c r="C39" s="8">
        <v>6</v>
      </c>
      <c r="D39" s="9">
        <v>220000</v>
      </c>
      <c r="E39" s="8">
        <f t="shared" si="12"/>
        <v>420000</v>
      </c>
      <c r="F39" s="8">
        <f>SUM(D34:D38)/5</f>
        <v>328000</v>
      </c>
      <c r="G39" s="9">
        <f t="shared" si="13"/>
        <v>40000000000</v>
      </c>
      <c r="H39" s="9">
        <f>(D39-F39)^2</f>
        <v>11664000000</v>
      </c>
      <c r="J39" s="50"/>
      <c r="K39" s="8" t="s">
        <v>49</v>
      </c>
      <c r="L39" s="8">
        <v>6</v>
      </c>
      <c r="M39" s="9">
        <v>40000</v>
      </c>
      <c r="N39" s="8">
        <f t="shared" si="14"/>
        <v>61333.333333333336</v>
      </c>
      <c r="O39" s="8">
        <f>SUM(M34:M38)/5</f>
        <v>58800</v>
      </c>
      <c r="P39" s="9">
        <f t="shared" si="15"/>
        <v>455111111.11111122</v>
      </c>
      <c r="Q39" s="9">
        <f>(M39-O39)^2</f>
        <v>353440000</v>
      </c>
    </row>
    <row r="40" spans="1:17" x14ac:dyDescent="0.3">
      <c r="A40" s="50"/>
      <c r="B40" s="8" t="s">
        <v>50</v>
      </c>
      <c r="C40" s="8">
        <v>7</v>
      </c>
      <c r="D40" s="8">
        <v>380000</v>
      </c>
      <c r="E40" s="8">
        <f t="shared" si="12"/>
        <v>333333.33333333331</v>
      </c>
      <c r="F40" s="8">
        <f t="shared" ref="F40:F57" si="16">SUM(D35:D39)/5</f>
        <v>334000</v>
      </c>
      <c r="G40" s="9">
        <f t="shared" si="13"/>
        <v>2177777777.7777796</v>
      </c>
      <c r="H40" s="9">
        <f t="shared" ref="H40:H57" si="17">(D40-F40)^2</f>
        <v>2116000000</v>
      </c>
      <c r="J40" s="50"/>
      <c r="K40" s="8" t="s">
        <v>50</v>
      </c>
      <c r="L40" s="8">
        <v>7</v>
      </c>
      <c r="M40" s="8">
        <v>50000</v>
      </c>
      <c r="N40" s="8">
        <f t="shared" si="14"/>
        <v>54666.666666666664</v>
      </c>
      <c r="O40" s="8">
        <f t="shared" ref="O40:O57" si="18">SUM(M35:M39)/5</f>
        <v>56800</v>
      </c>
      <c r="P40" s="9">
        <f t="shared" si="15"/>
        <v>21777777.777777754</v>
      </c>
      <c r="Q40" s="9">
        <f t="shared" ref="Q40:Q57" si="19">(M40-O40)^2</f>
        <v>46240000</v>
      </c>
    </row>
    <row r="41" spans="1:17" x14ac:dyDescent="0.3">
      <c r="A41" s="50"/>
      <c r="B41" s="8" t="s">
        <v>51</v>
      </c>
      <c r="C41" s="8">
        <v>8</v>
      </c>
      <c r="D41" s="8">
        <v>230000</v>
      </c>
      <c r="E41" s="8">
        <f t="shared" si="12"/>
        <v>320000</v>
      </c>
      <c r="F41" s="8">
        <f t="shared" si="16"/>
        <v>372000</v>
      </c>
      <c r="G41" s="9">
        <f t="shared" si="13"/>
        <v>8100000000</v>
      </c>
      <c r="H41" s="9">
        <f t="shared" si="17"/>
        <v>20164000000</v>
      </c>
      <c r="J41" s="50"/>
      <c r="K41" s="8" t="s">
        <v>51</v>
      </c>
      <c r="L41" s="8">
        <v>8</v>
      </c>
      <c r="M41" s="8">
        <v>50000</v>
      </c>
      <c r="N41" s="8">
        <f t="shared" si="14"/>
        <v>51333.333333333336</v>
      </c>
      <c r="O41" s="8">
        <f t="shared" si="18"/>
        <v>54800</v>
      </c>
      <c r="P41" s="9">
        <f t="shared" si="15"/>
        <v>1777777.7777777843</v>
      </c>
      <c r="Q41" s="9">
        <f t="shared" si="19"/>
        <v>23040000</v>
      </c>
    </row>
    <row r="42" spans="1:17" x14ac:dyDescent="0.3">
      <c r="A42" s="50"/>
      <c r="B42" s="8" t="s">
        <v>52</v>
      </c>
      <c r="C42" s="8">
        <v>9</v>
      </c>
      <c r="D42" s="8">
        <v>360000</v>
      </c>
      <c r="E42" s="8">
        <f t="shared" si="12"/>
        <v>276666.66666666669</v>
      </c>
      <c r="F42" s="8">
        <f t="shared" si="16"/>
        <v>322000</v>
      </c>
      <c r="G42" s="9">
        <f t="shared" si="13"/>
        <v>6944444444.4444408</v>
      </c>
      <c r="H42" s="9">
        <f t="shared" si="17"/>
        <v>1444000000</v>
      </c>
      <c r="J42" s="50"/>
      <c r="K42" s="8" t="s">
        <v>52</v>
      </c>
      <c r="L42" s="8">
        <v>9</v>
      </c>
      <c r="M42" s="8">
        <v>40000</v>
      </c>
      <c r="N42" s="8">
        <f t="shared" si="14"/>
        <v>46666.666666666664</v>
      </c>
      <c r="O42" s="8">
        <f t="shared" si="18"/>
        <v>52800</v>
      </c>
      <c r="P42" s="9">
        <f t="shared" si="15"/>
        <v>44444444.444444411</v>
      </c>
      <c r="Q42" s="9">
        <f t="shared" si="19"/>
        <v>163840000</v>
      </c>
    </row>
    <row r="43" spans="1:17" x14ac:dyDescent="0.3">
      <c r="A43" s="50"/>
      <c r="B43" s="8" t="s">
        <v>53</v>
      </c>
      <c r="C43" s="8">
        <v>10</v>
      </c>
      <c r="D43" s="8">
        <v>440000</v>
      </c>
      <c r="E43" s="8">
        <f t="shared" si="12"/>
        <v>323333.33333333331</v>
      </c>
      <c r="F43" s="8">
        <f t="shared" si="16"/>
        <v>310000</v>
      </c>
      <c r="G43" s="9">
        <f t="shared" si="13"/>
        <v>13611111111.111116</v>
      </c>
      <c r="H43" s="9">
        <f t="shared" si="17"/>
        <v>16900000000</v>
      </c>
      <c r="J43" s="50"/>
      <c r="K43" s="8" t="s">
        <v>53</v>
      </c>
      <c r="L43" s="8">
        <v>10</v>
      </c>
      <c r="M43" s="8">
        <v>80000</v>
      </c>
      <c r="N43" s="8">
        <f t="shared" si="14"/>
        <v>46666.666666666664</v>
      </c>
      <c r="O43" s="8">
        <f t="shared" si="18"/>
        <v>48800</v>
      </c>
      <c r="P43" s="9">
        <f t="shared" si="15"/>
        <v>1111111111.1111112</v>
      </c>
      <c r="Q43" s="9">
        <f t="shared" si="19"/>
        <v>973440000</v>
      </c>
    </row>
    <row r="44" spans="1:17" x14ac:dyDescent="0.3">
      <c r="A44" s="50"/>
      <c r="B44" s="8" t="s">
        <v>54</v>
      </c>
      <c r="C44" s="8">
        <v>11</v>
      </c>
      <c r="D44" s="8">
        <v>280000</v>
      </c>
      <c r="E44" s="8">
        <f t="shared" si="12"/>
        <v>343333.33333333331</v>
      </c>
      <c r="F44" s="8">
        <f t="shared" si="16"/>
        <v>326000</v>
      </c>
      <c r="G44" s="9">
        <f t="shared" si="13"/>
        <v>4011111111.1111088</v>
      </c>
      <c r="H44" s="9">
        <f t="shared" si="17"/>
        <v>2116000000</v>
      </c>
      <c r="J44" s="50"/>
      <c r="K44" s="8" t="s">
        <v>54</v>
      </c>
      <c r="L44" s="8">
        <v>11</v>
      </c>
      <c r="M44" s="8">
        <v>60000</v>
      </c>
      <c r="N44" s="8">
        <f t="shared" si="14"/>
        <v>56666.666666666664</v>
      </c>
      <c r="O44" s="8">
        <f t="shared" si="18"/>
        <v>52000</v>
      </c>
      <c r="P44" s="9">
        <f t="shared" si="15"/>
        <v>11111111.111111127</v>
      </c>
      <c r="Q44" s="9">
        <f t="shared" si="19"/>
        <v>64000000</v>
      </c>
    </row>
    <row r="45" spans="1:17" x14ac:dyDescent="0.3">
      <c r="A45" s="50"/>
      <c r="B45" s="8" t="s">
        <v>55</v>
      </c>
      <c r="C45" s="8">
        <v>12</v>
      </c>
      <c r="D45" s="8">
        <v>380000</v>
      </c>
      <c r="E45" s="8">
        <f t="shared" si="12"/>
        <v>360000</v>
      </c>
      <c r="F45" s="8">
        <f t="shared" si="16"/>
        <v>338000</v>
      </c>
      <c r="G45" s="9">
        <f t="shared" si="13"/>
        <v>400000000</v>
      </c>
      <c r="H45" s="9">
        <f t="shared" si="17"/>
        <v>1764000000</v>
      </c>
      <c r="J45" s="50"/>
      <c r="K45" s="8" t="s">
        <v>55</v>
      </c>
      <c r="L45" s="8">
        <v>12</v>
      </c>
      <c r="M45" s="8">
        <v>60000</v>
      </c>
      <c r="N45" s="8">
        <f t="shared" si="14"/>
        <v>60000</v>
      </c>
      <c r="O45" s="8">
        <f t="shared" si="18"/>
        <v>56000</v>
      </c>
      <c r="P45" s="9">
        <f t="shared" si="15"/>
        <v>0</v>
      </c>
      <c r="Q45" s="9">
        <f t="shared" si="19"/>
        <v>16000000</v>
      </c>
    </row>
    <row r="46" spans="1:17" x14ac:dyDescent="0.3">
      <c r="A46" s="50">
        <v>2022</v>
      </c>
      <c r="B46" s="8" t="s">
        <v>44</v>
      </c>
      <c r="C46" s="8">
        <v>13</v>
      </c>
      <c r="D46" s="8">
        <v>380000</v>
      </c>
      <c r="E46" s="8">
        <f t="shared" si="12"/>
        <v>366666.66666666669</v>
      </c>
      <c r="F46" s="8">
        <f t="shared" si="16"/>
        <v>338000</v>
      </c>
      <c r="G46" s="9">
        <f t="shared" si="13"/>
        <v>177777777.77777725</v>
      </c>
      <c r="H46" s="9">
        <f t="shared" si="17"/>
        <v>1764000000</v>
      </c>
      <c r="J46" s="50">
        <v>2022</v>
      </c>
      <c r="K46" s="8" t="s">
        <v>44</v>
      </c>
      <c r="L46" s="8">
        <v>13</v>
      </c>
      <c r="M46" s="8">
        <v>50000</v>
      </c>
      <c r="N46" s="8">
        <f t="shared" si="14"/>
        <v>66666.666666666672</v>
      </c>
      <c r="O46" s="8">
        <f t="shared" si="18"/>
        <v>58000</v>
      </c>
      <c r="P46" s="9">
        <f t="shared" si="15"/>
        <v>277777777.77777791</v>
      </c>
      <c r="Q46" s="9">
        <f t="shared" si="19"/>
        <v>64000000</v>
      </c>
    </row>
    <row r="47" spans="1:17" x14ac:dyDescent="0.3">
      <c r="A47" s="50"/>
      <c r="B47" s="8" t="s">
        <v>45</v>
      </c>
      <c r="C47" s="8">
        <v>14</v>
      </c>
      <c r="D47" s="8">
        <v>450000</v>
      </c>
      <c r="E47" s="8">
        <f t="shared" si="12"/>
        <v>346666.66666666669</v>
      </c>
      <c r="F47" s="8">
        <f t="shared" si="16"/>
        <v>368000</v>
      </c>
      <c r="G47" s="9">
        <f t="shared" si="13"/>
        <v>10677777777.777773</v>
      </c>
      <c r="H47" s="9">
        <f t="shared" si="17"/>
        <v>6724000000</v>
      </c>
      <c r="J47" s="50"/>
      <c r="K47" s="8" t="s">
        <v>45</v>
      </c>
      <c r="L47" s="8">
        <v>14</v>
      </c>
      <c r="M47" s="8">
        <v>80000</v>
      </c>
      <c r="N47" s="8">
        <f t="shared" si="14"/>
        <v>56666.666666666664</v>
      </c>
      <c r="O47" s="8">
        <f t="shared" si="18"/>
        <v>58000</v>
      </c>
      <c r="P47" s="9">
        <f t="shared" si="15"/>
        <v>544444444.44444454</v>
      </c>
      <c r="Q47" s="9">
        <f t="shared" si="19"/>
        <v>484000000</v>
      </c>
    </row>
    <row r="48" spans="1:17" x14ac:dyDescent="0.3">
      <c r="A48" s="50"/>
      <c r="B48" s="8" t="s">
        <v>46</v>
      </c>
      <c r="C48" s="8">
        <v>15</v>
      </c>
      <c r="D48" s="8">
        <v>510000</v>
      </c>
      <c r="E48" s="8">
        <f t="shared" si="12"/>
        <v>403333.33333333331</v>
      </c>
      <c r="F48" s="8">
        <f t="shared" si="16"/>
        <v>386000</v>
      </c>
      <c r="G48" s="9">
        <f t="shared" si="13"/>
        <v>11377777777.777782</v>
      </c>
      <c r="H48" s="9">
        <f t="shared" si="17"/>
        <v>15376000000</v>
      </c>
      <c r="J48" s="50"/>
      <c r="K48" s="8" t="s">
        <v>46</v>
      </c>
      <c r="L48" s="8">
        <v>15</v>
      </c>
      <c r="M48" s="8">
        <v>70000</v>
      </c>
      <c r="N48" s="8">
        <f t="shared" si="14"/>
        <v>63333.333333333336</v>
      </c>
      <c r="O48" s="8">
        <f t="shared" si="18"/>
        <v>66000</v>
      </c>
      <c r="P48" s="9">
        <f t="shared" si="15"/>
        <v>44444444.444444411</v>
      </c>
      <c r="Q48" s="9">
        <f t="shared" si="19"/>
        <v>16000000</v>
      </c>
    </row>
    <row r="49" spans="1:17" x14ac:dyDescent="0.3">
      <c r="A49" s="50"/>
      <c r="B49" s="8" t="s">
        <v>47</v>
      </c>
      <c r="C49" s="8">
        <v>16</v>
      </c>
      <c r="D49" s="8">
        <v>300000</v>
      </c>
      <c r="E49" s="8">
        <f t="shared" si="12"/>
        <v>446666.66666666669</v>
      </c>
      <c r="F49" s="8">
        <f t="shared" si="16"/>
        <v>400000</v>
      </c>
      <c r="G49" s="9">
        <f t="shared" si="13"/>
        <v>21511111111.111118</v>
      </c>
      <c r="H49" s="9">
        <f t="shared" si="17"/>
        <v>10000000000</v>
      </c>
      <c r="J49" s="50"/>
      <c r="K49" s="8" t="s">
        <v>47</v>
      </c>
      <c r="L49" s="8">
        <v>16</v>
      </c>
      <c r="M49" s="8">
        <v>50000</v>
      </c>
      <c r="N49" s="8">
        <f t="shared" si="14"/>
        <v>66666.666666666672</v>
      </c>
      <c r="O49" s="8">
        <f t="shared" si="18"/>
        <v>64000</v>
      </c>
      <c r="P49" s="9">
        <f t="shared" si="15"/>
        <v>277777777.77777791</v>
      </c>
      <c r="Q49" s="9">
        <f t="shared" si="19"/>
        <v>196000000</v>
      </c>
    </row>
    <row r="50" spans="1:17" x14ac:dyDescent="0.3">
      <c r="A50" s="50"/>
      <c r="B50" s="8" t="s">
        <v>48</v>
      </c>
      <c r="C50" s="8">
        <v>17</v>
      </c>
      <c r="D50" s="8">
        <v>390000</v>
      </c>
      <c r="E50" s="8">
        <f t="shared" si="12"/>
        <v>420000</v>
      </c>
      <c r="F50" s="8">
        <f t="shared" si="16"/>
        <v>404000</v>
      </c>
      <c r="G50" s="9">
        <f t="shared" si="13"/>
        <v>900000000</v>
      </c>
      <c r="H50" s="9">
        <f t="shared" si="17"/>
        <v>196000000</v>
      </c>
      <c r="J50" s="50"/>
      <c r="K50" s="8" t="s">
        <v>48</v>
      </c>
      <c r="L50" s="8">
        <v>17</v>
      </c>
      <c r="M50" s="8">
        <v>60000</v>
      </c>
      <c r="N50" s="8">
        <f t="shared" si="14"/>
        <v>66666.666666666672</v>
      </c>
      <c r="O50" s="8">
        <f t="shared" si="18"/>
        <v>62000</v>
      </c>
      <c r="P50" s="9">
        <f t="shared" si="15"/>
        <v>44444444.444444507</v>
      </c>
      <c r="Q50" s="9">
        <f t="shared" si="19"/>
        <v>4000000</v>
      </c>
    </row>
    <row r="51" spans="1:17" x14ac:dyDescent="0.3">
      <c r="A51" s="50"/>
      <c r="B51" s="8" t="s">
        <v>49</v>
      </c>
      <c r="C51" s="8">
        <v>18</v>
      </c>
      <c r="D51" s="8">
        <v>350000</v>
      </c>
      <c r="E51" s="8">
        <f t="shared" si="12"/>
        <v>400000</v>
      </c>
      <c r="F51" s="8">
        <f t="shared" si="16"/>
        <v>406000</v>
      </c>
      <c r="G51" s="9">
        <f t="shared" si="13"/>
        <v>2500000000</v>
      </c>
      <c r="H51" s="9">
        <f t="shared" si="17"/>
        <v>3136000000</v>
      </c>
      <c r="J51" s="50"/>
      <c r="K51" s="8" t="s">
        <v>49</v>
      </c>
      <c r="L51" s="8">
        <v>18</v>
      </c>
      <c r="M51" s="8">
        <v>80000</v>
      </c>
      <c r="N51" s="8">
        <f t="shared" si="14"/>
        <v>60000</v>
      </c>
      <c r="O51" s="8">
        <f t="shared" si="18"/>
        <v>62000</v>
      </c>
      <c r="P51" s="9">
        <f t="shared" si="15"/>
        <v>400000000</v>
      </c>
      <c r="Q51" s="9">
        <f t="shared" si="19"/>
        <v>324000000</v>
      </c>
    </row>
    <row r="52" spans="1:17" x14ac:dyDescent="0.3">
      <c r="A52" s="50"/>
      <c r="B52" s="8" t="s">
        <v>50</v>
      </c>
      <c r="C52" s="8">
        <v>19</v>
      </c>
      <c r="D52" s="8">
        <v>380000</v>
      </c>
      <c r="E52" s="8">
        <f t="shared" si="12"/>
        <v>346666.66666666669</v>
      </c>
      <c r="F52" s="8">
        <f t="shared" si="16"/>
        <v>400000</v>
      </c>
      <c r="G52" s="9">
        <f t="shared" si="13"/>
        <v>1111111111.1111097</v>
      </c>
      <c r="H52" s="9">
        <f t="shared" si="17"/>
        <v>400000000</v>
      </c>
      <c r="J52" s="50"/>
      <c r="K52" s="8" t="s">
        <v>50</v>
      </c>
      <c r="L52" s="8">
        <v>19</v>
      </c>
      <c r="M52" s="8">
        <v>70000</v>
      </c>
      <c r="N52" s="8">
        <f t="shared" si="14"/>
        <v>63333.333333333336</v>
      </c>
      <c r="O52" s="8">
        <f t="shared" si="18"/>
        <v>68000</v>
      </c>
      <c r="P52" s="9">
        <f t="shared" si="15"/>
        <v>44444444.444444411</v>
      </c>
      <c r="Q52" s="9">
        <f t="shared" si="19"/>
        <v>4000000</v>
      </c>
    </row>
    <row r="53" spans="1:17" x14ac:dyDescent="0.3">
      <c r="A53" s="50"/>
      <c r="B53" s="8" t="s">
        <v>51</v>
      </c>
      <c r="C53" s="8">
        <v>20</v>
      </c>
      <c r="D53" s="8">
        <v>390000</v>
      </c>
      <c r="E53" s="8">
        <f t="shared" si="12"/>
        <v>373333.33333333331</v>
      </c>
      <c r="F53" s="8">
        <f t="shared" si="16"/>
        <v>386000</v>
      </c>
      <c r="G53" s="9">
        <f t="shared" si="13"/>
        <v>277777777.77777845</v>
      </c>
      <c r="H53" s="9">
        <f t="shared" si="17"/>
        <v>16000000</v>
      </c>
      <c r="J53" s="50"/>
      <c r="K53" s="8" t="s">
        <v>51</v>
      </c>
      <c r="L53" s="8">
        <v>20</v>
      </c>
      <c r="M53" s="8">
        <v>70000</v>
      </c>
      <c r="N53" s="8">
        <f t="shared" si="14"/>
        <v>70000</v>
      </c>
      <c r="O53" s="8">
        <f t="shared" si="18"/>
        <v>66000</v>
      </c>
      <c r="P53" s="9">
        <f t="shared" si="15"/>
        <v>0</v>
      </c>
      <c r="Q53" s="9">
        <f t="shared" si="19"/>
        <v>16000000</v>
      </c>
    </row>
    <row r="54" spans="1:17" x14ac:dyDescent="0.3">
      <c r="A54" s="50"/>
      <c r="B54" s="8" t="s">
        <v>52</v>
      </c>
      <c r="C54" s="8">
        <v>21</v>
      </c>
      <c r="D54" s="8">
        <v>320000</v>
      </c>
      <c r="E54" s="8">
        <f t="shared" si="12"/>
        <v>373333.33333333331</v>
      </c>
      <c r="F54" s="8">
        <f t="shared" si="16"/>
        <v>362000</v>
      </c>
      <c r="G54" s="9">
        <f t="shared" si="13"/>
        <v>2844444444.4444423</v>
      </c>
      <c r="H54" s="9">
        <f t="shared" si="17"/>
        <v>1764000000</v>
      </c>
      <c r="J54" s="50"/>
      <c r="K54" s="8" t="s">
        <v>52</v>
      </c>
      <c r="L54" s="8">
        <v>21</v>
      </c>
      <c r="M54" s="8">
        <v>80000</v>
      </c>
      <c r="N54" s="8">
        <f t="shared" si="14"/>
        <v>73333.333333333328</v>
      </c>
      <c r="O54" s="8">
        <f t="shared" si="18"/>
        <v>66000</v>
      </c>
      <c r="P54" s="9">
        <f t="shared" si="15"/>
        <v>44444444.444444507</v>
      </c>
      <c r="Q54" s="9">
        <f t="shared" si="19"/>
        <v>196000000</v>
      </c>
    </row>
    <row r="55" spans="1:17" x14ac:dyDescent="0.3">
      <c r="A55" s="50"/>
      <c r="B55" s="8" t="s">
        <v>53</v>
      </c>
      <c r="C55" s="8">
        <v>22</v>
      </c>
      <c r="D55" s="8">
        <v>210000</v>
      </c>
      <c r="E55" s="8">
        <f t="shared" si="12"/>
        <v>363333.33333333331</v>
      </c>
      <c r="F55" s="8">
        <f t="shared" si="16"/>
        <v>366000</v>
      </c>
      <c r="G55" s="9">
        <f t="shared" si="13"/>
        <v>23511111111.111107</v>
      </c>
      <c r="H55" s="9">
        <f t="shared" si="17"/>
        <v>24336000000</v>
      </c>
      <c r="J55" s="50"/>
      <c r="K55" s="8" t="s">
        <v>53</v>
      </c>
      <c r="L55" s="8">
        <v>22</v>
      </c>
      <c r="M55" s="8">
        <v>60000</v>
      </c>
      <c r="N55" s="8">
        <f t="shared" si="14"/>
        <v>73333.333333333328</v>
      </c>
      <c r="O55" s="8">
        <f t="shared" si="18"/>
        <v>72000</v>
      </c>
      <c r="P55" s="9">
        <f t="shared" si="15"/>
        <v>177777777.77777764</v>
      </c>
      <c r="Q55" s="9">
        <f t="shared" si="19"/>
        <v>144000000</v>
      </c>
    </row>
    <row r="56" spans="1:17" x14ac:dyDescent="0.3">
      <c r="A56" s="50"/>
      <c r="B56" s="8" t="s">
        <v>54</v>
      </c>
      <c r="C56" s="8">
        <v>23</v>
      </c>
      <c r="D56" s="8">
        <v>250000</v>
      </c>
      <c r="E56" s="8">
        <f t="shared" si="12"/>
        <v>306666.66666666669</v>
      </c>
      <c r="F56" s="8">
        <f t="shared" si="16"/>
        <v>330000</v>
      </c>
      <c r="G56" s="9">
        <f t="shared" si="13"/>
        <v>3211111111.1111135</v>
      </c>
      <c r="H56" s="9">
        <f t="shared" si="17"/>
        <v>6400000000</v>
      </c>
      <c r="J56" s="50"/>
      <c r="K56" s="8" t="s">
        <v>54</v>
      </c>
      <c r="L56" s="8">
        <v>23</v>
      </c>
      <c r="M56" s="8">
        <v>60000</v>
      </c>
      <c r="N56" s="8">
        <f t="shared" si="14"/>
        <v>70000</v>
      </c>
      <c r="O56" s="8">
        <f t="shared" si="18"/>
        <v>72000</v>
      </c>
      <c r="P56" s="9">
        <f t="shared" si="15"/>
        <v>100000000</v>
      </c>
      <c r="Q56" s="9">
        <f t="shared" si="19"/>
        <v>144000000</v>
      </c>
    </row>
    <row r="57" spans="1:17" x14ac:dyDescent="0.3">
      <c r="A57" s="50"/>
      <c r="B57" s="8" t="s">
        <v>55</v>
      </c>
      <c r="C57" s="8">
        <v>24</v>
      </c>
      <c r="D57" s="8">
        <v>350000</v>
      </c>
      <c r="E57" s="8">
        <f t="shared" si="12"/>
        <v>260000</v>
      </c>
      <c r="F57" s="8">
        <f t="shared" si="16"/>
        <v>310000</v>
      </c>
      <c r="G57" s="9">
        <f t="shared" si="13"/>
        <v>8100000000</v>
      </c>
      <c r="H57" s="9">
        <f t="shared" si="17"/>
        <v>1600000000</v>
      </c>
      <c r="J57" s="50"/>
      <c r="K57" s="8" t="s">
        <v>55</v>
      </c>
      <c r="L57" s="8">
        <v>24</v>
      </c>
      <c r="M57" s="8">
        <v>80000</v>
      </c>
      <c r="N57" s="8">
        <f t="shared" si="14"/>
        <v>66666.666666666672</v>
      </c>
      <c r="O57" s="8">
        <f t="shared" si="18"/>
        <v>68000</v>
      </c>
      <c r="P57" s="9">
        <f t="shared" si="15"/>
        <v>177777777.77777764</v>
      </c>
      <c r="Q57" s="9">
        <f t="shared" si="19"/>
        <v>144000000</v>
      </c>
    </row>
    <row r="58" spans="1:17" x14ac:dyDescent="0.3">
      <c r="A58" s="8" t="s">
        <v>36</v>
      </c>
      <c r="B58" s="8"/>
      <c r="C58" s="8"/>
      <c r="D58" s="9">
        <f>SUM(D34:D57)</f>
        <v>8210000</v>
      </c>
      <c r="E58" s="9">
        <f t="shared" ref="E58:H58" si="20">SUM(E34:E57)</f>
        <v>7433333.333333333</v>
      </c>
      <c r="F58" s="9">
        <f t="shared" si="20"/>
        <v>6786000</v>
      </c>
      <c r="G58" s="9">
        <f t="shared" si="20"/>
        <v>179233333333.33331</v>
      </c>
      <c r="H58" s="9">
        <f t="shared" si="20"/>
        <v>127880000000</v>
      </c>
      <c r="J58" s="8" t="s">
        <v>36</v>
      </c>
      <c r="K58" s="8"/>
      <c r="L58" s="8"/>
      <c r="M58" s="9">
        <f>SUM(M34:M57)</f>
        <v>1484000</v>
      </c>
      <c r="N58" s="9">
        <f t="shared" ref="N58:Q58" si="21">SUM(N34:N57)</f>
        <v>1290666.6666666667</v>
      </c>
      <c r="O58" s="9">
        <f t="shared" si="21"/>
        <v>1162000</v>
      </c>
      <c r="P58" s="9">
        <f t="shared" si="21"/>
        <v>3805777777.7777781</v>
      </c>
      <c r="Q58" s="9">
        <f t="shared" si="21"/>
        <v>3376000000</v>
      </c>
    </row>
    <row r="59" spans="1:17" x14ac:dyDescent="0.3">
      <c r="A59" s="8" t="s">
        <v>37</v>
      </c>
      <c r="B59" s="8"/>
      <c r="C59" s="8"/>
      <c r="D59" s="8">
        <f>D58/COUNT(D34:D57)</f>
        <v>342083.33333333331</v>
      </c>
      <c r="E59" s="8">
        <f t="shared" ref="E59:H59" si="22">E58/COUNT(E34:E57)</f>
        <v>353968.25396825396</v>
      </c>
      <c r="F59" s="8">
        <f t="shared" si="22"/>
        <v>357157.89473684208</v>
      </c>
      <c r="G59" s="8">
        <f t="shared" si="22"/>
        <v>8534920634.9206343</v>
      </c>
      <c r="H59" s="8">
        <f t="shared" si="22"/>
        <v>6730526315.7894735</v>
      </c>
      <c r="J59" s="8" t="s">
        <v>37</v>
      </c>
      <c r="K59" s="8"/>
      <c r="L59" s="8"/>
      <c r="M59" s="8">
        <f>M58/COUNT(M34:M57)</f>
        <v>61833.333333333336</v>
      </c>
      <c r="N59" s="8">
        <f t="shared" ref="N59:Q59" si="23">N58/COUNT(N34:N57)</f>
        <v>61460.317460317463</v>
      </c>
      <c r="O59" s="8">
        <f t="shared" si="23"/>
        <v>61157.894736842107</v>
      </c>
      <c r="P59" s="8">
        <f t="shared" si="23"/>
        <v>181227513.22751325</v>
      </c>
      <c r="Q59" s="8">
        <f t="shared" si="23"/>
        <v>177684210.52631578</v>
      </c>
    </row>
    <row r="60" spans="1:17" x14ac:dyDescent="0.3">
      <c r="A60" s="25" t="s">
        <v>58</v>
      </c>
      <c r="B60" s="25"/>
      <c r="C60" s="25"/>
      <c r="D60" s="25"/>
      <c r="E60" s="25"/>
      <c r="F60" s="25"/>
      <c r="G60" s="25">
        <f>SQRT(G59)/COUNT(G34:G57)</f>
        <v>4399.2682948908987</v>
      </c>
      <c r="H60" s="25">
        <f>SQRT(H59)/COUNT(H34:H57)</f>
        <v>4317.883418789047</v>
      </c>
      <c r="J60" s="25" t="s">
        <v>58</v>
      </c>
      <c r="K60" s="25"/>
      <c r="L60" s="25"/>
      <c r="M60" s="25"/>
      <c r="N60" s="25"/>
      <c r="O60" s="25"/>
      <c r="P60" s="25">
        <f>SQRT(P59)/COUNT(P34:P57)</f>
        <v>641.05127876988252</v>
      </c>
      <c r="Q60" s="25">
        <f>SQRT(Q59)/COUNT(Q34:Q57)</f>
        <v>701.56968945270819</v>
      </c>
    </row>
    <row r="65" spans="1:16" x14ac:dyDescent="0.3">
      <c r="A65" s="51" t="s">
        <v>174</v>
      </c>
      <c r="B65" s="51"/>
      <c r="C65" s="51"/>
      <c r="D65" s="51"/>
      <c r="E65" s="51"/>
      <c r="F65" s="51"/>
      <c r="G65" s="51"/>
      <c r="H65" s="51"/>
      <c r="J65" s="8"/>
      <c r="K65" s="8"/>
      <c r="L65" s="8" t="s">
        <v>56</v>
      </c>
      <c r="M65" s="8" t="s">
        <v>57</v>
      </c>
      <c r="N65" s="8" t="s">
        <v>58</v>
      </c>
      <c r="O65" s="8" t="s">
        <v>59</v>
      </c>
      <c r="P65" s="8" t="s">
        <v>60</v>
      </c>
    </row>
    <row r="66" spans="1:16" x14ac:dyDescent="0.3">
      <c r="A66" s="8" t="s">
        <v>38</v>
      </c>
      <c r="B66" s="8" t="s">
        <v>39</v>
      </c>
      <c r="C66" s="8" t="s">
        <v>40</v>
      </c>
      <c r="D66" s="8" t="s">
        <v>129</v>
      </c>
      <c r="E66" s="8" t="s">
        <v>61</v>
      </c>
      <c r="F66" s="8" t="s">
        <v>62</v>
      </c>
      <c r="G66" s="8" t="s">
        <v>63</v>
      </c>
      <c r="H66" s="8" t="s">
        <v>64</v>
      </c>
      <c r="J66" s="52" t="s">
        <v>61</v>
      </c>
      <c r="K66" s="8" t="s">
        <v>3</v>
      </c>
      <c r="L66" s="8" cm="1">
        <f t="array" ref="L66">(1/24)*SUM(ABS(D6:D26-E6:E26))</f>
        <v>32444.444444444453</v>
      </c>
      <c r="M66" s="9" cm="1">
        <f t="array" ref="M66">(1/24)*SUM((D6:D26-E6:E26)^2)</f>
        <v>1895111111.1111112</v>
      </c>
      <c r="N66" s="8">
        <f>SQRT(M66)</f>
        <v>43532.873912838688</v>
      </c>
      <c r="O66" s="29" cm="1">
        <f t="array" ref="O66">(1/24)*SUM((ABS(D6:D26-E6:E26))/ABS(D6:D26))</f>
        <v>1.5562003968253963</v>
      </c>
      <c r="P66" s="8" cm="1">
        <f t="array" ref="P66">(1/24)*SUM((D6:D26-E6:E26)/(D6:D26))</f>
        <v>-1.1955522486772487</v>
      </c>
    </row>
    <row r="67" spans="1:16" x14ac:dyDescent="0.3">
      <c r="A67" s="50">
        <v>2021</v>
      </c>
      <c r="B67" s="8" t="s">
        <v>44</v>
      </c>
      <c r="C67" s="8">
        <v>1</v>
      </c>
      <c r="D67" s="9" cm="1">
        <f t="array" ref="D67:D90">TRANSPOSE('Historical Sale'!C17:Z17)</f>
        <v>30000</v>
      </c>
      <c r="E67" s="8"/>
      <c r="F67" s="8"/>
      <c r="G67" s="8"/>
      <c r="H67" s="8"/>
      <c r="J67" s="52"/>
      <c r="K67" s="8" t="s">
        <v>173</v>
      </c>
      <c r="L67" s="8" cm="1">
        <f t="array" ref="L67">(1/24)*SUM(ABS(M6:M26-N6:N26))</f>
        <v>30277.777777777781</v>
      </c>
      <c r="M67" s="9" cm="1">
        <f t="array" ref="M67">(1/24)*SUM((M6:M26-N6:N26)^2)</f>
        <v>1539814814.8148146</v>
      </c>
      <c r="N67" s="8">
        <f t="shared" ref="N67:N70" si="24">SQRT(M67)</f>
        <v>39240.474192022892</v>
      </c>
      <c r="O67" s="29" cm="1">
        <f t="array" ref="O67">(1/24)*SUM((ABS(M6:M26-N6:N26))/ABS(M6:M26))</f>
        <v>0.13553157524172016</v>
      </c>
      <c r="P67" s="8" cm="1">
        <f t="array" ref="P67">(1/24)*SUM((M6:M26-N6:N26)/(M6:M26))</f>
        <v>-3.0451669908191654E-2</v>
      </c>
    </row>
    <row r="68" spans="1:16" x14ac:dyDescent="0.3">
      <c r="A68" s="50"/>
      <c r="B68" s="8" t="s">
        <v>45</v>
      </c>
      <c r="C68" s="8">
        <v>2</v>
      </c>
      <c r="D68" s="9">
        <v>20000</v>
      </c>
      <c r="E68" s="8"/>
      <c r="F68" s="8"/>
      <c r="G68" s="8"/>
      <c r="H68" s="8"/>
      <c r="J68" s="52"/>
      <c r="K68" s="8" t="s">
        <v>6</v>
      </c>
      <c r="L68" s="8" cm="1">
        <f t="array" ref="L68">(1/24)*SUM(ABS(D37:D57-E37:E57))</f>
        <v>67083.333333333314</v>
      </c>
      <c r="M68" s="9" cm="1">
        <f t="array" ref="M68">(1/24)*SUM((D37:D57-E37:E57)^2)</f>
        <v>7468055555.5555544</v>
      </c>
      <c r="N68" s="8">
        <f t="shared" si="24"/>
        <v>86417.912237889395</v>
      </c>
      <c r="O68" s="29" cm="1">
        <f t="array" ref="O68">(1/24)*SUM((ABS(D37:D57-E37:E57))/ABS(D37:D57))</f>
        <v>0.2174584562067175</v>
      </c>
      <c r="P68" s="8" cm="1">
        <f t="array" ref="P68">(1/24)*SUM((D37:D57-E37:E57)/(D37:D57))</f>
        <v>-6.3208724170607772E-2</v>
      </c>
    </row>
    <row r="69" spans="1:16" x14ac:dyDescent="0.3">
      <c r="A69" s="50"/>
      <c r="B69" s="8" t="s">
        <v>46</v>
      </c>
      <c r="C69" s="8">
        <v>3</v>
      </c>
      <c r="D69" s="9">
        <v>40000</v>
      </c>
      <c r="E69" s="8"/>
      <c r="F69" s="8"/>
      <c r="G69" s="8"/>
      <c r="H69" s="8"/>
      <c r="J69" s="52"/>
      <c r="K69" s="8" t="s">
        <v>8</v>
      </c>
      <c r="L69" s="8" cm="1">
        <f t="array" ref="L69">(1/24)*SUM(ABS(M37:M57-N37:N57))</f>
        <v>9083.3333333333303</v>
      </c>
      <c r="M69" s="9" cm="1">
        <f t="array" ref="M69">(1/24)*SUM((M37:M57-N37:N57)^2)</f>
        <v>158574074.07407409</v>
      </c>
      <c r="N69" s="8">
        <f t="shared" si="24"/>
        <v>12592.619825678614</v>
      </c>
      <c r="O69" s="29" cm="1">
        <f t="array" ref="O69">(1/24)*SUM((ABS(M37:M57-N37:N57))/ABS(M37:M57))</f>
        <v>0.14829530423280424</v>
      </c>
      <c r="P69" s="8" cm="1">
        <f t="array" ref="P69">(1/24)*SUM((M37:M57-N37:N57)/(M37:M57))</f>
        <v>-1.7260251322751323E-2</v>
      </c>
    </row>
    <row r="70" spans="1:16" x14ac:dyDescent="0.3">
      <c r="A70" s="50"/>
      <c r="B70" s="8" t="s">
        <v>47</v>
      </c>
      <c r="C70" s="8">
        <v>4</v>
      </c>
      <c r="D70" s="9">
        <v>20000</v>
      </c>
      <c r="E70" s="8">
        <f>SUM(D67:D69)/3</f>
        <v>30000</v>
      </c>
      <c r="F70" s="8"/>
      <c r="G70" s="9">
        <f>(D70-E70)^2</f>
        <v>100000000</v>
      </c>
      <c r="H70" s="8"/>
      <c r="J70" s="52"/>
      <c r="K70" s="8" t="s">
        <v>15</v>
      </c>
      <c r="L70" s="8" cm="1">
        <f t="array" ref="L70">(1/24)*SUM(ABS(D70:D90-E70:E90))</f>
        <v>7222.2222222222226</v>
      </c>
      <c r="M70" s="9" cm="1">
        <f t="array" ref="M70">(1/24)*SUM((D70:D90-E70:E90)^2)</f>
        <v>82870370.370370373</v>
      </c>
      <c r="N70" s="8">
        <f t="shared" si="24"/>
        <v>9103.3164489855226</v>
      </c>
      <c r="O70" s="29" cm="1">
        <f t="array" ref="O70">(1/24)*SUM((ABS(D70:D90-E70:E90))/ABS(D70:D90))</f>
        <v>0.21686507936507937</v>
      </c>
      <c r="P70" s="8" cm="1">
        <f t="array" ref="P70">(1/24)*SUM((D70:D90-E70:E90)/(D70:D90))</f>
        <v>-4.3716931216931224E-2</v>
      </c>
    </row>
    <row r="71" spans="1:16" x14ac:dyDescent="0.3">
      <c r="A71" s="50"/>
      <c r="B71" s="8" t="s">
        <v>48</v>
      </c>
      <c r="C71" s="8">
        <v>5</v>
      </c>
      <c r="D71" s="9">
        <v>30000</v>
      </c>
      <c r="E71" s="8">
        <f t="shared" ref="E71:E90" si="25">SUM(D68:D70)/3</f>
        <v>26666.666666666668</v>
      </c>
      <c r="F71" s="8"/>
      <c r="G71" s="9">
        <f t="shared" ref="G71:G90" si="26">(D71-E71)^2</f>
        <v>11111111.111111103</v>
      </c>
      <c r="H71" s="8"/>
      <c r="J71" s="52" t="s">
        <v>62</v>
      </c>
      <c r="K71" s="8" t="s">
        <v>3</v>
      </c>
      <c r="L71" s="8" cm="1">
        <f t="array" ref="L71">(1/24)*SUM(ABS(D8:D26-F8:F26))</f>
        <v>28566.666666666664</v>
      </c>
      <c r="M71" s="9" cm="1">
        <f t="array" ref="M71">(1/24)*SUM((D8:D26-F8:F26)^2)</f>
        <v>1695463333.3333333</v>
      </c>
      <c r="N71" s="8">
        <f>SQRT(M71)</f>
        <v>41176.00433909698</v>
      </c>
      <c r="O71" s="29" cm="1">
        <f t="array" ref="O71">(1/24)*SUM((ABS(D8:D26-F8:F26))/ABS(D8:D26))</f>
        <v>1.5885340007215007</v>
      </c>
      <c r="P71" s="8" cm="1">
        <f t="array" ref="P71">(1/24)*SUM((D8:D26-F8:F26)/(D8:D26))</f>
        <v>-1.3636286976911975</v>
      </c>
    </row>
    <row r="72" spans="1:16" x14ac:dyDescent="0.3">
      <c r="A72" s="50"/>
      <c r="B72" s="8" t="s">
        <v>49</v>
      </c>
      <c r="C72" s="8">
        <v>6</v>
      </c>
      <c r="D72" s="9">
        <v>40000</v>
      </c>
      <c r="E72" s="8">
        <f t="shared" si="25"/>
        <v>30000</v>
      </c>
      <c r="F72" s="8">
        <f>SUM(D67:D71)/5</f>
        <v>28000</v>
      </c>
      <c r="G72" s="9">
        <f t="shared" si="26"/>
        <v>100000000</v>
      </c>
      <c r="H72" s="9">
        <f>(D72-F72)^2</f>
        <v>144000000</v>
      </c>
      <c r="J72" s="52"/>
      <c r="K72" s="8" t="s">
        <v>173</v>
      </c>
      <c r="L72" s="8" cm="1">
        <f t="array" ref="L72">(1/24)*SUM(ABS(M8:M26-O8:O26))</f>
        <v>26250</v>
      </c>
      <c r="M72" s="9" cm="1">
        <f t="array" ref="M72">(1/24)*SUM((M8:M26-O8:O26)^2)</f>
        <v>1331166666.6666665</v>
      </c>
      <c r="N72" s="8">
        <f t="shared" ref="N72:N75" si="27">SQRT(M72)</f>
        <v>36485.156799261073</v>
      </c>
      <c r="O72" s="29" cm="1">
        <f t="array" ref="O72">(1/24)*SUM((ABS(M8:M26-O8:O26))/ABS(M8:M26))</f>
        <v>0.11589891060362074</v>
      </c>
      <c r="P72" s="8" cm="1">
        <f t="array" ref="P72">(1/24)*SUM((M8:M26-O8:O26)/(M8:M26))</f>
        <v>-2.2712200507490361E-2</v>
      </c>
    </row>
    <row r="73" spans="1:16" x14ac:dyDescent="0.3">
      <c r="A73" s="50"/>
      <c r="B73" s="8" t="s">
        <v>50</v>
      </c>
      <c r="C73" s="8">
        <v>7</v>
      </c>
      <c r="D73" s="8">
        <v>40000</v>
      </c>
      <c r="E73" s="8">
        <f t="shared" si="25"/>
        <v>30000</v>
      </c>
      <c r="F73" s="8">
        <f t="shared" ref="F73:F90" si="28">SUM(D68:D72)/5</f>
        <v>30000</v>
      </c>
      <c r="G73" s="9">
        <f t="shared" si="26"/>
        <v>100000000</v>
      </c>
      <c r="H73" s="9">
        <f t="shared" ref="H73:H90" si="29">(D73-F73)^2</f>
        <v>100000000</v>
      </c>
      <c r="J73" s="52"/>
      <c r="K73" s="8" t="s">
        <v>6</v>
      </c>
      <c r="L73" s="8" cm="1">
        <f t="array" ref="L73">(1/24)*SUM(ABS(D39:D57-F39:F57))</f>
        <v>54666.666666666664</v>
      </c>
      <c r="M73" s="9" cm="1">
        <f t="array" ref="M73">(1/24)*SUM((D39:D57-F39:F57)^2)</f>
        <v>5328333333.333333</v>
      </c>
      <c r="N73" s="8">
        <f>SQRT(M73)</f>
        <v>72995.433647135302</v>
      </c>
      <c r="O73" s="29" cm="1">
        <f t="array" ref="O73">(1/24)*SUM((ABS(D39:D57-F39:F57))/ABS(D39:D57))</f>
        <v>0.18089885693384228</v>
      </c>
      <c r="P73" s="8" cm="1">
        <f t="array" ref="P73">(1/24)*SUM((D39:D57-F39:F57)/(D39:D57))</f>
        <v>-7.3147443114317021E-2</v>
      </c>
    </row>
    <row r="74" spans="1:16" x14ac:dyDescent="0.3">
      <c r="A74" s="50"/>
      <c r="B74" s="8" t="s">
        <v>51</v>
      </c>
      <c r="C74" s="8">
        <v>8</v>
      </c>
      <c r="D74" s="8">
        <v>30000</v>
      </c>
      <c r="E74" s="8">
        <f t="shared" si="25"/>
        <v>36666.666666666664</v>
      </c>
      <c r="F74" s="8">
        <f t="shared" si="28"/>
        <v>34000</v>
      </c>
      <c r="G74" s="9">
        <f t="shared" si="26"/>
        <v>44444444.444444411</v>
      </c>
      <c r="H74" s="9">
        <f t="shared" si="29"/>
        <v>16000000</v>
      </c>
      <c r="J74" s="52"/>
      <c r="K74" s="8" t="s">
        <v>8</v>
      </c>
      <c r="L74" s="8" cm="1">
        <f t="array" ref="L74">(1/24)*SUM(ABS(M39:M57-O39:O57))</f>
        <v>8766.6666666666661</v>
      </c>
      <c r="M74" s="9" cm="1">
        <f t="array" ref="M74">(1/24)*SUM((M39:M57-O39:O57)^2)</f>
        <v>140666666.66666666</v>
      </c>
      <c r="N74" s="8">
        <f t="shared" si="27"/>
        <v>11860.29791643813</v>
      </c>
      <c r="O74" s="29" cm="1">
        <f t="array" ref="O74">(1/24)*SUM((ABS(M39:M57-O39:O57))/ABS(M39:M57))</f>
        <v>0.14388293650793649</v>
      </c>
      <c r="P74" s="8" cm="1">
        <f t="array" ref="P74">(1/24)*SUM((M39:M57-O39:O57)/(M39:M57))</f>
        <v>-1.4061507936507942E-2</v>
      </c>
    </row>
    <row r="75" spans="1:16" x14ac:dyDescent="0.3">
      <c r="A75" s="50"/>
      <c r="B75" s="8" t="s">
        <v>52</v>
      </c>
      <c r="C75" s="8">
        <v>9</v>
      </c>
      <c r="D75" s="8">
        <v>60000</v>
      </c>
      <c r="E75" s="8">
        <f t="shared" si="25"/>
        <v>36666.666666666664</v>
      </c>
      <c r="F75" s="8">
        <f t="shared" si="28"/>
        <v>32000</v>
      </c>
      <c r="G75" s="9">
        <f t="shared" si="26"/>
        <v>544444444.44444454</v>
      </c>
      <c r="H75" s="9">
        <f t="shared" si="29"/>
        <v>784000000</v>
      </c>
      <c r="J75" s="52"/>
      <c r="K75" s="8" t="s">
        <v>15</v>
      </c>
      <c r="L75" s="8" cm="1">
        <f t="array" ref="L75">(1/24)*SUM(ABS(D72:D90-F72:F90))</f>
        <v>7583.333333333333</v>
      </c>
      <c r="M75" s="9" cm="1">
        <f t="array" ref="M75">(1/24)*SUM((D72:D90-F72:F90)^2)</f>
        <v>101750000</v>
      </c>
      <c r="N75" s="8">
        <f t="shared" si="27"/>
        <v>10087.120500916008</v>
      </c>
      <c r="O75" s="29" cm="1">
        <f t="array" ref="O75">(1/24)*SUM((ABS(D72:D90-F72:F90))/ABS(D72:D90))</f>
        <v>0.22531746031746031</v>
      </c>
      <c r="P75" s="8" cm="1">
        <f t="array" ref="P75">(1/24)*SUM((D72:D90-F72:F90)/(D72:D90))</f>
        <v>-3.2817460317460322E-2</v>
      </c>
    </row>
    <row r="76" spans="1:16" x14ac:dyDescent="0.3">
      <c r="A76" s="50"/>
      <c r="B76" s="8" t="s">
        <v>53</v>
      </c>
      <c r="C76" s="8">
        <v>10</v>
      </c>
      <c r="D76" s="8">
        <v>40000</v>
      </c>
      <c r="E76" s="8">
        <f t="shared" si="25"/>
        <v>43333.333333333336</v>
      </c>
      <c r="F76" s="8">
        <f t="shared" si="28"/>
        <v>40000</v>
      </c>
      <c r="G76" s="9">
        <f t="shared" si="26"/>
        <v>11111111.111111127</v>
      </c>
      <c r="H76" s="9">
        <f t="shared" si="29"/>
        <v>0</v>
      </c>
    </row>
    <row r="77" spans="1:16" x14ac:dyDescent="0.3">
      <c r="A77" s="50"/>
      <c r="B77" s="8" t="s">
        <v>54</v>
      </c>
      <c r="C77" s="8">
        <v>11</v>
      </c>
      <c r="D77" s="8">
        <v>50000</v>
      </c>
      <c r="E77" s="8">
        <f t="shared" si="25"/>
        <v>43333.333333333336</v>
      </c>
      <c r="F77" s="8">
        <f t="shared" si="28"/>
        <v>42000</v>
      </c>
      <c r="G77" s="9">
        <f t="shared" si="26"/>
        <v>44444444.444444411</v>
      </c>
      <c r="H77" s="9">
        <f t="shared" si="29"/>
        <v>64000000</v>
      </c>
    </row>
    <row r="78" spans="1:16" x14ac:dyDescent="0.3">
      <c r="A78" s="50"/>
      <c r="B78" s="8" t="s">
        <v>55</v>
      </c>
      <c r="C78" s="8">
        <v>12</v>
      </c>
      <c r="D78" s="8">
        <v>40000</v>
      </c>
      <c r="E78" s="8">
        <f t="shared" si="25"/>
        <v>50000</v>
      </c>
      <c r="F78" s="8">
        <f t="shared" si="28"/>
        <v>44000</v>
      </c>
      <c r="G78" s="9">
        <f t="shared" si="26"/>
        <v>100000000</v>
      </c>
      <c r="H78" s="9">
        <f t="shared" si="29"/>
        <v>16000000</v>
      </c>
    </row>
    <row r="79" spans="1:16" x14ac:dyDescent="0.3">
      <c r="A79" s="50">
        <v>2022</v>
      </c>
      <c r="B79" s="8" t="s">
        <v>44</v>
      </c>
      <c r="C79" s="8">
        <v>13</v>
      </c>
      <c r="D79" s="8">
        <v>40000</v>
      </c>
      <c r="E79" s="8">
        <f t="shared" si="25"/>
        <v>43333.333333333336</v>
      </c>
      <c r="F79" s="8">
        <f t="shared" si="28"/>
        <v>44000</v>
      </c>
      <c r="G79" s="9">
        <f t="shared" si="26"/>
        <v>11111111.111111127</v>
      </c>
      <c r="H79" s="9">
        <f t="shared" si="29"/>
        <v>16000000</v>
      </c>
      <c r="K79" s="28"/>
    </row>
    <row r="80" spans="1:16" x14ac:dyDescent="0.3">
      <c r="A80" s="50"/>
      <c r="B80" s="8" t="s">
        <v>45</v>
      </c>
      <c r="C80" s="8">
        <v>14</v>
      </c>
      <c r="D80" s="8">
        <v>35000</v>
      </c>
      <c r="E80" s="8">
        <f t="shared" si="25"/>
        <v>43333.333333333336</v>
      </c>
      <c r="F80" s="8">
        <f t="shared" si="28"/>
        <v>46000</v>
      </c>
      <c r="G80" s="9">
        <f t="shared" si="26"/>
        <v>69444444.444444478</v>
      </c>
      <c r="H80" s="9">
        <f t="shared" si="29"/>
        <v>121000000</v>
      </c>
    </row>
    <row r="81" spans="1:8" x14ac:dyDescent="0.3">
      <c r="A81" s="50"/>
      <c r="B81" s="8" t="s">
        <v>46</v>
      </c>
      <c r="C81" s="8">
        <v>15</v>
      </c>
      <c r="D81" s="8">
        <v>30000</v>
      </c>
      <c r="E81" s="8">
        <f t="shared" si="25"/>
        <v>38333.333333333336</v>
      </c>
      <c r="F81" s="8">
        <f t="shared" si="28"/>
        <v>41000</v>
      </c>
      <c r="G81" s="9">
        <f t="shared" si="26"/>
        <v>69444444.444444478</v>
      </c>
      <c r="H81" s="9">
        <f t="shared" si="29"/>
        <v>121000000</v>
      </c>
    </row>
    <row r="82" spans="1:8" x14ac:dyDescent="0.3">
      <c r="A82" s="50"/>
      <c r="B82" s="8" t="s">
        <v>47</v>
      </c>
      <c r="C82" s="8">
        <v>16</v>
      </c>
      <c r="D82" s="8">
        <v>30000</v>
      </c>
      <c r="E82" s="8">
        <f t="shared" si="25"/>
        <v>35000</v>
      </c>
      <c r="F82" s="8">
        <f t="shared" si="28"/>
        <v>39000</v>
      </c>
      <c r="G82" s="9">
        <f t="shared" si="26"/>
        <v>25000000</v>
      </c>
      <c r="H82" s="9">
        <f t="shared" si="29"/>
        <v>81000000</v>
      </c>
    </row>
    <row r="83" spans="1:8" x14ac:dyDescent="0.3">
      <c r="A83" s="50"/>
      <c r="B83" s="8" t="s">
        <v>48</v>
      </c>
      <c r="C83" s="8">
        <v>17</v>
      </c>
      <c r="D83" s="8">
        <v>20000</v>
      </c>
      <c r="E83" s="8">
        <f t="shared" si="25"/>
        <v>31666.666666666668</v>
      </c>
      <c r="F83" s="8">
        <f t="shared" si="28"/>
        <v>35000</v>
      </c>
      <c r="G83" s="9">
        <f t="shared" si="26"/>
        <v>136111111.11111113</v>
      </c>
      <c r="H83" s="9">
        <f t="shared" si="29"/>
        <v>225000000</v>
      </c>
    </row>
    <row r="84" spans="1:8" x14ac:dyDescent="0.3">
      <c r="A84" s="50"/>
      <c r="B84" s="8" t="s">
        <v>49</v>
      </c>
      <c r="C84" s="8">
        <v>18</v>
      </c>
      <c r="D84" s="8">
        <v>20000</v>
      </c>
      <c r="E84" s="8">
        <f t="shared" si="25"/>
        <v>26666.666666666668</v>
      </c>
      <c r="F84" s="8">
        <f t="shared" si="28"/>
        <v>31000</v>
      </c>
      <c r="G84" s="9">
        <f t="shared" si="26"/>
        <v>44444444.444444463</v>
      </c>
      <c r="H84" s="9">
        <f t="shared" si="29"/>
        <v>121000000</v>
      </c>
    </row>
    <row r="85" spans="1:8" x14ac:dyDescent="0.3">
      <c r="A85" s="50"/>
      <c r="B85" s="8" t="s">
        <v>50</v>
      </c>
      <c r="C85" s="8">
        <v>19</v>
      </c>
      <c r="D85" s="8">
        <v>20000</v>
      </c>
      <c r="E85" s="8">
        <f t="shared" si="25"/>
        <v>23333.333333333332</v>
      </c>
      <c r="F85" s="8">
        <f t="shared" si="28"/>
        <v>27000</v>
      </c>
      <c r="G85" s="9">
        <f t="shared" si="26"/>
        <v>11111111.111111103</v>
      </c>
      <c r="H85" s="9">
        <f t="shared" si="29"/>
        <v>49000000</v>
      </c>
    </row>
    <row r="86" spans="1:8" x14ac:dyDescent="0.3">
      <c r="A86" s="50"/>
      <c r="B86" s="8" t="s">
        <v>51</v>
      </c>
      <c r="C86" s="8">
        <v>20</v>
      </c>
      <c r="D86" s="8">
        <v>40000</v>
      </c>
      <c r="E86" s="8">
        <f t="shared" si="25"/>
        <v>20000</v>
      </c>
      <c r="F86" s="8">
        <f t="shared" si="28"/>
        <v>24000</v>
      </c>
      <c r="G86" s="9">
        <f t="shared" si="26"/>
        <v>400000000</v>
      </c>
      <c r="H86" s="9">
        <f t="shared" si="29"/>
        <v>256000000</v>
      </c>
    </row>
    <row r="87" spans="1:8" x14ac:dyDescent="0.3">
      <c r="A87" s="50"/>
      <c r="B87" s="8" t="s">
        <v>52</v>
      </c>
      <c r="C87" s="8">
        <v>21</v>
      </c>
      <c r="D87" s="8">
        <v>30000</v>
      </c>
      <c r="E87" s="8">
        <f t="shared" si="25"/>
        <v>26666.666666666668</v>
      </c>
      <c r="F87" s="8">
        <f t="shared" si="28"/>
        <v>26000</v>
      </c>
      <c r="G87" s="9">
        <f t="shared" si="26"/>
        <v>11111111.111111103</v>
      </c>
      <c r="H87" s="9">
        <f t="shared" si="29"/>
        <v>16000000</v>
      </c>
    </row>
    <row r="88" spans="1:8" x14ac:dyDescent="0.3">
      <c r="A88" s="50"/>
      <c r="B88" s="8" t="s">
        <v>53</v>
      </c>
      <c r="C88" s="8">
        <v>22</v>
      </c>
      <c r="D88" s="8">
        <v>40000</v>
      </c>
      <c r="E88" s="8">
        <f t="shared" si="25"/>
        <v>30000</v>
      </c>
      <c r="F88" s="8">
        <f t="shared" si="28"/>
        <v>26000</v>
      </c>
      <c r="G88" s="9">
        <f t="shared" si="26"/>
        <v>100000000</v>
      </c>
      <c r="H88" s="9">
        <f t="shared" si="29"/>
        <v>196000000</v>
      </c>
    </row>
    <row r="89" spans="1:8" x14ac:dyDescent="0.3">
      <c r="A89" s="50"/>
      <c r="B89" s="8" t="s">
        <v>54</v>
      </c>
      <c r="C89" s="8">
        <v>23</v>
      </c>
      <c r="D89" s="8">
        <v>40000</v>
      </c>
      <c r="E89" s="8">
        <f t="shared" si="25"/>
        <v>36666.666666666664</v>
      </c>
      <c r="F89" s="8">
        <f t="shared" si="28"/>
        <v>30000</v>
      </c>
      <c r="G89" s="9">
        <f t="shared" si="26"/>
        <v>11111111.111111127</v>
      </c>
      <c r="H89" s="9">
        <f t="shared" si="29"/>
        <v>100000000</v>
      </c>
    </row>
    <row r="90" spans="1:8" x14ac:dyDescent="0.3">
      <c r="A90" s="50"/>
      <c r="B90" s="8" t="s">
        <v>55</v>
      </c>
      <c r="C90" s="8">
        <v>24</v>
      </c>
      <c r="D90" s="8">
        <v>30000</v>
      </c>
      <c r="E90" s="8">
        <f t="shared" si="25"/>
        <v>36666.666666666664</v>
      </c>
      <c r="F90" s="8">
        <f t="shared" si="28"/>
        <v>34000</v>
      </c>
      <c r="G90" s="9">
        <f t="shared" si="26"/>
        <v>44444444.444444411</v>
      </c>
      <c r="H90" s="9">
        <f t="shared" si="29"/>
        <v>16000000</v>
      </c>
    </row>
    <row r="91" spans="1:8" x14ac:dyDescent="0.3">
      <c r="A91" s="8" t="s">
        <v>36</v>
      </c>
      <c r="B91" s="8"/>
      <c r="C91" s="8"/>
      <c r="D91" s="9">
        <f>SUM(D67:D90)</f>
        <v>815000</v>
      </c>
      <c r="E91" s="9">
        <f t="shared" ref="E91:H91" si="30">SUM(E67:E90)</f>
        <v>718333.33333333326</v>
      </c>
      <c r="F91" s="9">
        <f t="shared" si="30"/>
        <v>653000</v>
      </c>
      <c r="G91" s="9">
        <f t="shared" si="30"/>
        <v>1988888888.8888891</v>
      </c>
      <c r="H91" s="9">
        <f t="shared" si="30"/>
        <v>2442000000</v>
      </c>
    </row>
    <row r="92" spans="1:8" x14ac:dyDescent="0.3">
      <c r="A92" s="8" t="s">
        <v>37</v>
      </c>
      <c r="B92" s="8"/>
      <c r="C92" s="8"/>
      <c r="D92" s="8">
        <f>D91/COUNT(D67:D90)</f>
        <v>33958.333333333336</v>
      </c>
      <c r="E92" s="8">
        <f t="shared" ref="E92:H92" si="31">E91/COUNT(E67:E90)</f>
        <v>34206.349206349201</v>
      </c>
      <c r="F92" s="8">
        <f t="shared" si="31"/>
        <v>34368.42105263158</v>
      </c>
      <c r="G92" s="8">
        <f t="shared" si="31"/>
        <v>94708994.708994716</v>
      </c>
      <c r="H92" s="8">
        <f t="shared" si="31"/>
        <v>128526315.78947368</v>
      </c>
    </row>
    <row r="93" spans="1:8" x14ac:dyDescent="0.3">
      <c r="A93" s="25" t="s">
        <v>58</v>
      </c>
      <c r="B93" s="25"/>
      <c r="C93" s="25"/>
      <c r="D93" s="25"/>
      <c r="E93" s="25"/>
      <c r="F93" s="25"/>
      <c r="G93" s="25">
        <f>SQRT(G92)/COUNT(G67:G90)</f>
        <v>463.42164946241365</v>
      </c>
      <c r="H93" s="25">
        <f>SQRT(H92)/COUNT(H67:H90)</f>
        <v>596.68130152880599</v>
      </c>
    </row>
  </sheetData>
  <mergeCells count="17">
    <mergeCell ref="A65:H65"/>
    <mergeCell ref="A67:A78"/>
    <mergeCell ref="A79:A90"/>
    <mergeCell ref="J66:J70"/>
    <mergeCell ref="J71:J75"/>
    <mergeCell ref="A32:H32"/>
    <mergeCell ref="A34:A45"/>
    <mergeCell ref="A46:A57"/>
    <mergeCell ref="J32:Q32"/>
    <mergeCell ref="J34:J45"/>
    <mergeCell ref="J46:J57"/>
    <mergeCell ref="A3:A14"/>
    <mergeCell ref="A15:A26"/>
    <mergeCell ref="A1:H1"/>
    <mergeCell ref="J1:Q1"/>
    <mergeCell ref="J3:J14"/>
    <mergeCell ref="J15:J26"/>
  </mergeCells>
  <phoneticPr fontId="4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385CE-0A18-4913-ACC6-D547E7A20A67}">
  <dimension ref="A1:Q93"/>
  <sheetViews>
    <sheetView topLeftCell="F1" zoomScale="64" zoomScaleNormal="64" workbookViewId="0">
      <selection activeCell="AA73" sqref="AA73"/>
    </sheetView>
  </sheetViews>
  <sheetFormatPr defaultRowHeight="14.4" x14ac:dyDescent="0.3"/>
  <cols>
    <col min="4" max="4" width="15.109375" bestFit="1" customWidth="1"/>
    <col min="5" max="5" width="12" bestFit="1" customWidth="1"/>
    <col min="6" max="6" width="10.109375" bestFit="1" customWidth="1"/>
    <col min="7" max="8" width="18.44140625" bestFit="1" customWidth="1"/>
    <col min="11" max="11" width="19.21875" bestFit="1" customWidth="1"/>
    <col min="13" max="13" width="15.6640625" customWidth="1"/>
    <col min="14" max="15" width="12" bestFit="1" customWidth="1"/>
    <col min="16" max="17" width="13.77734375" bestFit="1" customWidth="1"/>
  </cols>
  <sheetData>
    <row r="1" spans="1:17" x14ac:dyDescent="0.3">
      <c r="A1" s="51" t="s">
        <v>169</v>
      </c>
      <c r="B1" s="51"/>
      <c r="C1" s="51"/>
      <c r="D1" s="51"/>
      <c r="E1" s="51"/>
      <c r="F1" s="51"/>
      <c r="G1" s="51"/>
      <c r="H1" s="51"/>
      <c r="J1" s="51" t="s">
        <v>170</v>
      </c>
      <c r="K1" s="51"/>
      <c r="L1" s="51"/>
      <c r="M1" s="51"/>
      <c r="N1" s="51"/>
      <c r="O1" s="51"/>
      <c r="P1" s="51"/>
      <c r="Q1" s="51"/>
    </row>
    <row r="2" spans="1:17" x14ac:dyDescent="0.3">
      <c r="A2" s="8" t="s">
        <v>38</v>
      </c>
      <c r="B2" s="8" t="s">
        <v>39</v>
      </c>
      <c r="C2" s="8" t="s">
        <v>40</v>
      </c>
      <c r="D2" s="8" t="s">
        <v>129</v>
      </c>
      <c r="E2" s="8" t="s">
        <v>175</v>
      </c>
      <c r="F2" s="8" t="s">
        <v>176</v>
      </c>
      <c r="G2" s="8" t="s">
        <v>177</v>
      </c>
      <c r="H2" s="8" t="s">
        <v>178</v>
      </c>
      <c r="J2" s="8" t="s">
        <v>38</v>
      </c>
      <c r="K2" s="8" t="s">
        <v>39</v>
      </c>
      <c r="L2" s="8" t="s">
        <v>40</v>
      </c>
      <c r="M2" s="8" t="s">
        <v>129</v>
      </c>
      <c r="N2" s="8" t="s">
        <v>175</v>
      </c>
      <c r="O2" s="8" t="s">
        <v>176</v>
      </c>
      <c r="P2" s="8" t="s">
        <v>177</v>
      </c>
      <c r="Q2" s="8" t="s">
        <v>178</v>
      </c>
    </row>
    <row r="3" spans="1:17" x14ac:dyDescent="0.3">
      <c r="A3" s="50">
        <v>2021</v>
      </c>
      <c r="B3" s="8" t="s">
        <v>44</v>
      </c>
      <c r="C3" s="8">
        <v>1</v>
      </c>
      <c r="D3" s="9" cm="1">
        <f t="array" ref="D3:D26">TRANSPOSE('Historical Sale'!C7:Z7)</f>
        <v>110000</v>
      </c>
      <c r="E3" s="9">
        <f>D3</f>
        <v>110000</v>
      </c>
      <c r="F3" s="9">
        <f>D3</f>
        <v>110000</v>
      </c>
      <c r="G3" s="9">
        <f>(D3-E3)^2</f>
        <v>0</v>
      </c>
      <c r="H3" s="9">
        <f>(D3-F3)^2</f>
        <v>0</v>
      </c>
      <c r="J3" s="50">
        <v>2021</v>
      </c>
      <c r="K3" s="8" t="s">
        <v>44</v>
      </c>
      <c r="L3" s="8">
        <v>1</v>
      </c>
      <c r="M3" s="9" cm="1">
        <f t="array" ref="M3:M26">TRANSPOSE('Historical Sale'!C9:Z9)</f>
        <v>230000</v>
      </c>
      <c r="N3" s="8">
        <f>M3</f>
        <v>230000</v>
      </c>
      <c r="O3" s="8">
        <f>M3</f>
        <v>230000</v>
      </c>
      <c r="P3" s="8">
        <f>(M3-N3)^2</f>
        <v>0</v>
      </c>
      <c r="Q3" s="8">
        <f>(M3-O3)^2</f>
        <v>0</v>
      </c>
    </row>
    <row r="4" spans="1:17" x14ac:dyDescent="0.3">
      <c r="A4" s="50"/>
      <c r="B4" s="8" t="s">
        <v>45</v>
      </c>
      <c r="C4" s="8">
        <v>2</v>
      </c>
      <c r="D4" s="9">
        <v>60000</v>
      </c>
      <c r="E4" s="8">
        <f>0.1*D3+(1-0.1)*E3</f>
        <v>110000</v>
      </c>
      <c r="F4" s="8">
        <f>0.35*D3+(1-0.35)*F3</f>
        <v>110000</v>
      </c>
      <c r="G4" s="9">
        <f t="shared" ref="G4:G5" si="0">(D4-E4)^2</f>
        <v>2500000000</v>
      </c>
      <c r="H4" s="9">
        <f t="shared" ref="H4:H7" si="1">(D4-F4)^2</f>
        <v>2500000000</v>
      </c>
      <c r="J4" s="50"/>
      <c r="K4" s="8" t="s">
        <v>45</v>
      </c>
      <c r="L4" s="8">
        <v>2</v>
      </c>
      <c r="M4" s="9">
        <v>200000</v>
      </c>
      <c r="N4" s="8">
        <f>0.1*M3+(1-0.1)*N3</f>
        <v>230000</v>
      </c>
      <c r="O4" s="8">
        <f>0.35*M3+(1-0.35)*O3</f>
        <v>230000</v>
      </c>
      <c r="P4" s="9">
        <f>(M4-N4)^2</f>
        <v>900000000</v>
      </c>
      <c r="Q4" s="8">
        <f t="shared" ref="Q4:Q7" si="2">(M4-O4)^2</f>
        <v>900000000</v>
      </c>
    </row>
    <row r="5" spans="1:17" x14ac:dyDescent="0.3">
      <c r="A5" s="50"/>
      <c r="B5" s="8" t="s">
        <v>46</v>
      </c>
      <c r="C5" s="8">
        <v>3</v>
      </c>
      <c r="D5" s="9">
        <v>200000</v>
      </c>
      <c r="E5" s="8">
        <f>0.1*D4+(1-0.1)*E4</f>
        <v>105000</v>
      </c>
      <c r="F5" s="8">
        <f>0.35*D4+(1-0.35)*F4</f>
        <v>92500</v>
      </c>
      <c r="G5" s="9">
        <f t="shared" si="0"/>
        <v>9025000000</v>
      </c>
      <c r="H5" s="9">
        <f t="shared" si="1"/>
        <v>11556250000</v>
      </c>
      <c r="J5" s="50"/>
      <c r="K5" s="8" t="s">
        <v>46</v>
      </c>
      <c r="L5" s="8">
        <v>3</v>
      </c>
      <c r="M5" s="9">
        <v>240000</v>
      </c>
      <c r="N5" s="8">
        <f>0.1*M4+(1-0.1)*N4</f>
        <v>227000</v>
      </c>
      <c r="O5" s="8">
        <f>0.35*M4+(1-0.35)*O4</f>
        <v>219500</v>
      </c>
      <c r="P5" s="8">
        <f t="shared" ref="P5" si="3">(M5-N5)^2</f>
        <v>169000000</v>
      </c>
      <c r="Q5" s="8">
        <f t="shared" si="2"/>
        <v>420250000</v>
      </c>
    </row>
    <row r="6" spans="1:17" x14ac:dyDescent="0.3">
      <c r="A6" s="50"/>
      <c r="B6" s="8" t="s">
        <v>47</v>
      </c>
      <c r="C6" s="8">
        <v>4</v>
      </c>
      <c r="D6" s="9">
        <v>100000</v>
      </c>
      <c r="E6" s="8">
        <f t="shared" ref="E6:E26" si="4">0.1*D5+(1-0.1)*E5</f>
        <v>114500</v>
      </c>
      <c r="F6" s="8">
        <f>0.35*D5+(1-0.35)*F5</f>
        <v>130125</v>
      </c>
      <c r="G6" s="9">
        <f>(D6-E6)^2</f>
        <v>210250000</v>
      </c>
      <c r="H6" s="9">
        <f t="shared" si="1"/>
        <v>907515625</v>
      </c>
      <c r="J6" s="50"/>
      <c r="K6" s="8" t="s">
        <v>47</v>
      </c>
      <c r="L6" s="8">
        <v>4</v>
      </c>
      <c r="M6" s="9">
        <v>200000</v>
      </c>
      <c r="N6" s="8">
        <f t="shared" ref="N6:N26" si="5">0.1*M5+(1-0.1)*N5</f>
        <v>228300</v>
      </c>
      <c r="O6" s="8">
        <f>0.35*M5+(1-0.35)*O5</f>
        <v>226675</v>
      </c>
      <c r="P6" s="9">
        <f>(M6-N6)^2</f>
        <v>800890000</v>
      </c>
      <c r="Q6" s="8">
        <f t="shared" si="2"/>
        <v>711555625</v>
      </c>
    </row>
    <row r="7" spans="1:17" x14ac:dyDescent="0.3">
      <c r="A7" s="50"/>
      <c r="B7" s="8" t="s">
        <v>48</v>
      </c>
      <c r="C7" s="8">
        <v>5</v>
      </c>
      <c r="D7" s="9">
        <v>40000</v>
      </c>
      <c r="E7" s="8">
        <f t="shared" si="4"/>
        <v>113050</v>
      </c>
      <c r="F7" s="8">
        <f t="shared" ref="F7:F28" si="6">0.35*D6+(1-0.35)*F6</f>
        <v>119581.25</v>
      </c>
      <c r="G7" s="9">
        <f t="shared" ref="G7:G26" si="7">(D7-E7)^2</f>
        <v>5336302500</v>
      </c>
      <c r="H7" s="9">
        <f t="shared" si="1"/>
        <v>6333175351.5625</v>
      </c>
      <c r="J7" s="50"/>
      <c r="K7" s="8" t="s">
        <v>48</v>
      </c>
      <c r="L7" s="8">
        <v>5</v>
      </c>
      <c r="M7" s="9">
        <v>210000</v>
      </c>
      <c r="N7" s="8">
        <f t="shared" si="5"/>
        <v>225470</v>
      </c>
      <c r="O7" s="8">
        <f t="shared" ref="O7:O26" si="8">0.35*M6+(1-0.35)*O6</f>
        <v>217338.75</v>
      </c>
      <c r="P7" s="9">
        <f t="shared" ref="P7:P26" si="9">(M7-N7)^2</f>
        <v>239320900</v>
      </c>
      <c r="Q7" s="8">
        <f t="shared" si="2"/>
        <v>53857251.5625</v>
      </c>
    </row>
    <row r="8" spans="1:17" x14ac:dyDescent="0.3">
      <c r="A8" s="50"/>
      <c r="B8" s="8" t="s">
        <v>49</v>
      </c>
      <c r="C8" s="8">
        <v>6</v>
      </c>
      <c r="D8" s="9">
        <v>20000</v>
      </c>
      <c r="E8" s="8">
        <f t="shared" si="4"/>
        <v>105745</v>
      </c>
      <c r="F8" s="8">
        <f t="shared" si="6"/>
        <v>91727.8125</v>
      </c>
      <c r="G8" s="9">
        <f t="shared" si="7"/>
        <v>7352205025</v>
      </c>
      <c r="H8" s="9">
        <f>(D8-F8)^2</f>
        <v>5144879086.0351563</v>
      </c>
      <c r="J8" s="50"/>
      <c r="K8" s="8" t="s">
        <v>49</v>
      </c>
      <c r="L8" s="8">
        <v>6</v>
      </c>
      <c r="M8" s="9">
        <v>220000</v>
      </c>
      <c r="N8" s="8">
        <f t="shared" si="5"/>
        <v>223923</v>
      </c>
      <c r="O8" s="8">
        <f t="shared" si="8"/>
        <v>214770.1875</v>
      </c>
      <c r="P8" s="9">
        <f t="shared" si="9"/>
        <v>15389929</v>
      </c>
      <c r="Q8" s="9">
        <f>(M8-O8)^2</f>
        <v>27350938.78515625</v>
      </c>
    </row>
    <row r="9" spans="1:17" x14ac:dyDescent="0.3">
      <c r="A9" s="50"/>
      <c r="B9" s="8" t="s">
        <v>50</v>
      </c>
      <c r="C9" s="8">
        <v>7</v>
      </c>
      <c r="D9" s="8">
        <v>10000</v>
      </c>
      <c r="E9" s="8">
        <f t="shared" si="4"/>
        <v>97170.5</v>
      </c>
      <c r="F9" s="8">
        <f t="shared" si="6"/>
        <v>66623.078125</v>
      </c>
      <c r="G9" s="9">
        <f t="shared" si="7"/>
        <v>7598696070.25</v>
      </c>
      <c r="H9" s="9">
        <f t="shared" ref="H9:H26" si="10">(D9-F9)^2</f>
        <v>3206172976.3498535</v>
      </c>
      <c r="J9" s="50"/>
      <c r="K9" s="8" t="s">
        <v>50</v>
      </c>
      <c r="L9" s="8">
        <v>7</v>
      </c>
      <c r="M9" s="8">
        <v>200000</v>
      </c>
      <c r="N9" s="8">
        <f t="shared" si="5"/>
        <v>223530.7</v>
      </c>
      <c r="O9" s="8">
        <f t="shared" si="8"/>
        <v>216600.62187500001</v>
      </c>
      <c r="P9" s="9">
        <f t="shared" si="9"/>
        <v>553693842.49000061</v>
      </c>
      <c r="Q9" s="9">
        <f t="shared" ref="Q9:Q26" si="11">(M9-O9)^2</f>
        <v>275580646.63672888</v>
      </c>
    </row>
    <row r="10" spans="1:17" x14ac:dyDescent="0.3">
      <c r="A10" s="50"/>
      <c r="B10" s="8" t="s">
        <v>51</v>
      </c>
      <c r="C10" s="8">
        <v>8</v>
      </c>
      <c r="D10" s="8">
        <v>60000</v>
      </c>
      <c r="E10" s="8">
        <f t="shared" si="4"/>
        <v>88453.45</v>
      </c>
      <c r="F10" s="8">
        <f t="shared" si="6"/>
        <v>46805.000781250004</v>
      </c>
      <c r="G10" s="9">
        <f t="shared" si="7"/>
        <v>809598816.90249979</v>
      </c>
      <c r="H10" s="9">
        <f t="shared" si="10"/>
        <v>174108004.38281301</v>
      </c>
      <c r="J10" s="50"/>
      <c r="K10" s="8" t="s">
        <v>51</v>
      </c>
      <c r="L10" s="8">
        <v>8</v>
      </c>
      <c r="M10" s="8">
        <v>300000</v>
      </c>
      <c r="N10" s="8">
        <f t="shared" si="5"/>
        <v>221177.63</v>
      </c>
      <c r="O10" s="8">
        <f t="shared" si="8"/>
        <v>210790.40421875002</v>
      </c>
      <c r="P10" s="9">
        <f t="shared" si="9"/>
        <v>6212966012.4168997</v>
      </c>
      <c r="Q10" s="9">
        <f t="shared" si="11"/>
        <v>7958351979.4540148</v>
      </c>
    </row>
    <row r="11" spans="1:17" x14ac:dyDescent="0.3">
      <c r="A11" s="50"/>
      <c r="B11" s="8" t="s">
        <v>52</v>
      </c>
      <c r="C11" s="8">
        <v>9</v>
      </c>
      <c r="D11" s="8">
        <v>100000</v>
      </c>
      <c r="E11" s="8">
        <f t="shared" si="4"/>
        <v>85608.104999999996</v>
      </c>
      <c r="F11" s="8">
        <f t="shared" si="6"/>
        <v>51423.250507812503</v>
      </c>
      <c r="G11" s="9">
        <f t="shared" si="7"/>
        <v>207126641.69102511</v>
      </c>
      <c r="H11" s="9">
        <f t="shared" si="10"/>
        <v>2359700591.2267385</v>
      </c>
      <c r="J11" s="50"/>
      <c r="K11" s="8" t="s">
        <v>52</v>
      </c>
      <c r="L11" s="8">
        <v>9</v>
      </c>
      <c r="M11" s="8">
        <v>200000</v>
      </c>
      <c r="N11" s="8">
        <f t="shared" si="5"/>
        <v>229059.867</v>
      </c>
      <c r="O11" s="8">
        <f t="shared" si="8"/>
        <v>242013.76274218751</v>
      </c>
      <c r="P11" s="9">
        <f t="shared" si="9"/>
        <v>844475870.05768895</v>
      </c>
      <c r="Q11" s="9">
        <f t="shared" si="11"/>
        <v>1765156259.7568231</v>
      </c>
    </row>
    <row r="12" spans="1:17" x14ac:dyDescent="0.3">
      <c r="A12" s="50"/>
      <c r="B12" s="8" t="s">
        <v>53</v>
      </c>
      <c r="C12" s="8">
        <v>10</v>
      </c>
      <c r="D12" s="8">
        <v>110000</v>
      </c>
      <c r="E12" s="8">
        <f t="shared" si="4"/>
        <v>87047.294500000004</v>
      </c>
      <c r="F12" s="8">
        <f t="shared" si="6"/>
        <v>68425.112830078127</v>
      </c>
      <c r="G12" s="9">
        <f t="shared" si="7"/>
        <v>526826689.76973009</v>
      </c>
      <c r="H12" s="9">
        <f t="shared" si="10"/>
        <v>1728471243.1917343</v>
      </c>
      <c r="J12" s="50"/>
      <c r="K12" s="8" t="s">
        <v>53</v>
      </c>
      <c r="L12" s="8">
        <v>10</v>
      </c>
      <c r="M12" s="8">
        <v>200000</v>
      </c>
      <c r="N12" s="8">
        <f t="shared" si="5"/>
        <v>226153.88029999999</v>
      </c>
      <c r="O12" s="8">
        <f t="shared" si="8"/>
        <v>227308.94578242188</v>
      </c>
      <c r="P12" s="9">
        <f t="shared" si="9"/>
        <v>684025454.74672759</v>
      </c>
      <c r="Q12" s="9">
        <f t="shared" si="11"/>
        <v>745778519.74725807</v>
      </c>
    </row>
    <row r="13" spans="1:17" x14ac:dyDescent="0.3">
      <c r="A13" s="50"/>
      <c r="B13" s="8" t="s">
        <v>54</v>
      </c>
      <c r="C13" s="8">
        <v>11</v>
      </c>
      <c r="D13" s="8">
        <v>110000</v>
      </c>
      <c r="E13" s="8">
        <f t="shared" si="4"/>
        <v>89342.565050000005</v>
      </c>
      <c r="F13" s="8">
        <f t="shared" si="6"/>
        <v>82976.323339550785</v>
      </c>
      <c r="G13" s="9">
        <f t="shared" si="7"/>
        <v>426729618.71348131</v>
      </c>
      <c r="H13" s="9">
        <f t="shared" si="10"/>
        <v>730279100.24850762</v>
      </c>
      <c r="J13" s="50"/>
      <c r="K13" s="8" t="s">
        <v>54</v>
      </c>
      <c r="L13" s="8">
        <v>11</v>
      </c>
      <c r="M13" s="8">
        <v>210000</v>
      </c>
      <c r="N13" s="8">
        <f t="shared" si="5"/>
        <v>223538.49226999999</v>
      </c>
      <c r="O13" s="8">
        <f t="shared" si="8"/>
        <v>217750.81475857424</v>
      </c>
      <c r="P13" s="9">
        <f t="shared" si="9"/>
        <v>183290772.94484943</v>
      </c>
      <c r="Q13" s="9">
        <f t="shared" si="11"/>
        <v>60075129.421732269</v>
      </c>
    </row>
    <row r="14" spans="1:17" x14ac:dyDescent="0.3">
      <c r="A14" s="50"/>
      <c r="B14" s="8" t="s">
        <v>55</v>
      </c>
      <c r="C14" s="8">
        <v>12</v>
      </c>
      <c r="D14" s="8">
        <v>70000</v>
      </c>
      <c r="E14" s="8">
        <f t="shared" si="4"/>
        <v>91408.308545000007</v>
      </c>
      <c r="F14" s="8">
        <f t="shared" si="6"/>
        <v>92434.610170708009</v>
      </c>
      <c r="G14" s="9">
        <f t="shared" si="7"/>
        <v>458315674.75792032</v>
      </c>
      <c r="H14" s="9">
        <f t="shared" si="10"/>
        <v>503311733.51163524</v>
      </c>
      <c r="J14" s="50"/>
      <c r="K14" s="8" t="s">
        <v>55</v>
      </c>
      <c r="L14" s="8">
        <v>12</v>
      </c>
      <c r="M14" s="8">
        <v>200000</v>
      </c>
      <c r="N14" s="8">
        <f t="shared" si="5"/>
        <v>222184.64304299999</v>
      </c>
      <c r="O14" s="8">
        <f t="shared" si="8"/>
        <v>215038.02959307327</v>
      </c>
      <c r="P14" s="9">
        <f t="shared" si="9"/>
        <v>492158386.94532782</v>
      </c>
      <c r="Q14" s="9">
        <f t="shared" si="11"/>
        <v>226142334.04214737</v>
      </c>
    </row>
    <row r="15" spans="1:17" x14ac:dyDescent="0.3">
      <c r="A15" s="50">
        <v>2022</v>
      </c>
      <c r="B15" s="8" t="s">
        <v>44</v>
      </c>
      <c r="C15" s="8">
        <v>13</v>
      </c>
      <c r="D15" s="8">
        <v>10000</v>
      </c>
      <c r="E15" s="8">
        <f t="shared" si="4"/>
        <v>89267.477690500004</v>
      </c>
      <c r="F15" s="8">
        <f t="shared" si="6"/>
        <v>84582.49661096021</v>
      </c>
      <c r="G15" s="9">
        <f t="shared" si="7"/>
        <v>6283333019.4139156</v>
      </c>
      <c r="H15" s="9">
        <f t="shared" si="10"/>
        <v>5562548800.7238913</v>
      </c>
      <c r="J15" s="50">
        <v>2022</v>
      </c>
      <c r="K15" s="8" t="s">
        <v>44</v>
      </c>
      <c r="L15" s="8">
        <v>13</v>
      </c>
      <c r="M15" s="8">
        <v>230000</v>
      </c>
      <c r="N15" s="8">
        <f t="shared" si="5"/>
        <v>219966.17873869999</v>
      </c>
      <c r="O15" s="8">
        <f t="shared" si="8"/>
        <v>209774.71923549764</v>
      </c>
      <c r="P15" s="9">
        <f t="shared" si="9"/>
        <v>100677569.10371606</v>
      </c>
      <c r="Q15" s="9">
        <f t="shared" si="11"/>
        <v>409061982.00294906</v>
      </c>
    </row>
    <row r="16" spans="1:17" x14ac:dyDescent="0.3">
      <c r="A16" s="50"/>
      <c r="B16" s="8" t="s">
        <v>45</v>
      </c>
      <c r="C16" s="8">
        <v>14</v>
      </c>
      <c r="D16" s="8">
        <v>15000</v>
      </c>
      <c r="E16" s="8">
        <f t="shared" si="4"/>
        <v>81340.729921450009</v>
      </c>
      <c r="F16" s="8">
        <f t="shared" si="6"/>
        <v>58478.622797124139</v>
      </c>
      <c r="G16" s="9">
        <f t="shared" si="7"/>
        <v>4401092446.5107727</v>
      </c>
      <c r="H16" s="9">
        <f t="shared" si="10"/>
        <v>1890390640.3346028</v>
      </c>
      <c r="J16" s="50"/>
      <c r="K16" s="8" t="s">
        <v>45</v>
      </c>
      <c r="L16" s="8">
        <v>14</v>
      </c>
      <c r="M16" s="8">
        <v>250000</v>
      </c>
      <c r="N16" s="8">
        <f t="shared" si="5"/>
        <v>220969.56086483001</v>
      </c>
      <c r="O16" s="8">
        <f t="shared" si="8"/>
        <v>216853.56750307349</v>
      </c>
      <c r="P16" s="9">
        <f t="shared" si="9"/>
        <v>842766396.38080919</v>
      </c>
      <c r="Q16" s="9">
        <f t="shared" si="11"/>
        <v>1098685987.2733061</v>
      </c>
    </row>
    <row r="17" spans="1:17" x14ac:dyDescent="0.3">
      <c r="A17" s="50"/>
      <c r="B17" s="8" t="s">
        <v>46</v>
      </c>
      <c r="C17" s="8">
        <v>15</v>
      </c>
      <c r="D17" s="8">
        <v>20000</v>
      </c>
      <c r="E17" s="8">
        <f t="shared" si="4"/>
        <v>74706.656929305012</v>
      </c>
      <c r="F17" s="8">
        <f t="shared" si="6"/>
        <v>43261.104818130691</v>
      </c>
      <c r="G17" s="9">
        <f t="shared" si="7"/>
        <v>2992818312.3806763</v>
      </c>
      <c r="H17" s="9">
        <f t="shared" si="10"/>
        <v>541078997.36006284</v>
      </c>
      <c r="J17" s="50"/>
      <c r="K17" s="8" t="s">
        <v>46</v>
      </c>
      <c r="L17" s="8">
        <v>15</v>
      </c>
      <c r="M17" s="8">
        <v>300000</v>
      </c>
      <c r="N17" s="8">
        <f t="shared" si="5"/>
        <v>223872.60477834701</v>
      </c>
      <c r="O17" s="8">
        <f t="shared" si="8"/>
        <v>228454.81887699777</v>
      </c>
      <c r="P17" s="9">
        <f t="shared" si="9"/>
        <v>5795380303.2337542</v>
      </c>
      <c r="Q17" s="9">
        <f t="shared" si="11"/>
        <v>5118712941.9231949</v>
      </c>
    </row>
    <row r="18" spans="1:17" x14ac:dyDescent="0.3">
      <c r="A18" s="50"/>
      <c r="B18" s="8" t="s">
        <v>47</v>
      </c>
      <c r="C18" s="8">
        <v>16</v>
      </c>
      <c r="D18" s="8">
        <v>40000</v>
      </c>
      <c r="E18" s="8">
        <f t="shared" si="4"/>
        <v>69235.99123637451</v>
      </c>
      <c r="F18" s="8">
        <f t="shared" si="6"/>
        <v>35119.718131784946</v>
      </c>
      <c r="G18" s="9">
        <f t="shared" si="7"/>
        <v>854743183.57336712</v>
      </c>
      <c r="H18" s="9">
        <f t="shared" si="10"/>
        <v>23817151.113228615</v>
      </c>
      <c r="J18" s="50"/>
      <c r="K18" s="8" t="s">
        <v>47</v>
      </c>
      <c r="L18" s="8">
        <v>16</v>
      </c>
      <c r="M18" s="8">
        <v>270000</v>
      </c>
      <c r="N18" s="8">
        <f t="shared" si="5"/>
        <v>231485.34430051231</v>
      </c>
      <c r="O18" s="8">
        <f t="shared" si="8"/>
        <v>253495.63227004855</v>
      </c>
      <c r="P18" s="9">
        <f t="shared" si="9"/>
        <v>1483378703.6500795</v>
      </c>
      <c r="Q18" s="9">
        <f t="shared" si="11"/>
        <v>272394154.16546285</v>
      </c>
    </row>
    <row r="19" spans="1:17" x14ac:dyDescent="0.3">
      <c r="A19" s="50"/>
      <c r="B19" s="8" t="s">
        <v>48</v>
      </c>
      <c r="C19" s="8">
        <v>17</v>
      </c>
      <c r="D19" s="8">
        <v>40000</v>
      </c>
      <c r="E19" s="8">
        <f t="shared" si="4"/>
        <v>66312.392112737056</v>
      </c>
      <c r="F19" s="8">
        <f t="shared" si="6"/>
        <v>36827.816785660216</v>
      </c>
      <c r="G19" s="9">
        <f t="shared" si="7"/>
        <v>692341978.69442725</v>
      </c>
      <c r="H19" s="9">
        <f t="shared" si="10"/>
        <v>10062746.345339086</v>
      </c>
      <c r="J19" s="50"/>
      <c r="K19" s="8" t="s">
        <v>48</v>
      </c>
      <c r="L19" s="8">
        <v>17</v>
      </c>
      <c r="M19" s="8">
        <v>200000</v>
      </c>
      <c r="N19" s="8">
        <f t="shared" si="5"/>
        <v>235336.80987046109</v>
      </c>
      <c r="O19" s="8">
        <f t="shared" si="8"/>
        <v>259272.16097553156</v>
      </c>
      <c r="P19" s="9">
        <f t="shared" si="9"/>
        <v>1248690131.8211162</v>
      </c>
      <c r="Q19" s="9">
        <f t="shared" si="11"/>
        <v>3513189066.7093263</v>
      </c>
    </row>
    <row r="20" spans="1:17" x14ac:dyDescent="0.3">
      <c r="A20" s="50"/>
      <c r="B20" s="8" t="s">
        <v>49</v>
      </c>
      <c r="C20" s="8">
        <v>18</v>
      </c>
      <c r="D20" s="8">
        <v>10000</v>
      </c>
      <c r="E20" s="8">
        <f t="shared" si="4"/>
        <v>63681.152901463349</v>
      </c>
      <c r="F20" s="8">
        <f t="shared" si="6"/>
        <v>37938.080910679142</v>
      </c>
      <c r="G20" s="9">
        <f t="shared" si="7"/>
        <v>2881666176.830287</v>
      </c>
      <c r="H20" s="9">
        <f t="shared" si="10"/>
        <v>780536364.9716543</v>
      </c>
      <c r="J20" s="50"/>
      <c r="K20" s="8" t="s">
        <v>49</v>
      </c>
      <c r="L20" s="8">
        <v>18</v>
      </c>
      <c r="M20" s="8">
        <v>200000</v>
      </c>
      <c r="N20" s="8">
        <f t="shared" si="5"/>
        <v>231803.12888341499</v>
      </c>
      <c r="O20" s="8">
        <f t="shared" si="8"/>
        <v>238526.90463409552</v>
      </c>
      <c r="P20" s="9">
        <f t="shared" si="9"/>
        <v>1011439006.7751048</v>
      </c>
      <c r="Q20" s="9">
        <f t="shared" si="11"/>
        <v>1484322380.6846912</v>
      </c>
    </row>
    <row r="21" spans="1:17" x14ac:dyDescent="0.3">
      <c r="A21" s="50"/>
      <c r="B21" s="8" t="s">
        <v>50</v>
      </c>
      <c r="C21" s="8">
        <v>19</v>
      </c>
      <c r="D21" s="8">
        <v>5000</v>
      </c>
      <c r="E21" s="8">
        <f t="shared" si="4"/>
        <v>58313.037611317013</v>
      </c>
      <c r="F21" s="8">
        <f t="shared" si="6"/>
        <v>28159.752591941444</v>
      </c>
      <c r="G21" s="9">
        <f t="shared" si="7"/>
        <v>2842279979.3457026</v>
      </c>
      <c r="H21" s="9">
        <f t="shared" si="10"/>
        <v>536374140.11993843</v>
      </c>
      <c r="J21" s="50"/>
      <c r="K21" s="8" t="s">
        <v>50</v>
      </c>
      <c r="L21" s="8">
        <v>19</v>
      </c>
      <c r="M21" s="8">
        <v>180000</v>
      </c>
      <c r="N21" s="8">
        <f t="shared" si="5"/>
        <v>228622.8159950735</v>
      </c>
      <c r="O21" s="8">
        <f t="shared" si="8"/>
        <v>225042.4880121621</v>
      </c>
      <c r="P21" s="9">
        <f t="shared" si="9"/>
        <v>2364178235.2907753</v>
      </c>
      <c r="Q21" s="9">
        <f t="shared" si="11"/>
        <v>2028825726.3257661</v>
      </c>
    </row>
    <row r="22" spans="1:17" x14ac:dyDescent="0.3">
      <c r="A22" s="50"/>
      <c r="B22" s="8" t="s">
        <v>51</v>
      </c>
      <c r="C22" s="8">
        <v>20</v>
      </c>
      <c r="D22" s="8">
        <v>8000</v>
      </c>
      <c r="E22" s="8">
        <f t="shared" si="4"/>
        <v>52981.733850185316</v>
      </c>
      <c r="F22" s="8">
        <f t="shared" si="6"/>
        <v>20053.839184761939</v>
      </c>
      <c r="G22" s="9">
        <f t="shared" si="7"/>
        <v>2023356380.1689074</v>
      </c>
      <c r="H22" s="9">
        <f t="shared" si="10"/>
        <v>145295039.09210235</v>
      </c>
      <c r="J22" s="50"/>
      <c r="K22" s="8" t="s">
        <v>51</v>
      </c>
      <c r="L22" s="8">
        <v>20</v>
      </c>
      <c r="M22" s="8">
        <v>240000</v>
      </c>
      <c r="N22" s="8">
        <f t="shared" si="5"/>
        <v>223760.53439556615</v>
      </c>
      <c r="O22" s="8">
        <f t="shared" si="8"/>
        <v>209277.61720790536</v>
      </c>
      <c r="P22" s="9">
        <f t="shared" si="9"/>
        <v>263720243.11759001</v>
      </c>
      <c r="Q22" s="9">
        <f t="shared" si="11"/>
        <v>943864804.42399251</v>
      </c>
    </row>
    <row r="23" spans="1:17" x14ac:dyDescent="0.3">
      <c r="A23" s="50"/>
      <c r="B23" s="8" t="s">
        <v>52</v>
      </c>
      <c r="C23" s="8">
        <v>21</v>
      </c>
      <c r="D23" s="8">
        <v>10000</v>
      </c>
      <c r="E23" s="8">
        <f t="shared" si="4"/>
        <v>48483.560465166782</v>
      </c>
      <c r="F23" s="8">
        <f t="shared" si="6"/>
        <v>15834.99547009526</v>
      </c>
      <c r="G23" s="9">
        <f t="shared" si="7"/>
        <v>1480984426.0761478</v>
      </c>
      <c r="H23" s="9">
        <f t="shared" si="10"/>
        <v>34047172.136032209</v>
      </c>
      <c r="J23" s="50"/>
      <c r="K23" s="8" t="s">
        <v>52</v>
      </c>
      <c r="L23" s="8">
        <v>21</v>
      </c>
      <c r="M23" s="8">
        <v>220000</v>
      </c>
      <c r="N23" s="8">
        <f t="shared" si="5"/>
        <v>225384.48095600953</v>
      </c>
      <c r="O23" s="8">
        <f t="shared" si="8"/>
        <v>220030.45118513849</v>
      </c>
      <c r="P23" s="9">
        <f t="shared" si="9"/>
        <v>28992635.165629312</v>
      </c>
      <c r="Q23" s="9">
        <f t="shared" si="11"/>
        <v>927.27467633851222</v>
      </c>
    </row>
    <row r="24" spans="1:17" x14ac:dyDescent="0.3">
      <c r="A24" s="50"/>
      <c r="B24" s="8" t="s">
        <v>53</v>
      </c>
      <c r="C24" s="8">
        <v>22</v>
      </c>
      <c r="D24" s="8">
        <v>10000</v>
      </c>
      <c r="E24" s="8">
        <f t="shared" si="4"/>
        <v>44635.204418650108</v>
      </c>
      <c r="F24" s="8">
        <f t="shared" si="6"/>
        <v>13792.74705556192</v>
      </c>
      <c r="G24" s="9">
        <f t="shared" si="7"/>
        <v>1199597385.12168</v>
      </c>
      <c r="H24" s="9">
        <f t="shared" si="10"/>
        <v>14384930.227473615</v>
      </c>
      <c r="J24" s="50"/>
      <c r="K24" s="8" t="s">
        <v>53</v>
      </c>
      <c r="L24" s="8">
        <v>22</v>
      </c>
      <c r="M24" s="8">
        <v>250000</v>
      </c>
      <c r="N24" s="8">
        <f t="shared" si="5"/>
        <v>224846.0328604086</v>
      </c>
      <c r="O24" s="8">
        <f t="shared" si="8"/>
        <v>220019.79327034001</v>
      </c>
      <c r="P24" s="9">
        <f t="shared" si="9"/>
        <v>632722062.85964417</v>
      </c>
      <c r="Q24" s="9">
        <f t="shared" si="11"/>
        <v>898812795.55314982</v>
      </c>
    </row>
    <row r="25" spans="1:17" x14ac:dyDescent="0.3">
      <c r="A25" s="50"/>
      <c r="B25" s="8" t="s">
        <v>54</v>
      </c>
      <c r="C25" s="8">
        <v>23</v>
      </c>
      <c r="D25" s="8">
        <v>8000</v>
      </c>
      <c r="E25" s="8">
        <f t="shared" si="4"/>
        <v>41171.683976785098</v>
      </c>
      <c r="F25" s="8">
        <f t="shared" si="6"/>
        <v>12465.285586115249</v>
      </c>
      <c r="G25" s="9">
        <f t="shared" si="7"/>
        <v>1100360617.8557012</v>
      </c>
      <c r="H25" s="9">
        <f t="shared" si="10"/>
        <v>19938775.365568604</v>
      </c>
      <c r="J25" s="50"/>
      <c r="K25" s="8" t="s">
        <v>54</v>
      </c>
      <c r="L25" s="8">
        <v>23</v>
      </c>
      <c r="M25" s="8">
        <v>200000</v>
      </c>
      <c r="N25" s="8">
        <f t="shared" si="5"/>
        <v>227361.42957436774</v>
      </c>
      <c r="O25" s="8">
        <f t="shared" si="8"/>
        <v>230512.86562572102</v>
      </c>
      <c r="P25" s="9">
        <f t="shared" si="9"/>
        <v>748647828.3530854</v>
      </c>
      <c r="Q25" s="9">
        <f t="shared" si="11"/>
        <v>931034968.69330764</v>
      </c>
    </row>
    <row r="26" spans="1:17" x14ac:dyDescent="0.3">
      <c r="A26" s="50"/>
      <c r="B26" s="8" t="s">
        <v>55</v>
      </c>
      <c r="C26" s="8">
        <v>24</v>
      </c>
      <c r="D26" s="8">
        <v>80000</v>
      </c>
      <c r="E26" s="8">
        <f t="shared" si="4"/>
        <v>37854.515579106592</v>
      </c>
      <c r="F26" s="8">
        <f t="shared" si="6"/>
        <v>10902.435630974913</v>
      </c>
      <c r="G26" s="9">
        <f t="shared" si="7"/>
        <v>1776241857.071769</v>
      </c>
      <c r="H26" s="9">
        <f t="shared" si="10"/>
        <v>4774473401.7315655</v>
      </c>
      <c r="J26" s="50"/>
      <c r="K26" s="8" t="s">
        <v>55</v>
      </c>
      <c r="L26" s="8">
        <v>24</v>
      </c>
      <c r="M26" s="8">
        <v>180000</v>
      </c>
      <c r="N26" s="8">
        <f t="shared" si="5"/>
        <v>224625.28661693097</v>
      </c>
      <c r="O26" s="8">
        <f t="shared" si="8"/>
        <v>219833.36265671867</v>
      </c>
      <c r="P26" s="9">
        <f t="shared" si="9"/>
        <v>1991416205.6432383</v>
      </c>
      <c r="Q26" s="9">
        <f t="shared" si="11"/>
        <v>1586696780.5416696</v>
      </c>
    </row>
    <row r="27" spans="1:17" x14ac:dyDescent="0.3">
      <c r="A27" s="8" t="s">
        <v>36</v>
      </c>
      <c r="B27" s="8"/>
      <c r="C27" s="8"/>
      <c r="D27" s="9">
        <f>SUM(D3:D26)</f>
        <v>1246000</v>
      </c>
      <c r="E27" s="9">
        <f t="shared" ref="E27:H27" si="12">SUM(E3:E26)</f>
        <v>1925309.3597880406</v>
      </c>
      <c r="F27" s="8">
        <f t="shared" si="6"/>
        <v>35086.58316013369</v>
      </c>
      <c r="G27" s="9">
        <f>SUM(G3:G26)</f>
        <v>62979866800.128006</v>
      </c>
      <c r="H27" s="9">
        <f t="shared" si="12"/>
        <v>49476811871.030396</v>
      </c>
      <c r="J27" s="8" t="s">
        <v>36</v>
      </c>
      <c r="K27" s="8"/>
      <c r="L27" s="8"/>
      <c r="M27" s="9">
        <f>SUM(M3:M26)</f>
        <v>5330000</v>
      </c>
      <c r="N27" s="9">
        <f t="shared" ref="N27:Q27" si="13">SUM(N3:N26)</f>
        <v>5428372.4204476215</v>
      </c>
      <c r="O27" s="9">
        <f t="shared" si="13"/>
        <v>5398880.8979232386</v>
      </c>
      <c r="P27" s="9">
        <f t="shared" si="13"/>
        <v>27607220489.99604</v>
      </c>
      <c r="Q27" s="9">
        <f t="shared" si="13"/>
        <v>31429701199.977852</v>
      </c>
    </row>
    <row r="28" spans="1:17" x14ac:dyDescent="0.3">
      <c r="A28" s="8" t="s">
        <v>37</v>
      </c>
      <c r="B28" s="8"/>
      <c r="C28" s="8"/>
      <c r="D28" s="8">
        <f>D27/COUNT(D3:D26)</f>
        <v>51916.666666666664</v>
      </c>
      <c r="E28" s="8">
        <f t="shared" ref="E28:H28" si="14">E27/COUNT(E3:E26)</f>
        <v>80221.223324501698</v>
      </c>
      <c r="F28" s="8">
        <f t="shared" si="6"/>
        <v>458906.27905408689</v>
      </c>
      <c r="G28" s="8">
        <f t="shared" si="14"/>
        <v>2624161116.6720004</v>
      </c>
      <c r="H28" s="8">
        <f t="shared" si="14"/>
        <v>2061533827.9595997</v>
      </c>
      <c r="J28" s="8" t="s">
        <v>37</v>
      </c>
      <c r="K28" s="8"/>
      <c r="L28" s="8"/>
      <c r="M28" s="8">
        <f>M27/COUNT(M3:M26)</f>
        <v>222083.33333333334</v>
      </c>
      <c r="N28" s="8">
        <f t="shared" ref="N28:Q28" si="15">N27/COUNT(N3:N26)</f>
        <v>226182.18418531757</v>
      </c>
      <c r="O28" s="8">
        <f t="shared" si="15"/>
        <v>224953.37074680161</v>
      </c>
      <c r="P28" s="8">
        <f t="shared" si="15"/>
        <v>1150300853.749835</v>
      </c>
      <c r="Q28" s="8">
        <f t="shared" si="15"/>
        <v>1309570883.3324106</v>
      </c>
    </row>
    <row r="29" spans="1:17" x14ac:dyDescent="0.3">
      <c r="A29" s="25" t="s">
        <v>58</v>
      </c>
      <c r="B29" s="25"/>
      <c r="C29" s="25"/>
      <c r="D29" s="25"/>
      <c r="E29" s="25"/>
      <c r="F29" s="25"/>
      <c r="G29" s="25">
        <f>SQRT(G28)/COUNT(G3:G26)</f>
        <v>2134.4402713592153</v>
      </c>
      <c r="H29" s="25">
        <f>SQRT(H28)/COUNT(H3:H26)</f>
        <v>1891.8382025564667</v>
      </c>
      <c r="J29" s="25" t="s">
        <v>58</v>
      </c>
      <c r="K29" s="25"/>
      <c r="L29" s="25"/>
      <c r="M29" s="25"/>
      <c r="N29" s="25"/>
      <c r="O29" s="25"/>
      <c r="P29" s="25">
        <f>SQRT(P28)/COUNT(P3:P26)</f>
        <v>1413.1702280035786</v>
      </c>
      <c r="Q29" s="25">
        <f>SQRT(Q28)/COUNT(Q3:Q26)</f>
        <v>1507.8330681282296</v>
      </c>
    </row>
    <row r="32" spans="1:17" x14ac:dyDescent="0.3">
      <c r="A32" s="51" t="s">
        <v>171</v>
      </c>
      <c r="B32" s="51"/>
      <c r="C32" s="51"/>
      <c r="D32" s="51"/>
      <c r="E32" s="51"/>
      <c r="F32" s="51"/>
      <c r="G32" s="51"/>
      <c r="H32" s="51"/>
      <c r="J32" s="51" t="s">
        <v>172</v>
      </c>
      <c r="K32" s="51"/>
      <c r="L32" s="51"/>
      <c r="M32" s="51"/>
      <c r="N32" s="51"/>
      <c r="O32" s="51"/>
      <c r="P32" s="51"/>
      <c r="Q32" s="51"/>
    </row>
    <row r="33" spans="1:17" x14ac:dyDescent="0.3">
      <c r="A33" s="8" t="s">
        <v>38</v>
      </c>
      <c r="B33" s="8" t="s">
        <v>39</v>
      </c>
      <c r="C33" s="8" t="s">
        <v>40</v>
      </c>
      <c r="D33" s="8" t="s">
        <v>129</v>
      </c>
      <c r="E33" s="8" t="s">
        <v>175</v>
      </c>
      <c r="F33" s="8" t="s">
        <v>176</v>
      </c>
      <c r="G33" s="8" t="s">
        <v>177</v>
      </c>
      <c r="H33" s="8" t="s">
        <v>178</v>
      </c>
      <c r="J33" s="8" t="s">
        <v>38</v>
      </c>
      <c r="K33" s="8" t="s">
        <v>39</v>
      </c>
      <c r="L33" s="8" t="s">
        <v>40</v>
      </c>
      <c r="M33" s="8" t="s">
        <v>129</v>
      </c>
      <c r="N33" s="8" t="s">
        <v>175</v>
      </c>
      <c r="O33" s="8" t="s">
        <v>176</v>
      </c>
      <c r="P33" s="8" t="s">
        <v>177</v>
      </c>
      <c r="Q33" s="8" t="s">
        <v>178</v>
      </c>
    </row>
    <row r="34" spans="1:17" x14ac:dyDescent="0.3">
      <c r="A34" s="50">
        <v>2021</v>
      </c>
      <c r="B34" s="8" t="s">
        <v>44</v>
      </c>
      <c r="C34" s="8">
        <v>1</v>
      </c>
      <c r="D34" s="9" cm="1">
        <f t="array" ref="D34:D57">TRANSPOSE('Historical Sale'!C11:Z11)</f>
        <v>190000</v>
      </c>
      <c r="E34" s="8">
        <f>D34</f>
        <v>190000</v>
      </c>
      <c r="F34" s="8">
        <f>D34</f>
        <v>190000</v>
      </c>
      <c r="G34" s="8">
        <f>(D34-E34)^2</f>
        <v>0</v>
      </c>
      <c r="H34" s="8">
        <f>(D34-F34)^2</f>
        <v>0</v>
      </c>
      <c r="J34" s="50">
        <v>2021</v>
      </c>
      <c r="K34" s="8" t="s">
        <v>44</v>
      </c>
      <c r="L34" s="8">
        <v>1</v>
      </c>
      <c r="M34" s="9" cm="1">
        <f t="array" ref="M34:M57">TRANSPOSE('Historical Sale'!C13:Z13)</f>
        <v>50000</v>
      </c>
      <c r="N34" s="8">
        <f>M34</f>
        <v>50000</v>
      </c>
      <c r="O34" s="8">
        <f>M34</f>
        <v>50000</v>
      </c>
      <c r="P34" s="8">
        <f>(M34-N34)^2</f>
        <v>0</v>
      </c>
      <c r="Q34" s="8">
        <f>(M34-O34)^2</f>
        <v>0</v>
      </c>
    </row>
    <row r="35" spans="1:17" x14ac:dyDescent="0.3">
      <c r="A35" s="50"/>
      <c r="B35" s="8" t="s">
        <v>45</v>
      </c>
      <c r="C35" s="8">
        <v>2</v>
      </c>
      <c r="D35" s="9">
        <v>190000</v>
      </c>
      <c r="E35" s="8">
        <f>0.1*D34+(1-0.1)*E34</f>
        <v>190000</v>
      </c>
      <c r="F35" s="8">
        <f>0.35*D34+(1-0.35)*F34</f>
        <v>190000</v>
      </c>
      <c r="G35" s="8">
        <f t="shared" ref="G35:G36" si="16">(D35-E35)^2</f>
        <v>0</v>
      </c>
      <c r="H35" s="8">
        <f t="shared" ref="H35:H38" si="17">(D35-F35)^2</f>
        <v>0</v>
      </c>
      <c r="J35" s="50"/>
      <c r="K35" s="8" t="s">
        <v>45</v>
      </c>
      <c r="L35" s="8">
        <v>2</v>
      </c>
      <c r="M35" s="9">
        <v>60000</v>
      </c>
      <c r="N35" s="8">
        <f>0.1*M34+(1-0.1)*N34</f>
        <v>50000</v>
      </c>
      <c r="O35" s="8">
        <f>0.35*M34+(1-0.35)*O34</f>
        <v>50000</v>
      </c>
      <c r="P35" s="8">
        <f>(M35-N35)^2</f>
        <v>100000000</v>
      </c>
      <c r="Q35" s="8">
        <f t="shared" ref="Q35:Q38" si="18">(M35-O35)^2</f>
        <v>100000000</v>
      </c>
    </row>
    <row r="36" spans="1:17" x14ac:dyDescent="0.3">
      <c r="A36" s="50"/>
      <c r="B36" s="8" t="s">
        <v>46</v>
      </c>
      <c r="C36" s="8">
        <v>3</v>
      </c>
      <c r="D36" s="9">
        <v>480000</v>
      </c>
      <c r="E36" s="8">
        <f>0.1*D35+(1-0.1)*E35</f>
        <v>190000</v>
      </c>
      <c r="F36" s="8">
        <f>0.35*D35+(1-0.35)*F35</f>
        <v>190000</v>
      </c>
      <c r="G36" s="8">
        <f t="shared" si="16"/>
        <v>84100000000</v>
      </c>
      <c r="H36" s="8">
        <f t="shared" si="17"/>
        <v>84100000000</v>
      </c>
      <c r="J36" s="50"/>
      <c r="K36" s="8" t="s">
        <v>46</v>
      </c>
      <c r="L36" s="8">
        <v>3</v>
      </c>
      <c r="M36" s="9">
        <v>60000</v>
      </c>
      <c r="N36" s="8">
        <f>0.1*M35+(1-0.1)*N35</f>
        <v>51000</v>
      </c>
      <c r="O36" s="8">
        <f>0.35*M35+(1-0.35)*O35</f>
        <v>53500</v>
      </c>
      <c r="P36" s="8">
        <f t="shared" ref="P36" si="19">(M36-N36)^2</f>
        <v>81000000</v>
      </c>
      <c r="Q36" s="8">
        <f t="shared" si="18"/>
        <v>42250000</v>
      </c>
    </row>
    <row r="37" spans="1:17" x14ac:dyDescent="0.3">
      <c r="A37" s="50"/>
      <c r="B37" s="8" t="s">
        <v>47</v>
      </c>
      <c r="C37" s="8">
        <v>4</v>
      </c>
      <c r="D37" s="9">
        <v>420000</v>
      </c>
      <c r="E37" s="8">
        <f t="shared" ref="E37:E57" si="20">0.1*D36+(1-0.1)*E36</f>
        <v>219000</v>
      </c>
      <c r="F37" s="8">
        <f>0.35*D36+(1-0.35)*F36</f>
        <v>291500</v>
      </c>
      <c r="G37" s="9">
        <f>(D37-E37)^2</f>
        <v>40401000000</v>
      </c>
      <c r="H37" s="8">
        <f t="shared" si="17"/>
        <v>16512250000</v>
      </c>
      <c r="J37" s="50"/>
      <c r="K37" s="8" t="s">
        <v>47</v>
      </c>
      <c r="L37" s="8">
        <v>4</v>
      </c>
      <c r="M37" s="9">
        <v>60000</v>
      </c>
      <c r="N37" s="8">
        <f t="shared" ref="N37:N57" si="21">0.1*M36+(1-0.1)*N36</f>
        <v>51900</v>
      </c>
      <c r="O37" s="8">
        <f>0.35*M36+(1-0.35)*O36</f>
        <v>55775</v>
      </c>
      <c r="P37" s="9">
        <f>(M37-N37)^2</f>
        <v>65610000</v>
      </c>
      <c r="Q37" s="8">
        <f t="shared" si="18"/>
        <v>17850625</v>
      </c>
    </row>
    <row r="38" spans="1:17" x14ac:dyDescent="0.3">
      <c r="A38" s="50"/>
      <c r="B38" s="8" t="s">
        <v>48</v>
      </c>
      <c r="C38" s="8">
        <v>5</v>
      </c>
      <c r="D38" s="9">
        <v>360000</v>
      </c>
      <c r="E38" s="8">
        <f t="shared" si="20"/>
        <v>239100</v>
      </c>
      <c r="F38" s="8">
        <f t="shared" ref="F38:F57" si="22">0.35*D37+(1-0.35)*F37</f>
        <v>336475</v>
      </c>
      <c r="G38" s="9">
        <f t="shared" ref="G38:G57" si="23">(D38-E38)^2</f>
        <v>14616810000</v>
      </c>
      <c r="H38" s="8">
        <f t="shared" si="17"/>
        <v>553425625</v>
      </c>
      <c r="J38" s="50"/>
      <c r="K38" s="8" t="s">
        <v>48</v>
      </c>
      <c r="L38" s="8">
        <v>5</v>
      </c>
      <c r="M38" s="9">
        <v>64000</v>
      </c>
      <c r="N38" s="8">
        <f t="shared" si="21"/>
        <v>52710</v>
      </c>
      <c r="O38" s="8">
        <f t="shared" ref="O38:O57" si="24">0.35*M37+(1-0.35)*O37</f>
        <v>57253.75</v>
      </c>
      <c r="P38" s="9">
        <f t="shared" ref="P38:P57" si="25">(M38-N38)^2</f>
        <v>127464100</v>
      </c>
      <c r="Q38" s="8">
        <f t="shared" si="18"/>
        <v>45511889.0625</v>
      </c>
    </row>
    <row r="39" spans="1:17" x14ac:dyDescent="0.3">
      <c r="A39" s="50"/>
      <c r="B39" s="8" t="s">
        <v>49</v>
      </c>
      <c r="C39" s="8">
        <v>6</v>
      </c>
      <c r="D39" s="9">
        <v>220000</v>
      </c>
      <c r="E39" s="8">
        <f t="shared" si="20"/>
        <v>251190</v>
      </c>
      <c r="F39" s="8">
        <f t="shared" si="22"/>
        <v>344708.75</v>
      </c>
      <c r="G39" s="9">
        <f t="shared" si="23"/>
        <v>972816100</v>
      </c>
      <c r="H39" s="9">
        <f>(D39-F39)^2</f>
        <v>15552272326.5625</v>
      </c>
      <c r="J39" s="50"/>
      <c r="K39" s="8" t="s">
        <v>49</v>
      </c>
      <c r="L39" s="8">
        <v>6</v>
      </c>
      <c r="M39" s="9">
        <v>40000</v>
      </c>
      <c r="N39" s="8">
        <f t="shared" si="21"/>
        <v>53839</v>
      </c>
      <c r="O39" s="8">
        <f t="shared" si="24"/>
        <v>59614.9375</v>
      </c>
      <c r="P39" s="9">
        <f t="shared" si="25"/>
        <v>191517921</v>
      </c>
      <c r="Q39" s="9">
        <f>(M39-O39)^2</f>
        <v>384745773.12890625</v>
      </c>
    </row>
    <row r="40" spans="1:17" x14ac:dyDescent="0.3">
      <c r="A40" s="50"/>
      <c r="B40" s="8" t="s">
        <v>50</v>
      </c>
      <c r="C40" s="8">
        <v>7</v>
      </c>
      <c r="D40" s="8">
        <v>380000</v>
      </c>
      <c r="E40" s="8">
        <f t="shared" si="20"/>
        <v>248071</v>
      </c>
      <c r="F40" s="8">
        <f t="shared" si="22"/>
        <v>301060.6875</v>
      </c>
      <c r="G40" s="9">
        <f t="shared" si="23"/>
        <v>17405261041</v>
      </c>
      <c r="H40" s="9">
        <f t="shared" ref="H40:H57" si="26">(D40-F40)^2</f>
        <v>6231415057.9726563</v>
      </c>
      <c r="J40" s="50"/>
      <c r="K40" s="8" t="s">
        <v>50</v>
      </c>
      <c r="L40" s="8">
        <v>7</v>
      </c>
      <c r="M40" s="8">
        <v>50000</v>
      </c>
      <c r="N40" s="8">
        <f t="shared" si="21"/>
        <v>52455.1</v>
      </c>
      <c r="O40" s="8">
        <f t="shared" si="24"/>
        <v>52749.709374999999</v>
      </c>
      <c r="P40" s="9">
        <f t="shared" si="25"/>
        <v>6027516.0099999933</v>
      </c>
      <c r="Q40" s="9">
        <f t="shared" ref="Q40:Q57" si="27">(M40-O40)^2</f>
        <v>7560901.646962883</v>
      </c>
    </row>
    <row r="41" spans="1:17" x14ac:dyDescent="0.3">
      <c r="A41" s="50"/>
      <c r="B41" s="8" t="s">
        <v>51</v>
      </c>
      <c r="C41" s="8">
        <v>8</v>
      </c>
      <c r="D41" s="8">
        <v>230000</v>
      </c>
      <c r="E41" s="8">
        <f t="shared" si="20"/>
        <v>261263.9</v>
      </c>
      <c r="F41" s="8">
        <f t="shared" si="22"/>
        <v>328689.44687500002</v>
      </c>
      <c r="G41" s="9">
        <f t="shared" si="23"/>
        <v>977431443.20999968</v>
      </c>
      <c r="H41" s="9">
        <f t="shared" si="26"/>
        <v>9739606924.4934521</v>
      </c>
      <c r="J41" s="50"/>
      <c r="K41" s="8" t="s">
        <v>51</v>
      </c>
      <c r="L41" s="8">
        <v>8</v>
      </c>
      <c r="M41" s="8">
        <v>50000</v>
      </c>
      <c r="N41" s="8">
        <f t="shared" si="21"/>
        <v>52209.59</v>
      </c>
      <c r="O41" s="8">
        <f t="shared" si="24"/>
        <v>51787.311093750002</v>
      </c>
      <c r="P41" s="9">
        <f t="shared" si="25"/>
        <v>4882287.9680999843</v>
      </c>
      <c r="Q41" s="9">
        <f t="shared" si="27"/>
        <v>3194480.9458418298</v>
      </c>
    </row>
    <row r="42" spans="1:17" x14ac:dyDescent="0.3">
      <c r="A42" s="50"/>
      <c r="B42" s="8" t="s">
        <v>52</v>
      </c>
      <c r="C42" s="8">
        <v>9</v>
      </c>
      <c r="D42" s="8">
        <v>360000</v>
      </c>
      <c r="E42" s="8">
        <f t="shared" si="20"/>
        <v>258137.51</v>
      </c>
      <c r="F42" s="8">
        <f t="shared" si="22"/>
        <v>294148.14046875003</v>
      </c>
      <c r="G42" s="9">
        <f t="shared" si="23"/>
        <v>10375966869.000097</v>
      </c>
      <c r="H42" s="9">
        <f t="shared" si="26"/>
        <v>4336467403.7234774</v>
      </c>
      <c r="J42" s="50"/>
      <c r="K42" s="8" t="s">
        <v>52</v>
      </c>
      <c r="L42" s="8">
        <v>9</v>
      </c>
      <c r="M42" s="8">
        <v>40000</v>
      </c>
      <c r="N42" s="8">
        <f t="shared" si="21"/>
        <v>51988.631000000001</v>
      </c>
      <c r="O42" s="8">
        <f t="shared" si="24"/>
        <v>51161.752210937506</v>
      </c>
      <c r="P42" s="9">
        <f t="shared" si="25"/>
        <v>143727273.25416103</v>
      </c>
      <c r="Q42" s="9">
        <f t="shared" si="27"/>
        <v>124584712.41836829</v>
      </c>
    </row>
    <row r="43" spans="1:17" x14ac:dyDescent="0.3">
      <c r="A43" s="50"/>
      <c r="B43" s="8" t="s">
        <v>53</v>
      </c>
      <c r="C43" s="8">
        <v>10</v>
      </c>
      <c r="D43" s="8">
        <v>440000</v>
      </c>
      <c r="E43" s="8">
        <f t="shared" si="20"/>
        <v>268323.75900000002</v>
      </c>
      <c r="F43" s="8">
        <f t="shared" si="22"/>
        <v>317196.2913046875</v>
      </c>
      <c r="G43" s="9">
        <f t="shared" si="23"/>
        <v>29472731723.890076</v>
      </c>
      <c r="H43" s="9">
        <f t="shared" si="26"/>
        <v>15080750869.32317</v>
      </c>
      <c r="J43" s="50"/>
      <c r="K43" s="8" t="s">
        <v>53</v>
      </c>
      <c r="L43" s="8">
        <v>10</v>
      </c>
      <c r="M43" s="8">
        <v>80000</v>
      </c>
      <c r="N43" s="8">
        <f t="shared" si="21"/>
        <v>50789.767899999999</v>
      </c>
      <c r="O43" s="8">
        <f t="shared" si="24"/>
        <v>47255.138937109383</v>
      </c>
      <c r="P43" s="9">
        <f t="shared" si="25"/>
        <v>853237659.3358705</v>
      </c>
      <c r="Q43" s="9">
        <f t="shared" si="27"/>
        <v>1072225926.02801</v>
      </c>
    </row>
    <row r="44" spans="1:17" x14ac:dyDescent="0.3">
      <c r="A44" s="50"/>
      <c r="B44" s="8" t="s">
        <v>54</v>
      </c>
      <c r="C44" s="8">
        <v>11</v>
      </c>
      <c r="D44" s="8">
        <v>280000</v>
      </c>
      <c r="E44" s="8">
        <f t="shared" si="20"/>
        <v>285491.38310000004</v>
      </c>
      <c r="F44" s="8">
        <f t="shared" si="22"/>
        <v>360177.58934804692</v>
      </c>
      <c r="G44" s="9">
        <f t="shared" si="23"/>
        <v>30155288.350965999</v>
      </c>
      <c r="H44" s="9">
        <f t="shared" si="26"/>
        <v>6428445833.6640472</v>
      </c>
      <c r="J44" s="50"/>
      <c r="K44" s="8" t="s">
        <v>54</v>
      </c>
      <c r="L44" s="8">
        <v>11</v>
      </c>
      <c r="M44" s="8">
        <v>60000</v>
      </c>
      <c r="N44" s="8">
        <f t="shared" si="21"/>
        <v>53710.791109999998</v>
      </c>
      <c r="O44" s="8">
        <f t="shared" si="24"/>
        <v>58715.8403091211</v>
      </c>
      <c r="P44" s="9">
        <f t="shared" si="25"/>
        <v>39554148.46205505</v>
      </c>
      <c r="Q44" s="9">
        <f t="shared" si="27"/>
        <v>1649066.1116781912</v>
      </c>
    </row>
    <row r="45" spans="1:17" x14ac:dyDescent="0.3">
      <c r="A45" s="50"/>
      <c r="B45" s="8" t="s">
        <v>55</v>
      </c>
      <c r="C45" s="8">
        <v>12</v>
      </c>
      <c r="D45" s="8">
        <v>380000</v>
      </c>
      <c r="E45" s="8">
        <f t="shared" si="20"/>
        <v>284942.24479000003</v>
      </c>
      <c r="F45" s="8">
        <f t="shared" si="22"/>
        <v>332115.43307623052</v>
      </c>
      <c r="G45" s="9">
        <f t="shared" si="23"/>
        <v>9035976825.5642776</v>
      </c>
      <c r="H45" s="9">
        <f t="shared" si="26"/>
        <v>2292931749.4769583</v>
      </c>
      <c r="J45" s="50"/>
      <c r="K45" s="8" t="s">
        <v>55</v>
      </c>
      <c r="L45" s="8">
        <v>12</v>
      </c>
      <c r="M45" s="8">
        <v>60000</v>
      </c>
      <c r="N45" s="8">
        <f t="shared" si="21"/>
        <v>54339.711998999999</v>
      </c>
      <c r="O45" s="8">
        <f t="shared" si="24"/>
        <v>59165.296200928715</v>
      </c>
      <c r="P45" s="9">
        <f t="shared" si="25"/>
        <v>32038860.254264586</v>
      </c>
      <c r="Q45" s="9">
        <f t="shared" si="27"/>
        <v>696730.43218403647</v>
      </c>
    </row>
    <row r="46" spans="1:17" x14ac:dyDescent="0.3">
      <c r="A46" s="50">
        <v>2022</v>
      </c>
      <c r="B46" s="8" t="s">
        <v>44</v>
      </c>
      <c r="C46" s="8">
        <v>13</v>
      </c>
      <c r="D46" s="8">
        <v>380000</v>
      </c>
      <c r="E46" s="8">
        <f t="shared" si="20"/>
        <v>294448.02031100006</v>
      </c>
      <c r="F46" s="8">
        <f t="shared" si="22"/>
        <v>348875.03149954986</v>
      </c>
      <c r="G46" s="9">
        <f t="shared" si="23"/>
        <v>7319141228.7070589</v>
      </c>
      <c r="H46" s="9">
        <f t="shared" si="26"/>
        <v>968763664.15401328</v>
      </c>
      <c r="J46" s="50">
        <v>2022</v>
      </c>
      <c r="K46" s="8" t="s">
        <v>44</v>
      </c>
      <c r="L46" s="8">
        <v>13</v>
      </c>
      <c r="M46" s="8">
        <v>50000</v>
      </c>
      <c r="N46" s="8">
        <f t="shared" si="21"/>
        <v>54905.7407991</v>
      </c>
      <c r="O46" s="8">
        <f t="shared" si="24"/>
        <v>59457.442530603665</v>
      </c>
      <c r="P46" s="9">
        <f t="shared" si="25"/>
        <v>24066292.787954308</v>
      </c>
      <c r="Q46" s="9">
        <f t="shared" si="27"/>
        <v>89443219.219671041</v>
      </c>
    </row>
    <row r="47" spans="1:17" x14ac:dyDescent="0.3">
      <c r="A47" s="50"/>
      <c r="B47" s="8" t="s">
        <v>45</v>
      </c>
      <c r="C47" s="8">
        <v>14</v>
      </c>
      <c r="D47" s="8">
        <v>450000</v>
      </c>
      <c r="E47" s="8">
        <f t="shared" si="20"/>
        <v>303003.21827990009</v>
      </c>
      <c r="F47" s="8">
        <f t="shared" si="22"/>
        <v>359768.77047470742</v>
      </c>
      <c r="G47" s="9">
        <f t="shared" si="23"/>
        <v>21608053836.0667</v>
      </c>
      <c r="H47" s="9">
        <f t="shared" si="26"/>
        <v>8141674781.6460323</v>
      </c>
      <c r="J47" s="50"/>
      <c r="K47" s="8" t="s">
        <v>45</v>
      </c>
      <c r="L47" s="8">
        <v>14</v>
      </c>
      <c r="M47" s="8">
        <v>80000</v>
      </c>
      <c r="N47" s="8">
        <f t="shared" si="21"/>
        <v>54415.166719189998</v>
      </c>
      <c r="O47" s="8">
        <f t="shared" si="24"/>
        <v>56147.337644892381</v>
      </c>
      <c r="P47" s="9">
        <f t="shared" si="25"/>
        <v>654583694.00684309</v>
      </c>
      <c r="Q47" s="9">
        <f t="shared" si="27"/>
        <v>568949501.42676818</v>
      </c>
    </row>
    <row r="48" spans="1:17" x14ac:dyDescent="0.3">
      <c r="A48" s="50"/>
      <c r="B48" s="8" t="s">
        <v>46</v>
      </c>
      <c r="C48" s="8">
        <v>15</v>
      </c>
      <c r="D48" s="8">
        <v>510000</v>
      </c>
      <c r="E48" s="8">
        <f t="shared" si="20"/>
        <v>317702.89645191008</v>
      </c>
      <c r="F48" s="8">
        <f t="shared" si="22"/>
        <v>391349.70080855984</v>
      </c>
      <c r="G48" s="9">
        <f t="shared" si="23"/>
        <v>36978176032.984818</v>
      </c>
      <c r="H48" s="9">
        <f t="shared" si="26"/>
        <v>14077893498.218267</v>
      </c>
      <c r="J48" s="50"/>
      <c r="K48" s="8" t="s">
        <v>46</v>
      </c>
      <c r="L48" s="8">
        <v>15</v>
      </c>
      <c r="M48" s="8">
        <v>70000</v>
      </c>
      <c r="N48" s="8">
        <f t="shared" si="21"/>
        <v>56973.650047270996</v>
      </c>
      <c r="O48" s="8">
        <f t="shared" si="24"/>
        <v>64495.76946918005</v>
      </c>
      <c r="P48" s="9">
        <f t="shared" si="25"/>
        <v>169685793.09096292</v>
      </c>
      <c r="Q48" s="9">
        <f t="shared" si="27"/>
        <v>30296553.736410473</v>
      </c>
    </row>
    <row r="49" spans="1:17" x14ac:dyDescent="0.3">
      <c r="A49" s="50"/>
      <c r="B49" s="8" t="s">
        <v>47</v>
      </c>
      <c r="C49" s="8">
        <v>16</v>
      </c>
      <c r="D49" s="8">
        <v>300000</v>
      </c>
      <c r="E49" s="8">
        <f t="shared" si="20"/>
        <v>336932.60680671909</v>
      </c>
      <c r="F49" s="8">
        <f t="shared" si="22"/>
        <v>432877.30552556389</v>
      </c>
      <c r="G49" s="9">
        <f t="shared" si="23"/>
        <v>1364017445.5397136</v>
      </c>
      <c r="H49" s="9">
        <f t="shared" si="26"/>
        <v>17656378323.734051</v>
      </c>
      <c r="J49" s="50"/>
      <c r="K49" s="8" t="s">
        <v>47</v>
      </c>
      <c r="L49" s="8">
        <v>16</v>
      </c>
      <c r="M49" s="8">
        <v>50000</v>
      </c>
      <c r="N49" s="8">
        <f t="shared" si="21"/>
        <v>58276.285042543896</v>
      </c>
      <c r="O49" s="8">
        <f t="shared" si="24"/>
        <v>66422.250154967041</v>
      </c>
      <c r="P49" s="9">
        <f t="shared" si="25"/>
        <v>68496894.105435804</v>
      </c>
      <c r="Q49" s="9">
        <f t="shared" si="27"/>
        <v>269690300.15231502</v>
      </c>
    </row>
    <row r="50" spans="1:17" x14ac:dyDescent="0.3">
      <c r="A50" s="50"/>
      <c r="B50" s="8" t="s">
        <v>48</v>
      </c>
      <c r="C50" s="8">
        <v>17</v>
      </c>
      <c r="D50" s="8">
        <v>390000</v>
      </c>
      <c r="E50" s="8">
        <f t="shared" si="20"/>
        <v>333239.3461260472</v>
      </c>
      <c r="F50" s="8">
        <f t="shared" si="22"/>
        <v>386370.24859161652</v>
      </c>
      <c r="G50" s="9">
        <f t="shared" si="23"/>
        <v>3221771828.1986732</v>
      </c>
      <c r="H50" s="9">
        <f t="shared" si="26"/>
        <v>13175095.286661878</v>
      </c>
      <c r="J50" s="50"/>
      <c r="K50" s="8" t="s">
        <v>48</v>
      </c>
      <c r="L50" s="8">
        <v>17</v>
      </c>
      <c r="M50" s="8">
        <v>60000</v>
      </c>
      <c r="N50" s="8">
        <f t="shared" si="21"/>
        <v>57448.656538289506</v>
      </c>
      <c r="O50" s="8">
        <f t="shared" si="24"/>
        <v>60674.462600728577</v>
      </c>
      <c r="P50" s="9">
        <f t="shared" si="25"/>
        <v>6509353.4596128874</v>
      </c>
      <c r="Q50" s="9">
        <f t="shared" si="27"/>
        <v>454899.79978155578</v>
      </c>
    </row>
    <row r="51" spans="1:17" x14ac:dyDescent="0.3">
      <c r="A51" s="50"/>
      <c r="B51" s="8" t="s">
        <v>49</v>
      </c>
      <c r="C51" s="8">
        <v>18</v>
      </c>
      <c r="D51" s="8">
        <v>350000</v>
      </c>
      <c r="E51" s="8">
        <f t="shared" si="20"/>
        <v>338915.41151344246</v>
      </c>
      <c r="F51" s="8">
        <f t="shared" si="22"/>
        <v>387640.66158455075</v>
      </c>
      <c r="G51" s="9">
        <f t="shared" si="23"/>
        <v>122868101.91632387</v>
      </c>
      <c r="H51" s="9">
        <f t="shared" si="26"/>
        <v>1416819404.5226743</v>
      </c>
      <c r="J51" s="50"/>
      <c r="K51" s="8" t="s">
        <v>49</v>
      </c>
      <c r="L51" s="8">
        <v>18</v>
      </c>
      <c r="M51" s="8">
        <v>80000</v>
      </c>
      <c r="N51" s="8">
        <f t="shared" si="21"/>
        <v>57703.790884460555</v>
      </c>
      <c r="O51" s="8">
        <f t="shared" si="24"/>
        <v>60438.40069047358</v>
      </c>
      <c r="P51" s="9">
        <f t="shared" si="25"/>
        <v>497120940.92386425</v>
      </c>
      <c r="Q51" s="9">
        <f t="shared" si="27"/>
        <v>382656167.5464645</v>
      </c>
    </row>
    <row r="52" spans="1:17" x14ac:dyDescent="0.3">
      <c r="A52" s="50"/>
      <c r="B52" s="8" t="s">
        <v>50</v>
      </c>
      <c r="C52" s="8">
        <v>19</v>
      </c>
      <c r="D52" s="8">
        <v>380000</v>
      </c>
      <c r="E52" s="8">
        <f t="shared" si="20"/>
        <v>340023.87036209821</v>
      </c>
      <c r="F52" s="8">
        <f t="shared" si="22"/>
        <v>374466.43002995796</v>
      </c>
      <c r="G52" s="9">
        <f t="shared" si="23"/>
        <v>1598090940.8263297</v>
      </c>
      <c r="H52" s="9">
        <f t="shared" si="26"/>
        <v>30620396.613351032</v>
      </c>
      <c r="J52" s="50"/>
      <c r="K52" s="8" t="s">
        <v>50</v>
      </c>
      <c r="L52" s="8">
        <v>19</v>
      </c>
      <c r="M52" s="8">
        <v>70000</v>
      </c>
      <c r="N52" s="8">
        <f t="shared" si="21"/>
        <v>59933.411796014501</v>
      </c>
      <c r="O52" s="8">
        <f t="shared" si="24"/>
        <v>67284.960448807833</v>
      </c>
      <c r="P52" s="9">
        <f t="shared" si="25"/>
        <v>101336198.06861998</v>
      </c>
      <c r="Q52" s="9">
        <f t="shared" si="27"/>
        <v>7371439.7645377638</v>
      </c>
    </row>
    <row r="53" spans="1:17" x14ac:dyDescent="0.3">
      <c r="A53" s="50"/>
      <c r="B53" s="8" t="s">
        <v>51</v>
      </c>
      <c r="C53" s="8">
        <v>20</v>
      </c>
      <c r="D53" s="8">
        <v>390000</v>
      </c>
      <c r="E53" s="8">
        <f t="shared" si="20"/>
        <v>344021.4833258884</v>
      </c>
      <c r="F53" s="8">
        <f t="shared" si="22"/>
        <v>376403.17951947264</v>
      </c>
      <c r="G53" s="9">
        <f t="shared" si="23"/>
        <v>2114023995.5515583</v>
      </c>
      <c r="H53" s="9">
        <f t="shared" si="26"/>
        <v>184873527.17968816</v>
      </c>
      <c r="J53" s="50"/>
      <c r="K53" s="8" t="s">
        <v>51</v>
      </c>
      <c r="L53" s="8">
        <v>20</v>
      </c>
      <c r="M53" s="8">
        <v>70000</v>
      </c>
      <c r="N53" s="8">
        <f t="shared" si="21"/>
        <v>60940.070616413053</v>
      </c>
      <c r="O53" s="8">
        <f t="shared" si="24"/>
        <v>68235.224291725084</v>
      </c>
      <c r="P53" s="9">
        <f t="shared" si="25"/>
        <v>82082320.435582146</v>
      </c>
      <c r="Q53" s="9">
        <f t="shared" si="27"/>
        <v>3114433.3005172308</v>
      </c>
    </row>
    <row r="54" spans="1:17" x14ac:dyDescent="0.3">
      <c r="A54" s="50"/>
      <c r="B54" s="8" t="s">
        <v>52</v>
      </c>
      <c r="C54" s="8">
        <v>21</v>
      </c>
      <c r="D54" s="8">
        <v>320000</v>
      </c>
      <c r="E54" s="8">
        <f t="shared" si="20"/>
        <v>348619.33499329956</v>
      </c>
      <c r="F54" s="8">
        <f t="shared" si="22"/>
        <v>381162.06668765726</v>
      </c>
      <c r="G54" s="9">
        <f t="shared" si="23"/>
        <v>819066335.4587009</v>
      </c>
      <c r="H54" s="9">
        <f t="shared" si="26"/>
        <v>3740798401.5054345</v>
      </c>
      <c r="J54" s="50"/>
      <c r="K54" s="8" t="s">
        <v>52</v>
      </c>
      <c r="L54" s="8">
        <v>21</v>
      </c>
      <c r="M54" s="8">
        <v>80000</v>
      </c>
      <c r="N54" s="8">
        <f t="shared" si="21"/>
        <v>61846.063554771747</v>
      </c>
      <c r="O54" s="8">
        <f t="shared" si="24"/>
        <v>68852.895789621311</v>
      </c>
      <c r="P54" s="9">
        <f t="shared" si="25"/>
        <v>329565408.45738661</v>
      </c>
      <c r="Q54" s="9">
        <f t="shared" si="27"/>
        <v>124257932.2770423</v>
      </c>
    </row>
    <row r="55" spans="1:17" x14ac:dyDescent="0.3">
      <c r="A55" s="50"/>
      <c r="B55" s="8" t="s">
        <v>53</v>
      </c>
      <c r="C55" s="8">
        <v>22</v>
      </c>
      <c r="D55" s="8">
        <v>210000</v>
      </c>
      <c r="E55" s="8">
        <f t="shared" si="20"/>
        <v>345757.40149396961</v>
      </c>
      <c r="F55" s="8">
        <f t="shared" si="22"/>
        <v>359755.34334697726</v>
      </c>
      <c r="G55" s="9">
        <f t="shared" si="23"/>
        <v>18430072060.394859</v>
      </c>
      <c r="H55" s="9">
        <f t="shared" si="26"/>
        <v>22426662860.971046</v>
      </c>
      <c r="J55" s="50"/>
      <c r="K55" s="8" t="s">
        <v>53</v>
      </c>
      <c r="L55" s="8">
        <v>22</v>
      </c>
      <c r="M55" s="8">
        <v>60000</v>
      </c>
      <c r="N55" s="8">
        <f t="shared" si="21"/>
        <v>63661.457199294571</v>
      </c>
      <c r="O55" s="8">
        <f t="shared" si="24"/>
        <v>72754.38226325385</v>
      </c>
      <c r="P55" s="9">
        <f t="shared" si="25"/>
        <v>13406268.822266046</v>
      </c>
      <c r="Q55" s="9">
        <f t="shared" si="27"/>
        <v>162674266.91720441</v>
      </c>
    </row>
    <row r="56" spans="1:17" x14ac:dyDescent="0.3">
      <c r="A56" s="50"/>
      <c r="B56" s="8" t="s">
        <v>54</v>
      </c>
      <c r="C56" s="8">
        <v>23</v>
      </c>
      <c r="D56" s="8">
        <v>250000</v>
      </c>
      <c r="E56" s="8">
        <f t="shared" si="20"/>
        <v>332181.66134457267</v>
      </c>
      <c r="F56" s="8">
        <f t="shared" si="22"/>
        <v>307340.97317553521</v>
      </c>
      <c r="G56" s="9">
        <f t="shared" si="23"/>
        <v>6753825461.3540297</v>
      </c>
      <c r="H56" s="9">
        <f t="shared" si="26"/>
        <v>3287987204.7174487</v>
      </c>
      <c r="J56" s="50"/>
      <c r="K56" s="8" t="s">
        <v>54</v>
      </c>
      <c r="L56" s="8">
        <v>23</v>
      </c>
      <c r="M56" s="8">
        <v>60000</v>
      </c>
      <c r="N56" s="8">
        <f t="shared" si="21"/>
        <v>63295.311479365118</v>
      </c>
      <c r="O56" s="8">
        <f t="shared" si="24"/>
        <v>68290.348471114994</v>
      </c>
      <c r="P56" s="9">
        <f t="shared" si="25"/>
        <v>10859077.746035526</v>
      </c>
      <c r="Q56" s="9">
        <f t="shared" si="27"/>
        <v>68729877.772518724</v>
      </c>
    </row>
    <row r="57" spans="1:17" x14ac:dyDescent="0.3">
      <c r="A57" s="50"/>
      <c r="B57" s="8" t="s">
        <v>55</v>
      </c>
      <c r="C57" s="8">
        <v>24</v>
      </c>
      <c r="D57" s="8">
        <v>350000</v>
      </c>
      <c r="E57" s="8">
        <f t="shared" si="20"/>
        <v>323963.49521011539</v>
      </c>
      <c r="F57" s="8">
        <f t="shared" si="22"/>
        <v>287271.63256409788</v>
      </c>
      <c r="G57" s="9">
        <f t="shared" si="23"/>
        <v>677899581.67368424</v>
      </c>
      <c r="H57" s="9">
        <f t="shared" si="26"/>
        <v>3934848081.1735458</v>
      </c>
      <c r="J57" s="50"/>
      <c r="K57" s="8" t="s">
        <v>55</v>
      </c>
      <c r="L57" s="8">
        <v>24</v>
      </c>
      <c r="M57" s="8">
        <v>80000</v>
      </c>
      <c r="N57" s="8">
        <f t="shared" si="21"/>
        <v>62965.780331428607</v>
      </c>
      <c r="O57" s="8">
        <f t="shared" si="24"/>
        <v>65388.726506224746</v>
      </c>
      <c r="P57" s="9">
        <f t="shared" si="25"/>
        <v>290164639.71714449</v>
      </c>
      <c r="Q57" s="9">
        <f t="shared" si="27"/>
        <v>213489313.10989931</v>
      </c>
    </row>
    <row r="58" spans="1:17" x14ac:dyDescent="0.3">
      <c r="A58" s="8" t="s">
        <v>36</v>
      </c>
      <c r="B58" s="8"/>
      <c r="C58" s="8"/>
      <c r="D58" s="9">
        <f>SUM(D34:D57)</f>
        <v>8210000</v>
      </c>
      <c r="E58" s="9">
        <f t="shared" ref="E58:H58" si="28">SUM(E34:E57)</f>
        <v>6844328.5431089625</v>
      </c>
      <c r="F58" s="9">
        <f t="shared" si="28"/>
        <v>7869352.6823809603</v>
      </c>
      <c r="G58" s="9">
        <f t="shared" si="28"/>
        <v>308395156139.68787</v>
      </c>
      <c r="H58" s="9">
        <f t="shared" si="28"/>
        <v>236708061029.93845</v>
      </c>
      <c r="J58" s="8" t="s">
        <v>36</v>
      </c>
      <c r="K58" s="8"/>
      <c r="L58" s="8"/>
      <c r="M58" s="9">
        <f>SUM(M34:M57)</f>
        <v>1484000</v>
      </c>
      <c r="N58" s="9">
        <f t="shared" ref="N58:Q58" si="29">SUM(N34:N57)</f>
        <v>1337307.9770171428</v>
      </c>
      <c r="O58" s="9">
        <f t="shared" si="29"/>
        <v>1425420.9364884403</v>
      </c>
      <c r="P58" s="9">
        <f t="shared" si="29"/>
        <v>3892936647.9061594</v>
      </c>
      <c r="Q58" s="9">
        <f t="shared" si="29"/>
        <v>3721398009.7975821</v>
      </c>
    </row>
    <row r="59" spans="1:17" x14ac:dyDescent="0.3">
      <c r="A59" s="8" t="s">
        <v>37</v>
      </c>
      <c r="B59" s="8"/>
      <c r="C59" s="8"/>
      <c r="D59" s="8">
        <f>D58/COUNT(D34:D57)</f>
        <v>342083.33333333331</v>
      </c>
      <c r="E59" s="8">
        <f t="shared" ref="E59:H59" si="30">E58/COUNT(E34:E57)</f>
        <v>285180.35596287344</v>
      </c>
      <c r="F59" s="8">
        <f t="shared" si="30"/>
        <v>327889.6950992067</v>
      </c>
      <c r="G59" s="8">
        <f t="shared" si="30"/>
        <v>12849798172.486994</v>
      </c>
      <c r="H59" s="8">
        <f t="shared" si="30"/>
        <v>9862835876.2474346</v>
      </c>
      <c r="J59" s="8" t="s">
        <v>37</v>
      </c>
      <c r="K59" s="8"/>
      <c r="L59" s="8"/>
      <c r="M59" s="8">
        <f>M58/COUNT(M34:M57)</f>
        <v>61833.333333333336</v>
      </c>
      <c r="N59" s="8">
        <f t="shared" ref="N59:Q59" si="31">N58/COUNT(N34:N57)</f>
        <v>55721.165709047615</v>
      </c>
      <c r="O59" s="8">
        <f t="shared" si="31"/>
        <v>59392.53902035168</v>
      </c>
      <c r="P59" s="8">
        <f t="shared" si="31"/>
        <v>162205693.66275665</v>
      </c>
      <c r="Q59" s="8">
        <f t="shared" si="31"/>
        <v>155058250.4082326</v>
      </c>
    </row>
    <row r="60" spans="1:17" x14ac:dyDescent="0.3">
      <c r="A60" s="25" t="s">
        <v>58</v>
      </c>
      <c r="B60" s="25"/>
      <c r="C60" s="25"/>
      <c r="D60" s="25"/>
      <c r="E60" s="25"/>
      <c r="F60" s="25"/>
      <c r="G60" s="25">
        <f>SQRT(G59)/COUNT(G34:G57)</f>
        <v>4723.2062608772358</v>
      </c>
      <c r="H60" s="25">
        <f>SQRT(H59)/COUNT(H34:H57)</f>
        <v>4137.9921401349302</v>
      </c>
      <c r="J60" s="25" t="s">
        <v>58</v>
      </c>
      <c r="K60" s="25"/>
      <c r="L60" s="25"/>
      <c r="M60" s="25"/>
      <c r="N60" s="25"/>
      <c r="O60" s="25"/>
      <c r="P60" s="25">
        <f>SQRT(P59)/COUNT(P34:P57)</f>
        <v>530.66666284344353</v>
      </c>
      <c r="Q60" s="25">
        <f>SQRT(Q59)/COUNT(Q34:Q57)</f>
        <v>518.84328212205048</v>
      </c>
    </row>
    <row r="65" spans="1:16" x14ac:dyDescent="0.3">
      <c r="A65" s="51" t="s">
        <v>174</v>
      </c>
      <c r="B65" s="51"/>
      <c r="C65" s="51"/>
      <c r="D65" s="51"/>
      <c r="E65" s="51"/>
      <c r="F65" s="51"/>
      <c r="G65" s="51"/>
      <c r="H65" s="51"/>
      <c r="J65" s="8"/>
      <c r="K65" s="8"/>
      <c r="L65" s="8" t="s">
        <v>56</v>
      </c>
      <c r="M65" s="8" t="s">
        <v>57</v>
      </c>
      <c r="N65" s="8" t="s">
        <v>58</v>
      </c>
      <c r="O65" s="8" t="s">
        <v>59</v>
      </c>
      <c r="P65" s="8" t="s">
        <v>60</v>
      </c>
    </row>
    <row r="66" spans="1:16" x14ac:dyDescent="0.3">
      <c r="A66" s="8" t="s">
        <v>38</v>
      </c>
      <c r="B66" s="8" t="s">
        <v>39</v>
      </c>
      <c r="C66" s="8" t="s">
        <v>40</v>
      </c>
      <c r="D66" s="8" t="s">
        <v>129</v>
      </c>
      <c r="E66" s="8" t="s">
        <v>175</v>
      </c>
      <c r="F66" s="8" t="s">
        <v>176</v>
      </c>
      <c r="G66" s="8" t="s">
        <v>177</v>
      </c>
      <c r="H66" s="8" t="s">
        <v>178</v>
      </c>
      <c r="J66" s="52" t="s">
        <v>179</v>
      </c>
      <c r="K66" s="8" t="s">
        <v>3</v>
      </c>
      <c r="L66" s="8" cm="1">
        <f t="array" ref="L66">(1/23)*SUM(ABS(_xlfn.ANCHORARRAY(D3)-E3:E26))</f>
        <v>46504.539109992511</v>
      </c>
      <c r="M66" s="9" cm="1">
        <f t="array" ref="M66">(1/23)*SUM((_xlfn.ANCHORARRAY(D3)-E3:E26)^2)</f>
        <v>2738255078.2664351</v>
      </c>
      <c r="N66" s="8">
        <f>SQRT(M66)</f>
        <v>52328.33915065942</v>
      </c>
      <c r="O66" s="29" cm="1">
        <f t="array" ref="O66">(1/23)*SUM((ABS(_xlfn.ANCHORARRAY(D3)-E3:E26))/ABS(D3:D26))</f>
        <v>2.9441919940543744</v>
      </c>
      <c r="P66" s="8" cm="1">
        <f t="array" ref="P66">(1/23)*SUM((_xlfn.ANCHORARRAY(D3)-E3:E26)/(_xlfn.ANCHORARRAY(D3)))</f>
        <v>-2.8100882264427312</v>
      </c>
    </row>
    <row r="67" spans="1:16" x14ac:dyDescent="0.3">
      <c r="A67" s="50">
        <v>2021</v>
      </c>
      <c r="B67" s="8" t="s">
        <v>44</v>
      </c>
      <c r="C67" s="8">
        <v>1</v>
      </c>
      <c r="D67" s="9" cm="1">
        <f t="array" ref="D67:D90">TRANSPOSE('Historical Sale'!C17:Z17)</f>
        <v>30000</v>
      </c>
      <c r="E67" s="8">
        <f>D67</f>
        <v>30000</v>
      </c>
      <c r="F67" s="8">
        <f>D67</f>
        <v>30000</v>
      </c>
      <c r="G67" s="8">
        <f>(D67-E67)^2</f>
        <v>0</v>
      </c>
      <c r="H67" s="8">
        <f>(D67-F67)^2</f>
        <v>0</v>
      </c>
      <c r="J67" s="52"/>
      <c r="K67" s="8" t="s">
        <v>173</v>
      </c>
      <c r="L67" s="8" cm="1">
        <f t="array" ref="L67">(1/23)*SUM(ABS(_xlfn.ANCHORARRAY(M3)-N3:N26))</f>
        <v>29226.810807430171</v>
      </c>
      <c r="M67" s="9" cm="1">
        <f t="array" ref="M67">(1/23)*SUM((_xlfn.ANCHORARRAY(M3)-N3:N26)^2)</f>
        <v>1200313934.3476539</v>
      </c>
      <c r="N67" s="8">
        <f t="shared" ref="N67:N70" si="32">SQRT(M67)</f>
        <v>34645.547107062026</v>
      </c>
      <c r="O67" s="29" cm="1">
        <f t="array" ref="O67">(1/23)*SUM((ABS(_xlfn.ANCHORARRAY(M3)-N3:N26))/ABS(_xlfn.ANCHORARRAY(M3)))</f>
        <v>0.13080347169322923</v>
      </c>
      <c r="P67" s="8" cm="1">
        <f t="array" ref="P67">(1/23)*SUM((_xlfn.ANCHORARRAY(M3)-N3:N26)/(_xlfn.ANCHORARRAY(M3)))</f>
        <v>-4.0252155868663882E-2</v>
      </c>
    </row>
    <row r="68" spans="1:16" x14ac:dyDescent="0.3">
      <c r="A68" s="50"/>
      <c r="B68" s="8" t="s">
        <v>45</v>
      </c>
      <c r="C68" s="8">
        <v>2</v>
      </c>
      <c r="D68" s="9">
        <v>20000</v>
      </c>
      <c r="E68" s="8">
        <f>0.1*D67+(1-0.1)*E67</f>
        <v>30000</v>
      </c>
      <c r="F68" s="8">
        <f>0.35*D67+(1-0.35)*F67</f>
        <v>30000</v>
      </c>
      <c r="G68" s="8">
        <f t="shared" ref="G68:G69" si="33">(D68-E68)^2</f>
        <v>100000000</v>
      </c>
      <c r="H68" s="8">
        <f t="shared" ref="H68:H71" si="34">(D68-F68)^2</f>
        <v>100000000</v>
      </c>
      <c r="J68" s="52"/>
      <c r="K68" s="8" t="s">
        <v>6</v>
      </c>
      <c r="L68" s="8" cm="1">
        <f t="array" ref="L68">(1/23)*SUM(ABS(_xlfn.ANCHORARRAY(D34)-E34:E57))</f>
        <v>89936.697059485174</v>
      </c>
      <c r="M68" s="9" cm="1">
        <f t="array" ref="M68">(1/23)*SUM((_xlfn.ANCHORARRAY(D34)-E34:E57)^2)</f>
        <v>13408485049.551645</v>
      </c>
      <c r="N68" s="8">
        <f>SQRT(M68)</f>
        <v>115795.01305993987</v>
      </c>
      <c r="O68" s="29" cm="1">
        <f t="array" ref="O68">(1/23)*SUM((ABS(_xlfn.ANCHORARRAY(D34)-E34:E57))/ABS(_xlfn.ANCHORARRAY(D34)))</f>
        <v>0.24250534087463999</v>
      </c>
      <c r="P68" s="8" cm="1">
        <f t="array" ref="P68">(1/23)*SUM((_xlfn.ANCHORARRAY(D34)-E34:E57)/(_xlfn.ANCHORARRAY(D34)))</f>
        <v>0.1133706119182261</v>
      </c>
    </row>
    <row r="69" spans="1:16" x14ac:dyDescent="0.3">
      <c r="A69" s="50"/>
      <c r="B69" s="8" t="s">
        <v>46</v>
      </c>
      <c r="C69" s="8">
        <v>3</v>
      </c>
      <c r="D69" s="9">
        <v>40000</v>
      </c>
      <c r="E69" s="8">
        <f>0.1*D68+(1-0.1)*E68</f>
        <v>29000</v>
      </c>
      <c r="F69" s="8">
        <f>0.35*D68+(1-0.35)*F68</f>
        <v>26500</v>
      </c>
      <c r="G69" s="8">
        <f t="shared" si="33"/>
        <v>121000000</v>
      </c>
      <c r="H69" s="8">
        <f t="shared" si="34"/>
        <v>182250000</v>
      </c>
      <c r="J69" s="52"/>
      <c r="K69" s="8" t="s">
        <v>8</v>
      </c>
      <c r="L69" s="8" cm="1">
        <f t="array" ref="L69">(1/23)*SUM(ABS(_xlfn.ANCHORARRAY(M34)-N34:N57))</f>
        <v>10780.619740150638</v>
      </c>
      <c r="M69" s="9" cm="1">
        <f t="array" ref="M69">(1/23)*SUM((_xlfn.ANCHORARRAY(M34)-N34:N57)^2)</f>
        <v>169258115.12635475</v>
      </c>
      <c r="N69" s="8">
        <f t="shared" si="32"/>
        <v>13009.923717161248</v>
      </c>
      <c r="O69" s="29" cm="1">
        <f t="array" ref="O69">(1/23)*SUM((ABS(_xlfn.ANCHORARRAY(M34)-N34:N57))/ABS(_xlfn.ANCHORARRAY(M34)))</f>
        <v>0.1674410603244815</v>
      </c>
      <c r="P69" s="8" cm="1">
        <f t="array" ref="P69">(1/23)*SUM((_xlfn.ANCHORARRAY(M34)-N34:N57)/(_xlfn.ANCHORARRAY(M34)))</f>
        <v>7.0173996282985332E-2</v>
      </c>
    </row>
    <row r="70" spans="1:16" x14ac:dyDescent="0.3">
      <c r="A70" s="50"/>
      <c r="B70" s="8" t="s">
        <v>47</v>
      </c>
      <c r="C70" s="8">
        <v>4</v>
      </c>
      <c r="D70" s="9">
        <v>20000</v>
      </c>
      <c r="E70" s="8">
        <f t="shared" ref="E70:E90" si="35">0.1*D69+(1-0.1)*E69</f>
        <v>30100</v>
      </c>
      <c r="F70" s="8">
        <f>0.35*D69+(1-0.35)*F69</f>
        <v>31225</v>
      </c>
      <c r="G70" s="9">
        <f>(D70-E70)^2</f>
        <v>102010000</v>
      </c>
      <c r="H70" s="8">
        <f t="shared" si="34"/>
        <v>126000625</v>
      </c>
      <c r="J70" s="52"/>
      <c r="K70" s="8" t="s">
        <v>15</v>
      </c>
      <c r="L70" s="8" cm="1">
        <f t="array" ref="L70">(1/23)*SUM(ABS(_xlfn.ANCHORARRAY(D67)-E67:E90))</f>
        <v>8586.0084409547526</v>
      </c>
      <c r="M70" s="9" cm="1">
        <f t="array" ref="M70">(1/23)*SUM((_xlfn.ANCHORARRAY(D67)-E67:E90)^2)</f>
        <v>111045045.51734824</v>
      </c>
      <c r="N70" s="8">
        <f t="shared" si="32"/>
        <v>10537.791301660336</v>
      </c>
      <c r="O70" s="29" cm="1">
        <f t="array" ref="O70">(1/23)*SUM((ABS(_xlfn.ANCHORARRAY(D67)-E67:E90))/ABS(_xlfn.ANCHORARRAY(D67)))</f>
        <v>0.27578127817051845</v>
      </c>
      <c r="P70" s="8" cm="1">
        <f t="array" ref="P70">(1/23)*SUM((_xlfn.ANCHORARRAY(D67)-E67:E90)/(_xlfn.ANCHORARRAY(D67)))</f>
        <v>-5.4430844864005387E-2</v>
      </c>
    </row>
    <row r="71" spans="1:16" x14ac:dyDescent="0.3">
      <c r="A71" s="50"/>
      <c r="B71" s="8" t="s">
        <v>48</v>
      </c>
      <c r="C71" s="8">
        <v>5</v>
      </c>
      <c r="D71" s="9">
        <v>30000</v>
      </c>
      <c r="E71" s="8">
        <f t="shared" si="35"/>
        <v>29090</v>
      </c>
      <c r="F71" s="8">
        <f t="shared" ref="F71:F90" si="36">0.35*D70+(1-0.35)*F70</f>
        <v>27296.25</v>
      </c>
      <c r="G71" s="9">
        <f t="shared" ref="G71:G90" si="37">(D71-E71)^2</f>
        <v>828100</v>
      </c>
      <c r="H71" s="8">
        <f t="shared" si="34"/>
        <v>7310264.0625</v>
      </c>
      <c r="J71" s="52" t="s">
        <v>180</v>
      </c>
      <c r="K71" s="8" t="s">
        <v>3</v>
      </c>
      <c r="L71" s="8" cm="1">
        <f t="array" ref="L71">(1/23)*SUM(ABS(_xlfn.ANCHORARRAY(D3)-F3:F26))</f>
        <v>36699.087731042018</v>
      </c>
      <c r="M71" s="9" cm="1">
        <f t="array" ref="M71">(1/23)*SUM((_xlfn.ANCHORARRAY(D3)-F3:F26)^2)</f>
        <v>2151165733.5230608</v>
      </c>
      <c r="N71" s="8">
        <f>SQRT(M71)</f>
        <v>46380.661201874434</v>
      </c>
      <c r="O71" s="29" cm="1">
        <f t="array" ref="O71">(1/23)*SUM((ABS(_xlfn.ANCHORARRAY(D3)-F3:F26))/ABS(_xlfn.ANCHORARRAY(D3)))</f>
        <v>1.6347151870940175</v>
      </c>
      <c r="P71" s="8" cm="1">
        <f t="array" ref="P71">(1/23)*SUM((_xlfn.ANCHORARRAY(D3)-F3:F26)/(_xlfn.ANCHORARRAY(D3)))</f>
        <v>-1.3797726968511286</v>
      </c>
    </row>
    <row r="72" spans="1:16" x14ac:dyDescent="0.3">
      <c r="A72" s="50"/>
      <c r="B72" s="8" t="s">
        <v>49</v>
      </c>
      <c r="C72" s="8">
        <v>6</v>
      </c>
      <c r="D72" s="9">
        <v>40000</v>
      </c>
      <c r="E72" s="8">
        <f t="shared" si="35"/>
        <v>29181</v>
      </c>
      <c r="F72" s="8">
        <f t="shared" si="36"/>
        <v>28242.5625</v>
      </c>
      <c r="G72" s="9">
        <f t="shared" si="37"/>
        <v>117050761</v>
      </c>
      <c r="H72" s="9">
        <f>(D72-F72)^2</f>
        <v>138237336.56640625</v>
      </c>
      <c r="J72" s="52"/>
      <c r="K72" s="8" t="s">
        <v>173</v>
      </c>
      <c r="L72" s="8" cm="1">
        <f t="array" ref="L72">(1/23)*SUM(ABS(_xlfn.ANCHORARRAY(M3)-O3:O26))</f>
        <v>30565.53990252224</v>
      </c>
      <c r="M72" s="9" cm="1">
        <f t="array" ref="M72">(1/23)*SUM((_xlfn.ANCHORARRAY(M3)-O3:O26)^2)</f>
        <v>1366508747.825124</v>
      </c>
      <c r="N72" s="8">
        <f t="shared" ref="N72" si="38">SQRT(M72)</f>
        <v>36966.319100298912</v>
      </c>
      <c r="O72" s="29" cm="1">
        <f t="array" ref="O72">(1/23)*SUM((ABS(_xlfn.ANCHORARRAY(M3)-O3:O26))/ABS(_xlfn.ANCHORARRAY(M3)))</f>
        <v>0.13686456604550137</v>
      </c>
      <c r="P72" s="8" cm="1">
        <f t="array" ref="P72">(1/23)*SUM((_xlfn.ANCHORARRAY(M3)-O3:O26)/(_xlfn.ANCHORARRAY(M3)))</f>
        <v>-3.4723907399106031E-2</v>
      </c>
    </row>
    <row r="73" spans="1:16" x14ac:dyDescent="0.3">
      <c r="A73" s="50"/>
      <c r="B73" s="8" t="s">
        <v>50</v>
      </c>
      <c r="C73" s="8">
        <v>7</v>
      </c>
      <c r="D73" s="8">
        <v>40000</v>
      </c>
      <c r="E73" s="8">
        <f t="shared" si="35"/>
        <v>30262.9</v>
      </c>
      <c r="F73" s="8">
        <f t="shared" si="36"/>
        <v>32357.665625000001</v>
      </c>
      <c r="G73" s="9">
        <f t="shared" si="37"/>
        <v>94811116.409999967</v>
      </c>
      <c r="H73" s="9">
        <f t="shared" ref="H73:H90" si="39">(D73-F73)^2</f>
        <v>58405274.699306615</v>
      </c>
      <c r="J73" s="52"/>
      <c r="K73" s="8" t="s">
        <v>6</v>
      </c>
      <c r="L73" s="8" cm="1">
        <f t="array" ref="L73">(1/23)*SUM(ABS(_xlfn.ANCHORARRAY(D34)-F34:F57))</f>
        <v>79363.112639378305</v>
      </c>
      <c r="M73" s="9" cm="1">
        <f t="array" ref="M73">(1/23)*SUM((_xlfn.ANCHORARRAY(D34)-F34:F57)^2)</f>
        <v>10291654827.388628</v>
      </c>
      <c r="N73" s="8">
        <f>SQRT(M73)</f>
        <v>101447.79360532505</v>
      </c>
      <c r="O73" s="29" cm="1">
        <f t="array" ref="O73">(1/23)*SUM((ABS(_xlfn.ANCHORARRAY(D34)-F34:F57))/ABS(_xlfn.ANCHORARRAY(D34)))</f>
        <v>0.23872333019084205</v>
      </c>
      <c r="P73" s="8" cm="1">
        <f t="array" ref="P73">(1/23)*SUM((_xlfn.ANCHORARRAY(D34)-F34:F57)/(_xlfn.ANCHORARRAY(D34)))</f>
        <v>-1.9222423931227958E-2</v>
      </c>
    </row>
    <row r="74" spans="1:16" x14ac:dyDescent="0.3">
      <c r="A74" s="50"/>
      <c r="B74" s="8" t="s">
        <v>51</v>
      </c>
      <c r="C74" s="8">
        <v>8</v>
      </c>
      <c r="D74" s="8">
        <v>30000</v>
      </c>
      <c r="E74" s="8">
        <f t="shared" si="35"/>
        <v>31236.61</v>
      </c>
      <c r="F74" s="8">
        <f t="shared" si="36"/>
        <v>35032.482656250002</v>
      </c>
      <c r="G74" s="9">
        <f t="shared" si="37"/>
        <v>1529204.2921000014</v>
      </c>
      <c r="H74" s="9">
        <f t="shared" si="39"/>
        <v>25325881.685457077</v>
      </c>
      <c r="J74" s="52"/>
      <c r="K74" s="8" t="s">
        <v>8</v>
      </c>
      <c r="L74" s="8" cm="1">
        <f t="array" ref="L74">(1/23)*SUM(ABS(_xlfn.ANCHORARRAY(M34)-O34:O57))</f>
        <v>9756.7067787944125</v>
      </c>
      <c r="M74" s="9" cm="1">
        <f t="array" ref="M74">(1/23)*SUM((_xlfn.ANCHORARRAY(M34)-O34:O57)^2)</f>
        <v>161799913.4694601</v>
      </c>
      <c r="N74" s="8">
        <f t="shared" ref="N74:N75" si="40">SQRT(M74)</f>
        <v>12720.05949158494</v>
      </c>
      <c r="O74" s="29" cm="1">
        <f t="array" ref="O74">(1/23)*SUM((ABS(_xlfn.ANCHORARRAY(M34)-O34:O57))/ABS(_xlfn.ANCHORARRAY(M34)))</f>
        <v>0.15836857638400681</v>
      </c>
      <c r="P74" s="8" cm="1">
        <f t="array" ref="P74">(1/23)*SUM((_xlfn.ANCHORARRAY(M34)-O34:O57)/(_xlfn.ANCHORARRAY(M34)))</f>
        <v>7.0870058235886586E-3</v>
      </c>
    </row>
    <row r="75" spans="1:16" x14ac:dyDescent="0.3">
      <c r="A75" s="50"/>
      <c r="B75" s="8" t="s">
        <v>52</v>
      </c>
      <c r="C75" s="8">
        <v>9</v>
      </c>
      <c r="D75" s="8">
        <v>60000</v>
      </c>
      <c r="E75" s="8">
        <f t="shared" si="35"/>
        <v>31112.949000000001</v>
      </c>
      <c r="F75" s="8">
        <f t="shared" si="36"/>
        <v>33271.1137265625</v>
      </c>
      <c r="G75" s="9">
        <f t="shared" si="37"/>
        <v>834461715.476601</v>
      </c>
      <c r="H75" s="9">
        <f t="shared" si="39"/>
        <v>714433361.41835558</v>
      </c>
      <c r="J75" s="52"/>
      <c r="K75" s="8" t="s">
        <v>15</v>
      </c>
      <c r="L75" s="8" cm="1">
        <f t="array" ref="L75">(1/23)*SUM(ABS(_xlfn.ANCHORARRAY(D67)-F67:F90))</f>
        <v>8614.7708201854566</v>
      </c>
      <c r="M75" s="9" cm="1">
        <f t="array" ref="M75">(1/23)*SUM((_xlfn.ANCHORARRAY(D67)-F67:F90)^2)</f>
        <v>104091184.85988374</v>
      </c>
      <c r="N75" s="8">
        <f t="shared" si="40"/>
        <v>10202.5087532373</v>
      </c>
      <c r="O75" s="29" cm="1">
        <f t="array" ref="O75">(1/23)*SUM((ABS(_xlfn.ANCHORARRAY(D67)-F67:F90))/ABS(_xlfn.ANCHORARRAY(D67)))</f>
        <v>0.27033061503425881</v>
      </c>
      <c r="P75" s="8" cm="1">
        <f t="array" ref="P75">(1/23)*SUM((_xlfn.ANCHORARRAY(D67)-F67:F90)/(_xlfn.ANCHORARRAY(D67)))</f>
        <v>-6.4234218826340464E-2</v>
      </c>
    </row>
    <row r="76" spans="1:16" x14ac:dyDescent="0.3">
      <c r="A76" s="50"/>
      <c r="B76" s="8" t="s">
        <v>53</v>
      </c>
      <c r="C76" s="8">
        <v>10</v>
      </c>
      <c r="D76" s="8">
        <v>40000</v>
      </c>
      <c r="E76" s="8">
        <f t="shared" si="35"/>
        <v>34001.6541</v>
      </c>
      <c r="F76" s="8">
        <f t="shared" si="36"/>
        <v>42626.223922265621</v>
      </c>
      <c r="G76" s="9">
        <f t="shared" si="37"/>
        <v>35980153.53604681</v>
      </c>
      <c r="H76" s="9">
        <f t="shared" si="39"/>
        <v>6897052.0898802215</v>
      </c>
    </row>
    <row r="77" spans="1:16" x14ac:dyDescent="0.3">
      <c r="A77" s="50"/>
      <c r="B77" s="8" t="s">
        <v>54</v>
      </c>
      <c r="C77" s="8">
        <v>11</v>
      </c>
      <c r="D77" s="8">
        <v>50000</v>
      </c>
      <c r="E77" s="8">
        <f t="shared" si="35"/>
        <v>34601.488689999998</v>
      </c>
      <c r="F77" s="8">
        <f t="shared" si="36"/>
        <v>41707.045549472656</v>
      </c>
      <c r="G77" s="9">
        <f t="shared" si="37"/>
        <v>237114150.56419796</v>
      </c>
      <c r="H77" s="9">
        <f t="shared" si="39"/>
        <v>68773093.518521294</v>
      </c>
    </row>
    <row r="78" spans="1:16" x14ac:dyDescent="0.3">
      <c r="A78" s="50"/>
      <c r="B78" s="8" t="s">
        <v>55</v>
      </c>
      <c r="C78" s="8">
        <v>12</v>
      </c>
      <c r="D78" s="8">
        <v>40000</v>
      </c>
      <c r="E78" s="8">
        <f t="shared" si="35"/>
        <v>36141.339821000001</v>
      </c>
      <c r="F78" s="8">
        <f t="shared" si="36"/>
        <v>44609.579607157226</v>
      </c>
      <c r="G78" s="9">
        <f t="shared" si="37"/>
        <v>14889258.377000302</v>
      </c>
      <c r="H78" s="9">
        <f t="shared" si="39"/>
        <v>21248224.154719766</v>
      </c>
    </row>
    <row r="79" spans="1:16" x14ac:dyDescent="0.3">
      <c r="A79" s="50">
        <v>2022</v>
      </c>
      <c r="B79" s="8" t="s">
        <v>44</v>
      </c>
      <c r="C79" s="8">
        <v>13</v>
      </c>
      <c r="D79" s="8">
        <v>40000</v>
      </c>
      <c r="E79" s="8">
        <f t="shared" si="35"/>
        <v>36527.205838900001</v>
      </c>
      <c r="F79" s="8">
        <f t="shared" si="36"/>
        <v>42996.226744652202</v>
      </c>
      <c r="G79" s="9">
        <f t="shared" si="37"/>
        <v>12060299.285370244</v>
      </c>
      <c r="H79" s="9">
        <f t="shared" si="39"/>
        <v>8977374.7053691316</v>
      </c>
      <c r="K79" s="28"/>
    </row>
    <row r="80" spans="1:16" x14ac:dyDescent="0.3">
      <c r="A80" s="50"/>
      <c r="B80" s="8" t="s">
        <v>45</v>
      </c>
      <c r="C80" s="8">
        <v>14</v>
      </c>
      <c r="D80" s="8">
        <v>35000</v>
      </c>
      <c r="E80" s="8">
        <f t="shared" si="35"/>
        <v>36874.485255010004</v>
      </c>
      <c r="F80" s="8">
        <f t="shared" si="36"/>
        <v>41947.547384023928</v>
      </c>
      <c r="G80" s="9">
        <f t="shared" si="37"/>
        <v>3513694.9712499199</v>
      </c>
      <c r="H80" s="9">
        <f t="shared" si="39"/>
        <v>48268414.653257728</v>
      </c>
    </row>
    <row r="81" spans="1:8" x14ac:dyDescent="0.3">
      <c r="A81" s="50"/>
      <c r="B81" s="8" t="s">
        <v>46</v>
      </c>
      <c r="C81" s="8">
        <v>15</v>
      </c>
      <c r="D81" s="8">
        <v>30000</v>
      </c>
      <c r="E81" s="8">
        <f t="shared" si="35"/>
        <v>36687.036729509004</v>
      </c>
      <c r="F81" s="8">
        <f t="shared" si="36"/>
        <v>39515.905799615553</v>
      </c>
      <c r="G81" s="9">
        <f t="shared" si="37"/>
        <v>44716460.221802473</v>
      </c>
      <c r="H81" s="9">
        <f t="shared" si="39"/>
        <v>90552463.187156931</v>
      </c>
    </row>
    <row r="82" spans="1:8" x14ac:dyDescent="0.3">
      <c r="A82" s="50"/>
      <c r="B82" s="8" t="s">
        <v>47</v>
      </c>
      <c r="C82" s="8">
        <v>16</v>
      </c>
      <c r="D82" s="8">
        <v>30000</v>
      </c>
      <c r="E82" s="8">
        <f t="shared" si="35"/>
        <v>36018.333056558105</v>
      </c>
      <c r="F82" s="8">
        <f t="shared" si="36"/>
        <v>36185.338769750109</v>
      </c>
      <c r="G82" s="9">
        <f t="shared" si="37"/>
        <v>36220332.779660031</v>
      </c>
      <c r="H82" s="9">
        <f t="shared" si="39"/>
        <v>38258415.696573794</v>
      </c>
    </row>
    <row r="83" spans="1:8" x14ac:dyDescent="0.3">
      <c r="A83" s="50"/>
      <c r="B83" s="8" t="s">
        <v>48</v>
      </c>
      <c r="C83" s="8">
        <v>17</v>
      </c>
      <c r="D83" s="8">
        <v>20000</v>
      </c>
      <c r="E83" s="8">
        <f t="shared" si="35"/>
        <v>35416.499750902294</v>
      </c>
      <c r="F83" s="8">
        <f t="shared" si="36"/>
        <v>34020.470200337571</v>
      </c>
      <c r="G83" s="9">
        <f t="shared" si="37"/>
        <v>237668464.56957051</v>
      </c>
      <c r="H83" s="9">
        <f t="shared" si="39"/>
        <v>196573584.63855386</v>
      </c>
    </row>
    <row r="84" spans="1:8" x14ac:dyDescent="0.3">
      <c r="A84" s="50"/>
      <c r="B84" s="8" t="s">
        <v>49</v>
      </c>
      <c r="C84" s="8">
        <v>18</v>
      </c>
      <c r="D84" s="8">
        <v>20000</v>
      </c>
      <c r="E84" s="8">
        <f t="shared" si="35"/>
        <v>33874.849775812065</v>
      </c>
      <c r="F84" s="8">
        <f t="shared" si="36"/>
        <v>29113.305630219424</v>
      </c>
      <c r="G84" s="9">
        <f t="shared" si="37"/>
        <v>192511456.30135211</v>
      </c>
      <c r="H84" s="9">
        <f t="shared" si="39"/>
        <v>83052339.50978905</v>
      </c>
    </row>
    <row r="85" spans="1:8" x14ac:dyDescent="0.3">
      <c r="A85" s="50"/>
      <c r="B85" s="8" t="s">
        <v>50</v>
      </c>
      <c r="C85" s="8">
        <v>19</v>
      </c>
      <c r="D85" s="8">
        <v>20000</v>
      </c>
      <c r="E85" s="8">
        <f t="shared" si="35"/>
        <v>32487.364798230858</v>
      </c>
      <c r="F85" s="8">
        <f t="shared" si="36"/>
        <v>25923.648659642626</v>
      </c>
      <c r="G85" s="9">
        <f t="shared" si="37"/>
        <v>155934279.60409519</v>
      </c>
      <c r="H85" s="9">
        <f t="shared" si="39"/>
        <v>35089613.442885876</v>
      </c>
    </row>
    <row r="86" spans="1:8" x14ac:dyDescent="0.3">
      <c r="A86" s="50"/>
      <c r="B86" s="8" t="s">
        <v>51</v>
      </c>
      <c r="C86" s="8">
        <v>20</v>
      </c>
      <c r="D86" s="8">
        <v>40000</v>
      </c>
      <c r="E86" s="8">
        <f t="shared" si="35"/>
        <v>31238.628318407773</v>
      </c>
      <c r="F86" s="8">
        <f t="shared" si="36"/>
        <v>23850.371628767709</v>
      </c>
      <c r="G86" s="9">
        <f t="shared" si="37"/>
        <v>76761633.743006214</v>
      </c>
      <c r="H86" s="9">
        <f t="shared" si="39"/>
        <v>260810496.52891093</v>
      </c>
    </row>
    <row r="87" spans="1:8" x14ac:dyDescent="0.3">
      <c r="A87" s="50"/>
      <c r="B87" s="8" t="s">
        <v>52</v>
      </c>
      <c r="C87" s="8">
        <v>21</v>
      </c>
      <c r="D87" s="8">
        <v>30000</v>
      </c>
      <c r="E87" s="8">
        <f t="shared" si="35"/>
        <v>32114.765486566997</v>
      </c>
      <c r="F87" s="8">
        <f t="shared" si="36"/>
        <v>29502.74155869901</v>
      </c>
      <c r="G87" s="9">
        <f t="shared" si="37"/>
        <v>4472233.063174949</v>
      </c>
      <c r="H87" s="9">
        <f t="shared" si="39"/>
        <v>247265.95744509005</v>
      </c>
    </row>
    <row r="88" spans="1:8" x14ac:dyDescent="0.3">
      <c r="A88" s="50"/>
      <c r="B88" s="8" t="s">
        <v>53</v>
      </c>
      <c r="C88" s="8">
        <v>22</v>
      </c>
      <c r="D88" s="8">
        <v>40000</v>
      </c>
      <c r="E88" s="8">
        <f t="shared" si="35"/>
        <v>31903.2889379103</v>
      </c>
      <c r="F88" s="8">
        <f t="shared" si="36"/>
        <v>29676.782013154356</v>
      </c>
      <c r="G88" s="9">
        <f t="shared" si="37"/>
        <v>65556730.022965722</v>
      </c>
      <c r="H88" s="9">
        <f t="shared" si="39"/>
        <v>106568829.60393344</v>
      </c>
    </row>
    <row r="89" spans="1:8" x14ac:dyDescent="0.3">
      <c r="A89" s="50"/>
      <c r="B89" s="8" t="s">
        <v>54</v>
      </c>
      <c r="C89" s="8">
        <v>23</v>
      </c>
      <c r="D89" s="8">
        <v>40000</v>
      </c>
      <c r="E89" s="8">
        <f t="shared" si="35"/>
        <v>32712.960044119271</v>
      </c>
      <c r="F89" s="8">
        <f t="shared" si="36"/>
        <v>33289.908308550337</v>
      </c>
      <c r="G89" s="9">
        <f t="shared" si="37"/>
        <v>53100951.318602219</v>
      </c>
      <c r="H89" s="9">
        <f t="shared" si="39"/>
        <v>45025330.507661797</v>
      </c>
    </row>
    <row r="90" spans="1:8" x14ac:dyDescent="0.3">
      <c r="A90" s="50"/>
      <c r="B90" s="8" t="s">
        <v>55</v>
      </c>
      <c r="C90" s="8">
        <v>24</v>
      </c>
      <c r="D90" s="8">
        <v>30000</v>
      </c>
      <c r="E90" s="8">
        <f t="shared" si="35"/>
        <v>33441.664039707342</v>
      </c>
      <c r="F90" s="8">
        <f t="shared" si="36"/>
        <v>35638.440400557723</v>
      </c>
      <c r="G90" s="9">
        <f t="shared" si="37"/>
        <v>11845051.362214664</v>
      </c>
      <c r="H90" s="9">
        <f t="shared" si="39"/>
        <v>31792010.150641542</v>
      </c>
    </row>
    <row r="91" spans="1:8" x14ac:dyDescent="0.3">
      <c r="A91" s="8" t="s">
        <v>36</v>
      </c>
      <c r="B91" s="8"/>
      <c r="C91" s="8"/>
      <c r="D91" s="9">
        <f>SUM(D67:D90)</f>
        <v>815000</v>
      </c>
      <c r="E91" s="9">
        <f t="shared" ref="E91:H91" si="41">SUM(E67:E90)</f>
        <v>784025.02364263427</v>
      </c>
      <c r="F91" s="9">
        <f t="shared" si="41"/>
        <v>804528.61068467866</v>
      </c>
      <c r="G91" s="9">
        <f t="shared" si="41"/>
        <v>2554036046.8990097</v>
      </c>
      <c r="H91" s="9">
        <f t="shared" si="41"/>
        <v>2394097251.7773261</v>
      </c>
    </row>
    <row r="92" spans="1:8" x14ac:dyDescent="0.3">
      <c r="A92" s="8" t="s">
        <v>37</v>
      </c>
      <c r="B92" s="8"/>
      <c r="C92" s="8"/>
      <c r="D92" s="8">
        <f>D91/COUNT(D67:D90)</f>
        <v>33958.333333333336</v>
      </c>
      <c r="E92" s="8">
        <f t="shared" ref="E92:H92" si="42">E91/COUNT(E67:E90)</f>
        <v>32667.709318443096</v>
      </c>
      <c r="F92" s="8">
        <f t="shared" si="42"/>
        <v>33522.025445194944</v>
      </c>
      <c r="G92" s="8">
        <f t="shared" si="42"/>
        <v>106418168.62079208</v>
      </c>
      <c r="H92" s="8">
        <f t="shared" si="42"/>
        <v>99754052.157388583</v>
      </c>
    </row>
    <row r="93" spans="1:8" x14ac:dyDescent="0.3">
      <c r="A93" s="25" t="s">
        <v>58</v>
      </c>
      <c r="B93" s="25"/>
      <c r="C93" s="25"/>
      <c r="D93" s="25"/>
      <c r="E93" s="25"/>
      <c r="F93" s="25"/>
      <c r="G93" s="25">
        <f>SQRT(G92)/COUNT(G67:G90)</f>
        <v>429.82992562948999</v>
      </c>
      <c r="H93" s="25">
        <f>SQRT(H92)/COUNT(H67:H90)</f>
        <v>416.15395988600136</v>
      </c>
    </row>
  </sheetData>
  <mergeCells count="17">
    <mergeCell ref="A65:H65"/>
    <mergeCell ref="J66:J70"/>
    <mergeCell ref="A67:A78"/>
    <mergeCell ref="J71:J75"/>
    <mergeCell ref="A79:A90"/>
    <mergeCell ref="A32:H32"/>
    <mergeCell ref="J32:Q32"/>
    <mergeCell ref="A34:A45"/>
    <mergeCell ref="J34:J45"/>
    <mergeCell ref="A46:A57"/>
    <mergeCell ref="J46:J57"/>
    <mergeCell ref="A1:H1"/>
    <mergeCell ref="J1:Q1"/>
    <mergeCell ref="A3:A14"/>
    <mergeCell ref="J3:J14"/>
    <mergeCell ref="A15:A26"/>
    <mergeCell ref="J15:J26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849EE-5BA3-4339-B67C-74305DF705FD}">
  <dimension ref="A1:AI129"/>
  <sheetViews>
    <sheetView topLeftCell="B86" zoomScale="64" zoomScaleNormal="64" workbookViewId="0">
      <selection activeCell="U113" sqref="U113"/>
    </sheetView>
  </sheetViews>
  <sheetFormatPr defaultRowHeight="14.4" x14ac:dyDescent="0.3"/>
  <cols>
    <col min="4" max="4" width="15.109375" bestFit="1" customWidth="1"/>
    <col min="5" max="8" width="15.109375" customWidth="1"/>
    <col min="9" max="9" width="12" bestFit="1" customWidth="1"/>
    <col min="10" max="10" width="10.109375" bestFit="1" customWidth="1"/>
    <col min="11" max="12" width="18.44140625" bestFit="1" customWidth="1"/>
    <col min="15" max="15" width="19.21875" bestFit="1" customWidth="1"/>
    <col min="16" max="16" width="11.88671875" bestFit="1" customWidth="1"/>
    <col min="17" max="17" width="17.77734375" customWidth="1"/>
    <col min="18" max="21" width="15.6640625" customWidth="1"/>
    <col min="22" max="23" width="12" bestFit="1" customWidth="1"/>
    <col min="24" max="25" width="13.77734375" bestFit="1" customWidth="1"/>
  </cols>
  <sheetData>
    <row r="1" spans="1:35" x14ac:dyDescent="0.3">
      <c r="A1" s="51" t="s">
        <v>169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N1" s="51" t="s">
        <v>170</v>
      </c>
      <c r="O1" s="51"/>
      <c r="P1" s="51"/>
      <c r="Q1" s="51"/>
      <c r="R1" s="51"/>
      <c r="S1" s="51"/>
      <c r="T1" s="51"/>
      <c r="U1" s="51"/>
      <c r="V1" s="51"/>
      <c r="W1" s="51"/>
      <c r="X1" s="51"/>
      <c r="Y1" s="51"/>
    </row>
    <row r="2" spans="1:35" x14ac:dyDescent="0.3">
      <c r="A2" s="8" t="s">
        <v>38</v>
      </c>
      <c r="B2" s="8" t="s">
        <v>39</v>
      </c>
      <c r="C2" s="8" t="s">
        <v>40</v>
      </c>
      <c r="D2" s="8" t="s">
        <v>129</v>
      </c>
      <c r="E2" t="s">
        <v>65</v>
      </c>
      <c r="F2" t="s">
        <v>67</v>
      </c>
      <c r="G2" t="s">
        <v>65</v>
      </c>
      <c r="H2" t="s">
        <v>67</v>
      </c>
      <c r="I2" s="8" t="s">
        <v>182</v>
      </c>
      <c r="J2" s="8" t="s">
        <v>183</v>
      </c>
      <c r="K2" s="8" t="s">
        <v>177</v>
      </c>
      <c r="L2" s="8" t="s">
        <v>178</v>
      </c>
      <c r="N2" s="8" t="s">
        <v>38</v>
      </c>
      <c r="O2" s="8" t="s">
        <v>39</v>
      </c>
      <c r="P2" s="8" t="s">
        <v>40</v>
      </c>
      <c r="Q2" s="8" t="s">
        <v>129</v>
      </c>
      <c r="R2" t="s">
        <v>65</v>
      </c>
      <c r="S2" t="s">
        <v>67</v>
      </c>
      <c r="T2" t="s">
        <v>65</v>
      </c>
      <c r="U2" t="s">
        <v>67</v>
      </c>
      <c r="V2" s="8" t="s">
        <v>175</v>
      </c>
      <c r="W2" s="8" t="s">
        <v>176</v>
      </c>
      <c r="X2" s="8" t="s">
        <v>177</v>
      </c>
      <c r="Y2" s="8" t="s">
        <v>178</v>
      </c>
      <c r="AB2" t="s">
        <v>39</v>
      </c>
      <c r="AC2" t="s">
        <v>40</v>
      </c>
      <c r="AD2" t="s">
        <v>41</v>
      </c>
      <c r="AG2" t="s">
        <v>66</v>
      </c>
      <c r="AH2" t="s">
        <v>42</v>
      </c>
      <c r="AI2" t="s">
        <v>43</v>
      </c>
    </row>
    <row r="3" spans="1:35" x14ac:dyDescent="0.3">
      <c r="A3" s="50">
        <v>2021</v>
      </c>
      <c r="B3" s="8" t="s">
        <v>44</v>
      </c>
      <c r="C3" s="8">
        <v>1</v>
      </c>
      <c r="D3" s="9" cm="1">
        <f t="array" ref="D3:D26">TRANSPOSE('Historical Sale'!C7:Z7)</f>
        <v>110000</v>
      </c>
      <c r="E3" s="9">
        <f>D3</f>
        <v>110000</v>
      </c>
      <c r="F3" s="9">
        <f>0</f>
        <v>0</v>
      </c>
      <c r="G3" s="9">
        <f>D3</f>
        <v>110000</v>
      </c>
      <c r="H3" s="9">
        <f>0</f>
        <v>0</v>
      </c>
      <c r="I3" s="9">
        <f>E3+1*F3</f>
        <v>110000</v>
      </c>
      <c r="J3" s="9">
        <f>G3+1*H3</f>
        <v>110000</v>
      </c>
      <c r="K3" s="9">
        <f t="shared" ref="K3:K38" si="0">(D3-I3)^2</f>
        <v>0</v>
      </c>
      <c r="L3" s="9">
        <f t="shared" ref="L3:L38" si="1">(D3-J3)^2</f>
        <v>0</v>
      </c>
      <c r="N3" s="50">
        <v>2021</v>
      </c>
      <c r="O3" s="8" t="s">
        <v>44</v>
      </c>
      <c r="P3" s="8">
        <v>1</v>
      </c>
      <c r="Q3" s="9" cm="1">
        <f t="array" ref="Q3:Q26">TRANSPOSE('Historical Sale'!C9:Z9)</f>
        <v>230000</v>
      </c>
      <c r="R3" s="9">
        <f>Q3</f>
        <v>230000</v>
      </c>
      <c r="S3" s="9">
        <f>0</f>
        <v>0</v>
      </c>
      <c r="T3" s="9">
        <f>Q3</f>
        <v>230000</v>
      </c>
      <c r="U3" s="9">
        <f>0</f>
        <v>0</v>
      </c>
      <c r="V3" s="8">
        <f>R3+1*S3</f>
        <v>230000</v>
      </c>
      <c r="W3" s="8">
        <f>T3+1*U3</f>
        <v>230000</v>
      </c>
      <c r="X3" s="8">
        <f>(Q3-V3)^2</f>
        <v>0</v>
      </c>
      <c r="Y3" s="8">
        <f>(Q3-W3)^2</f>
        <v>0</v>
      </c>
    </row>
    <row r="4" spans="1:35" x14ac:dyDescent="0.3">
      <c r="A4" s="50"/>
      <c r="B4" s="8" t="s">
        <v>45</v>
      </c>
      <c r="C4" s="8">
        <v>2</v>
      </c>
      <c r="D4" s="9">
        <v>60000</v>
      </c>
      <c r="E4" s="9">
        <f>0.3*D4+(1-0.3)*(E3+F3)</f>
        <v>95000</v>
      </c>
      <c r="F4" s="9">
        <f>0.1*(E4-E3)+(1-0.1)*F3</f>
        <v>-1500</v>
      </c>
      <c r="G4" s="9">
        <f>0.7*D4+(1-0.7)*(G3+H3)</f>
        <v>75000</v>
      </c>
      <c r="H4" s="9">
        <f>0.1*(G4-G3)+(1-0.1)*H3</f>
        <v>-3500</v>
      </c>
      <c r="I4" s="9">
        <f t="shared" ref="I4:I38" si="2">E4+1*F4</f>
        <v>93500</v>
      </c>
      <c r="J4" s="9">
        <f t="shared" ref="J4:J38" si="3">G4+1*H4</f>
        <v>71500</v>
      </c>
      <c r="K4" s="9">
        <f t="shared" si="0"/>
        <v>1122250000</v>
      </c>
      <c r="L4" s="9">
        <f t="shared" si="1"/>
        <v>132250000</v>
      </c>
      <c r="N4" s="50"/>
      <c r="O4" s="8" t="s">
        <v>45</v>
      </c>
      <c r="P4" s="8">
        <v>2</v>
      </c>
      <c r="Q4" s="9">
        <v>200000</v>
      </c>
      <c r="R4" s="9">
        <f>0.3*Q4+(1-0.3)*(R3+S3)</f>
        <v>221000</v>
      </c>
      <c r="S4" s="9">
        <f>0.1*(R4-R3)+(1-0.1)*S3</f>
        <v>-900</v>
      </c>
      <c r="T4" s="9">
        <f>0.7*Q4+(1-0.7)*(T3+U3)</f>
        <v>209000</v>
      </c>
      <c r="U4" s="9">
        <f>0.1*(T4-T3)+(1-0.1)*U3</f>
        <v>-2100</v>
      </c>
      <c r="V4" s="8">
        <f t="shared" ref="V4:V26" si="4">R4+1*S4</f>
        <v>220100</v>
      </c>
      <c r="W4" s="8">
        <f t="shared" ref="W4:W26" si="5">T4+1*U4</f>
        <v>206900</v>
      </c>
      <c r="X4" s="9">
        <f>(Q4-V4)^2</f>
        <v>404010000</v>
      </c>
      <c r="Y4" s="8">
        <f t="shared" ref="Y4:Y7" si="6">(Q4-W4)^2</f>
        <v>47610000</v>
      </c>
    </row>
    <row r="5" spans="1:35" x14ac:dyDescent="0.3">
      <c r="A5" s="50"/>
      <c r="B5" s="8" t="s">
        <v>46</v>
      </c>
      <c r="C5" s="8">
        <v>3</v>
      </c>
      <c r="D5" s="9">
        <v>200000</v>
      </c>
      <c r="E5" s="9">
        <f t="shared" ref="E5:E38" si="7">0.3*D5+(1-0.3)*(E4+F4)</f>
        <v>125450</v>
      </c>
      <c r="F5" s="9">
        <f t="shared" ref="F5:F38" si="8">0.1*(E5-E4)+(1-0.1)*F4</f>
        <v>1695</v>
      </c>
      <c r="G5" s="9">
        <f t="shared" ref="G5:G38" si="9">0.7*D5+(1-0.7)*(G4+H4)</f>
        <v>161450</v>
      </c>
      <c r="H5" s="9">
        <f t="shared" ref="H5:H38" si="10">0.1*(G5-G4)+(1-0.1)*H4</f>
        <v>5495</v>
      </c>
      <c r="I5" s="9">
        <f t="shared" si="2"/>
        <v>127145</v>
      </c>
      <c r="J5" s="9">
        <f t="shared" si="3"/>
        <v>166945</v>
      </c>
      <c r="K5" s="9">
        <f t="shared" si="0"/>
        <v>5307851025</v>
      </c>
      <c r="L5" s="9">
        <f t="shared" si="1"/>
        <v>1092633025</v>
      </c>
      <c r="N5" s="50"/>
      <c r="O5" s="8" t="s">
        <v>46</v>
      </c>
      <c r="P5" s="8">
        <v>3</v>
      </c>
      <c r="Q5" s="9">
        <v>240000</v>
      </c>
      <c r="R5" s="9">
        <f t="shared" ref="R5:R26" si="11">0.3*Q5+(1-0.3)*(R4+S4)</f>
        <v>226070</v>
      </c>
      <c r="S5" s="9">
        <f t="shared" ref="S5:S26" si="12">0.1*(R5-R4)+(1-0.1)*S4</f>
        <v>-303</v>
      </c>
      <c r="T5" s="9">
        <f t="shared" ref="T5:T26" si="13">0.7*Q5+(1-0.7)*(T4+U4)</f>
        <v>230070</v>
      </c>
      <c r="U5" s="9">
        <f t="shared" ref="U5" si="14">0.1*(T5-T4)+(1-0.1)*U4</f>
        <v>217</v>
      </c>
      <c r="V5" s="8">
        <f>R5+1*S5</f>
        <v>225767</v>
      </c>
      <c r="W5" s="8">
        <f>T5+1*U5</f>
        <v>230287</v>
      </c>
      <c r="X5" s="8">
        <f t="shared" ref="X5" si="15">(Q5-V5)^2</f>
        <v>202578289</v>
      </c>
      <c r="Y5" s="8">
        <f t="shared" si="6"/>
        <v>94342369</v>
      </c>
    </row>
    <row r="6" spans="1:35" x14ac:dyDescent="0.3">
      <c r="A6" s="50"/>
      <c r="B6" s="8" t="s">
        <v>47</v>
      </c>
      <c r="C6" s="8">
        <v>4</v>
      </c>
      <c r="D6" s="9">
        <v>100000</v>
      </c>
      <c r="E6" s="9">
        <f t="shared" si="7"/>
        <v>119001.5</v>
      </c>
      <c r="F6" s="9">
        <f t="shared" si="8"/>
        <v>880.65</v>
      </c>
      <c r="G6" s="9">
        <f t="shared" si="9"/>
        <v>120083.5</v>
      </c>
      <c r="H6" s="9">
        <f>0.1*(G6-G5)+(1-0.1)*H5</f>
        <v>808.84999999999945</v>
      </c>
      <c r="I6" s="9">
        <f t="shared" si="2"/>
        <v>119882.15</v>
      </c>
      <c r="J6" s="9">
        <f t="shared" si="3"/>
        <v>120892.35</v>
      </c>
      <c r="K6" s="9">
        <f t="shared" si="0"/>
        <v>395299888.62249976</v>
      </c>
      <c r="L6" s="9">
        <f t="shared" si="1"/>
        <v>436490288.52250022</v>
      </c>
      <c r="N6" s="50"/>
      <c r="O6" s="8" t="s">
        <v>47</v>
      </c>
      <c r="P6" s="8">
        <v>4</v>
      </c>
      <c r="Q6" s="9">
        <v>200000</v>
      </c>
      <c r="R6" s="9">
        <f t="shared" si="11"/>
        <v>218036.9</v>
      </c>
      <c r="S6" s="9">
        <f t="shared" si="12"/>
        <v>-1076.0100000000007</v>
      </c>
      <c r="T6" s="9">
        <f t="shared" si="13"/>
        <v>209086.1</v>
      </c>
      <c r="U6" s="9">
        <f>0.1*(T6-T5)+(1-0.1)*U5</f>
        <v>-1903.0899999999995</v>
      </c>
      <c r="V6" s="8">
        <f t="shared" si="4"/>
        <v>216960.88999999998</v>
      </c>
      <c r="W6" s="8">
        <f t="shared" si="5"/>
        <v>207183.01</v>
      </c>
      <c r="X6" s="9">
        <f>(Q6-V6)^2</f>
        <v>287671789.59209949</v>
      </c>
      <c r="Y6" s="8">
        <f t="shared" si="6"/>
        <v>51595632.660100132</v>
      </c>
    </row>
    <row r="7" spans="1:35" x14ac:dyDescent="0.3">
      <c r="A7" s="50"/>
      <c r="B7" s="8" t="s">
        <v>48</v>
      </c>
      <c r="C7" s="8">
        <v>5</v>
      </c>
      <c r="D7" s="9">
        <v>40000</v>
      </c>
      <c r="E7" s="9">
        <f t="shared" si="7"/>
        <v>95917.50499999999</v>
      </c>
      <c r="F7" s="9">
        <f t="shared" si="8"/>
        <v>-1515.8145000000009</v>
      </c>
      <c r="G7" s="9">
        <f t="shared" si="9"/>
        <v>64267.705000000009</v>
      </c>
      <c r="H7" s="9">
        <f t="shared" si="10"/>
        <v>-4853.6145000000006</v>
      </c>
      <c r="I7" s="9">
        <f t="shared" si="2"/>
        <v>94401.690499999982</v>
      </c>
      <c r="J7" s="9">
        <f t="shared" si="3"/>
        <v>59414.090500000006</v>
      </c>
      <c r="K7" s="9">
        <f t="shared" si="0"/>
        <v>2959543929.2577882</v>
      </c>
      <c r="L7" s="9">
        <f t="shared" si="1"/>
        <v>376906909.94219047</v>
      </c>
      <c r="N7" s="50"/>
      <c r="O7" s="8" t="s">
        <v>48</v>
      </c>
      <c r="P7" s="8">
        <v>5</v>
      </c>
      <c r="Q7" s="9">
        <v>210000</v>
      </c>
      <c r="R7" s="9">
        <f t="shared" si="11"/>
        <v>214872.62299999999</v>
      </c>
      <c r="S7" s="9">
        <f t="shared" si="12"/>
        <v>-1284.8367000000007</v>
      </c>
      <c r="T7" s="9">
        <f t="shared" si="13"/>
        <v>209154.90300000002</v>
      </c>
      <c r="U7" s="9">
        <f t="shared" ref="U7:U26" si="16">0.1*(T7-T6)+(1-0.1)*U6</f>
        <v>-1705.9006999999981</v>
      </c>
      <c r="V7" s="8">
        <f t="shared" si="4"/>
        <v>213587.78629999998</v>
      </c>
      <c r="W7" s="8">
        <f t="shared" si="5"/>
        <v>207449.00230000002</v>
      </c>
      <c r="X7" s="9">
        <f t="shared" ref="X7:X25" si="17">(Q7-V7)^2</f>
        <v>12872210.534467531</v>
      </c>
      <c r="Y7" s="8">
        <f t="shared" si="6"/>
        <v>6507589.2654051781</v>
      </c>
    </row>
    <row r="8" spans="1:35" x14ac:dyDescent="0.3">
      <c r="A8" s="50"/>
      <c r="B8" s="8" t="s">
        <v>49</v>
      </c>
      <c r="C8" s="8">
        <v>6</v>
      </c>
      <c r="D8" s="9">
        <v>20000</v>
      </c>
      <c r="E8" s="9">
        <f t="shared" si="7"/>
        <v>72081.183349999978</v>
      </c>
      <c r="F8" s="9">
        <f t="shared" si="8"/>
        <v>-3747.8652150000021</v>
      </c>
      <c r="G8" s="9">
        <f t="shared" si="9"/>
        <v>31824.227150000006</v>
      </c>
      <c r="H8" s="9">
        <f t="shared" si="10"/>
        <v>-7612.6008350000011</v>
      </c>
      <c r="I8" s="9">
        <f t="shared" si="2"/>
        <v>68333.31813499998</v>
      </c>
      <c r="J8" s="9">
        <f t="shared" si="3"/>
        <v>24211.626315000005</v>
      </c>
      <c r="K8" s="9">
        <f t="shared" si="0"/>
        <v>2336109641.9391179</v>
      </c>
      <c r="L8" s="9">
        <f t="shared" si="1"/>
        <v>17737796.217200521</v>
      </c>
      <c r="N8" s="50"/>
      <c r="O8" s="8" t="s">
        <v>49</v>
      </c>
      <c r="P8" s="8">
        <v>6</v>
      </c>
      <c r="Q8" s="9">
        <v>220000</v>
      </c>
      <c r="R8" s="9">
        <f t="shared" si="11"/>
        <v>215511.45040999996</v>
      </c>
      <c r="S8" s="9">
        <f t="shared" si="12"/>
        <v>-1092.4702890000037</v>
      </c>
      <c r="T8" s="9">
        <f t="shared" si="13"/>
        <v>216234.70069000003</v>
      </c>
      <c r="U8" s="9">
        <f t="shared" si="16"/>
        <v>-827.33086099999764</v>
      </c>
      <c r="V8" s="8">
        <f t="shared" si="4"/>
        <v>214418.98012099997</v>
      </c>
      <c r="W8" s="8">
        <f t="shared" si="5"/>
        <v>215407.36982900003</v>
      </c>
      <c r="X8" s="9">
        <f t="shared" si="17"/>
        <v>31147782.889793493</v>
      </c>
      <c r="Y8" s="9">
        <f>(Q8-W8)^2</f>
        <v>21092251.887579195</v>
      </c>
    </row>
    <row r="9" spans="1:35" x14ac:dyDescent="0.3">
      <c r="A9" s="50"/>
      <c r="B9" s="8" t="s">
        <v>50</v>
      </c>
      <c r="C9" s="8">
        <v>7</v>
      </c>
      <c r="D9" s="8">
        <v>10000</v>
      </c>
      <c r="E9" s="9">
        <f t="shared" si="7"/>
        <v>50833.322694499984</v>
      </c>
      <c r="F9" s="9">
        <f t="shared" si="8"/>
        <v>-5497.8647590500013</v>
      </c>
      <c r="G9" s="9">
        <f t="shared" si="9"/>
        <v>14263.487894500002</v>
      </c>
      <c r="H9" s="9">
        <f t="shared" si="10"/>
        <v>-8607.414677050001</v>
      </c>
      <c r="I9" s="9">
        <f t="shared" si="2"/>
        <v>45335.45793544998</v>
      </c>
      <c r="J9" s="9">
        <f t="shared" si="3"/>
        <v>5656.0732174500008</v>
      </c>
      <c r="K9" s="9">
        <f t="shared" si="0"/>
        <v>1248594587.5079551</v>
      </c>
      <c r="L9" s="9">
        <f t="shared" si="1"/>
        <v>18869699.892155189</v>
      </c>
      <c r="N9" s="50"/>
      <c r="O9" s="8" t="s">
        <v>50</v>
      </c>
      <c r="P9" s="8">
        <v>7</v>
      </c>
      <c r="Q9" s="8">
        <v>200000</v>
      </c>
      <c r="R9" s="8">
        <f t="shared" si="11"/>
        <v>210093.28608469997</v>
      </c>
      <c r="S9" s="8">
        <f t="shared" si="12"/>
        <v>-1525.0396926300027</v>
      </c>
      <c r="T9" s="8">
        <f t="shared" si="13"/>
        <v>204622.21094870003</v>
      </c>
      <c r="U9" s="8">
        <f t="shared" si="16"/>
        <v>-1905.8467490299981</v>
      </c>
      <c r="V9" s="8">
        <f t="shared" si="4"/>
        <v>208568.24639206997</v>
      </c>
      <c r="W9" s="8">
        <f t="shared" si="5"/>
        <v>202716.36419967003</v>
      </c>
      <c r="X9" s="9">
        <f t="shared" si="17"/>
        <v>73414846.23522</v>
      </c>
      <c r="Y9" s="9">
        <f t="shared" ref="Y9:Y25" si="18">(Q9-W9)^2</f>
        <v>7378634.4652490113</v>
      </c>
    </row>
    <row r="10" spans="1:35" x14ac:dyDescent="0.3">
      <c r="A10" s="50"/>
      <c r="B10" s="8" t="s">
        <v>51</v>
      </c>
      <c r="C10" s="8">
        <v>8</v>
      </c>
      <c r="D10" s="8">
        <v>60000</v>
      </c>
      <c r="E10" s="9">
        <f t="shared" si="7"/>
        <v>49734.820554814985</v>
      </c>
      <c r="F10" s="9">
        <f t="shared" si="8"/>
        <v>-5057.9284971135012</v>
      </c>
      <c r="G10" s="9">
        <f t="shared" si="9"/>
        <v>43696.821965235002</v>
      </c>
      <c r="H10" s="9">
        <f t="shared" si="10"/>
        <v>-4803.339802271501</v>
      </c>
      <c r="I10" s="9">
        <f t="shared" si="2"/>
        <v>44676.892057701487</v>
      </c>
      <c r="J10" s="9">
        <f t="shared" si="3"/>
        <v>38893.482162963497</v>
      </c>
      <c r="K10" s="9">
        <f t="shared" si="0"/>
        <v>234797637.01133177</v>
      </c>
      <c r="L10" s="9">
        <f t="shared" si="1"/>
        <v>445485095.20514005</v>
      </c>
      <c r="N10" s="50"/>
      <c r="O10" s="8" t="s">
        <v>51</v>
      </c>
      <c r="P10" s="8">
        <v>8</v>
      </c>
      <c r="Q10" s="8">
        <v>300000</v>
      </c>
      <c r="R10" s="8">
        <f t="shared" si="11"/>
        <v>235997.77247444895</v>
      </c>
      <c r="S10" s="8">
        <f t="shared" si="12"/>
        <v>1217.9129156078961</v>
      </c>
      <c r="T10" s="8">
        <f t="shared" si="13"/>
        <v>270814.90925990103</v>
      </c>
      <c r="U10" s="8">
        <f t="shared" si="16"/>
        <v>4904.0077569931027</v>
      </c>
      <c r="V10" s="8">
        <f t="shared" si="4"/>
        <v>237215.68539005684</v>
      </c>
      <c r="W10" s="8">
        <f t="shared" si="5"/>
        <v>275718.91701689415</v>
      </c>
      <c r="X10" s="9">
        <f t="shared" si="17"/>
        <v>3941870161.0403223</v>
      </c>
      <c r="Y10" s="9">
        <f t="shared" si="18"/>
        <v>589570990.83247256</v>
      </c>
    </row>
    <row r="11" spans="1:35" x14ac:dyDescent="0.3">
      <c r="A11" s="50"/>
      <c r="B11" s="8" t="s">
        <v>52</v>
      </c>
      <c r="C11" s="8">
        <v>9</v>
      </c>
      <c r="D11" s="8">
        <v>100000</v>
      </c>
      <c r="E11" s="9">
        <f t="shared" si="7"/>
        <v>61273.824440391036</v>
      </c>
      <c r="F11" s="9">
        <f t="shared" si="8"/>
        <v>-3398.2352588445465</v>
      </c>
      <c r="G11" s="9">
        <f t="shared" si="9"/>
        <v>81668.044648889045</v>
      </c>
      <c r="H11" s="9">
        <f t="shared" si="10"/>
        <v>-525.8835536789461</v>
      </c>
      <c r="I11" s="9">
        <f t="shared" si="2"/>
        <v>57875.589181546486</v>
      </c>
      <c r="J11" s="9">
        <f t="shared" si="3"/>
        <v>81142.161095210104</v>
      </c>
      <c r="K11" s="9">
        <f t="shared" si="0"/>
        <v>1774465986.8018434</v>
      </c>
      <c r="L11" s="9">
        <f t="shared" si="1"/>
        <v>355618088.15900737</v>
      </c>
      <c r="N11" s="50"/>
      <c r="O11" s="8" t="s">
        <v>52</v>
      </c>
      <c r="P11" s="8">
        <v>9</v>
      </c>
      <c r="Q11" s="8">
        <v>200000</v>
      </c>
      <c r="R11" s="8">
        <f t="shared" si="11"/>
        <v>226050.97977303978</v>
      </c>
      <c r="S11" s="8">
        <f t="shared" si="12"/>
        <v>101.44235390618951</v>
      </c>
      <c r="T11" s="8">
        <f t="shared" si="13"/>
        <v>222715.67510506825</v>
      </c>
      <c r="U11" s="8">
        <f t="shared" si="16"/>
        <v>-396.31643418948624</v>
      </c>
      <c r="V11" s="8">
        <f t="shared" si="4"/>
        <v>226152.42212694598</v>
      </c>
      <c r="W11" s="8">
        <f t="shared" si="5"/>
        <v>222319.35867087878</v>
      </c>
      <c r="X11" s="9">
        <f t="shared" si="17"/>
        <v>683949183.10597372</v>
      </c>
      <c r="Y11" s="9">
        <f t="shared" si="18"/>
        <v>498153771.47933167</v>
      </c>
    </row>
    <row r="12" spans="1:35" x14ac:dyDescent="0.3">
      <c r="A12" s="50"/>
      <c r="B12" s="8" t="s">
        <v>53</v>
      </c>
      <c r="C12" s="8">
        <v>10</v>
      </c>
      <c r="D12" s="8">
        <v>110000</v>
      </c>
      <c r="E12" s="9">
        <f t="shared" si="7"/>
        <v>73512.912427082541</v>
      </c>
      <c r="F12" s="9">
        <f t="shared" si="8"/>
        <v>-1834.5029342909411</v>
      </c>
      <c r="G12" s="9">
        <f t="shared" si="9"/>
        <v>101342.64832856304</v>
      </c>
      <c r="H12" s="9">
        <f t="shared" si="10"/>
        <v>1494.1651696563479</v>
      </c>
      <c r="I12" s="9">
        <f t="shared" si="2"/>
        <v>71678.409492791601</v>
      </c>
      <c r="J12" s="9">
        <f t="shared" si="3"/>
        <v>102836.81349821939</v>
      </c>
      <c r="K12" s="9">
        <f t="shared" si="0"/>
        <v>1468544299.0021648</v>
      </c>
      <c r="L12" s="9">
        <f t="shared" si="1"/>
        <v>51311240.859291963</v>
      </c>
      <c r="N12" s="50"/>
      <c r="O12" s="8" t="s">
        <v>53</v>
      </c>
      <c r="P12" s="8">
        <v>10</v>
      </c>
      <c r="Q12" s="8">
        <v>200000</v>
      </c>
      <c r="R12" s="8">
        <f t="shared" si="11"/>
        <v>218306.69548886217</v>
      </c>
      <c r="S12" s="8">
        <f t="shared" si="12"/>
        <v>-683.13030990219102</v>
      </c>
      <c r="T12" s="8">
        <f t="shared" si="13"/>
        <v>206695.80760126363</v>
      </c>
      <c r="U12" s="8">
        <f t="shared" si="16"/>
        <v>-1958.6715411509997</v>
      </c>
      <c r="V12" s="8">
        <f t="shared" si="4"/>
        <v>217623.56517895998</v>
      </c>
      <c r="W12" s="8">
        <f t="shared" si="5"/>
        <v>204737.13606011262</v>
      </c>
      <c r="X12" s="9">
        <f t="shared" si="17"/>
        <v>310590049.61705071</v>
      </c>
      <c r="Y12" s="9">
        <f t="shared" si="18"/>
        <v>22440458.052019332</v>
      </c>
    </row>
    <row r="13" spans="1:35" x14ac:dyDescent="0.3">
      <c r="A13" s="50"/>
      <c r="B13" s="8" t="s">
        <v>54</v>
      </c>
      <c r="C13" s="8">
        <v>11</v>
      </c>
      <c r="D13" s="8">
        <v>110000</v>
      </c>
      <c r="E13" s="9">
        <f t="shared" si="7"/>
        <v>83174.886644954124</v>
      </c>
      <c r="F13" s="9">
        <f t="shared" si="8"/>
        <v>-684.85521907468876</v>
      </c>
      <c r="G13" s="9">
        <f t="shared" si="9"/>
        <v>107851.04404946583</v>
      </c>
      <c r="H13" s="9">
        <f t="shared" si="10"/>
        <v>1995.5882247809918</v>
      </c>
      <c r="I13" s="9">
        <f t="shared" si="2"/>
        <v>82490.031425879439</v>
      </c>
      <c r="J13" s="9">
        <f t="shared" si="3"/>
        <v>109846.63227424682</v>
      </c>
      <c r="K13" s="9">
        <f t="shared" si="0"/>
        <v>756798370.94910085</v>
      </c>
      <c r="L13" s="9">
        <f t="shared" si="1"/>
        <v>23521.659302703163</v>
      </c>
      <c r="N13" s="50"/>
      <c r="O13" s="8" t="s">
        <v>54</v>
      </c>
      <c r="P13" s="8">
        <v>11</v>
      </c>
      <c r="Q13" s="8">
        <v>210000</v>
      </c>
      <c r="R13" s="8">
        <f t="shared" si="11"/>
        <v>215336.49562527199</v>
      </c>
      <c r="S13" s="8">
        <f t="shared" si="12"/>
        <v>-911.83726527099032</v>
      </c>
      <c r="T13" s="8">
        <f t="shared" si="13"/>
        <v>208421.1408180338</v>
      </c>
      <c r="U13" s="8">
        <f t="shared" si="16"/>
        <v>-1590.2710653588824</v>
      </c>
      <c r="V13" s="8">
        <f t="shared" si="4"/>
        <v>214424.65836000099</v>
      </c>
      <c r="W13" s="8">
        <f t="shared" si="5"/>
        <v>206830.86975267492</v>
      </c>
      <c r="X13" s="9">
        <f t="shared" si="17"/>
        <v>19577601.602726657</v>
      </c>
      <c r="Y13" s="9">
        <f t="shared" si="18"/>
        <v>10043386.524510745</v>
      </c>
    </row>
    <row r="14" spans="1:35" x14ac:dyDescent="0.3">
      <c r="A14" s="50"/>
      <c r="B14" s="8" t="s">
        <v>55</v>
      </c>
      <c r="C14" s="8">
        <v>12</v>
      </c>
      <c r="D14" s="8">
        <v>70000</v>
      </c>
      <c r="E14" s="9">
        <f t="shared" si="7"/>
        <v>78743.021998115611</v>
      </c>
      <c r="F14" s="9">
        <f t="shared" si="8"/>
        <v>-1059.556161851071</v>
      </c>
      <c r="G14" s="9">
        <f t="shared" si="9"/>
        <v>81953.989682274056</v>
      </c>
      <c r="H14" s="9">
        <f t="shared" si="10"/>
        <v>-793.67603441628444</v>
      </c>
      <c r="I14" s="9">
        <f t="shared" si="2"/>
        <v>77683.465836264542</v>
      </c>
      <c r="J14" s="9">
        <f t="shared" si="3"/>
        <v>81160.313647857765</v>
      </c>
      <c r="K14" s="9">
        <f t="shared" si="0"/>
        <v>59035647.257044382</v>
      </c>
      <c r="L14" s="9">
        <f t="shared" si="1"/>
        <v>124552600.71856029</v>
      </c>
      <c r="N14" s="50"/>
      <c r="O14" s="8" t="s">
        <v>55</v>
      </c>
      <c r="P14" s="8">
        <v>12</v>
      </c>
      <c r="Q14" s="8">
        <v>200000</v>
      </c>
      <c r="R14" s="8">
        <f t="shared" si="11"/>
        <v>210097.26085200068</v>
      </c>
      <c r="S14" s="8">
        <f t="shared" si="12"/>
        <v>-1344.5770160710222</v>
      </c>
      <c r="T14" s="8">
        <f t="shared" si="13"/>
        <v>202049.26092580249</v>
      </c>
      <c r="U14" s="8">
        <f t="shared" si="16"/>
        <v>-2068.4319480461259</v>
      </c>
      <c r="V14" s="8">
        <f t="shared" si="4"/>
        <v>208752.68383592967</v>
      </c>
      <c r="W14" s="8">
        <f t="shared" si="5"/>
        <v>199980.82897775638</v>
      </c>
      <c r="X14" s="9">
        <f t="shared" si="17"/>
        <v>76609474.331744477</v>
      </c>
      <c r="Y14" s="9">
        <f t="shared" si="18"/>
        <v>367.52809386549382</v>
      </c>
    </row>
    <row r="15" spans="1:35" x14ac:dyDescent="0.3">
      <c r="A15" s="53">
        <v>2022</v>
      </c>
      <c r="B15" s="8" t="s">
        <v>44</v>
      </c>
      <c r="C15" s="8">
        <v>13</v>
      </c>
      <c r="D15" s="8">
        <v>10000</v>
      </c>
      <c r="E15" s="9">
        <f t="shared" si="7"/>
        <v>57378.426085385174</v>
      </c>
      <c r="F15" s="9">
        <f t="shared" si="8"/>
        <v>-3090.0601369390079</v>
      </c>
      <c r="G15" s="9">
        <f t="shared" si="9"/>
        <v>31348.094094357333</v>
      </c>
      <c r="H15" s="9">
        <f t="shared" si="10"/>
        <v>-5774.8979897663285</v>
      </c>
      <c r="I15" s="9">
        <f t="shared" si="2"/>
        <v>54288.365948446168</v>
      </c>
      <c r="J15" s="9">
        <f t="shared" si="3"/>
        <v>25573.196104591007</v>
      </c>
      <c r="K15" s="9">
        <f t="shared" si="0"/>
        <v>1961459358.383486</v>
      </c>
      <c r="L15" s="9">
        <f t="shared" si="1"/>
        <v>242524436.91204849</v>
      </c>
      <c r="N15" s="50">
        <v>2022</v>
      </c>
      <c r="O15" s="8" t="s">
        <v>44</v>
      </c>
      <c r="P15" s="8">
        <v>13</v>
      </c>
      <c r="Q15" s="8">
        <v>230000</v>
      </c>
      <c r="R15" s="8">
        <f t="shared" si="11"/>
        <v>215126.87868515076</v>
      </c>
      <c r="S15" s="8">
        <f t="shared" si="12"/>
        <v>-707.15753114891163</v>
      </c>
      <c r="T15" s="8">
        <f t="shared" si="13"/>
        <v>220994.24869332692</v>
      </c>
      <c r="U15" s="8">
        <f t="shared" si="16"/>
        <v>32.910023510930159</v>
      </c>
      <c r="V15" s="8">
        <f t="shared" si="4"/>
        <v>214419.72115400186</v>
      </c>
      <c r="W15" s="8">
        <f t="shared" si="5"/>
        <v>221027.15871683785</v>
      </c>
      <c r="X15" s="9">
        <f t="shared" si="17"/>
        <v>242745088.91905707</v>
      </c>
      <c r="Y15" s="9">
        <f t="shared" si="18"/>
        <v>80511880.692819044</v>
      </c>
    </row>
    <row r="16" spans="1:35" x14ac:dyDescent="0.3">
      <c r="A16" s="54"/>
      <c r="B16" s="8" t="s">
        <v>45</v>
      </c>
      <c r="C16" s="8">
        <v>14</v>
      </c>
      <c r="D16" s="8">
        <v>15000</v>
      </c>
      <c r="E16" s="9">
        <f t="shared" si="7"/>
        <v>42501.856163912315</v>
      </c>
      <c r="F16" s="9">
        <f t="shared" si="8"/>
        <v>-4268.7111153923934</v>
      </c>
      <c r="G16" s="9">
        <f t="shared" si="9"/>
        <v>18171.958831377302</v>
      </c>
      <c r="H16" s="9">
        <f t="shared" si="10"/>
        <v>-6515.0217170876995</v>
      </c>
      <c r="I16" s="9">
        <f t="shared" si="2"/>
        <v>38233.145048519924</v>
      </c>
      <c r="J16" s="9">
        <f t="shared" si="3"/>
        <v>11656.937114289602</v>
      </c>
      <c r="K16" s="9">
        <f t="shared" si="0"/>
        <v>539779028.84556592</v>
      </c>
      <c r="L16" s="9">
        <f t="shared" si="1"/>
        <v>11176069.457814336</v>
      </c>
      <c r="N16" s="50"/>
      <c r="O16" s="8" t="s">
        <v>45</v>
      </c>
      <c r="P16" s="8">
        <v>14</v>
      </c>
      <c r="Q16" s="8">
        <v>250000</v>
      </c>
      <c r="R16" s="8">
        <f t="shared" si="11"/>
        <v>225093.80480780129</v>
      </c>
      <c r="S16" s="8">
        <f t="shared" si="12"/>
        <v>360.25083423103297</v>
      </c>
      <c r="T16" s="8">
        <f t="shared" si="13"/>
        <v>241308.14761505136</v>
      </c>
      <c r="U16" s="8">
        <f t="shared" si="16"/>
        <v>2061.0089133322813</v>
      </c>
      <c r="V16" s="8">
        <f t="shared" si="4"/>
        <v>225454.05564203233</v>
      </c>
      <c r="W16" s="8">
        <f t="shared" si="5"/>
        <v>243369.15652838364</v>
      </c>
      <c r="X16" s="9">
        <f t="shared" si="17"/>
        <v>602503384.42444503</v>
      </c>
      <c r="Y16" s="9">
        <f t="shared" si="18"/>
        <v>43968085.145077318</v>
      </c>
    </row>
    <row r="17" spans="1:25" x14ac:dyDescent="0.3">
      <c r="A17" s="54"/>
      <c r="B17" s="8" t="s">
        <v>46</v>
      </c>
      <c r="C17" s="8">
        <v>15</v>
      </c>
      <c r="D17" s="8">
        <v>20000</v>
      </c>
      <c r="E17" s="9">
        <f t="shared" si="7"/>
        <v>32763.201533963944</v>
      </c>
      <c r="F17" s="9">
        <f t="shared" si="8"/>
        <v>-4815.7054668479914</v>
      </c>
      <c r="G17" s="9">
        <f t="shared" si="9"/>
        <v>17497.08113428688</v>
      </c>
      <c r="H17" s="9">
        <f t="shared" si="10"/>
        <v>-5931.0073150879716</v>
      </c>
      <c r="I17" s="9">
        <f t="shared" si="2"/>
        <v>27947.496067115953</v>
      </c>
      <c r="J17" s="9">
        <f t="shared" si="3"/>
        <v>11566.073819198908</v>
      </c>
      <c r="K17" s="9">
        <f t="shared" si="0"/>
        <v>63162693.736823544</v>
      </c>
      <c r="L17" s="9">
        <f t="shared" si="1"/>
        <v>71131110.823202103</v>
      </c>
      <c r="N17" s="50"/>
      <c r="O17" s="8" t="s">
        <v>46</v>
      </c>
      <c r="P17" s="8">
        <v>15</v>
      </c>
      <c r="Q17" s="8">
        <v>300000</v>
      </c>
      <c r="R17" s="8">
        <f t="shared" si="11"/>
        <v>247817.83894942261</v>
      </c>
      <c r="S17" s="8">
        <f t="shared" si="12"/>
        <v>2596.6291649700615</v>
      </c>
      <c r="T17" s="8">
        <f t="shared" si="13"/>
        <v>283010.74695851508</v>
      </c>
      <c r="U17" s="8">
        <f t="shared" si="16"/>
        <v>6025.1679563454254</v>
      </c>
      <c r="V17" s="8">
        <f t="shared" si="4"/>
        <v>250414.46811439269</v>
      </c>
      <c r="W17" s="8">
        <f t="shared" si="5"/>
        <v>289035.91491486051</v>
      </c>
      <c r="X17" s="9">
        <f t="shared" si="17"/>
        <v>2458724972.3785796</v>
      </c>
      <c r="Y17" s="9">
        <f t="shared" si="18"/>
        <v>120211161.7541783</v>
      </c>
    </row>
    <row r="18" spans="1:25" x14ac:dyDescent="0.3">
      <c r="A18" s="54"/>
      <c r="B18" s="8" t="s">
        <v>47</v>
      </c>
      <c r="C18" s="8">
        <v>16</v>
      </c>
      <c r="D18" s="8">
        <v>40000</v>
      </c>
      <c r="E18" s="9">
        <f t="shared" si="7"/>
        <v>31563.247246981166</v>
      </c>
      <c r="F18" s="9">
        <f t="shared" si="8"/>
        <v>-4454.1303488614694</v>
      </c>
      <c r="G18" s="9">
        <f t="shared" si="9"/>
        <v>31469.822145759674</v>
      </c>
      <c r="H18" s="9">
        <f t="shared" si="10"/>
        <v>-3940.6324824318949</v>
      </c>
      <c r="I18" s="9">
        <f t="shared" si="2"/>
        <v>27109.116898119697</v>
      </c>
      <c r="J18" s="9">
        <f t="shared" si="3"/>
        <v>27529.189663327779</v>
      </c>
      <c r="K18" s="9">
        <f t="shared" si="0"/>
        <v>166174867.14634314</v>
      </c>
      <c r="L18" s="9">
        <f t="shared" si="1"/>
        <v>155521110.45325071</v>
      </c>
      <c r="N18" s="50"/>
      <c r="O18" s="8" t="s">
        <v>47</v>
      </c>
      <c r="P18" s="8">
        <v>16</v>
      </c>
      <c r="Q18" s="8">
        <v>270000</v>
      </c>
      <c r="R18" s="8">
        <f t="shared" si="11"/>
        <v>256290.12768007486</v>
      </c>
      <c r="S18" s="8">
        <f t="shared" si="12"/>
        <v>3184.1951215382805</v>
      </c>
      <c r="T18" s="8">
        <f t="shared" si="13"/>
        <v>275710.77447445819</v>
      </c>
      <c r="U18" s="8">
        <f t="shared" si="16"/>
        <v>4692.6539123051934</v>
      </c>
      <c r="V18" s="8">
        <f t="shared" si="4"/>
        <v>259474.32280161313</v>
      </c>
      <c r="W18" s="8">
        <f t="shared" si="5"/>
        <v>280403.42838676338</v>
      </c>
      <c r="X18" s="9">
        <f t="shared" si="17"/>
        <v>110789880.48464122</v>
      </c>
      <c r="Y18" s="9">
        <f t="shared" si="18"/>
        <v>108231322.19851407</v>
      </c>
    </row>
    <row r="19" spans="1:25" x14ac:dyDescent="0.3">
      <c r="A19" s="54"/>
      <c r="B19" s="8" t="s">
        <v>48</v>
      </c>
      <c r="C19" s="8">
        <v>17</v>
      </c>
      <c r="D19" s="8">
        <v>40000</v>
      </c>
      <c r="E19" s="9">
        <f t="shared" si="7"/>
        <v>30976.381828683785</v>
      </c>
      <c r="F19" s="9">
        <f t="shared" si="8"/>
        <v>-4067.4038558050606</v>
      </c>
      <c r="G19" s="9">
        <f t="shared" si="9"/>
        <v>36258.756898998334</v>
      </c>
      <c r="H19" s="9">
        <f t="shared" si="10"/>
        <v>-3067.6757588648397</v>
      </c>
      <c r="I19" s="9">
        <f t="shared" si="2"/>
        <v>26908.977972878725</v>
      </c>
      <c r="J19" s="9">
        <f t="shared" si="3"/>
        <v>33191.081140133494</v>
      </c>
      <c r="K19" s="9">
        <f t="shared" si="0"/>
        <v>171374857.7145744</v>
      </c>
      <c r="L19" s="9">
        <f t="shared" si="1"/>
        <v>46361376.040245801</v>
      </c>
      <c r="N19" s="50"/>
      <c r="O19" s="8" t="s">
        <v>48</v>
      </c>
      <c r="P19" s="8">
        <v>17</v>
      </c>
      <c r="Q19" s="8">
        <v>200000</v>
      </c>
      <c r="R19" s="8">
        <f t="shared" si="11"/>
        <v>241632.02596112917</v>
      </c>
      <c r="S19" s="8">
        <f t="shared" si="12"/>
        <v>1399.9654374898837</v>
      </c>
      <c r="T19" s="8">
        <f t="shared" si="13"/>
        <v>224121.02851602901</v>
      </c>
      <c r="U19" s="8">
        <f t="shared" si="16"/>
        <v>-935.58607476824454</v>
      </c>
      <c r="V19" s="8">
        <f t="shared" si="4"/>
        <v>243031.99139861905</v>
      </c>
      <c r="W19" s="8">
        <f t="shared" si="5"/>
        <v>223185.44244126076</v>
      </c>
      <c r="X19" s="9">
        <f t="shared" si="17"/>
        <v>1851752283.730824</v>
      </c>
      <c r="Y19" s="9">
        <f t="shared" si="18"/>
        <v>537564741.19701576</v>
      </c>
    </row>
    <row r="20" spans="1:25" x14ac:dyDescent="0.3">
      <c r="A20" s="54"/>
      <c r="B20" s="8" t="s">
        <v>49</v>
      </c>
      <c r="C20" s="8">
        <v>18</v>
      </c>
      <c r="D20" s="8">
        <v>10000</v>
      </c>
      <c r="E20" s="9">
        <f t="shared" si="7"/>
        <v>21836.284581015105</v>
      </c>
      <c r="F20" s="9">
        <f t="shared" si="8"/>
        <v>-4574.6731949914229</v>
      </c>
      <c r="G20" s="9">
        <f t="shared" si="9"/>
        <v>16957.32434204005</v>
      </c>
      <c r="H20" s="9">
        <f t="shared" si="10"/>
        <v>-4691.0514386741843</v>
      </c>
      <c r="I20" s="9">
        <f t="shared" si="2"/>
        <v>17261.61138602368</v>
      </c>
      <c r="J20" s="9">
        <f t="shared" si="3"/>
        <v>12266.272903365865</v>
      </c>
      <c r="K20" s="9">
        <f t="shared" si="0"/>
        <v>52730999.921628751</v>
      </c>
      <c r="L20" s="9">
        <f t="shared" si="1"/>
        <v>5135992.8725303486</v>
      </c>
      <c r="N20" s="50"/>
      <c r="O20" s="8" t="s">
        <v>49</v>
      </c>
      <c r="P20" s="8">
        <v>18</v>
      </c>
      <c r="Q20" s="8">
        <v>200000</v>
      </c>
      <c r="R20" s="8">
        <f t="shared" si="11"/>
        <v>230122.39397903334</v>
      </c>
      <c r="S20" s="8">
        <f t="shared" si="12"/>
        <v>109.00569553131209</v>
      </c>
      <c r="T20" s="8">
        <f t="shared" si="13"/>
        <v>206955.63273237823</v>
      </c>
      <c r="U20" s="8">
        <f t="shared" si="16"/>
        <v>-2558.5670456564976</v>
      </c>
      <c r="V20" s="8">
        <f t="shared" si="4"/>
        <v>230231.39967456466</v>
      </c>
      <c r="W20" s="8">
        <f t="shared" si="5"/>
        <v>204397.06568672173</v>
      </c>
      <c r="X20" s="9">
        <f t="shared" si="17"/>
        <v>913937526.28326809</v>
      </c>
      <c r="Y20" s="9">
        <f t="shared" si="18"/>
        <v>19334186.653345667</v>
      </c>
    </row>
    <row r="21" spans="1:25" x14ac:dyDescent="0.3">
      <c r="A21" s="54"/>
      <c r="B21" s="8" t="s">
        <v>50</v>
      </c>
      <c r="C21" s="8">
        <v>19</v>
      </c>
      <c r="D21" s="8">
        <v>5000</v>
      </c>
      <c r="E21" s="9">
        <f t="shared" si="7"/>
        <v>13583.127970216576</v>
      </c>
      <c r="F21" s="9">
        <f t="shared" si="8"/>
        <v>-4942.5215365721342</v>
      </c>
      <c r="G21" s="9">
        <f t="shared" si="9"/>
        <v>7179.8818710097603</v>
      </c>
      <c r="H21" s="9">
        <f t="shared" si="10"/>
        <v>-5199.6905419097948</v>
      </c>
      <c r="I21" s="9">
        <f t="shared" si="2"/>
        <v>8640.6064336444415</v>
      </c>
      <c r="J21" s="9">
        <f t="shared" si="3"/>
        <v>1980.1913290999655</v>
      </c>
      <c r="K21" s="9">
        <f t="shared" si="0"/>
        <v>13254015.204693299</v>
      </c>
      <c r="L21" s="9">
        <f t="shared" si="1"/>
        <v>9119244.408843033</v>
      </c>
      <c r="N21" s="50"/>
      <c r="O21" s="8" t="s">
        <v>50</v>
      </c>
      <c r="P21" s="8">
        <v>19</v>
      </c>
      <c r="Q21" s="8">
        <v>180000</v>
      </c>
      <c r="R21" s="8">
        <f t="shared" si="11"/>
        <v>215161.97977219525</v>
      </c>
      <c r="S21" s="8">
        <f t="shared" si="12"/>
        <v>-1397.9362947056281</v>
      </c>
      <c r="T21" s="8">
        <f t="shared" si="13"/>
        <v>187319.1197060165</v>
      </c>
      <c r="U21" s="8">
        <f t="shared" si="16"/>
        <v>-4266.3616437270211</v>
      </c>
      <c r="V21" s="8">
        <f t="shared" si="4"/>
        <v>213764.04347748961</v>
      </c>
      <c r="W21" s="8">
        <f t="shared" si="5"/>
        <v>183052.75806228947</v>
      </c>
      <c r="X21" s="9">
        <f t="shared" si="17"/>
        <v>1140010631.9498088</v>
      </c>
      <c r="Y21" s="9">
        <f t="shared" si="18"/>
        <v>9319331.786873389</v>
      </c>
    </row>
    <row r="22" spans="1:25" x14ac:dyDescent="0.3">
      <c r="A22" s="54"/>
      <c r="B22" s="8" t="s">
        <v>51</v>
      </c>
      <c r="C22" s="8">
        <v>20</v>
      </c>
      <c r="D22" s="8">
        <v>8000</v>
      </c>
      <c r="E22" s="9">
        <f t="shared" si="7"/>
        <v>8448.4245035511085</v>
      </c>
      <c r="F22" s="9">
        <f t="shared" si="8"/>
        <v>-4961.7397295814681</v>
      </c>
      <c r="G22" s="9">
        <f t="shared" si="9"/>
        <v>6194.0573987299895</v>
      </c>
      <c r="H22" s="9">
        <f t="shared" si="10"/>
        <v>-4778.3039349467927</v>
      </c>
      <c r="I22" s="9">
        <f t="shared" si="2"/>
        <v>3486.6847739696404</v>
      </c>
      <c r="J22" s="9">
        <f t="shared" si="3"/>
        <v>1415.7534637831968</v>
      </c>
      <c r="K22" s="9">
        <f t="shared" si="0"/>
        <v>20370014.329517476</v>
      </c>
      <c r="L22" s="9">
        <f t="shared" si="1"/>
        <v>43352302.449682973</v>
      </c>
      <c r="N22" s="50"/>
      <c r="O22" s="8" t="s">
        <v>51</v>
      </c>
      <c r="P22" s="8">
        <v>20</v>
      </c>
      <c r="Q22" s="8">
        <v>240000</v>
      </c>
      <c r="R22" s="8">
        <f t="shared" si="11"/>
        <v>221634.83043424273</v>
      </c>
      <c r="S22" s="8">
        <f t="shared" si="12"/>
        <v>-610.85759903031726</v>
      </c>
      <c r="T22" s="8">
        <f t="shared" si="13"/>
        <v>222915.82741868685</v>
      </c>
      <c r="U22" s="8">
        <f t="shared" si="16"/>
        <v>-280.05470808728387</v>
      </c>
      <c r="V22" s="8">
        <f t="shared" si="4"/>
        <v>221023.97283521242</v>
      </c>
      <c r="W22" s="8">
        <f t="shared" si="5"/>
        <v>222635.77271059956</v>
      </c>
      <c r="X22" s="9">
        <f t="shared" si="17"/>
        <v>360089606.95875609</v>
      </c>
      <c r="Y22" s="9">
        <f t="shared" si="18"/>
        <v>301516389.35795903</v>
      </c>
    </row>
    <row r="23" spans="1:25" x14ac:dyDescent="0.3">
      <c r="A23" s="54"/>
      <c r="B23" s="8" t="s">
        <v>52</v>
      </c>
      <c r="C23" s="8">
        <v>21</v>
      </c>
      <c r="D23" s="8">
        <v>10000</v>
      </c>
      <c r="E23" s="9">
        <f t="shared" si="7"/>
        <v>5440.6793417787485</v>
      </c>
      <c r="F23" s="9">
        <f t="shared" si="8"/>
        <v>-4766.3402728005576</v>
      </c>
      <c r="G23" s="9">
        <f t="shared" si="9"/>
        <v>7424.7260391349591</v>
      </c>
      <c r="H23" s="9">
        <f t="shared" si="10"/>
        <v>-4177.4066774116163</v>
      </c>
      <c r="I23" s="9">
        <f t="shared" si="2"/>
        <v>674.33906897819088</v>
      </c>
      <c r="J23" s="9">
        <f t="shared" si="3"/>
        <v>3247.3193617233428</v>
      </c>
      <c r="K23" s="9">
        <f t="shared" si="0"/>
        <v>86967951.800386533</v>
      </c>
      <c r="L23" s="9">
        <f t="shared" si="1"/>
        <v>45598695.80255644</v>
      </c>
      <c r="N23" s="50"/>
      <c r="O23" s="8" t="s">
        <v>52</v>
      </c>
      <c r="P23" s="8">
        <v>21</v>
      </c>
      <c r="Q23" s="8">
        <v>220000</v>
      </c>
      <c r="R23" s="8">
        <f t="shared" si="11"/>
        <v>220716.78098464868</v>
      </c>
      <c r="S23" s="8">
        <f t="shared" si="12"/>
        <v>-641.57678408669074</v>
      </c>
      <c r="T23" s="8">
        <f t="shared" si="13"/>
        <v>220790.73181317988</v>
      </c>
      <c r="U23" s="8">
        <f t="shared" si="16"/>
        <v>-464.5587978292524</v>
      </c>
      <c r="V23" s="8">
        <f t="shared" si="4"/>
        <v>220075.20420056197</v>
      </c>
      <c r="W23" s="8">
        <f t="shared" si="5"/>
        <v>220326.17301535062</v>
      </c>
      <c r="X23" s="9">
        <f t="shared" si="17"/>
        <v>5655.6717821655002</v>
      </c>
      <c r="Y23" s="9">
        <f t="shared" si="18"/>
        <v>106388.83594291672</v>
      </c>
    </row>
    <row r="24" spans="1:25" x14ac:dyDescent="0.3">
      <c r="A24" s="54"/>
      <c r="B24" s="8" t="s">
        <v>53</v>
      </c>
      <c r="C24" s="8">
        <v>22</v>
      </c>
      <c r="D24" s="8">
        <v>10000</v>
      </c>
      <c r="E24" s="9">
        <f t="shared" si="7"/>
        <v>3472.0373482847335</v>
      </c>
      <c r="F24" s="9">
        <f t="shared" si="8"/>
        <v>-4486.5704448699034</v>
      </c>
      <c r="G24" s="9">
        <f t="shared" si="9"/>
        <v>7974.1958085170027</v>
      </c>
      <c r="H24" s="9">
        <f t="shared" si="10"/>
        <v>-3704.7190327322505</v>
      </c>
      <c r="I24" s="9">
        <f t="shared" si="2"/>
        <v>-1014.5330965851699</v>
      </c>
      <c r="J24" s="9">
        <f t="shared" si="3"/>
        <v>4269.4767757847521</v>
      </c>
      <c r="K24" s="9">
        <f t="shared" si="0"/>
        <v>121319939.33577009</v>
      </c>
      <c r="L24" s="9">
        <f t="shared" si="1"/>
        <v>32838896.423270319</v>
      </c>
      <c r="N24" s="50"/>
      <c r="O24" s="8" t="s">
        <v>53</v>
      </c>
      <c r="P24" s="8">
        <v>22</v>
      </c>
      <c r="Q24" s="8">
        <v>250000</v>
      </c>
      <c r="R24" s="8">
        <f t="shared" si="11"/>
        <v>229052.64294039336</v>
      </c>
      <c r="S24" s="8">
        <f t="shared" si="12"/>
        <v>256.16708989644644</v>
      </c>
      <c r="T24" s="8">
        <f t="shared" si="13"/>
        <v>241097.8519046052</v>
      </c>
      <c r="U24" s="8">
        <f t="shared" si="16"/>
        <v>1612.6090910962041</v>
      </c>
      <c r="V24" s="8">
        <f t="shared" si="4"/>
        <v>229308.81003028981</v>
      </c>
      <c r="W24" s="8">
        <f t="shared" si="5"/>
        <v>242710.4609957014</v>
      </c>
      <c r="X24" s="9">
        <f t="shared" si="17"/>
        <v>428125342.36263561</v>
      </c>
      <c r="Y24" s="9">
        <f t="shared" si="18"/>
        <v>53137378.895190574</v>
      </c>
    </row>
    <row r="25" spans="1:25" x14ac:dyDescent="0.3">
      <c r="A25" s="54"/>
      <c r="B25" s="8" t="s">
        <v>54</v>
      </c>
      <c r="C25" s="8">
        <v>23</v>
      </c>
      <c r="D25" s="8">
        <v>8000</v>
      </c>
      <c r="E25" s="9">
        <f t="shared" si="7"/>
        <v>1689.8268323903812</v>
      </c>
      <c r="F25" s="9">
        <f t="shared" si="8"/>
        <v>-4216.134451972348</v>
      </c>
      <c r="G25" s="9">
        <f t="shared" si="9"/>
        <v>6880.8430327354254</v>
      </c>
      <c r="H25" s="9">
        <f t="shared" si="10"/>
        <v>-3443.5824070371832</v>
      </c>
      <c r="I25" s="9">
        <f t="shared" si="2"/>
        <v>-2526.3076195819667</v>
      </c>
      <c r="J25" s="9">
        <f t="shared" si="3"/>
        <v>3437.2606256982422</v>
      </c>
      <c r="K25" s="9">
        <f t="shared" si="0"/>
        <v>110803152.10206938</v>
      </c>
      <c r="L25" s="9">
        <f t="shared" si="1"/>
        <v>20818590.5978036</v>
      </c>
      <c r="N25" s="50"/>
      <c r="O25" s="8" t="s">
        <v>54</v>
      </c>
      <c r="P25" s="8">
        <v>23</v>
      </c>
      <c r="Q25" s="8">
        <v>200000</v>
      </c>
      <c r="R25" s="8">
        <f t="shared" si="11"/>
        <v>220516.16702120285</v>
      </c>
      <c r="S25" s="8">
        <f t="shared" si="12"/>
        <v>-623.09721101224852</v>
      </c>
      <c r="T25" s="8">
        <f t="shared" si="13"/>
        <v>212813.13829871043</v>
      </c>
      <c r="U25" s="8">
        <f t="shared" si="16"/>
        <v>-1377.1231786028929</v>
      </c>
      <c r="V25" s="8">
        <f t="shared" si="4"/>
        <v>219893.06981019062</v>
      </c>
      <c r="W25" s="8">
        <f t="shared" si="5"/>
        <v>211436.01512010754</v>
      </c>
      <c r="X25" s="9">
        <f t="shared" si="17"/>
        <v>395734226.47311735</v>
      </c>
      <c r="Y25" s="9">
        <f t="shared" si="18"/>
        <v>130782441.82732816</v>
      </c>
    </row>
    <row r="26" spans="1:25" x14ac:dyDescent="0.3">
      <c r="A26" s="55"/>
      <c r="B26" s="8" t="s">
        <v>55</v>
      </c>
      <c r="C26" s="8">
        <v>24</v>
      </c>
      <c r="D26" s="8">
        <v>80000</v>
      </c>
      <c r="E26" s="9">
        <f t="shared" si="7"/>
        <v>22231.584666292623</v>
      </c>
      <c r="F26" s="9">
        <f t="shared" si="8"/>
        <v>-1740.3452233848889</v>
      </c>
      <c r="G26" s="9">
        <f t="shared" si="9"/>
        <v>57031.178187709476</v>
      </c>
      <c r="H26" s="9">
        <f t="shared" si="10"/>
        <v>1915.8093491639406</v>
      </c>
      <c r="I26" s="9">
        <f t="shared" si="2"/>
        <v>20491.239442907736</v>
      </c>
      <c r="J26" s="9">
        <f t="shared" si="3"/>
        <v>58946.987536873414</v>
      </c>
      <c r="K26" s="9">
        <f t="shared" si="0"/>
        <v>3541292583.0413394</v>
      </c>
      <c r="L26" s="9">
        <f t="shared" si="1"/>
        <v>443229333.7725634</v>
      </c>
      <c r="N26" s="50"/>
      <c r="O26" s="8" t="s">
        <v>55</v>
      </c>
      <c r="P26" s="8">
        <v>24</v>
      </c>
      <c r="Q26" s="8">
        <v>180000</v>
      </c>
      <c r="R26" s="8">
        <f t="shared" si="11"/>
        <v>207925.14886713342</v>
      </c>
      <c r="S26" s="8">
        <f t="shared" si="12"/>
        <v>-1819.8893053179672</v>
      </c>
      <c r="T26" s="8">
        <f t="shared" si="13"/>
        <v>189430.80453603226</v>
      </c>
      <c r="U26" s="8">
        <f t="shared" si="16"/>
        <v>-3577.644237010421</v>
      </c>
      <c r="V26" s="8">
        <f t="shared" si="4"/>
        <v>206105.25956181544</v>
      </c>
      <c r="W26" s="8">
        <f t="shared" si="5"/>
        <v>185853.16029902184</v>
      </c>
      <c r="X26" s="9">
        <f t="shared" ref="X26" si="19">(Q26-V26)^2</f>
        <v>681484576.78975666</v>
      </c>
      <c r="Y26" s="9">
        <f t="shared" ref="Y26" si="20">(Q26-W26)^2</f>
        <v>34259485.486045413</v>
      </c>
    </row>
    <row r="27" spans="1:25" x14ac:dyDescent="0.3">
      <c r="A27" s="8"/>
      <c r="B27" s="8" t="s">
        <v>44</v>
      </c>
      <c r="C27" s="8">
        <v>25</v>
      </c>
      <c r="D27" s="9">
        <f>J26</f>
        <v>58946.987536873414</v>
      </c>
      <c r="E27" s="9">
        <f>0.3*D27+(1-0.3)*(E26+F26)</f>
        <v>32027.963871097436</v>
      </c>
      <c r="F27" s="9">
        <f>0.1*(E27-E26)+(1-0.1)*F26</f>
        <v>-586.67278056591874</v>
      </c>
      <c r="G27" s="9">
        <f t="shared" si="9"/>
        <v>58946.987536873414</v>
      </c>
      <c r="H27" s="9">
        <f t="shared" si="10"/>
        <v>1915.8093491639404</v>
      </c>
      <c r="I27" s="9">
        <f t="shared" si="2"/>
        <v>31441.291090531518</v>
      </c>
      <c r="J27" s="9">
        <f>G27+1*H27</f>
        <v>60862.796886037351</v>
      </c>
      <c r="K27" s="9">
        <f t="shared" si="0"/>
        <v>756563336.9983052</v>
      </c>
      <c r="L27" s="9">
        <f t="shared" si="1"/>
        <v>3670325.4623439494</v>
      </c>
      <c r="N27" s="50"/>
      <c r="O27" s="8" t="s">
        <v>44</v>
      </c>
      <c r="P27" s="8">
        <v>25</v>
      </c>
      <c r="Q27" s="8">
        <f>W26</f>
        <v>185853.16029902184</v>
      </c>
      <c r="R27" s="8">
        <f t="shared" ref="R27:R38" si="21">0.3*Q27+(1-0.3)*(R26+S26)</f>
        <v>200029.62978297734</v>
      </c>
      <c r="S27" s="8">
        <f t="shared" ref="S27:S38" si="22">0.1*(R27-R26)+(1-0.1)*S26</f>
        <v>-2427.4522832017788</v>
      </c>
      <c r="T27" s="8">
        <f t="shared" ref="T27:T38" si="23">0.7*Q27+(1-0.7)*(T26+U26)</f>
        <v>185853.16029902184</v>
      </c>
      <c r="U27" s="8">
        <f t="shared" ref="U27:U38" si="24">0.1*(T27-T26)+(1-0.1)*U26</f>
        <v>-3577.6442370104205</v>
      </c>
      <c r="V27" s="8">
        <f t="shared" ref="V27:V38" si="25">R27+1*S27</f>
        <v>197602.17749977557</v>
      </c>
      <c r="W27" s="8">
        <f t="shared" ref="W27:W38" si="26">T27+1*U27</f>
        <v>182275.51606201142</v>
      </c>
      <c r="X27" s="9">
        <f t="shared" ref="X27:X38" si="27">(Q27-V27)^2</f>
        <v>138039405.18360707</v>
      </c>
      <c r="Y27" s="9">
        <f t="shared" ref="Y27:Y38" si="28">(Q27-W27)^2</f>
        <v>12799538.286613867</v>
      </c>
    </row>
    <row r="28" spans="1:25" x14ac:dyDescent="0.3">
      <c r="A28" s="8"/>
      <c r="B28" s="8" t="s">
        <v>45</v>
      </c>
      <c r="C28" s="8">
        <v>26</v>
      </c>
      <c r="D28" s="9">
        <f t="shared" ref="D28:D38" si="29">J27</f>
        <v>60862.796886037351</v>
      </c>
      <c r="E28" s="9">
        <f t="shared" si="7"/>
        <v>40267.742829183262</v>
      </c>
      <c r="F28" s="9">
        <f t="shared" si="8"/>
        <v>295.97239329925571</v>
      </c>
      <c r="G28" s="9">
        <f t="shared" si="9"/>
        <v>60862.796886037351</v>
      </c>
      <c r="H28" s="9">
        <f t="shared" si="10"/>
        <v>1915.8093491639402</v>
      </c>
      <c r="I28" s="9">
        <f t="shared" si="2"/>
        <v>40563.715222482519</v>
      </c>
      <c r="J28" s="9">
        <f t="shared" si="3"/>
        <v>62778.606235201289</v>
      </c>
      <c r="K28" s="9">
        <f t="shared" si="0"/>
        <v>412052716.38366801</v>
      </c>
      <c r="L28" s="9">
        <f t="shared" si="1"/>
        <v>3670325.4623439494</v>
      </c>
      <c r="N28" s="50"/>
      <c r="O28" s="8" t="s">
        <v>45</v>
      </c>
      <c r="P28" s="8">
        <v>26</v>
      </c>
      <c r="Q28" s="8">
        <f t="shared" ref="Q28:Q38" si="30">W27</f>
        <v>182275.51606201142</v>
      </c>
      <c r="R28" s="8">
        <f t="shared" si="21"/>
        <v>193004.1790684463</v>
      </c>
      <c r="S28" s="8">
        <f t="shared" si="22"/>
        <v>-2887.2521263347044</v>
      </c>
      <c r="T28" s="8">
        <f t="shared" si="23"/>
        <v>182275.51606201142</v>
      </c>
      <c r="U28" s="8">
        <f t="shared" si="24"/>
        <v>-3577.6442370104205</v>
      </c>
      <c r="V28" s="8">
        <f t="shared" si="25"/>
        <v>190116.9269421116</v>
      </c>
      <c r="W28" s="8">
        <f t="shared" si="26"/>
        <v>178697.871825001</v>
      </c>
      <c r="X28" s="9">
        <f t="shared" si="27"/>
        <v>61487724.590553567</v>
      </c>
      <c r="Y28" s="9">
        <f t="shared" si="28"/>
        <v>12799538.286613867</v>
      </c>
    </row>
    <row r="29" spans="1:25" x14ac:dyDescent="0.3">
      <c r="A29" s="8"/>
      <c r="B29" s="8" t="s">
        <v>46</v>
      </c>
      <c r="C29" s="8">
        <v>27</v>
      </c>
      <c r="D29" s="9">
        <f t="shared" si="29"/>
        <v>62778.606235201289</v>
      </c>
      <c r="E29" s="9">
        <f t="shared" si="7"/>
        <v>47228.182526298144</v>
      </c>
      <c r="F29" s="9">
        <f t="shared" si="8"/>
        <v>962.4191236808183</v>
      </c>
      <c r="G29" s="9">
        <f t="shared" si="9"/>
        <v>62778.606235201289</v>
      </c>
      <c r="H29" s="9">
        <f t="shared" si="10"/>
        <v>1915.8093491639399</v>
      </c>
      <c r="I29" s="9">
        <f t="shared" si="2"/>
        <v>48190.601649978962</v>
      </c>
      <c r="J29" s="9">
        <f t="shared" si="3"/>
        <v>64694.415584365226</v>
      </c>
      <c r="K29" s="9">
        <f t="shared" si="0"/>
        <v>212809877.77846763</v>
      </c>
      <c r="L29" s="9">
        <f t="shared" si="1"/>
        <v>3670325.4623439494</v>
      </c>
      <c r="N29" s="50"/>
      <c r="O29" s="8" t="s">
        <v>46</v>
      </c>
      <c r="P29" s="8">
        <v>27</v>
      </c>
      <c r="Q29" s="8">
        <f t="shared" si="30"/>
        <v>178697.871825001</v>
      </c>
      <c r="R29" s="8">
        <f t="shared" si="21"/>
        <v>186691.21040697841</v>
      </c>
      <c r="S29" s="8">
        <f t="shared" si="22"/>
        <v>-3229.8237798480236</v>
      </c>
      <c r="T29" s="8">
        <f t="shared" si="23"/>
        <v>178697.871825001</v>
      </c>
      <c r="U29" s="8">
        <f t="shared" si="24"/>
        <v>-3577.6442370104205</v>
      </c>
      <c r="V29" s="8">
        <f t="shared" si="25"/>
        <v>183461.38662713039</v>
      </c>
      <c r="W29" s="8">
        <f t="shared" si="26"/>
        <v>175120.22758799058</v>
      </c>
      <c r="X29" s="9">
        <f t="shared" si="27"/>
        <v>22691073.270105764</v>
      </c>
      <c r="Y29" s="9">
        <f t="shared" si="28"/>
        <v>12799538.286613867</v>
      </c>
    </row>
    <row r="30" spans="1:25" x14ac:dyDescent="0.3">
      <c r="A30" s="8"/>
      <c r="B30" s="8" t="s">
        <v>47</v>
      </c>
      <c r="C30" s="8">
        <v>28</v>
      </c>
      <c r="D30" s="9">
        <f t="shared" si="29"/>
        <v>64694.415584365226</v>
      </c>
      <c r="E30" s="9">
        <f t="shared" si="7"/>
        <v>53141.745830294836</v>
      </c>
      <c r="F30" s="9">
        <f t="shared" si="8"/>
        <v>1457.5335417124056</v>
      </c>
      <c r="G30" s="9">
        <f t="shared" si="9"/>
        <v>64694.415584365226</v>
      </c>
      <c r="H30" s="9">
        <f t="shared" si="10"/>
        <v>1915.8093491639397</v>
      </c>
      <c r="I30" s="9">
        <f t="shared" si="2"/>
        <v>54599.279372007244</v>
      </c>
      <c r="J30" s="9">
        <f t="shared" si="3"/>
        <v>66610.224933529171</v>
      </c>
      <c r="K30" s="9">
        <f t="shared" si="0"/>
        <v>101911775.14606147</v>
      </c>
      <c r="L30" s="9">
        <f t="shared" si="1"/>
        <v>3670325.4623439773</v>
      </c>
      <c r="N30" s="50"/>
      <c r="O30" s="8" t="s">
        <v>47</v>
      </c>
      <c r="P30" s="8">
        <v>28</v>
      </c>
      <c r="Q30" s="8">
        <f t="shared" si="30"/>
        <v>175120.22758799058</v>
      </c>
      <c r="R30" s="8">
        <f t="shared" si="21"/>
        <v>180959.03891538843</v>
      </c>
      <c r="S30" s="8">
        <f t="shared" si="22"/>
        <v>-3480.058551022219</v>
      </c>
      <c r="T30" s="8">
        <f t="shared" si="23"/>
        <v>175120.22758799058</v>
      </c>
      <c r="U30" s="8">
        <f t="shared" si="24"/>
        <v>-3577.6442370104205</v>
      </c>
      <c r="V30" s="8">
        <f t="shared" si="25"/>
        <v>177478.9803643662</v>
      </c>
      <c r="W30" s="8">
        <f t="shared" si="26"/>
        <v>171542.58335098016</v>
      </c>
      <c r="X30" s="9">
        <f t="shared" si="27"/>
        <v>5563714.6600597072</v>
      </c>
      <c r="Y30" s="9">
        <f t="shared" si="28"/>
        <v>12799538.286613867</v>
      </c>
    </row>
    <row r="31" spans="1:25" x14ac:dyDescent="0.3">
      <c r="A31" s="8"/>
      <c r="B31" s="8" t="s">
        <v>48</v>
      </c>
      <c r="C31" s="8">
        <v>29</v>
      </c>
      <c r="D31" s="9">
        <f t="shared" si="29"/>
        <v>66610.224933529171</v>
      </c>
      <c r="E31" s="9">
        <f t="shared" si="7"/>
        <v>58202.563040463821</v>
      </c>
      <c r="F31" s="9">
        <f t="shared" si="8"/>
        <v>1817.8619085580635</v>
      </c>
      <c r="G31" s="9">
        <f t="shared" si="9"/>
        <v>66610.224933529171</v>
      </c>
      <c r="H31" s="9">
        <f t="shared" si="10"/>
        <v>1915.8093491639402</v>
      </c>
      <c r="I31" s="9">
        <f t="shared" si="2"/>
        <v>60020.424949021886</v>
      </c>
      <c r="J31" s="9">
        <f t="shared" si="3"/>
        <v>68526.034282693116</v>
      </c>
      <c r="K31" s="9">
        <f t="shared" si="0"/>
        <v>43425463.835812211</v>
      </c>
      <c r="L31" s="9">
        <f t="shared" si="1"/>
        <v>3670325.4623439773</v>
      </c>
      <c r="N31" s="50"/>
      <c r="O31" s="8" t="s">
        <v>48</v>
      </c>
      <c r="P31" s="8">
        <v>29</v>
      </c>
      <c r="Q31" s="8">
        <f t="shared" si="30"/>
        <v>171542.58335098016</v>
      </c>
      <c r="R31" s="8">
        <f t="shared" si="21"/>
        <v>175698.06126035037</v>
      </c>
      <c r="S31" s="8">
        <f t="shared" si="22"/>
        <v>-3658.1504614238038</v>
      </c>
      <c r="T31" s="8">
        <f t="shared" si="23"/>
        <v>171542.58335098016</v>
      </c>
      <c r="U31" s="8">
        <f t="shared" si="24"/>
        <v>-3577.6442370104205</v>
      </c>
      <c r="V31" s="8">
        <f t="shared" si="25"/>
        <v>172039.91079892658</v>
      </c>
      <c r="W31" s="8">
        <f t="shared" si="26"/>
        <v>167964.93911396974</v>
      </c>
      <c r="X31" s="9">
        <f t="shared" si="27"/>
        <v>247334.59048089533</v>
      </c>
      <c r="Y31" s="9">
        <f t="shared" si="28"/>
        <v>12799538.286613867</v>
      </c>
    </row>
    <row r="32" spans="1:25" x14ac:dyDescent="0.3">
      <c r="A32" s="8"/>
      <c r="B32" s="8" t="s">
        <v>49</v>
      </c>
      <c r="C32" s="8">
        <v>30</v>
      </c>
      <c r="D32" s="9">
        <f t="shared" si="29"/>
        <v>68526.034282693116</v>
      </c>
      <c r="E32" s="9">
        <f t="shared" si="7"/>
        <v>62572.107749123257</v>
      </c>
      <c r="F32" s="9">
        <f t="shared" si="8"/>
        <v>2073.0301885682006</v>
      </c>
      <c r="G32" s="9">
        <f t="shared" si="9"/>
        <v>68526.034282693116</v>
      </c>
      <c r="H32" s="9">
        <f t="shared" si="10"/>
        <v>1915.8093491639406</v>
      </c>
      <c r="I32" s="9">
        <f t="shared" si="2"/>
        <v>64645.137937691456</v>
      </c>
      <c r="J32" s="9">
        <f t="shared" si="3"/>
        <v>70441.84363185706</v>
      </c>
      <c r="K32" s="9">
        <f t="shared" si="0"/>
        <v>15061356.440647243</v>
      </c>
      <c r="L32" s="9">
        <f t="shared" si="1"/>
        <v>3670325.4623439773</v>
      </c>
      <c r="N32" s="50"/>
      <c r="O32" s="8" t="s">
        <v>49</v>
      </c>
      <c r="P32" s="8">
        <v>30</v>
      </c>
      <c r="Q32" s="8">
        <f t="shared" si="30"/>
        <v>167964.93911396974</v>
      </c>
      <c r="R32" s="8">
        <f t="shared" si="21"/>
        <v>170817.41929343951</v>
      </c>
      <c r="S32" s="8">
        <f t="shared" si="22"/>
        <v>-3780.3996119725093</v>
      </c>
      <c r="T32" s="8">
        <f t="shared" si="23"/>
        <v>167964.93911396974</v>
      </c>
      <c r="U32" s="8">
        <f t="shared" si="24"/>
        <v>-3577.6442370104205</v>
      </c>
      <c r="V32" s="8">
        <f t="shared" si="25"/>
        <v>167037.01968146701</v>
      </c>
      <c r="W32" s="8">
        <f t="shared" si="26"/>
        <v>164387.29487695932</v>
      </c>
      <c r="X32" s="9">
        <f t="shared" si="27"/>
        <v>861034.47321619722</v>
      </c>
      <c r="Y32" s="9">
        <f t="shared" si="28"/>
        <v>12799538.286613867</v>
      </c>
    </row>
    <row r="33" spans="1:25" x14ac:dyDescent="0.3">
      <c r="A33" s="8"/>
      <c r="B33" s="8" t="s">
        <v>50</v>
      </c>
      <c r="C33" s="8">
        <v>31</v>
      </c>
      <c r="D33" s="9">
        <f t="shared" si="29"/>
        <v>70441.84363185706</v>
      </c>
      <c r="E33" s="9">
        <f t="shared" si="7"/>
        <v>66384.149645941128</v>
      </c>
      <c r="F33" s="9">
        <f t="shared" si="8"/>
        <v>2246.9313593931679</v>
      </c>
      <c r="G33" s="9">
        <f t="shared" si="9"/>
        <v>70441.84363185706</v>
      </c>
      <c r="H33" s="9">
        <f t="shared" si="10"/>
        <v>1915.8093491639411</v>
      </c>
      <c r="I33" s="9">
        <f t="shared" si="2"/>
        <v>68631.081005334301</v>
      </c>
      <c r="J33" s="9">
        <f t="shared" si="3"/>
        <v>72357.652981021005</v>
      </c>
      <c r="K33" s="9">
        <f t="shared" si="0"/>
        <v>3278861.2896116013</v>
      </c>
      <c r="L33" s="9">
        <f t="shared" si="1"/>
        <v>3670325.4623439773</v>
      </c>
      <c r="N33" s="50"/>
      <c r="O33" s="8" t="s">
        <v>50</v>
      </c>
      <c r="P33" s="8">
        <v>31</v>
      </c>
      <c r="Q33" s="8">
        <f t="shared" si="30"/>
        <v>164387.29487695932</v>
      </c>
      <c r="R33" s="8">
        <f t="shared" si="21"/>
        <v>166242.10224011471</v>
      </c>
      <c r="S33" s="8">
        <f t="shared" si="22"/>
        <v>-3859.8913561077393</v>
      </c>
      <c r="T33" s="8">
        <f t="shared" si="23"/>
        <v>164387.29487695932</v>
      </c>
      <c r="U33" s="8">
        <f t="shared" si="24"/>
        <v>-3577.6442370104205</v>
      </c>
      <c r="V33" s="8">
        <f t="shared" si="25"/>
        <v>162382.21088400696</v>
      </c>
      <c r="W33" s="8">
        <f t="shared" si="26"/>
        <v>160809.6506399489</v>
      </c>
      <c r="X33" s="9">
        <f t="shared" si="27"/>
        <v>4020361.8187937979</v>
      </c>
      <c r="Y33" s="9">
        <f t="shared" si="28"/>
        <v>12799538.286613867</v>
      </c>
    </row>
    <row r="34" spans="1:25" x14ac:dyDescent="0.3">
      <c r="A34" s="8"/>
      <c r="B34" s="8" t="s">
        <v>51</v>
      </c>
      <c r="C34" s="8">
        <v>32</v>
      </c>
      <c r="D34" s="9">
        <f t="shared" si="29"/>
        <v>72357.652981021005</v>
      </c>
      <c r="E34" s="9">
        <f t="shared" si="7"/>
        <v>69749.052598040304</v>
      </c>
      <c r="F34" s="9">
        <f t="shared" si="8"/>
        <v>2358.7285186637687</v>
      </c>
      <c r="G34" s="9">
        <f t="shared" si="9"/>
        <v>72357.652981021005</v>
      </c>
      <c r="H34" s="9">
        <f t="shared" si="10"/>
        <v>1915.8093491639415</v>
      </c>
      <c r="I34" s="9">
        <f t="shared" si="2"/>
        <v>72107.781116704078</v>
      </c>
      <c r="J34" s="9">
        <f t="shared" si="3"/>
        <v>74273.46233018495</v>
      </c>
      <c r="K34" s="9">
        <f t="shared" si="0"/>
        <v>62435.948577216681</v>
      </c>
      <c r="L34" s="9">
        <f t="shared" si="1"/>
        <v>3670325.4623439773</v>
      </c>
      <c r="N34" s="50"/>
      <c r="O34" s="8" t="s">
        <v>51</v>
      </c>
      <c r="P34" s="8">
        <v>32</v>
      </c>
      <c r="Q34" s="8">
        <f t="shared" si="30"/>
        <v>160809.6506399489</v>
      </c>
      <c r="R34" s="8">
        <f t="shared" si="21"/>
        <v>161910.44281078954</v>
      </c>
      <c r="S34" s="8">
        <f t="shared" si="22"/>
        <v>-3907.0681634294824</v>
      </c>
      <c r="T34" s="8">
        <f t="shared" si="23"/>
        <v>160809.6506399489</v>
      </c>
      <c r="U34" s="8">
        <f t="shared" si="24"/>
        <v>-3577.6442370104205</v>
      </c>
      <c r="V34" s="8">
        <f t="shared" si="25"/>
        <v>158003.37464736006</v>
      </c>
      <c r="W34" s="8">
        <f t="shared" si="26"/>
        <v>157232.00640293848</v>
      </c>
      <c r="X34" s="9">
        <f t="shared" si="27"/>
        <v>7875184.9465804715</v>
      </c>
      <c r="Y34" s="9">
        <f t="shared" si="28"/>
        <v>12799538.286613867</v>
      </c>
    </row>
    <row r="35" spans="1:25" x14ac:dyDescent="0.3">
      <c r="A35" s="8"/>
      <c r="B35" s="8" t="s">
        <v>52</v>
      </c>
      <c r="C35" s="8">
        <v>33</v>
      </c>
      <c r="D35" s="9">
        <f t="shared" si="29"/>
        <v>74273.46233018495</v>
      </c>
      <c r="E35" s="9">
        <f t="shared" si="7"/>
        <v>72757.485480748335</v>
      </c>
      <c r="F35" s="9">
        <f t="shared" si="8"/>
        <v>2423.6989550681947</v>
      </c>
      <c r="G35" s="9">
        <f t="shared" si="9"/>
        <v>74273.46233018495</v>
      </c>
      <c r="H35" s="9">
        <f t="shared" si="10"/>
        <v>1915.8093491639418</v>
      </c>
      <c r="I35" s="9">
        <f t="shared" si="2"/>
        <v>75181.184435816525</v>
      </c>
      <c r="J35" s="9">
        <f t="shared" si="3"/>
        <v>76189.271679348894</v>
      </c>
      <c r="K35" s="9">
        <f t="shared" si="0"/>
        <v>823959.42105222144</v>
      </c>
      <c r="L35" s="9">
        <f t="shared" si="1"/>
        <v>3670325.4623439773</v>
      </c>
      <c r="N35" s="50"/>
      <c r="O35" s="8" t="s">
        <v>52</v>
      </c>
      <c r="P35" s="8">
        <v>33</v>
      </c>
      <c r="Q35" s="8">
        <f t="shared" si="30"/>
        <v>157232.00640293848</v>
      </c>
      <c r="R35" s="8">
        <f t="shared" si="21"/>
        <v>157771.96417403358</v>
      </c>
      <c r="S35" s="8">
        <f t="shared" si="22"/>
        <v>-3930.2092107621302</v>
      </c>
      <c r="T35" s="8">
        <f t="shared" si="23"/>
        <v>157232.00640293848</v>
      </c>
      <c r="U35" s="8">
        <f t="shared" si="24"/>
        <v>-3577.6442370104205</v>
      </c>
      <c r="V35" s="8">
        <f t="shared" si="25"/>
        <v>153841.75496327144</v>
      </c>
      <c r="W35" s="8">
        <f t="shared" si="26"/>
        <v>153654.36216592806</v>
      </c>
      <c r="X35" s="9">
        <f t="shared" si="27"/>
        <v>11493804.824164471</v>
      </c>
      <c r="Y35" s="9">
        <f t="shared" si="28"/>
        <v>12799538.286613867</v>
      </c>
    </row>
    <row r="36" spans="1:25" x14ac:dyDescent="0.3">
      <c r="A36" s="8"/>
      <c r="B36" s="8" t="s">
        <v>53</v>
      </c>
      <c r="C36" s="8">
        <v>34</v>
      </c>
      <c r="D36" s="9">
        <f t="shared" si="29"/>
        <v>76189.271679348894</v>
      </c>
      <c r="E36" s="9">
        <f t="shared" si="7"/>
        <v>75483.610608876232</v>
      </c>
      <c r="F36" s="9">
        <f t="shared" si="8"/>
        <v>2453.9415723741649</v>
      </c>
      <c r="G36" s="9">
        <f t="shared" si="9"/>
        <v>76189.271679348894</v>
      </c>
      <c r="H36" s="9">
        <f t="shared" si="10"/>
        <v>1915.809349163942</v>
      </c>
      <c r="I36" s="9">
        <f t="shared" si="2"/>
        <v>77937.552181250401</v>
      </c>
      <c r="J36" s="9">
        <f t="shared" si="3"/>
        <v>78105.081028512839</v>
      </c>
      <c r="K36" s="9">
        <f t="shared" si="0"/>
        <v>3056484.7133289846</v>
      </c>
      <c r="L36" s="9">
        <f t="shared" si="1"/>
        <v>3670325.4623439773</v>
      </c>
      <c r="N36" s="50"/>
      <c r="O36" s="8" t="s">
        <v>53</v>
      </c>
      <c r="P36" s="8">
        <v>34</v>
      </c>
      <c r="Q36" s="8">
        <f t="shared" si="30"/>
        <v>153654.36216592806</v>
      </c>
      <c r="R36" s="8">
        <f t="shared" si="21"/>
        <v>153785.53712406842</v>
      </c>
      <c r="S36" s="8">
        <f t="shared" si="22"/>
        <v>-3935.8309946824338</v>
      </c>
      <c r="T36" s="8">
        <f t="shared" si="23"/>
        <v>153654.36216592806</v>
      </c>
      <c r="U36" s="8">
        <f t="shared" si="24"/>
        <v>-3577.6442370104205</v>
      </c>
      <c r="V36" s="8">
        <f t="shared" si="25"/>
        <v>149849.70612938597</v>
      </c>
      <c r="W36" s="8">
        <f t="shared" si="26"/>
        <v>150076.71792891764</v>
      </c>
      <c r="X36" s="9">
        <f t="shared" si="27"/>
        <v>14475407.556396153</v>
      </c>
      <c r="Y36" s="9">
        <f t="shared" si="28"/>
        <v>12799538.286613867</v>
      </c>
    </row>
    <row r="37" spans="1:25" x14ac:dyDescent="0.3">
      <c r="A37" s="8"/>
      <c r="B37" s="8" t="s">
        <v>54</v>
      </c>
      <c r="C37" s="8">
        <v>35</v>
      </c>
      <c r="D37" s="9">
        <f t="shared" si="29"/>
        <v>78105.081028512839</v>
      </c>
      <c r="E37" s="9">
        <f t="shared" si="7"/>
        <v>77987.810835429133</v>
      </c>
      <c r="F37" s="9">
        <f t="shared" si="8"/>
        <v>2458.9674377920387</v>
      </c>
      <c r="G37" s="9">
        <f t="shared" si="9"/>
        <v>78105.081028512839</v>
      </c>
      <c r="H37" s="9">
        <f t="shared" si="10"/>
        <v>1915.8093491639422</v>
      </c>
      <c r="I37" s="9">
        <f t="shared" si="2"/>
        <v>80446.778273221178</v>
      </c>
      <c r="J37" s="9">
        <f t="shared" si="3"/>
        <v>80020.890377676784</v>
      </c>
      <c r="K37" s="9">
        <f t="shared" si="0"/>
        <v>5483545.9858746268</v>
      </c>
      <c r="L37" s="9">
        <f t="shared" si="1"/>
        <v>3670325.4623439773</v>
      </c>
      <c r="N37" s="50"/>
      <c r="O37" s="8" t="s">
        <v>54</v>
      </c>
      <c r="P37" s="8">
        <v>35</v>
      </c>
      <c r="Q37" s="8">
        <f t="shared" si="30"/>
        <v>150076.71792891764</v>
      </c>
      <c r="R37" s="8">
        <f t="shared" si="21"/>
        <v>149917.80966924547</v>
      </c>
      <c r="S37" s="8">
        <f t="shared" si="22"/>
        <v>-3929.0206406964853</v>
      </c>
      <c r="T37" s="8">
        <f t="shared" si="23"/>
        <v>150076.71792891764</v>
      </c>
      <c r="U37" s="8">
        <f t="shared" si="24"/>
        <v>-3577.6442370104205</v>
      </c>
      <c r="V37" s="8">
        <f t="shared" si="25"/>
        <v>145988.78902854898</v>
      </c>
      <c r="W37" s="8">
        <f t="shared" si="26"/>
        <v>146499.07369190722</v>
      </c>
      <c r="X37" s="9">
        <f t="shared" si="27"/>
        <v>16711162.694469299</v>
      </c>
      <c r="Y37" s="9">
        <f t="shared" si="28"/>
        <v>12799538.286613867</v>
      </c>
    </row>
    <row r="38" spans="1:25" x14ac:dyDescent="0.3">
      <c r="A38" s="8"/>
      <c r="B38" s="8" t="s">
        <v>55</v>
      </c>
      <c r="C38" s="8">
        <v>36</v>
      </c>
      <c r="D38" s="9">
        <f t="shared" si="29"/>
        <v>80020.890377676784</v>
      </c>
      <c r="E38" s="9">
        <f t="shared" si="7"/>
        <v>80319.011904557861</v>
      </c>
      <c r="F38" s="9">
        <f t="shared" si="8"/>
        <v>2446.1908009257077</v>
      </c>
      <c r="G38" s="9">
        <f t="shared" si="9"/>
        <v>80020.890377676784</v>
      </c>
      <c r="H38" s="9">
        <f t="shared" si="10"/>
        <v>1915.8093491639424</v>
      </c>
      <c r="I38" s="9">
        <f t="shared" si="2"/>
        <v>82765.202705483563</v>
      </c>
      <c r="J38" s="9">
        <f t="shared" si="3"/>
        <v>81936.699726840729</v>
      </c>
      <c r="K38" s="9">
        <f t="shared" si="0"/>
        <v>7531250.1525522657</v>
      </c>
      <c r="L38" s="9">
        <f t="shared" si="1"/>
        <v>3670325.4623439773</v>
      </c>
      <c r="N38" s="50"/>
      <c r="O38" s="8" t="s">
        <v>55</v>
      </c>
      <c r="P38" s="8">
        <v>36</v>
      </c>
      <c r="Q38" s="8">
        <f t="shared" si="30"/>
        <v>146499.07369190722</v>
      </c>
      <c r="R38" s="8">
        <f t="shared" si="21"/>
        <v>146141.87442755644</v>
      </c>
      <c r="S38" s="8">
        <f t="shared" si="22"/>
        <v>-3913.7121007957403</v>
      </c>
      <c r="T38" s="8">
        <f t="shared" si="23"/>
        <v>146499.07369190722</v>
      </c>
      <c r="U38" s="8">
        <f t="shared" si="24"/>
        <v>-3577.6442370104205</v>
      </c>
      <c r="V38" s="8">
        <f t="shared" si="25"/>
        <v>142228.16232676071</v>
      </c>
      <c r="W38" s="8">
        <f t="shared" si="26"/>
        <v>142921.4294548968</v>
      </c>
      <c r="X38" s="9">
        <f t="shared" si="27"/>
        <v>18240683.888937674</v>
      </c>
      <c r="Y38" s="9">
        <f t="shared" si="28"/>
        <v>12799538.286613867</v>
      </c>
    </row>
    <row r="39" spans="1:25" x14ac:dyDescent="0.3">
      <c r="A39" s="8" t="s">
        <v>36</v>
      </c>
      <c r="B39" s="8"/>
      <c r="C39" s="8"/>
      <c r="D39" s="9">
        <f>SUM(D3:D38)</f>
        <v>2079807.267487301</v>
      </c>
      <c r="E39" s="9"/>
      <c r="F39" s="9"/>
      <c r="G39" s="9"/>
      <c r="H39" s="9"/>
      <c r="I39" s="9">
        <f t="shared" ref="I39:L39" si="31">SUM(I3:I38)</f>
        <v>1971032.7768285945</v>
      </c>
      <c r="J39" s="8">
        <f>0.35*D38+(1-0.35)*J38</f>
        <v>81266.166454633349</v>
      </c>
      <c r="K39" s="9">
        <f>SUM(K3:K38)</f>
        <v>26074041539.005005</v>
      </c>
      <c r="L39" s="9">
        <f t="shared" si="31"/>
        <v>4222729331.7372909</v>
      </c>
      <c r="N39" s="8" t="s">
        <v>36</v>
      </c>
      <c r="O39" s="8"/>
      <c r="P39" s="8"/>
      <c r="Q39" s="9">
        <f>SUM(Q3:Q38)</f>
        <v>7324113.4039455745</v>
      </c>
      <c r="R39" s="9"/>
      <c r="S39" s="9"/>
      <c r="T39" s="9"/>
      <c r="U39" s="9"/>
      <c r="V39" s="9">
        <f t="shared" ref="V39:Y39" si="32">SUM(V3:V38)</f>
        <v>7366798.6362988586</v>
      </c>
      <c r="W39" s="9">
        <f t="shared" si="32"/>
        <v>7288144.0367863327</v>
      </c>
      <c r="X39" s="9">
        <f t="shared" si="32"/>
        <v>15531901456.873434</v>
      </c>
      <c r="Y39" s="9">
        <f t="shared" si="32"/>
        <v>2941272704.9644184</v>
      </c>
    </row>
    <row r="40" spans="1:25" x14ac:dyDescent="0.3">
      <c r="A40" s="8" t="s">
        <v>37</v>
      </c>
      <c r="B40" s="8"/>
      <c r="C40" s="8"/>
      <c r="D40" s="8">
        <f>D39/COUNT(D3:D38)</f>
        <v>57772.424096869472</v>
      </c>
      <c r="E40" s="8"/>
      <c r="F40" s="8"/>
      <c r="G40" s="8"/>
      <c r="H40" s="8"/>
      <c r="I40" s="8">
        <f t="shared" ref="I40:L40" si="33">I39/COUNT(I3:I38)</f>
        <v>54750.910467460955</v>
      </c>
      <c r="J40" s="8">
        <f>0.35*D39+(1-0.35)*J39</f>
        <v>780755.55181606696</v>
      </c>
      <c r="K40" s="8">
        <f t="shared" si="33"/>
        <v>724278931.63902795</v>
      </c>
      <c r="L40" s="8">
        <f t="shared" si="33"/>
        <v>117298036.99270253</v>
      </c>
      <c r="N40" s="8" t="s">
        <v>37</v>
      </c>
      <c r="O40" s="8"/>
      <c r="P40" s="8"/>
      <c r="Q40" s="8">
        <f>Q39/COUNT(Q3:Q38)</f>
        <v>203447.59455404372</v>
      </c>
      <c r="R40" s="8"/>
      <c r="S40" s="8"/>
      <c r="T40" s="8"/>
      <c r="U40" s="8"/>
      <c r="V40" s="8">
        <f t="shared" ref="V40:Y40" si="34">V39/COUNT(V3:V38)</f>
        <v>204633.29545274607</v>
      </c>
      <c r="W40" s="8">
        <f t="shared" si="34"/>
        <v>202448.44546628703</v>
      </c>
      <c r="X40" s="8">
        <f t="shared" si="34"/>
        <v>431441707.13537318</v>
      </c>
      <c r="Y40" s="8">
        <f t="shared" si="34"/>
        <v>81702019.582344949</v>
      </c>
    </row>
    <row r="41" spans="1:25" x14ac:dyDescent="0.3">
      <c r="A41" s="25" t="s">
        <v>58</v>
      </c>
      <c r="B41" s="25"/>
      <c r="C41" s="25"/>
      <c r="D41" s="25"/>
      <c r="E41" s="25"/>
      <c r="F41" s="25"/>
      <c r="G41" s="25"/>
      <c r="H41" s="25"/>
      <c r="I41" s="25"/>
      <c r="J41" s="25"/>
      <c r="K41" s="25">
        <f>SQRT(K40)/COUNT(K3:K38)</f>
        <v>747.5675222605355</v>
      </c>
      <c r="L41" s="25">
        <f>SQRT(L40)/COUNT(L3:L38)</f>
        <v>300.84505080378949</v>
      </c>
      <c r="N41" s="25" t="s">
        <v>58</v>
      </c>
      <c r="O41" s="25"/>
      <c r="P41" s="25"/>
      <c r="Q41" s="25"/>
      <c r="R41" s="25"/>
      <c r="S41" s="25"/>
      <c r="T41" s="25"/>
      <c r="U41" s="25"/>
      <c r="V41" s="25"/>
      <c r="W41" s="25"/>
      <c r="X41" s="25">
        <f>SQRT(X40)/COUNT(X3:X38)</f>
        <v>576.97708082902693</v>
      </c>
      <c r="Y41" s="25">
        <f>SQRT(Y40)/COUNT(Y3:Y38)</f>
        <v>251.0810263172045</v>
      </c>
    </row>
    <row r="44" spans="1:25" x14ac:dyDescent="0.3">
      <c r="A44" s="51" t="s">
        <v>171</v>
      </c>
      <c r="B44" s="51"/>
      <c r="C44" s="51"/>
      <c r="D44" s="51"/>
      <c r="E44" s="51"/>
      <c r="F44" s="51"/>
      <c r="G44" s="51"/>
      <c r="H44" s="51"/>
      <c r="I44" s="51"/>
      <c r="J44" s="51"/>
      <c r="K44" s="51"/>
      <c r="L44" s="51"/>
      <c r="N44" s="51" t="s">
        <v>172</v>
      </c>
      <c r="O44" s="51"/>
      <c r="P44" s="51"/>
      <c r="Q44" s="51"/>
      <c r="R44" s="51"/>
      <c r="S44" s="51"/>
      <c r="T44" s="51"/>
      <c r="U44" s="51"/>
      <c r="V44" s="51"/>
      <c r="W44" s="51"/>
      <c r="X44" s="51"/>
      <c r="Y44" s="51"/>
    </row>
    <row r="45" spans="1:25" x14ac:dyDescent="0.3">
      <c r="A45" s="8" t="s">
        <v>38</v>
      </c>
      <c r="B45" s="8" t="s">
        <v>39</v>
      </c>
      <c r="C45" s="8" t="s">
        <v>40</v>
      </c>
      <c r="D45" s="8" t="s">
        <v>129</v>
      </c>
      <c r="E45" s="8" t="s">
        <v>65</v>
      </c>
      <c r="F45" s="8" t="s">
        <v>67</v>
      </c>
      <c r="G45" s="8" t="s">
        <v>65</v>
      </c>
      <c r="H45" s="8" t="s">
        <v>67</v>
      </c>
      <c r="I45" s="8" t="s">
        <v>175</v>
      </c>
      <c r="J45" s="8" t="s">
        <v>176</v>
      </c>
      <c r="K45" s="8" t="s">
        <v>177</v>
      </c>
      <c r="L45" s="8" t="s">
        <v>178</v>
      </c>
      <c r="N45" s="8" t="s">
        <v>38</v>
      </c>
      <c r="O45" s="8" t="s">
        <v>39</v>
      </c>
      <c r="P45" s="8" t="s">
        <v>40</v>
      </c>
      <c r="Q45" s="8" t="s">
        <v>129</v>
      </c>
      <c r="R45" s="8" t="s">
        <v>65</v>
      </c>
      <c r="S45" s="8" t="s">
        <v>67</v>
      </c>
      <c r="T45" s="8" t="s">
        <v>65</v>
      </c>
      <c r="U45" s="8" t="s">
        <v>67</v>
      </c>
      <c r="V45" s="8" t="s">
        <v>175</v>
      </c>
      <c r="W45" s="8" t="s">
        <v>176</v>
      </c>
      <c r="X45" s="8" t="s">
        <v>177</v>
      </c>
      <c r="Y45" s="8" t="s">
        <v>178</v>
      </c>
    </row>
    <row r="46" spans="1:25" x14ac:dyDescent="0.3">
      <c r="A46" s="50">
        <v>2021</v>
      </c>
      <c r="B46" s="8" t="s">
        <v>44</v>
      </c>
      <c r="C46" s="8">
        <v>1</v>
      </c>
      <c r="D46" s="9" cm="1">
        <f t="array" ref="D46:D69">TRANSPOSE('Historical Sale'!C11:Z11)</f>
        <v>190000</v>
      </c>
      <c r="E46" s="9">
        <f>D46</f>
        <v>190000</v>
      </c>
      <c r="F46" s="9">
        <f>0</f>
        <v>0</v>
      </c>
      <c r="G46" s="9">
        <f>D46</f>
        <v>190000</v>
      </c>
      <c r="H46" s="9">
        <f>0</f>
        <v>0</v>
      </c>
      <c r="I46" s="8">
        <f>E46+1*F46</f>
        <v>190000</v>
      </c>
      <c r="J46" s="8">
        <f>G46+1*H46</f>
        <v>190000</v>
      </c>
      <c r="K46" s="8">
        <f t="shared" ref="K46:K81" si="35">(D46-I46)^2</f>
        <v>0</v>
      </c>
      <c r="L46" s="8">
        <f t="shared" ref="L46:L81" si="36">(D46-J46)^2</f>
        <v>0</v>
      </c>
      <c r="N46" s="50">
        <v>2021</v>
      </c>
      <c r="O46" s="8" t="s">
        <v>44</v>
      </c>
      <c r="P46" s="8">
        <v>1</v>
      </c>
      <c r="Q46" s="9" cm="1">
        <f t="array" ref="Q46:Q69">TRANSPOSE('Historical Sale'!C13:Z13)</f>
        <v>50000</v>
      </c>
      <c r="R46" s="9">
        <f>Q46</f>
        <v>50000</v>
      </c>
      <c r="S46" s="9">
        <f>0</f>
        <v>0</v>
      </c>
      <c r="T46" s="9">
        <f>Q46</f>
        <v>50000</v>
      </c>
      <c r="U46" s="9">
        <f>0</f>
        <v>0</v>
      </c>
      <c r="V46" s="8">
        <f>R46+1*S46</f>
        <v>50000</v>
      </c>
      <c r="W46" s="8">
        <f>T46+1*U46</f>
        <v>50000</v>
      </c>
      <c r="X46" s="8">
        <f>(Q46-V46)^2</f>
        <v>0</v>
      </c>
      <c r="Y46" s="8">
        <f>(Q46-W46)^2</f>
        <v>0</v>
      </c>
    </row>
    <row r="47" spans="1:25" x14ac:dyDescent="0.3">
      <c r="A47" s="50"/>
      <c r="B47" s="8" t="s">
        <v>45</v>
      </c>
      <c r="C47" s="8">
        <v>2</v>
      </c>
      <c r="D47" s="9">
        <v>190000</v>
      </c>
      <c r="E47" s="9">
        <f>0.3*D47+(1-0.3)*(E46+F46)</f>
        <v>190000</v>
      </c>
      <c r="F47" s="9">
        <f>0.1*(E47-E46)+(1-0.1)*F46</f>
        <v>0</v>
      </c>
      <c r="G47" s="9">
        <f>0.7*D47+(1-0.7)*(G46+H46)</f>
        <v>190000</v>
      </c>
      <c r="H47" s="9">
        <f>0.1*(G47-G46)+(1-0.1)*H46</f>
        <v>0</v>
      </c>
      <c r="I47" s="8">
        <f t="shared" ref="I47" si="37">E47+1*F47</f>
        <v>190000</v>
      </c>
      <c r="J47" s="8">
        <f t="shared" ref="J47" si="38">G47+1*H47</f>
        <v>190000</v>
      </c>
      <c r="K47" s="8">
        <f t="shared" si="35"/>
        <v>0</v>
      </c>
      <c r="L47" s="8">
        <f t="shared" si="36"/>
        <v>0</v>
      </c>
      <c r="N47" s="50"/>
      <c r="O47" s="8" t="s">
        <v>45</v>
      </c>
      <c r="P47" s="8">
        <v>2</v>
      </c>
      <c r="Q47" s="9">
        <v>60000</v>
      </c>
      <c r="R47" s="9">
        <f>0.3*Q47+(1-0.3)*(R46+S46)</f>
        <v>53000</v>
      </c>
      <c r="S47" s="9">
        <f>0.1*(R47-R46)+(1-0.1)*S46</f>
        <v>300</v>
      </c>
      <c r="T47" s="9">
        <f>0.7*Q47+(1-0.7)*(T46+U46)</f>
        <v>57000</v>
      </c>
      <c r="U47" s="9">
        <f>0.1*(T47-T46)+(1-0.1)*U46</f>
        <v>700</v>
      </c>
      <c r="V47" s="8">
        <f t="shared" ref="V47" si="39">R47+1*S47</f>
        <v>53300</v>
      </c>
      <c r="W47" s="8">
        <f t="shared" ref="W47" si="40">T47+1*U47</f>
        <v>57700</v>
      </c>
      <c r="X47" s="8">
        <f>(Q47-V47)^2</f>
        <v>44890000</v>
      </c>
      <c r="Y47" s="8">
        <f t="shared" ref="Y47:Y50" si="41">(Q47-W47)^2</f>
        <v>5290000</v>
      </c>
    </row>
    <row r="48" spans="1:25" x14ac:dyDescent="0.3">
      <c r="A48" s="50"/>
      <c r="B48" s="8" t="s">
        <v>46</v>
      </c>
      <c r="C48" s="8">
        <v>3</v>
      </c>
      <c r="D48" s="9">
        <v>480000</v>
      </c>
      <c r="E48" s="9">
        <f t="shared" ref="E48:E68" si="42">0.3*D48+(1-0.3)*(E47+F47)</f>
        <v>277000</v>
      </c>
      <c r="F48" s="9">
        <f t="shared" ref="F48:F68" si="43">0.1*(E48-E47)+(1-0.1)*F47</f>
        <v>8700</v>
      </c>
      <c r="G48" s="9">
        <f t="shared" ref="G48:G68" si="44">0.7*D48+(1-0.7)*(G47+H47)</f>
        <v>393000</v>
      </c>
      <c r="H48" s="9">
        <f t="shared" ref="H48" si="45">0.1*(G48-G47)+(1-0.1)*H47</f>
        <v>20300</v>
      </c>
      <c r="I48" s="8">
        <f>E48+1*F48</f>
        <v>285700</v>
      </c>
      <c r="J48" s="8">
        <f>G48+1*H48</f>
        <v>413300</v>
      </c>
      <c r="K48" s="8">
        <f t="shared" si="35"/>
        <v>37752490000</v>
      </c>
      <c r="L48" s="8">
        <f t="shared" si="36"/>
        <v>4448890000</v>
      </c>
      <c r="N48" s="50"/>
      <c r="O48" s="8" t="s">
        <v>46</v>
      </c>
      <c r="P48" s="8">
        <v>3</v>
      </c>
      <c r="Q48" s="9">
        <v>60000</v>
      </c>
      <c r="R48" s="9">
        <f t="shared" ref="R48:R68" si="46">0.3*Q48+(1-0.3)*(R47+S47)</f>
        <v>55310</v>
      </c>
      <c r="S48" s="9">
        <f t="shared" ref="S48:S68" si="47">0.1*(R48-R47)+(1-0.1)*S47</f>
        <v>501</v>
      </c>
      <c r="T48" s="9">
        <f t="shared" ref="T48:T68" si="48">0.7*Q48+(1-0.7)*(T47+U47)</f>
        <v>59310</v>
      </c>
      <c r="U48" s="9">
        <f t="shared" ref="U48" si="49">0.1*(T48-T47)+(1-0.1)*U47</f>
        <v>861</v>
      </c>
      <c r="V48" s="8">
        <f>R48+1*S48</f>
        <v>55811</v>
      </c>
      <c r="W48" s="8">
        <f>T48+1*U48</f>
        <v>60171</v>
      </c>
      <c r="X48" s="8">
        <f t="shared" ref="X48" si="50">(Q48-V48)^2</f>
        <v>17547721</v>
      </c>
      <c r="Y48" s="8">
        <f t="shared" si="41"/>
        <v>29241</v>
      </c>
    </row>
    <row r="49" spans="1:25" x14ac:dyDescent="0.3">
      <c r="A49" s="50"/>
      <c r="B49" s="8" t="s">
        <v>47</v>
      </c>
      <c r="C49" s="8">
        <v>4</v>
      </c>
      <c r="D49" s="9">
        <v>420000</v>
      </c>
      <c r="E49" s="9">
        <f t="shared" si="42"/>
        <v>325990</v>
      </c>
      <c r="F49" s="9">
        <f t="shared" si="43"/>
        <v>12729</v>
      </c>
      <c r="G49" s="9">
        <f t="shared" si="44"/>
        <v>417990</v>
      </c>
      <c r="H49" s="9">
        <f>0.1*(G49-G48)+(1-0.1)*H48</f>
        <v>20769</v>
      </c>
      <c r="I49" s="8">
        <f t="shared" ref="I49:I81" si="51">E49+1*F49</f>
        <v>338719</v>
      </c>
      <c r="J49" s="8">
        <f t="shared" ref="J49:J81" si="52">G49+1*H49</f>
        <v>438759</v>
      </c>
      <c r="K49" s="9">
        <f t="shared" si="35"/>
        <v>6606600961</v>
      </c>
      <c r="L49" s="8">
        <f t="shared" si="36"/>
        <v>351900081</v>
      </c>
      <c r="N49" s="50"/>
      <c r="O49" s="8" t="s">
        <v>47</v>
      </c>
      <c r="P49" s="8">
        <v>4</v>
      </c>
      <c r="Q49" s="9">
        <v>60000</v>
      </c>
      <c r="R49" s="9">
        <f t="shared" si="46"/>
        <v>57067.7</v>
      </c>
      <c r="S49" s="9">
        <f t="shared" si="47"/>
        <v>626.66999999999973</v>
      </c>
      <c r="T49" s="9">
        <f t="shared" si="48"/>
        <v>60051.3</v>
      </c>
      <c r="U49" s="9">
        <f>0.1*(T49-T48)+(1-0.1)*U48</f>
        <v>849.03000000000031</v>
      </c>
      <c r="V49" s="8">
        <f t="shared" ref="V49:V81" si="53">R49+1*S49</f>
        <v>57694.369999999995</v>
      </c>
      <c r="W49" s="8">
        <f t="shared" ref="W49:W81" si="54">T49+1*U49</f>
        <v>60900.33</v>
      </c>
      <c r="X49" s="9">
        <f>(Q49-V49)^2</f>
        <v>5315929.6969000213</v>
      </c>
      <c r="Y49" s="8">
        <f t="shared" si="41"/>
        <v>810594.10890000314</v>
      </c>
    </row>
    <row r="50" spans="1:25" x14ac:dyDescent="0.3">
      <c r="A50" s="50"/>
      <c r="B50" s="8" t="s">
        <v>48</v>
      </c>
      <c r="C50" s="8">
        <v>5</v>
      </c>
      <c r="D50" s="9">
        <v>360000</v>
      </c>
      <c r="E50" s="9">
        <f t="shared" si="42"/>
        <v>345103.3</v>
      </c>
      <c r="F50" s="9">
        <f t="shared" si="43"/>
        <v>13367.43</v>
      </c>
      <c r="G50" s="9">
        <f t="shared" si="44"/>
        <v>383627.69999999995</v>
      </c>
      <c r="H50" s="9">
        <f t="shared" ref="H50:H68" si="55">0.1*(G50-G49)+(1-0.1)*H49</f>
        <v>15255.869999999997</v>
      </c>
      <c r="I50" s="8">
        <f t="shared" si="51"/>
        <v>358470.73</v>
      </c>
      <c r="J50" s="8">
        <f t="shared" si="52"/>
        <v>398883.56999999995</v>
      </c>
      <c r="K50" s="9">
        <f t="shared" si="35"/>
        <v>2338666.732900057</v>
      </c>
      <c r="L50" s="8">
        <f t="shared" si="36"/>
        <v>1511932015.944896</v>
      </c>
      <c r="N50" s="50"/>
      <c r="O50" s="8" t="s">
        <v>48</v>
      </c>
      <c r="P50" s="8">
        <v>5</v>
      </c>
      <c r="Q50" s="9">
        <v>64000</v>
      </c>
      <c r="R50" s="9">
        <f t="shared" si="46"/>
        <v>59586.058999999994</v>
      </c>
      <c r="S50" s="9">
        <f t="shared" si="47"/>
        <v>815.83889999999951</v>
      </c>
      <c r="T50" s="9">
        <f t="shared" si="48"/>
        <v>63070.099000000002</v>
      </c>
      <c r="U50" s="9">
        <f t="shared" ref="U50:U68" si="56">0.1*(T50-T49)+(1-0.1)*U49</f>
        <v>1066.0069000000003</v>
      </c>
      <c r="V50" s="8">
        <f t="shared" si="53"/>
        <v>60401.897899999996</v>
      </c>
      <c r="W50" s="8">
        <f t="shared" si="54"/>
        <v>64136.105900000002</v>
      </c>
      <c r="X50" s="9">
        <f t="shared" ref="X50:X81" si="57">(Q50-V50)^2</f>
        <v>12946338.722024437</v>
      </c>
      <c r="Y50" s="8">
        <f t="shared" si="41"/>
        <v>18524.816014810625</v>
      </c>
    </row>
    <row r="51" spans="1:25" x14ac:dyDescent="0.3">
      <c r="A51" s="50"/>
      <c r="B51" s="8" t="s">
        <v>49</v>
      </c>
      <c r="C51" s="8">
        <v>6</v>
      </c>
      <c r="D51" s="9">
        <v>220000</v>
      </c>
      <c r="E51" s="9">
        <f t="shared" si="42"/>
        <v>316929.51099999994</v>
      </c>
      <c r="F51" s="9">
        <f t="shared" si="43"/>
        <v>9213.3080999999947</v>
      </c>
      <c r="G51" s="9">
        <f t="shared" si="44"/>
        <v>273665.071</v>
      </c>
      <c r="H51" s="9">
        <f t="shared" si="55"/>
        <v>2734.0201000000015</v>
      </c>
      <c r="I51" s="8">
        <f t="shared" si="51"/>
        <v>326142.81909999996</v>
      </c>
      <c r="J51" s="8">
        <f t="shared" si="52"/>
        <v>276399.09110000002</v>
      </c>
      <c r="K51" s="9">
        <f t="shared" si="35"/>
        <v>11266298046.495317</v>
      </c>
      <c r="L51" s="9">
        <f t="shared" si="36"/>
        <v>3180857476.9061012</v>
      </c>
      <c r="N51" s="50"/>
      <c r="O51" s="8" t="s">
        <v>49</v>
      </c>
      <c r="P51" s="8">
        <v>6</v>
      </c>
      <c r="Q51" s="9">
        <v>40000</v>
      </c>
      <c r="R51" s="9">
        <f t="shared" si="46"/>
        <v>54281.328529999992</v>
      </c>
      <c r="S51" s="9">
        <f t="shared" si="47"/>
        <v>203.78196299999934</v>
      </c>
      <c r="T51" s="9">
        <f t="shared" si="48"/>
        <v>47240.831770000004</v>
      </c>
      <c r="U51" s="9">
        <f t="shared" si="56"/>
        <v>-623.52051299999948</v>
      </c>
      <c r="V51" s="8">
        <f t="shared" si="53"/>
        <v>54485.110492999993</v>
      </c>
      <c r="W51" s="8">
        <f t="shared" si="54"/>
        <v>46617.311257000008</v>
      </c>
      <c r="X51" s="9">
        <f t="shared" si="57"/>
        <v>209818425.9944185</v>
      </c>
      <c r="Y51" s="9">
        <f>(Q51-W51)^2</f>
        <v>43788808.272019029</v>
      </c>
    </row>
    <row r="52" spans="1:25" x14ac:dyDescent="0.3">
      <c r="A52" s="50"/>
      <c r="B52" s="8" t="s">
        <v>50</v>
      </c>
      <c r="C52" s="8">
        <v>7</v>
      </c>
      <c r="D52" s="8">
        <v>380000</v>
      </c>
      <c r="E52" s="8">
        <f t="shared" si="42"/>
        <v>342299.97336999996</v>
      </c>
      <c r="F52" s="8">
        <f t="shared" si="43"/>
        <v>10829.023526999998</v>
      </c>
      <c r="G52" s="8">
        <f t="shared" si="44"/>
        <v>348919.72733000002</v>
      </c>
      <c r="H52" s="8">
        <f t="shared" si="55"/>
        <v>9986.0837230000052</v>
      </c>
      <c r="I52" s="8">
        <f t="shared" si="51"/>
        <v>353128.99689699995</v>
      </c>
      <c r="J52" s="8">
        <f t="shared" si="52"/>
        <v>358905.81105300004</v>
      </c>
      <c r="K52" s="9">
        <f t="shared" si="35"/>
        <v>722050807.76143849</v>
      </c>
      <c r="L52" s="9">
        <f t="shared" si="36"/>
        <v>444964807.33173525</v>
      </c>
      <c r="N52" s="50"/>
      <c r="O52" s="8" t="s">
        <v>50</v>
      </c>
      <c r="P52" s="8">
        <v>7</v>
      </c>
      <c r="Q52" s="8">
        <v>50000</v>
      </c>
      <c r="R52" s="8">
        <f t="shared" si="46"/>
        <v>53139.577345099991</v>
      </c>
      <c r="S52" s="8">
        <f t="shared" si="47"/>
        <v>69.228648209999378</v>
      </c>
      <c r="T52" s="8">
        <f t="shared" si="48"/>
        <v>48985.193377100004</v>
      </c>
      <c r="U52" s="8">
        <f t="shared" si="56"/>
        <v>-386.73230098999954</v>
      </c>
      <c r="V52" s="8">
        <f t="shared" si="53"/>
        <v>53208.805993309994</v>
      </c>
      <c r="W52" s="8">
        <f t="shared" si="54"/>
        <v>48598.461076110005</v>
      </c>
      <c r="X52" s="9">
        <f t="shared" si="57"/>
        <v>10296435.902702136</v>
      </c>
      <c r="Y52" s="9">
        <f t="shared" ref="Y52:Y81" si="58">(Q52-W52)^2</f>
        <v>1964311.3551787257</v>
      </c>
    </row>
    <row r="53" spans="1:25" x14ac:dyDescent="0.3">
      <c r="A53" s="50"/>
      <c r="B53" s="8" t="s">
        <v>51</v>
      </c>
      <c r="C53" s="8">
        <v>8</v>
      </c>
      <c r="D53" s="8">
        <v>230000</v>
      </c>
      <c r="E53" s="8">
        <f t="shared" si="42"/>
        <v>316190.29782789992</v>
      </c>
      <c r="F53" s="8">
        <f t="shared" si="43"/>
        <v>7135.1536200899936</v>
      </c>
      <c r="G53" s="8">
        <f t="shared" si="44"/>
        <v>268671.74331590004</v>
      </c>
      <c r="H53" s="8">
        <f t="shared" si="55"/>
        <v>962.67694929000481</v>
      </c>
      <c r="I53" s="8">
        <f t="shared" si="51"/>
        <v>323325.45144798991</v>
      </c>
      <c r="J53" s="8">
        <f t="shared" si="52"/>
        <v>269634.42026519001</v>
      </c>
      <c r="K53" s="9">
        <f t="shared" si="35"/>
        <v>8709639887.9711208</v>
      </c>
      <c r="L53" s="9">
        <f t="shared" si="36"/>
        <v>1570887269.7577047</v>
      </c>
      <c r="N53" s="50"/>
      <c r="O53" s="8" t="s">
        <v>51</v>
      </c>
      <c r="P53" s="8">
        <v>8</v>
      </c>
      <c r="Q53" s="8">
        <v>50000</v>
      </c>
      <c r="R53" s="8">
        <f t="shared" si="46"/>
        <v>52246.164195316996</v>
      </c>
      <c r="S53" s="8">
        <f t="shared" si="47"/>
        <v>-27.035531589300049</v>
      </c>
      <c r="T53" s="8">
        <f t="shared" si="48"/>
        <v>49579.538322833003</v>
      </c>
      <c r="U53" s="8">
        <f t="shared" si="56"/>
        <v>-288.62457631769968</v>
      </c>
      <c r="V53" s="8">
        <f t="shared" si="53"/>
        <v>52219.128663727693</v>
      </c>
      <c r="W53" s="8">
        <f t="shared" si="54"/>
        <v>49290.913746515304</v>
      </c>
      <c r="X53" s="9">
        <f t="shared" si="57"/>
        <v>4924532.0261778589</v>
      </c>
      <c r="Y53" s="9">
        <f t="shared" si="58"/>
        <v>502803.31488096324</v>
      </c>
    </row>
    <row r="54" spans="1:25" x14ac:dyDescent="0.3">
      <c r="A54" s="50"/>
      <c r="B54" s="8" t="s">
        <v>52</v>
      </c>
      <c r="C54" s="8">
        <v>9</v>
      </c>
      <c r="D54" s="8">
        <v>360000</v>
      </c>
      <c r="E54" s="8">
        <f t="shared" si="42"/>
        <v>334327.81601359294</v>
      </c>
      <c r="F54" s="8">
        <f t="shared" si="43"/>
        <v>8235.3900766502957</v>
      </c>
      <c r="G54" s="8">
        <f t="shared" si="44"/>
        <v>332890.32607955695</v>
      </c>
      <c r="H54" s="8">
        <f t="shared" si="55"/>
        <v>7288.2675307266964</v>
      </c>
      <c r="I54" s="8">
        <f t="shared" si="51"/>
        <v>342563.20609024324</v>
      </c>
      <c r="J54" s="8">
        <f t="shared" si="52"/>
        <v>340178.59361028363</v>
      </c>
      <c r="K54" s="9">
        <f t="shared" si="35"/>
        <v>304041781.85133034</v>
      </c>
      <c r="L54" s="9">
        <f t="shared" si="36"/>
        <v>392888151.26628906</v>
      </c>
      <c r="N54" s="50"/>
      <c r="O54" s="8" t="s">
        <v>52</v>
      </c>
      <c r="P54" s="8">
        <v>9</v>
      </c>
      <c r="Q54" s="8">
        <v>40000</v>
      </c>
      <c r="R54" s="8">
        <f t="shared" si="46"/>
        <v>48553.390064609383</v>
      </c>
      <c r="S54" s="8">
        <f t="shared" si="47"/>
        <v>-393.60939150113148</v>
      </c>
      <c r="T54" s="8">
        <f t="shared" si="48"/>
        <v>42787.274123954594</v>
      </c>
      <c r="U54" s="8">
        <f t="shared" si="56"/>
        <v>-938.98853857377071</v>
      </c>
      <c r="V54" s="8">
        <f t="shared" si="53"/>
        <v>48159.780673108253</v>
      </c>
      <c r="W54" s="8">
        <f t="shared" si="54"/>
        <v>41848.285585380821</v>
      </c>
      <c r="X54" s="9">
        <f t="shared" si="57"/>
        <v>66582020.633230969</v>
      </c>
      <c r="Y54" s="9">
        <f t="shared" si="58"/>
        <v>3416159.6051265257</v>
      </c>
    </row>
    <row r="55" spans="1:25" x14ac:dyDescent="0.3">
      <c r="A55" s="50"/>
      <c r="B55" s="8" t="s">
        <v>53</v>
      </c>
      <c r="C55" s="8">
        <v>10</v>
      </c>
      <c r="D55" s="8">
        <v>440000</v>
      </c>
      <c r="E55" s="8">
        <f t="shared" si="42"/>
        <v>371794.24426317029</v>
      </c>
      <c r="F55" s="8">
        <f t="shared" si="43"/>
        <v>11158.493893943001</v>
      </c>
      <c r="G55" s="8">
        <f t="shared" si="44"/>
        <v>410053.57808308513</v>
      </c>
      <c r="H55" s="8">
        <f t="shared" si="55"/>
        <v>14275.765978006844</v>
      </c>
      <c r="I55" s="8">
        <f t="shared" si="51"/>
        <v>382952.73815711332</v>
      </c>
      <c r="J55" s="8">
        <f t="shared" si="52"/>
        <v>424329.34406109195</v>
      </c>
      <c r="K55" s="9">
        <f t="shared" si="35"/>
        <v>3254390083.770875</v>
      </c>
      <c r="L55" s="9">
        <f t="shared" si="36"/>
        <v>245569457.55563414</v>
      </c>
      <c r="N55" s="50"/>
      <c r="O55" s="8" t="s">
        <v>53</v>
      </c>
      <c r="P55" s="8">
        <v>10</v>
      </c>
      <c r="Q55" s="8">
        <v>80000</v>
      </c>
      <c r="R55" s="8">
        <f t="shared" si="46"/>
        <v>57711.846471175777</v>
      </c>
      <c r="S55" s="8">
        <f t="shared" si="47"/>
        <v>561.5971883056211</v>
      </c>
      <c r="T55" s="8">
        <f t="shared" si="48"/>
        <v>68554.485675614254</v>
      </c>
      <c r="U55" s="8">
        <f t="shared" si="56"/>
        <v>1731.6314704495726</v>
      </c>
      <c r="V55" s="8">
        <f t="shared" si="53"/>
        <v>58273.443659481396</v>
      </c>
      <c r="W55" s="8">
        <f t="shared" si="54"/>
        <v>70286.117146063829</v>
      </c>
      <c r="X55" s="9">
        <f t="shared" si="57"/>
        <v>472043250.41772914</v>
      </c>
      <c r="Y55" s="9">
        <f t="shared" si="58"/>
        <v>94359520.099995136</v>
      </c>
    </row>
    <row r="56" spans="1:25" x14ac:dyDescent="0.3">
      <c r="A56" s="50"/>
      <c r="B56" s="8" t="s">
        <v>54</v>
      </c>
      <c r="C56" s="8">
        <v>11</v>
      </c>
      <c r="D56" s="8">
        <v>280000</v>
      </c>
      <c r="E56" s="8">
        <f t="shared" si="42"/>
        <v>352066.9167099793</v>
      </c>
      <c r="F56" s="8">
        <f t="shared" si="43"/>
        <v>8069.9117492296027</v>
      </c>
      <c r="G56" s="8">
        <f t="shared" si="44"/>
        <v>323298.80321832758</v>
      </c>
      <c r="H56" s="8">
        <f t="shared" si="55"/>
        <v>4172.7118937304058</v>
      </c>
      <c r="I56" s="8">
        <f t="shared" si="51"/>
        <v>360136.82845920889</v>
      </c>
      <c r="J56" s="8">
        <f t="shared" si="52"/>
        <v>327471.51511205797</v>
      </c>
      <c r="K56" s="9">
        <f t="shared" si="35"/>
        <v>6421911275.5006714</v>
      </c>
      <c r="L56" s="9">
        <f t="shared" si="36"/>
        <v>2253544747.034348</v>
      </c>
      <c r="N56" s="50"/>
      <c r="O56" s="8" t="s">
        <v>54</v>
      </c>
      <c r="P56" s="8">
        <v>11</v>
      </c>
      <c r="Q56" s="8">
        <v>60000</v>
      </c>
      <c r="R56" s="8">
        <f t="shared" si="46"/>
        <v>58791.410561636978</v>
      </c>
      <c r="S56" s="8">
        <f t="shared" si="47"/>
        <v>613.39387852117909</v>
      </c>
      <c r="T56" s="8">
        <f t="shared" si="48"/>
        <v>63085.835143819153</v>
      </c>
      <c r="U56" s="8">
        <f t="shared" si="56"/>
        <v>1011.6032702251052</v>
      </c>
      <c r="V56" s="8">
        <f t="shared" si="53"/>
        <v>59404.804440158157</v>
      </c>
      <c r="W56" s="8">
        <f t="shared" si="54"/>
        <v>64097.438414044256</v>
      </c>
      <c r="X56" s="9">
        <f t="shared" si="57"/>
        <v>354257.75445544446</v>
      </c>
      <c r="Y56" s="9">
        <f t="shared" si="58"/>
        <v>16789001.556885511</v>
      </c>
    </row>
    <row r="57" spans="1:25" x14ac:dyDescent="0.3">
      <c r="A57" s="50"/>
      <c r="B57" s="8" t="s">
        <v>55</v>
      </c>
      <c r="C57" s="8">
        <v>12</v>
      </c>
      <c r="D57" s="8">
        <v>380000</v>
      </c>
      <c r="E57" s="8">
        <f t="shared" si="42"/>
        <v>366095.77992144623</v>
      </c>
      <c r="F57" s="8">
        <f t="shared" si="43"/>
        <v>8665.8068954533355</v>
      </c>
      <c r="G57" s="8">
        <f t="shared" si="44"/>
        <v>364241.45453361742</v>
      </c>
      <c r="H57" s="8">
        <f t="shared" si="55"/>
        <v>7849.7058358863487</v>
      </c>
      <c r="I57" s="8">
        <f t="shared" si="51"/>
        <v>374761.58681689954</v>
      </c>
      <c r="J57" s="8">
        <f t="shared" si="52"/>
        <v>372091.16036950378</v>
      </c>
      <c r="K57" s="9">
        <f t="shared" si="35"/>
        <v>27440972.676880728</v>
      </c>
      <c r="L57" s="9">
        <f t="shared" si="36"/>
        <v>62549744.300907627</v>
      </c>
      <c r="N57" s="50"/>
      <c r="O57" s="8" t="s">
        <v>55</v>
      </c>
      <c r="P57" s="8">
        <v>12</v>
      </c>
      <c r="Q57" s="8">
        <v>60000</v>
      </c>
      <c r="R57" s="8">
        <f t="shared" si="46"/>
        <v>59583.363108110709</v>
      </c>
      <c r="S57" s="8">
        <f t="shared" si="47"/>
        <v>631.24974531643431</v>
      </c>
      <c r="T57" s="8">
        <f t="shared" si="48"/>
        <v>61229.231524213275</v>
      </c>
      <c r="U57" s="8">
        <f t="shared" si="56"/>
        <v>724.78258124200693</v>
      </c>
      <c r="V57" s="8">
        <f t="shared" si="53"/>
        <v>60214.612853427141</v>
      </c>
      <c r="W57" s="8">
        <f t="shared" si="54"/>
        <v>61954.014105455281</v>
      </c>
      <c r="X57" s="9">
        <f t="shared" si="57"/>
        <v>46058.676856139544</v>
      </c>
      <c r="Y57" s="9">
        <f t="shared" si="58"/>
        <v>3818171.1243182002</v>
      </c>
    </row>
    <row r="58" spans="1:25" x14ac:dyDescent="0.3">
      <c r="A58" s="50">
        <v>2022</v>
      </c>
      <c r="B58" s="8" t="s">
        <v>44</v>
      </c>
      <c r="C58" s="8">
        <v>13</v>
      </c>
      <c r="D58" s="8">
        <v>380000</v>
      </c>
      <c r="E58" s="8">
        <f t="shared" si="42"/>
        <v>376333.11077182967</v>
      </c>
      <c r="F58" s="8">
        <f t="shared" si="43"/>
        <v>8822.9592909463463</v>
      </c>
      <c r="G58" s="8">
        <f t="shared" si="44"/>
        <v>377627.34811085113</v>
      </c>
      <c r="H58" s="8">
        <f t="shared" si="55"/>
        <v>8403.3246100210854</v>
      </c>
      <c r="I58" s="8">
        <f t="shared" si="51"/>
        <v>385156.07006277604</v>
      </c>
      <c r="J58" s="8">
        <f t="shared" si="52"/>
        <v>386030.67272087221</v>
      </c>
      <c r="K58" s="9">
        <f t="shared" si="35"/>
        <v>26585058.492255297</v>
      </c>
      <c r="L58" s="9">
        <f t="shared" si="36"/>
        <v>36369013.466272287</v>
      </c>
      <c r="N58" s="50">
        <v>2022</v>
      </c>
      <c r="O58" s="8" t="s">
        <v>44</v>
      </c>
      <c r="P58" s="8">
        <v>13</v>
      </c>
      <c r="Q58" s="8">
        <v>50000</v>
      </c>
      <c r="R58" s="8">
        <f t="shared" si="46"/>
        <v>57150.228997398997</v>
      </c>
      <c r="S58" s="8">
        <f t="shared" si="47"/>
        <v>324.81135971361982</v>
      </c>
      <c r="T58" s="8">
        <f t="shared" si="48"/>
        <v>53586.204231636584</v>
      </c>
      <c r="U58" s="8">
        <f t="shared" si="56"/>
        <v>-111.99840613986294</v>
      </c>
      <c r="V58" s="8">
        <f t="shared" si="53"/>
        <v>57475.040357112615</v>
      </c>
      <c r="W58" s="8">
        <f t="shared" si="54"/>
        <v>53474.20582549672</v>
      </c>
      <c r="X58" s="9">
        <f t="shared" si="57"/>
        <v>55876228.340462297</v>
      </c>
      <c r="Y58" s="9">
        <f t="shared" si="58"/>
        <v>12070106.117915343</v>
      </c>
    </row>
    <row r="59" spans="1:25" x14ac:dyDescent="0.3">
      <c r="A59" s="50"/>
      <c r="B59" s="8" t="s">
        <v>45</v>
      </c>
      <c r="C59" s="8">
        <v>14</v>
      </c>
      <c r="D59" s="8">
        <v>450000</v>
      </c>
      <c r="E59" s="8">
        <f t="shared" si="42"/>
        <v>404609.24904394319</v>
      </c>
      <c r="F59" s="8">
        <f t="shared" si="43"/>
        <v>10768.277189063063</v>
      </c>
      <c r="G59" s="8">
        <f t="shared" si="44"/>
        <v>430809.20181626169</v>
      </c>
      <c r="H59" s="8">
        <f t="shared" si="55"/>
        <v>12881.177519560033</v>
      </c>
      <c r="I59" s="8">
        <f t="shared" si="51"/>
        <v>415377.52623300627</v>
      </c>
      <c r="J59" s="8">
        <f t="shared" si="52"/>
        <v>443690.37933582172</v>
      </c>
      <c r="K59" s="9">
        <f t="shared" si="35"/>
        <v>1198715689.7461691</v>
      </c>
      <c r="L59" s="9">
        <f t="shared" si="36"/>
        <v>39811312.925825529</v>
      </c>
      <c r="N59" s="50"/>
      <c r="O59" s="8" t="s">
        <v>45</v>
      </c>
      <c r="P59" s="8">
        <v>14</v>
      </c>
      <c r="Q59" s="8">
        <v>80000</v>
      </c>
      <c r="R59" s="8">
        <f t="shared" si="46"/>
        <v>64232.52824997883</v>
      </c>
      <c r="S59" s="8">
        <f t="shared" si="47"/>
        <v>1000.5601490002412</v>
      </c>
      <c r="T59" s="8">
        <f t="shared" si="48"/>
        <v>72042.261747649012</v>
      </c>
      <c r="U59" s="8">
        <f t="shared" si="56"/>
        <v>1744.8071860753662</v>
      </c>
      <c r="V59" s="8">
        <f t="shared" si="53"/>
        <v>65233.088398979075</v>
      </c>
      <c r="W59" s="8">
        <f t="shared" si="54"/>
        <v>73787.068933724382</v>
      </c>
      <c r="X59" s="9">
        <f t="shared" si="57"/>
        <v>218061678.23236638</v>
      </c>
      <c r="Y59" s="9">
        <f t="shared" si="58"/>
        <v>38600512.434292689</v>
      </c>
    </row>
    <row r="60" spans="1:25" x14ac:dyDescent="0.3">
      <c r="A60" s="50"/>
      <c r="B60" s="8" t="s">
        <v>46</v>
      </c>
      <c r="C60" s="8">
        <v>15</v>
      </c>
      <c r="D60" s="8">
        <v>510000</v>
      </c>
      <c r="E60" s="8">
        <f t="shared" si="42"/>
        <v>443764.26836310438</v>
      </c>
      <c r="F60" s="8">
        <f t="shared" si="43"/>
        <v>13606.951402072875</v>
      </c>
      <c r="G60" s="8">
        <f t="shared" si="44"/>
        <v>490107.11380074651</v>
      </c>
      <c r="H60" s="8">
        <f t="shared" si="55"/>
        <v>17522.850966052512</v>
      </c>
      <c r="I60" s="8">
        <f t="shared" si="51"/>
        <v>457371.21976517723</v>
      </c>
      <c r="J60" s="8">
        <f t="shared" si="52"/>
        <v>507629.96476679901</v>
      </c>
      <c r="K60" s="9">
        <f t="shared" si="35"/>
        <v>2769788509.0052719</v>
      </c>
      <c r="L60" s="9">
        <f t="shared" si="36"/>
        <v>5617067.0066140871</v>
      </c>
      <c r="N60" s="50"/>
      <c r="O60" s="8" t="s">
        <v>46</v>
      </c>
      <c r="P60" s="8">
        <v>15</v>
      </c>
      <c r="Q60" s="8">
        <v>70000</v>
      </c>
      <c r="R60" s="8">
        <f t="shared" si="46"/>
        <v>66663.161879285355</v>
      </c>
      <c r="S60" s="8">
        <f t="shared" si="47"/>
        <v>1143.5674970308696</v>
      </c>
      <c r="T60" s="8">
        <f t="shared" si="48"/>
        <v>71136.12068011731</v>
      </c>
      <c r="U60" s="8">
        <f t="shared" si="56"/>
        <v>1479.7123607146593</v>
      </c>
      <c r="V60" s="8">
        <f t="shared" si="53"/>
        <v>67806.729376316231</v>
      </c>
      <c r="W60" s="8">
        <f t="shared" si="54"/>
        <v>72615.833040831974</v>
      </c>
      <c r="X60" s="9">
        <f t="shared" si="57"/>
        <v>4810436.0287141902</v>
      </c>
      <c r="Y60" s="9">
        <f t="shared" si="58"/>
        <v>6842582.4975082539</v>
      </c>
    </row>
    <row r="61" spans="1:25" x14ac:dyDescent="0.3">
      <c r="A61" s="50"/>
      <c r="B61" s="8" t="s">
        <v>47</v>
      </c>
      <c r="C61" s="8">
        <v>16</v>
      </c>
      <c r="D61" s="8">
        <v>300000</v>
      </c>
      <c r="E61" s="8">
        <f t="shared" si="42"/>
        <v>410159.85383562406</v>
      </c>
      <c r="F61" s="8">
        <f t="shared" si="43"/>
        <v>8885.8148091175572</v>
      </c>
      <c r="G61" s="8">
        <f t="shared" si="44"/>
        <v>362288.98943003971</v>
      </c>
      <c r="H61" s="8">
        <f t="shared" si="55"/>
        <v>2988.7534323765831</v>
      </c>
      <c r="I61" s="8">
        <f t="shared" si="51"/>
        <v>419045.66864474164</v>
      </c>
      <c r="J61" s="8">
        <f t="shared" si="52"/>
        <v>365277.74286241631</v>
      </c>
      <c r="K61" s="9">
        <f t="shared" si="35"/>
        <v>14171871223.073624</v>
      </c>
      <c r="L61" s="9">
        <f t="shared" si="36"/>
        <v>4261183713.2117443</v>
      </c>
      <c r="N61" s="50"/>
      <c r="O61" s="8" t="s">
        <v>47</v>
      </c>
      <c r="P61" s="8">
        <v>16</v>
      </c>
      <c r="Q61" s="8">
        <v>50000</v>
      </c>
      <c r="R61" s="8">
        <f t="shared" si="46"/>
        <v>62464.710563421359</v>
      </c>
      <c r="S61" s="8">
        <f t="shared" si="47"/>
        <v>609.36561574138295</v>
      </c>
      <c r="T61" s="8">
        <f t="shared" si="48"/>
        <v>56784.749912249594</v>
      </c>
      <c r="U61" s="8">
        <f t="shared" si="56"/>
        <v>-103.39595214357837</v>
      </c>
      <c r="V61" s="8">
        <f t="shared" si="53"/>
        <v>63074.076179162745</v>
      </c>
      <c r="W61" s="8">
        <f t="shared" si="54"/>
        <v>56681.353960106018</v>
      </c>
      <c r="X61" s="9">
        <f t="shared" si="57"/>
        <v>170931467.93855071</v>
      </c>
      <c r="Y61" s="9">
        <f t="shared" si="58"/>
        <v>44640490.740224376</v>
      </c>
    </row>
    <row r="62" spans="1:25" x14ac:dyDescent="0.3">
      <c r="A62" s="50"/>
      <c r="B62" s="8" t="s">
        <v>48</v>
      </c>
      <c r="C62" s="8">
        <v>17</v>
      </c>
      <c r="D62" s="8">
        <v>390000</v>
      </c>
      <c r="E62" s="8">
        <f t="shared" si="42"/>
        <v>410331.96805131913</v>
      </c>
      <c r="F62" s="8">
        <f t="shared" si="43"/>
        <v>8014.4447497753081</v>
      </c>
      <c r="G62" s="8">
        <f t="shared" si="44"/>
        <v>382583.32285872492</v>
      </c>
      <c r="H62" s="8">
        <f t="shared" si="55"/>
        <v>4719.3114320074455</v>
      </c>
      <c r="I62" s="8">
        <f t="shared" si="51"/>
        <v>418346.41280109441</v>
      </c>
      <c r="J62" s="8">
        <f t="shared" si="52"/>
        <v>387302.63429073239</v>
      </c>
      <c r="K62" s="9">
        <f t="shared" si="35"/>
        <v>803519118.69004917</v>
      </c>
      <c r="L62" s="9">
        <f t="shared" si="36"/>
        <v>7275781.769532783</v>
      </c>
      <c r="N62" s="50"/>
      <c r="O62" s="8" t="s">
        <v>48</v>
      </c>
      <c r="P62" s="8">
        <v>17</v>
      </c>
      <c r="Q62" s="8">
        <v>60000</v>
      </c>
      <c r="R62" s="8">
        <f t="shared" si="46"/>
        <v>62151.853325413918</v>
      </c>
      <c r="S62" s="8">
        <f t="shared" si="47"/>
        <v>517.14333036650066</v>
      </c>
      <c r="T62" s="8">
        <f t="shared" si="48"/>
        <v>59004.406188031804</v>
      </c>
      <c r="U62" s="8">
        <f t="shared" si="56"/>
        <v>128.90927064900052</v>
      </c>
      <c r="V62" s="8">
        <f t="shared" si="53"/>
        <v>62668.996655780422</v>
      </c>
      <c r="W62" s="8">
        <f t="shared" si="54"/>
        <v>59133.315458680801</v>
      </c>
      <c r="X62" s="9">
        <f t="shared" si="57"/>
        <v>7123543.1485670758</v>
      </c>
      <c r="Y62" s="9">
        <f t="shared" si="58"/>
        <v>751142.09416166972</v>
      </c>
    </row>
    <row r="63" spans="1:25" x14ac:dyDescent="0.3">
      <c r="A63" s="50"/>
      <c r="B63" s="8" t="s">
        <v>49</v>
      </c>
      <c r="C63" s="8">
        <v>18</v>
      </c>
      <c r="D63" s="8">
        <v>350000</v>
      </c>
      <c r="E63" s="8">
        <f t="shared" si="42"/>
        <v>397842.48896076606</v>
      </c>
      <c r="F63" s="8">
        <f t="shared" si="43"/>
        <v>5964.052365742471</v>
      </c>
      <c r="G63" s="8">
        <f t="shared" si="44"/>
        <v>361190.79028721969</v>
      </c>
      <c r="H63" s="8">
        <f t="shared" si="55"/>
        <v>2108.1270316561781</v>
      </c>
      <c r="I63" s="8">
        <f t="shared" si="51"/>
        <v>403806.54132650851</v>
      </c>
      <c r="J63" s="8">
        <f t="shared" si="52"/>
        <v>363298.91731887584</v>
      </c>
      <c r="K63" s="9">
        <f t="shared" si="35"/>
        <v>2895143889.5212679</v>
      </c>
      <c r="L63" s="9">
        <f t="shared" si="36"/>
        <v>176861201.85429585</v>
      </c>
      <c r="N63" s="50"/>
      <c r="O63" s="8" t="s">
        <v>49</v>
      </c>
      <c r="P63" s="8">
        <v>18</v>
      </c>
      <c r="Q63" s="8">
        <v>80000</v>
      </c>
      <c r="R63" s="8">
        <f t="shared" si="46"/>
        <v>67868.297659046293</v>
      </c>
      <c r="S63" s="8">
        <f t="shared" si="47"/>
        <v>1037.0734306930881</v>
      </c>
      <c r="T63" s="8">
        <f t="shared" si="48"/>
        <v>73739.99463760425</v>
      </c>
      <c r="U63" s="8">
        <f t="shared" si="56"/>
        <v>1589.5771885413451</v>
      </c>
      <c r="V63" s="8">
        <f t="shared" si="53"/>
        <v>68905.371089739376</v>
      </c>
      <c r="W63" s="8">
        <f t="shared" si="54"/>
        <v>75329.571826145591</v>
      </c>
      <c r="X63" s="9">
        <f t="shared" si="57"/>
        <v>123090790.65639085</v>
      </c>
      <c r="Y63" s="9">
        <f t="shared" si="58"/>
        <v>21812899.327133026</v>
      </c>
    </row>
    <row r="64" spans="1:25" x14ac:dyDescent="0.3">
      <c r="A64" s="50"/>
      <c r="B64" s="8" t="s">
        <v>50</v>
      </c>
      <c r="C64" s="8">
        <v>19</v>
      </c>
      <c r="D64" s="8">
        <v>380000</v>
      </c>
      <c r="E64" s="8">
        <f t="shared" si="42"/>
        <v>396664.57892855594</v>
      </c>
      <c r="F64" s="8">
        <f t="shared" si="43"/>
        <v>5249.8561259472126</v>
      </c>
      <c r="G64" s="8">
        <f t="shared" si="44"/>
        <v>374989.67519566277</v>
      </c>
      <c r="H64" s="8">
        <f t="shared" si="55"/>
        <v>3277.2028193348688</v>
      </c>
      <c r="I64" s="8">
        <f t="shared" si="51"/>
        <v>401914.43505450315</v>
      </c>
      <c r="J64" s="8">
        <f t="shared" si="52"/>
        <v>378266.87801499764</v>
      </c>
      <c r="K64" s="9">
        <f t="shared" si="35"/>
        <v>480242463.75803643</v>
      </c>
      <c r="L64" s="9">
        <f t="shared" si="36"/>
        <v>3003711.8148985296</v>
      </c>
      <c r="N64" s="50"/>
      <c r="O64" s="8" t="s">
        <v>50</v>
      </c>
      <c r="P64" s="8">
        <v>19</v>
      </c>
      <c r="Q64" s="8">
        <v>70000</v>
      </c>
      <c r="R64" s="8">
        <f t="shared" si="46"/>
        <v>69233.759762817557</v>
      </c>
      <c r="S64" s="8">
        <f t="shared" si="47"/>
        <v>1069.9122980009058</v>
      </c>
      <c r="T64" s="8">
        <f t="shared" si="48"/>
        <v>71598.871547843679</v>
      </c>
      <c r="U64" s="8">
        <f t="shared" si="56"/>
        <v>1216.5071607111533</v>
      </c>
      <c r="V64" s="8">
        <f t="shared" si="53"/>
        <v>70303.67206081847</v>
      </c>
      <c r="W64" s="8">
        <f t="shared" si="54"/>
        <v>72815.378708554839</v>
      </c>
      <c r="X64" s="9">
        <f t="shared" si="57"/>
        <v>92216.720521736308</v>
      </c>
      <c r="Y64" s="9">
        <f t="shared" si="58"/>
        <v>7926357.2725839149</v>
      </c>
    </row>
    <row r="65" spans="1:25" x14ac:dyDescent="0.3">
      <c r="A65" s="50"/>
      <c r="B65" s="8" t="s">
        <v>51</v>
      </c>
      <c r="C65" s="8">
        <v>20</v>
      </c>
      <c r="D65" s="8">
        <v>390000</v>
      </c>
      <c r="E65" s="8">
        <f t="shared" si="42"/>
        <v>398340.10453815217</v>
      </c>
      <c r="F65" s="8">
        <f t="shared" si="43"/>
        <v>4892.4230743121143</v>
      </c>
      <c r="G65" s="8">
        <f t="shared" si="44"/>
        <v>386480.06340449932</v>
      </c>
      <c r="H65" s="8">
        <f t="shared" si="55"/>
        <v>4098.5213582850374</v>
      </c>
      <c r="I65" s="8">
        <f t="shared" si="51"/>
        <v>403232.52761246427</v>
      </c>
      <c r="J65" s="8">
        <f t="shared" si="52"/>
        <v>390578.58476278436</v>
      </c>
      <c r="K65" s="9">
        <f t="shared" si="35"/>
        <v>175099787.01462933</v>
      </c>
      <c r="L65" s="9">
        <f t="shared" si="36"/>
        <v>334760.32772623573</v>
      </c>
      <c r="N65" s="50"/>
      <c r="O65" s="8" t="s">
        <v>51</v>
      </c>
      <c r="P65" s="8">
        <v>20</v>
      </c>
      <c r="Q65" s="8">
        <v>70000</v>
      </c>
      <c r="R65" s="8">
        <f t="shared" si="46"/>
        <v>70212.570442572935</v>
      </c>
      <c r="S65" s="8">
        <f t="shared" si="47"/>
        <v>1060.8021361763531</v>
      </c>
      <c r="T65" s="8">
        <f t="shared" si="48"/>
        <v>70844.613612566463</v>
      </c>
      <c r="U65" s="8">
        <f t="shared" si="56"/>
        <v>1019.4306511123165</v>
      </c>
      <c r="V65" s="8">
        <f t="shared" si="53"/>
        <v>71273.372578749288</v>
      </c>
      <c r="W65" s="8">
        <f t="shared" si="54"/>
        <v>71864.044263678777</v>
      </c>
      <c r="X65" s="9">
        <f t="shared" si="57"/>
        <v>1621477.7243106107</v>
      </c>
      <c r="Y65" s="9">
        <f t="shared" si="58"/>
        <v>3474661.0169537556</v>
      </c>
    </row>
    <row r="66" spans="1:25" x14ac:dyDescent="0.3">
      <c r="A66" s="50"/>
      <c r="B66" s="8" t="s">
        <v>52</v>
      </c>
      <c r="C66" s="8">
        <v>21</v>
      </c>
      <c r="D66" s="8">
        <v>320000</v>
      </c>
      <c r="E66" s="8">
        <f t="shared" si="42"/>
        <v>378262.76932872494</v>
      </c>
      <c r="F66" s="8">
        <f t="shared" si="43"/>
        <v>2395.4472459381805</v>
      </c>
      <c r="G66" s="8">
        <f t="shared" si="44"/>
        <v>341173.57542883535</v>
      </c>
      <c r="H66" s="8">
        <f t="shared" si="55"/>
        <v>-841.97957510986407</v>
      </c>
      <c r="I66" s="8">
        <f t="shared" si="51"/>
        <v>380658.21657466312</v>
      </c>
      <c r="J66" s="8">
        <f t="shared" si="52"/>
        <v>340331.59585372551</v>
      </c>
      <c r="K66" s="9">
        <f t="shared" si="35"/>
        <v>3679419238.0187359</v>
      </c>
      <c r="L66" s="9">
        <f t="shared" si="36"/>
        <v>413373789.95922822</v>
      </c>
      <c r="N66" s="50"/>
      <c r="O66" s="8" t="s">
        <v>52</v>
      </c>
      <c r="P66" s="8">
        <v>21</v>
      </c>
      <c r="Q66" s="8">
        <v>80000</v>
      </c>
      <c r="R66" s="8">
        <f t="shared" si="46"/>
        <v>73891.360805124496</v>
      </c>
      <c r="S66" s="8">
        <f t="shared" si="47"/>
        <v>1322.6009588138738</v>
      </c>
      <c r="T66" s="8">
        <f t="shared" si="48"/>
        <v>77559.213279103627</v>
      </c>
      <c r="U66" s="8">
        <f t="shared" si="56"/>
        <v>1588.9475526548013</v>
      </c>
      <c r="V66" s="8">
        <f t="shared" si="53"/>
        <v>75213.961763938365</v>
      </c>
      <c r="W66" s="8">
        <f t="shared" si="54"/>
        <v>79148.160831758432</v>
      </c>
      <c r="X66" s="9">
        <f t="shared" si="57"/>
        <v>22906161.997043967</v>
      </c>
      <c r="Y66" s="9">
        <f t="shared" si="58"/>
        <v>725629.96855048579</v>
      </c>
    </row>
    <row r="67" spans="1:25" x14ac:dyDescent="0.3">
      <c r="A67" s="50"/>
      <c r="B67" s="8" t="s">
        <v>53</v>
      </c>
      <c r="C67" s="8">
        <v>22</v>
      </c>
      <c r="D67" s="8">
        <v>210000</v>
      </c>
      <c r="E67" s="8">
        <f t="shared" si="42"/>
        <v>329460.75160226418</v>
      </c>
      <c r="F67" s="8">
        <f t="shared" si="43"/>
        <v>-2724.2992513017139</v>
      </c>
      <c r="G67" s="8">
        <f t="shared" si="44"/>
        <v>249099.47875611766</v>
      </c>
      <c r="H67" s="8">
        <f t="shared" si="55"/>
        <v>-9965.191284870647</v>
      </c>
      <c r="I67" s="8">
        <f t="shared" si="51"/>
        <v>326736.45235096244</v>
      </c>
      <c r="J67" s="8">
        <f t="shared" si="52"/>
        <v>239134.28747124702</v>
      </c>
      <c r="K67" s="9">
        <f t="shared" si="35"/>
        <v>13627399307.488525</v>
      </c>
      <c r="L67" s="9">
        <f t="shared" si="36"/>
        <v>848806706.4572612</v>
      </c>
      <c r="N67" s="50"/>
      <c r="O67" s="8" t="s">
        <v>53</v>
      </c>
      <c r="P67" s="8">
        <v>22</v>
      </c>
      <c r="Q67" s="8">
        <v>60000</v>
      </c>
      <c r="R67" s="8">
        <f t="shared" si="46"/>
        <v>70649.773234756853</v>
      </c>
      <c r="S67" s="8">
        <f t="shared" si="47"/>
        <v>866.1821058957222</v>
      </c>
      <c r="T67" s="8">
        <f t="shared" si="48"/>
        <v>65744.44824952753</v>
      </c>
      <c r="U67" s="8">
        <f t="shared" si="56"/>
        <v>248.57629443171118</v>
      </c>
      <c r="V67" s="8">
        <f t="shared" si="53"/>
        <v>71515.955340652581</v>
      </c>
      <c r="W67" s="8">
        <f t="shared" si="54"/>
        <v>65993.02454395924</v>
      </c>
      <c r="X67" s="9">
        <f t="shared" si="57"/>
        <v>132617227.4079047</v>
      </c>
      <c r="Y67" s="9">
        <f t="shared" si="58"/>
        <v>35916343.184497856</v>
      </c>
    </row>
    <row r="68" spans="1:25" x14ac:dyDescent="0.3">
      <c r="A68" s="50"/>
      <c r="B68" s="8" t="s">
        <v>54</v>
      </c>
      <c r="C68" s="8">
        <v>23</v>
      </c>
      <c r="D68" s="8">
        <v>250000</v>
      </c>
      <c r="E68" s="8">
        <f t="shared" si="42"/>
        <v>303715.51664567366</v>
      </c>
      <c r="F68" s="8">
        <f t="shared" si="43"/>
        <v>-5026.3928218305946</v>
      </c>
      <c r="G68" s="8">
        <f t="shared" si="44"/>
        <v>246740.28624137412</v>
      </c>
      <c r="H68" s="8">
        <f t="shared" si="55"/>
        <v>-9204.5914078579353</v>
      </c>
      <c r="I68" s="8">
        <f t="shared" si="51"/>
        <v>298689.12382384308</v>
      </c>
      <c r="J68" s="8">
        <f t="shared" si="52"/>
        <v>237535.6948335162</v>
      </c>
      <c r="K68" s="9">
        <f t="shared" si="35"/>
        <v>2370630778.7335238</v>
      </c>
      <c r="L68" s="9">
        <f t="shared" si="36"/>
        <v>155358903.28323472</v>
      </c>
      <c r="N68" s="50"/>
      <c r="O68" s="8" t="s">
        <v>54</v>
      </c>
      <c r="P68" s="8">
        <v>23</v>
      </c>
      <c r="Q68" s="8">
        <v>60000</v>
      </c>
      <c r="R68" s="8">
        <f t="shared" si="46"/>
        <v>68061.168738456807</v>
      </c>
      <c r="S68" s="8">
        <f t="shared" si="47"/>
        <v>520.70344567614541</v>
      </c>
      <c r="T68" s="8">
        <f t="shared" si="48"/>
        <v>61797.907363187776</v>
      </c>
      <c r="U68" s="8">
        <f t="shared" si="56"/>
        <v>-170.93542364543526</v>
      </c>
      <c r="V68" s="8">
        <f t="shared" si="53"/>
        <v>68581.872184132953</v>
      </c>
      <c r="W68" s="8">
        <f t="shared" si="54"/>
        <v>61626.971939542338</v>
      </c>
      <c r="X68" s="9">
        <f t="shared" si="57"/>
        <v>73648530.184794903</v>
      </c>
      <c r="Y68" s="9">
        <f t="shared" si="58"/>
        <v>2647037.6920581572</v>
      </c>
    </row>
    <row r="69" spans="1:25" x14ac:dyDescent="0.3">
      <c r="A69" s="50"/>
      <c r="B69" s="8" t="s">
        <v>55</v>
      </c>
      <c r="C69" s="8">
        <v>24</v>
      </c>
      <c r="D69" s="8">
        <v>350000</v>
      </c>
      <c r="E69" s="8">
        <f>0.3*D69+(1-0.3)*(E68+F68)</f>
        <v>314082.38667669013</v>
      </c>
      <c r="F69" s="8">
        <f>0.1*(E69-E68)+(1-0.1)*F68</f>
        <v>-3487.0665365458881</v>
      </c>
      <c r="G69" s="8">
        <f>0.7*D69+(1-0.7)*(G68+H68)</f>
        <v>316260.70845005487</v>
      </c>
      <c r="H69" s="8">
        <f>0.1*(G69-G68)+(1-0.1)*H68</f>
        <v>-1332.0900462040672</v>
      </c>
      <c r="I69" s="8">
        <f t="shared" si="51"/>
        <v>310595.32014014426</v>
      </c>
      <c r="J69" s="8">
        <f t="shared" si="52"/>
        <v>314928.61840385082</v>
      </c>
      <c r="K69" s="9">
        <f t="shared" si="35"/>
        <v>1552728794.8577204</v>
      </c>
      <c r="L69" s="9">
        <f t="shared" si="36"/>
        <v>1230001807.0627112</v>
      </c>
      <c r="N69" s="50"/>
      <c r="O69" s="8" t="s">
        <v>55</v>
      </c>
      <c r="P69" s="8">
        <v>24</v>
      </c>
      <c r="Q69" s="8">
        <v>80000</v>
      </c>
      <c r="R69" s="8">
        <f>0.3*Q69+(1-0.3)*(R68+S68)</f>
        <v>72007.310528893067</v>
      </c>
      <c r="S69" s="8">
        <f>0.1*(R69-R68)+(1-0.1)*S68</f>
        <v>863.24728015215692</v>
      </c>
      <c r="T69" s="8">
        <f>0.7*Q69+(1-0.7)*(T68+U68)</f>
        <v>74488.091581862711</v>
      </c>
      <c r="U69" s="8">
        <f>0.1*(T69-T68)+(1-0.1)*U68</f>
        <v>1115.1765405866017</v>
      </c>
      <c r="V69" s="8">
        <f t="shared" si="53"/>
        <v>72870.557809045218</v>
      </c>
      <c r="W69" s="8">
        <f t="shared" si="54"/>
        <v>75603.268122449314</v>
      </c>
      <c r="X69" s="9">
        <f t="shared" si="57"/>
        <v>50828945.954166122</v>
      </c>
      <c r="Y69" s="9">
        <f t="shared" si="58"/>
        <v>19331251.203070384</v>
      </c>
    </row>
    <row r="70" spans="1:25" x14ac:dyDescent="0.3">
      <c r="A70" s="27"/>
      <c r="B70" s="8" t="s">
        <v>44</v>
      </c>
      <c r="C70" s="8">
        <v>25</v>
      </c>
      <c r="D70" s="8">
        <f>J69</f>
        <v>314928.61840385082</v>
      </c>
      <c r="E70" s="8">
        <f t="shared" ref="E70:E81" si="59">0.3*D70+(1-0.3)*(E69+F69)</f>
        <v>311895.30961925618</v>
      </c>
      <c r="F70" s="8">
        <f t="shared" ref="F70:F81" si="60">0.1*(E70-E69)+(1-0.1)*F69</f>
        <v>-3357.0675886346949</v>
      </c>
      <c r="G70" s="8">
        <f t="shared" ref="G70:G81" si="61">0.7*D70+(1-0.7)*(G69+H69)</f>
        <v>314928.61840385082</v>
      </c>
      <c r="H70" s="8">
        <f t="shared" ref="H70:H81" si="62">0.1*(G70-G69)+(1-0.1)*H69</f>
        <v>-1332.0900462040649</v>
      </c>
      <c r="I70" s="8">
        <f t="shared" si="51"/>
        <v>308538.24203062151</v>
      </c>
      <c r="J70" s="8">
        <f t="shared" si="52"/>
        <v>313596.52835764678</v>
      </c>
      <c r="K70" s="9">
        <f t="shared" si="35"/>
        <v>40836910.191527463</v>
      </c>
      <c r="L70" s="9">
        <f t="shared" si="36"/>
        <v>1774463.8911958933</v>
      </c>
      <c r="N70" s="27"/>
      <c r="O70" s="8" t="s">
        <v>44</v>
      </c>
      <c r="P70" s="8">
        <v>25</v>
      </c>
      <c r="Q70" s="8">
        <f>W69</f>
        <v>75603.268122449314</v>
      </c>
      <c r="R70" s="8">
        <f t="shared" ref="R70:R81" si="63">0.3*Q70+(1-0.3)*(R69+S69)</f>
        <v>73690.370903066447</v>
      </c>
      <c r="S70" s="8">
        <f t="shared" ref="S70:S81" si="64">0.1*(R70-R69)+(1-0.1)*S69</f>
        <v>945.22858955427921</v>
      </c>
      <c r="T70" s="8">
        <f t="shared" ref="T70:T81" si="65">0.7*Q70+(1-0.7)*(T69+U69)</f>
        <v>75603.268122449314</v>
      </c>
      <c r="U70" s="8">
        <f t="shared" ref="U70:U81" si="66">0.1*(T70-T69)+(1-0.1)*U69</f>
        <v>1115.176540586602</v>
      </c>
      <c r="V70" s="8">
        <f t="shared" si="53"/>
        <v>74635.59949262072</v>
      </c>
      <c r="W70" s="8">
        <f t="shared" si="54"/>
        <v>76718.444663035916</v>
      </c>
      <c r="X70" s="9">
        <f t="shared" si="57"/>
        <v>936382.57715434674</v>
      </c>
      <c r="Y70" s="9">
        <f t="shared" si="58"/>
        <v>1243618.7166747027</v>
      </c>
    </row>
    <row r="71" spans="1:25" x14ac:dyDescent="0.3">
      <c r="A71" s="27"/>
      <c r="B71" s="8" t="s">
        <v>45</v>
      </c>
      <c r="C71" s="8">
        <v>26</v>
      </c>
      <c r="D71" s="8">
        <f t="shared" ref="D71:D81" si="67">J70</f>
        <v>313596.52835764678</v>
      </c>
      <c r="E71" s="8">
        <f t="shared" si="59"/>
        <v>310055.72792872909</v>
      </c>
      <c r="F71" s="8">
        <f t="shared" si="60"/>
        <v>-3205.3189988239346</v>
      </c>
      <c r="G71" s="8">
        <f t="shared" si="61"/>
        <v>313596.52835764678</v>
      </c>
      <c r="H71" s="8">
        <f t="shared" si="62"/>
        <v>-1332.0900462040629</v>
      </c>
      <c r="I71" s="8">
        <f t="shared" si="51"/>
        <v>306850.40892990516</v>
      </c>
      <c r="J71" s="8">
        <f t="shared" si="52"/>
        <v>312264.43831144273</v>
      </c>
      <c r="K71" s="9">
        <f t="shared" si="35"/>
        <v>45510127.333352946</v>
      </c>
      <c r="L71" s="9">
        <f t="shared" si="36"/>
        <v>1774463.8911958933</v>
      </c>
      <c r="N71" s="27"/>
      <c r="O71" s="8" t="s">
        <v>45</v>
      </c>
      <c r="P71" s="8">
        <v>26</v>
      </c>
      <c r="Q71" s="8">
        <f t="shared" ref="Q71:Q80" si="68">W70</f>
        <v>76718.444663035916</v>
      </c>
      <c r="R71" s="8">
        <f t="shared" si="63"/>
        <v>75260.453043745278</v>
      </c>
      <c r="S71" s="8">
        <f t="shared" si="64"/>
        <v>1007.7139446667345</v>
      </c>
      <c r="T71" s="8">
        <f t="shared" si="65"/>
        <v>76718.444663035916</v>
      </c>
      <c r="U71" s="8">
        <f t="shared" si="66"/>
        <v>1115.1765405866022</v>
      </c>
      <c r="V71" s="8">
        <f t="shared" si="53"/>
        <v>76268.166988412006</v>
      </c>
      <c r="W71" s="8">
        <f t="shared" si="54"/>
        <v>77833.621203622519</v>
      </c>
      <c r="X71" s="9">
        <f t="shared" si="57"/>
        <v>202749.98426471627</v>
      </c>
      <c r="Y71" s="9">
        <f t="shared" si="58"/>
        <v>1243618.7166747027</v>
      </c>
    </row>
    <row r="72" spans="1:25" x14ac:dyDescent="0.3">
      <c r="A72" s="27"/>
      <c r="B72" s="8" t="s">
        <v>46</v>
      </c>
      <c r="C72" s="8">
        <v>27</v>
      </c>
      <c r="D72" s="8">
        <f t="shared" si="67"/>
        <v>312264.43831144273</v>
      </c>
      <c r="E72" s="8">
        <f t="shared" si="59"/>
        <v>308474.61774436641</v>
      </c>
      <c r="F72" s="8">
        <f t="shared" si="60"/>
        <v>-3042.8981173778097</v>
      </c>
      <c r="G72" s="8">
        <f t="shared" si="61"/>
        <v>312264.43831144273</v>
      </c>
      <c r="H72" s="8">
        <f t="shared" si="62"/>
        <v>-1332.0900462040611</v>
      </c>
      <c r="I72" s="8">
        <f t="shared" si="51"/>
        <v>305431.71962698858</v>
      </c>
      <c r="J72" s="8">
        <f t="shared" si="52"/>
        <v>310932.34826523869</v>
      </c>
      <c r="K72" s="9">
        <f t="shared" si="35"/>
        <v>46686044.620888956</v>
      </c>
      <c r="L72" s="9">
        <f t="shared" si="36"/>
        <v>1774463.8911958933</v>
      </c>
      <c r="N72" s="27"/>
      <c r="O72" s="8" t="s">
        <v>46</v>
      </c>
      <c r="P72" s="8">
        <v>27</v>
      </c>
      <c r="Q72" s="8">
        <f t="shared" si="68"/>
        <v>77833.621203622519</v>
      </c>
      <c r="R72" s="8">
        <f t="shared" si="63"/>
        <v>76737.803252975151</v>
      </c>
      <c r="S72" s="8">
        <f t="shared" si="64"/>
        <v>1054.6775711230484</v>
      </c>
      <c r="T72" s="8">
        <f t="shared" si="65"/>
        <v>77833.621203622519</v>
      </c>
      <c r="U72" s="8">
        <f t="shared" si="66"/>
        <v>1115.1765405866022</v>
      </c>
      <c r="V72" s="8">
        <f t="shared" si="53"/>
        <v>77792.480824098195</v>
      </c>
      <c r="W72" s="8">
        <f t="shared" si="54"/>
        <v>78948.797744209121</v>
      </c>
      <c r="X72" s="9">
        <f t="shared" si="57"/>
        <v>1692.5308274054248</v>
      </c>
      <c r="Y72" s="9">
        <f t="shared" si="58"/>
        <v>1243618.7166747027</v>
      </c>
    </row>
    <row r="73" spans="1:25" x14ac:dyDescent="0.3">
      <c r="A73" s="27"/>
      <c r="B73" s="8" t="s">
        <v>47</v>
      </c>
      <c r="C73" s="8">
        <v>28</v>
      </c>
      <c r="D73" s="8">
        <f t="shared" si="67"/>
        <v>310932.34826523869</v>
      </c>
      <c r="E73" s="8">
        <f t="shared" si="59"/>
        <v>307081.90821846359</v>
      </c>
      <c r="F73" s="8">
        <f t="shared" si="60"/>
        <v>-2877.8792582303104</v>
      </c>
      <c r="G73" s="8">
        <f t="shared" si="61"/>
        <v>310932.34826523869</v>
      </c>
      <c r="H73" s="8">
        <f t="shared" si="62"/>
        <v>-1332.0900462040593</v>
      </c>
      <c r="I73" s="8">
        <f t="shared" si="51"/>
        <v>304204.02896023326</v>
      </c>
      <c r="J73" s="8">
        <f t="shared" si="52"/>
        <v>309600.25821903464</v>
      </c>
      <c r="K73" s="9">
        <f t="shared" si="35"/>
        <v>45270280.670108683</v>
      </c>
      <c r="L73" s="9">
        <f t="shared" si="36"/>
        <v>1774463.8911958933</v>
      </c>
      <c r="N73" s="27"/>
      <c r="O73" s="8" t="s">
        <v>47</v>
      </c>
      <c r="P73" s="8">
        <v>28</v>
      </c>
      <c r="Q73" s="8">
        <f t="shared" si="68"/>
        <v>78948.797744209121</v>
      </c>
      <c r="R73" s="8">
        <f t="shared" si="63"/>
        <v>78139.375900131461</v>
      </c>
      <c r="S73" s="8">
        <f t="shared" si="64"/>
        <v>1089.3670787263745</v>
      </c>
      <c r="T73" s="8">
        <f t="shared" si="65"/>
        <v>78948.797744209121</v>
      </c>
      <c r="U73" s="8">
        <f t="shared" si="66"/>
        <v>1115.1765405866022</v>
      </c>
      <c r="V73" s="8">
        <f t="shared" si="53"/>
        <v>79228.74297885783</v>
      </c>
      <c r="W73" s="8">
        <f t="shared" si="54"/>
        <v>80063.974284795724</v>
      </c>
      <c r="X73" s="9">
        <f t="shared" si="57"/>
        <v>78369.334402520588</v>
      </c>
      <c r="Y73" s="9">
        <f t="shared" si="58"/>
        <v>1243618.7166747027</v>
      </c>
    </row>
    <row r="74" spans="1:25" x14ac:dyDescent="0.3">
      <c r="A74" s="27"/>
      <c r="B74" s="8" t="s">
        <v>48</v>
      </c>
      <c r="C74" s="8">
        <v>29</v>
      </c>
      <c r="D74" s="8">
        <f t="shared" si="67"/>
        <v>309600.25821903464</v>
      </c>
      <c r="E74" s="8">
        <f t="shared" si="59"/>
        <v>305822.89773787366</v>
      </c>
      <c r="F74" s="8">
        <f t="shared" si="60"/>
        <v>-2715.9923804662726</v>
      </c>
      <c r="G74" s="8">
        <f t="shared" si="61"/>
        <v>309600.25821903464</v>
      </c>
      <c r="H74" s="8">
        <f t="shared" si="62"/>
        <v>-1332.0900462040577</v>
      </c>
      <c r="I74" s="8">
        <f t="shared" si="51"/>
        <v>303106.90535740741</v>
      </c>
      <c r="J74" s="8">
        <f t="shared" si="52"/>
        <v>308268.1681728306</v>
      </c>
      <c r="K74" s="9">
        <f t="shared" si="35"/>
        <v>42163631.385602638</v>
      </c>
      <c r="L74" s="9">
        <f t="shared" si="36"/>
        <v>1774463.8911958933</v>
      </c>
      <c r="N74" s="27"/>
      <c r="O74" s="8" t="s">
        <v>48</v>
      </c>
      <c r="P74" s="8">
        <v>29</v>
      </c>
      <c r="Q74" s="8">
        <f t="shared" si="68"/>
        <v>80063.974284795724</v>
      </c>
      <c r="R74" s="8">
        <f t="shared" si="63"/>
        <v>79479.312370639193</v>
      </c>
      <c r="S74" s="8">
        <f t="shared" si="64"/>
        <v>1114.4240179045103</v>
      </c>
      <c r="T74" s="8">
        <f t="shared" si="65"/>
        <v>80063.974284795724</v>
      </c>
      <c r="U74" s="8">
        <f t="shared" si="66"/>
        <v>1115.1765405866022</v>
      </c>
      <c r="V74" s="8">
        <f t="shared" si="53"/>
        <v>80593.736388543708</v>
      </c>
      <c r="W74" s="8">
        <f t="shared" si="54"/>
        <v>81179.150825382327</v>
      </c>
      <c r="X74" s="9">
        <f t="shared" si="57"/>
        <v>280647.88656748971</v>
      </c>
      <c r="Y74" s="9">
        <f t="shared" si="58"/>
        <v>1243618.7166747027</v>
      </c>
    </row>
    <row r="75" spans="1:25" x14ac:dyDescent="0.3">
      <c r="A75" s="27"/>
      <c r="B75" s="8" t="s">
        <v>49</v>
      </c>
      <c r="C75" s="8">
        <v>30</v>
      </c>
      <c r="D75" s="8">
        <f t="shared" si="67"/>
        <v>308268.1681728306</v>
      </c>
      <c r="E75" s="8">
        <f t="shared" si="59"/>
        <v>304655.28420203435</v>
      </c>
      <c r="F75" s="8">
        <f t="shared" si="60"/>
        <v>-2561.1544960035762</v>
      </c>
      <c r="G75" s="8">
        <f t="shared" si="61"/>
        <v>308268.1681728306</v>
      </c>
      <c r="H75" s="8">
        <f t="shared" si="62"/>
        <v>-1332.0900462040563</v>
      </c>
      <c r="I75" s="8">
        <f t="shared" si="51"/>
        <v>302094.12970603077</v>
      </c>
      <c r="J75" s="8">
        <f t="shared" si="52"/>
        <v>306936.07812662655</v>
      </c>
      <c r="K75" s="9">
        <f t="shared" si="35"/>
        <v>38118750.989523992</v>
      </c>
      <c r="L75" s="9">
        <f t="shared" si="36"/>
        <v>1774463.8911958933</v>
      </c>
      <c r="N75" s="27"/>
      <c r="O75" s="8" t="s">
        <v>49</v>
      </c>
      <c r="P75" s="8">
        <v>30</v>
      </c>
      <c r="Q75" s="8">
        <f t="shared" si="68"/>
        <v>81179.150825382327</v>
      </c>
      <c r="R75" s="8">
        <f t="shared" si="63"/>
        <v>80769.360719595294</v>
      </c>
      <c r="S75" s="8">
        <f t="shared" si="64"/>
        <v>1131.9864510096695</v>
      </c>
      <c r="T75" s="8">
        <f t="shared" si="65"/>
        <v>81179.150825382327</v>
      </c>
      <c r="U75" s="8">
        <f t="shared" si="66"/>
        <v>1115.1765405866022</v>
      </c>
      <c r="V75" s="8">
        <f t="shared" si="53"/>
        <v>81901.34717060496</v>
      </c>
      <c r="W75" s="8">
        <f t="shared" si="54"/>
        <v>82294.327365968929</v>
      </c>
      <c r="X75" s="9">
        <f t="shared" si="57"/>
        <v>521567.56105292949</v>
      </c>
      <c r="Y75" s="9">
        <f t="shared" si="58"/>
        <v>1243618.7166747027</v>
      </c>
    </row>
    <row r="76" spans="1:25" x14ac:dyDescent="0.3">
      <c r="A76" s="27"/>
      <c r="B76" s="8" t="s">
        <v>50</v>
      </c>
      <c r="C76" s="8">
        <v>31</v>
      </c>
      <c r="D76" s="8">
        <f t="shared" si="67"/>
        <v>306936.07812662655</v>
      </c>
      <c r="E76" s="8">
        <f t="shared" si="59"/>
        <v>303546.71423220949</v>
      </c>
      <c r="F76" s="8">
        <f t="shared" si="60"/>
        <v>-2415.8960433857055</v>
      </c>
      <c r="G76" s="8">
        <f t="shared" si="61"/>
        <v>306936.07812662655</v>
      </c>
      <c r="H76" s="8">
        <f t="shared" si="62"/>
        <v>-1332.0900462040552</v>
      </c>
      <c r="I76" s="8">
        <f t="shared" si="51"/>
        <v>301130.81818882376</v>
      </c>
      <c r="J76" s="8">
        <f t="shared" si="52"/>
        <v>305603.98808042251</v>
      </c>
      <c r="K76" s="9">
        <f t="shared" si="35"/>
        <v>33701042.945458114</v>
      </c>
      <c r="L76" s="9">
        <f t="shared" si="36"/>
        <v>1774463.8911958933</v>
      </c>
      <c r="N76" s="27"/>
      <c r="O76" s="8" t="s">
        <v>50</v>
      </c>
      <c r="P76" s="8">
        <v>31</v>
      </c>
      <c r="Q76" s="8">
        <f t="shared" si="68"/>
        <v>82294.327365968929</v>
      </c>
      <c r="R76" s="8">
        <f t="shared" si="63"/>
        <v>82019.241229214153</v>
      </c>
      <c r="S76" s="8">
        <f t="shared" si="64"/>
        <v>1143.7758568705885</v>
      </c>
      <c r="T76" s="8">
        <f t="shared" si="65"/>
        <v>82294.327365968929</v>
      </c>
      <c r="U76" s="8">
        <f t="shared" si="66"/>
        <v>1115.1765405866022</v>
      </c>
      <c r="V76" s="8">
        <f t="shared" si="53"/>
        <v>83163.017086084743</v>
      </c>
      <c r="W76" s="8">
        <f t="shared" si="54"/>
        <v>83409.503906555532</v>
      </c>
      <c r="X76" s="9">
        <f t="shared" si="57"/>
        <v>754621.82983489044</v>
      </c>
      <c r="Y76" s="9">
        <f t="shared" si="58"/>
        <v>1243618.7166747027</v>
      </c>
    </row>
    <row r="77" spans="1:25" x14ac:dyDescent="0.3">
      <c r="A77" s="27"/>
      <c r="B77" s="8" t="s">
        <v>51</v>
      </c>
      <c r="C77" s="8">
        <v>32</v>
      </c>
      <c r="D77" s="8">
        <f t="shared" si="67"/>
        <v>305603.98808042251</v>
      </c>
      <c r="E77" s="8">
        <f t="shared" si="59"/>
        <v>302472.76915630337</v>
      </c>
      <c r="F77" s="8">
        <f t="shared" si="60"/>
        <v>-2281.7009466377463</v>
      </c>
      <c r="G77" s="8">
        <f t="shared" si="61"/>
        <v>305603.98808042251</v>
      </c>
      <c r="H77" s="8">
        <f t="shared" si="62"/>
        <v>-1332.090046204054</v>
      </c>
      <c r="I77" s="8">
        <f t="shared" si="51"/>
        <v>300191.06820966565</v>
      </c>
      <c r="J77" s="8">
        <f t="shared" si="52"/>
        <v>304271.89803421847</v>
      </c>
      <c r="K77" s="9">
        <f t="shared" si="35"/>
        <v>29299701.527234435</v>
      </c>
      <c r="L77" s="9">
        <f t="shared" si="36"/>
        <v>1774463.8911958933</v>
      </c>
      <c r="N77" s="27"/>
      <c r="O77" s="8" t="s">
        <v>51</v>
      </c>
      <c r="P77" s="8">
        <v>32</v>
      </c>
      <c r="Q77" s="8">
        <f t="shared" si="68"/>
        <v>83409.503906555532</v>
      </c>
      <c r="R77" s="8">
        <f t="shared" si="63"/>
        <v>83236.963132225981</v>
      </c>
      <c r="S77" s="8">
        <f t="shared" si="64"/>
        <v>1151.1704614847126</v>
      </c>
      <c r="T77" s="8">
        <f t="shared" si="65"/>
        <v>83409.503906555532</v>
      </c>
      <c r="U77" s="8">
        <f t="shared" si="66"/>
        <v>1115.1765405866022</v>
      </c>
      <c r="V77" s="8">
        <f t="shared" si="53"/>
        <v>84388.133593710692</v>
      </c>
      <c r="W77" s="8">
        <f t="shared" si="54"/>
        <v>84524.680447142135</v>
      </c>
      <c r="X77" s="9">
        <f t="shared" si="57"/>
        <v>957716.064581407</v>
      </c>
      <c r="Y77" s="9">
        <f t="shared" si="58"/>
        <v>1243618.7166747027</v>
      </c>
    </row>
    <row r="78" spans="1:25" x14ac:dyDescent="0.3">
      <c r="A78" s="27"/>
      <c r="B78" s="8" t="s">
        <v>52</v>
      </c>
      <c r="C78" s="8">
        <v>33</v>
      </c>
      <c r="D78" s="8">
        <f t="shared" si="67"/>
        <v>304271.89803421847</v>
      </c>
      <c r="E78" s="8">
        <f t="shared" si="59"/>
        <v>301415.3171570315</v>
      </c>
      <c r="F78" s="8">
        <f t="shared" si="60"/>
        <v>-2159.2760519011586</v>
      </c>
      <c r="G78" s="8">
        <f t="shared" si="61"/>
        <v>304271.89803421847</v>
      </c>
      <c r="H78" s="8">
        <f t="shared" si="62"/>
        <v>-1332.0900462040531</v>
      </c>
      <c r="I78" s="8">
        <f t="shared" si="51"/>
        <v>299256.04110513034</v>
      </c>
      <c r="J78" s="8">
        <f t="shared" si="52"/>
        <v>302939.80798801442</v>
      </c>
      <c r="K78" s="9">
        <f t="shared" si="35"/>
        <v>25158820.733081385</v>
      </c>
      <c r="L78" s="9">
        <f t="shared" si="36"/>
        <v>1774463.8911958933</v>
      </c>
      <c r="N78" s="27"/>
      <c r="O78" s="8" t="s">
        <v>52</v>
      </c>
      <c r="P78" s="8">
        <v>33</v>
      </c>
      <c r="Q78" s="8">
        <f t="shared" si="68"/>
        <v>84524.680447142135</v>
      </c>
      <c r="R78" s="8">
        <f t="shared" si="63"/>
        <v>84429.097649740113</v>
      </c>
      <c r="S78" s="8">
        <f t="shared" si="64"/>
        <v>1155.2668670876546</v>
      </c>
      <c r="T78" s="8">
        <f t="shared" si="65"/>
        <v>84524.680447142135</v>
      </c>
      <c r="U78" s="8">
        <f t="shared" si="66"/>
        <v>1115.1765405866022</v>
      </c>
      <c r="V78" s="8">
        <f t="shared" si="53"/>
        <v>85584.364516827773</v>
      </c>
      <c r="W78" s="8">
        <f t="shared" si="54"/>
        <v>85639.856987728737</v>
      </c>
      <c r="X78" s="9">
        <f t="shared" si="57"/>
        <v>1122930.327545516</v>
      </c>
      <c r="Y78" s="9">
        <f t="shared" si="58"/>
        <v>1243618.7166747027</v>
      </c>
    </row>
    <row r="79" spans="1:25" x14ac:dyDescent="0.3">
      <c r="A79" s="27"/>
      <c r="B79" s="8" t="s">
        <v>53</v>
      </c>
      <c r="C79" s="8">
        <v>34</v>
      </c>
      <c r="D79" s="8">
        <f t="shared" si="67"/>
        <v>302939.80798801442</v>
      </c>
      <c r="E79" s="8">
        <f t="shared" si="59"/>
        <v>300361.17116999556</v>
      </c>
      <c r="F79" s="8">
        <f t="shared" si="60"/>
        <v>-2048.7630454146365</v>
      </c>
      <c r="G79" s="8">
        <f t="shared" si="61"/>
        <v>302939.80798801442</v>
      </c>
      <c r="H79" s="8">
        <f t="shared" si="62"/>
        <v>-1332.0900462040522</v>
      </c>
      <c r="I79" s="8">
        <f t="shared" si="51"/>
        <v>298312.40812458092</v>
      </c>
      <c r="J79" s="8">
        <f t="shared" si="52"/>
        <v>301607.71794181038</v>
      </c>
      <c r="K79" s="9">
        <f t="shared" si="35"/>
        <v>21412829.496104378</v>
      </c>
      <c r="L79" s="9">
        <f t="shared" si="36"/>
        <v>1774463.8911958933</v>
      </c>
      <c r="N79" s="27"/>
      <c r="O79" s="8" t="s">
        <v>53</v>
      </c>
      <c r="P79" s="8">
        <v>34</v>
      </c>
      <c r="Q79" s="8">
        <f t="shared" si="68"/>
        <v>85639.856987728737</v>
      </c>
      <c r="R79" s="8">
        <f t="shared" si="63"/>
        <v>85601.012258098053</v>
      </c>
      <c r="S79" s="8">
        <f t="shared" si="64"/>
        <v>1156.9316412146832</v>
      </c>
      <c r="T79" s="8">
        <f t="shared" si="65"/>
        <v>85639.856987728737</v>
      </c>
      <c r="U79" s="8">
        <f t="shared" si="66"/>
        <v>1115.1765405866022</v>
      </c>
      <c r="V79" s="8">
        <f t="shared" si="53"/>
        <v>86757.943899312741</v>
      </c>
      <c r="W79" s="8">
        <f t="shared" si="54"/>
        <v>86755.03352831534</v>
      </c>
      <c r="X79" s="9">
        <f t="shared" si="57"/>
        <v>1250118.3418554547</v>
      </c>
      <c r="Y79" s="9">
        <f t="shared" si="58"/>
        <v>1243618.7166747027</v>
      </c>
    </row>
    <row r="80" spans="1:25" x14ac:dyDescent="0.3">
      <c r="A80" s="27"/>
      <c r="B80" s="8" t="s">
        <v>54</v>
      </c>
      <c r="C80" s="8">
        <v>35</v>
      </c>
      <c r="D80" s="8">
        <f t="shared" si="67"/>
        <v>301607.71794181038</v>
      </c>
      <c r="E80" s="8">
        <f t="shared" si="59"/>
        <v>299301.00106974971</v>
      </c>
      <c r="F80" s="8">
        <f t="shared" si="60"/>
        <v>-1949.9037508977585</v>
      </c>
      <c r="G80" s="8">
        <f t="shared" si="61"/>
        <v>301607.71794181038</v>
      </c>
      <c r="H80" s="8">
        <f t="shared" si="62"/>
        <v>-1332.0900462040513</v>
      </c>
      <c r="I80" s="8">
        <f t="shared" si="51"/>
        <v>297351.09731885197</v>
      </c>
      <c r="J80" s="8">
        <f t="shared" si="52"/>
        <v>300275.62789560633</v>
      </c>
      <c r="K80" s="9">
        <f t="shared" si="35"/>
        <v>18118819.127794806</v>
      </c>
      <c r="L80" s="9">
        <f t="shared" si="36"/>
        <v>1774463.8911958933</v>
      </c>
      <c r="N80" s="27"/>
      <c r="O80" s="8" t="s">
        <v>54</v>
      </c>
      <c r="P80" s="8">
        <v>35</v>
      </c>
      <c r="Q80" s="8">
        <f t="shared" si="68"/>
        <v>86755.03352831534</v>
      </c>
      <c r="R80" s="8">
        <f t="shared" si="63"/>
        <v>86757.070788013516</v>
      </c>
      <c r="S80" s="8">
        <f t="shared" si="64"/>
        <v>1156.8443300847612</v>
      </c>
      <c r="T80" s="8">
        <f t="shared" si="65"/>
        <v>86755.03352831534</v>
      </c>
      <c r="U80" s="8">
        <f t="shared" si="66"/>
        <v>1115.1765405866022</v>
      </c>
      <c r="V80" s="8">
        <f t="shared" si="53"/>
        <v>87913.915118098274</v>
      </c>
      <c r="W80" s="8">
        <f t="shared" si="54"/>
        <v>87870.210068901943</v>
      </c>
      <c r="X80" s="9">
        <f t="shared" si="57"/>
        <v>1343006.5391378195</v>
      </c>
      <c r="Y80" s="9">
        <f t="shared" si="58"/>
        <v>1243618.7166747027</v>
      </c>
    </row>
    <row r="81" spans="1:26" x14ac:dyDescent="0.3">
      <c r="A81" s="27"/>
      <c r="B81" s="8" t="s">
        <v>55</v>
      </c>
      <c r="C81" s="8">
        <v>36</v>
      </c>
      <c r="D81" s="8">
        <f t="shared" si="67"/>
        <v>300275.62789560633</v>
      </c>
      <c r="E81" s="8">
        <f t="shared" si="59"/>
        <v>298228.45649187826</v>
      </c>
      <c r="F81" s="8">
        <f t="shared" si="60"/>
        <v>-1862.1678335951276</v>
      </c>
      <c r="G81" s="8">
        <f t="shared" si="61"/>
        <v>300275.62789560633</v>
      </c>
      <c r="H81" s="8">
        <f t="shared" si="62"/>
        <v>-1332.0900462040506</v>
      </c>
      <c r="I81" s="8">
        <f t="shared" si="51"/>
        <v>296366.28865828313</v>
      </c>
      <c r="J81" s="8">
        <f t="shared" si="52"/>
        <v>298943.53784940229</v>
      </c>
      <c r="K81" s="9">
        <f t="shared" si="35"/>
        <v>15282933.272474783</v>
      </c>
      <c r="L81" s="9">
        <f t="shared" si="36"/>
        <v>1774463.8911958933</v>
      </c>
      <c r="N81" s="27"/>
      <c r="O81" s="8" t="s">
        <v>55</v>
      </c>
      <c r="P81" s="8">
        <v>36</v>
      </c>
      <c r="Q81" s="8">
        <f>W80</f>
        <v>87870.210068901943</v>
      </c>
      <c r="R81" s="8">
        <f t="shared" si="63"/>
        <v>87900.803603339373</v>
      </c>
      <c r="S81" s="8">
        <f t="shared" si="64"/>
        <v>1155.5331786088707</v>
      </c>
      <c r="T81" s="8">
        <f t="shared" si="65"/>
        <v>87870.210068901943</v>
      </c>
      <c r="U81" s="8">
        <f t="shared" si="66"/>
        <v>1115.1765405866022</v>
      </c>
      <c r="V81" s="8">
        <f t="shared" si="53"/>
        <v>89056.336781948237</v>
      </c>
      <c r="W81" s="8">
        <f t="shared" si="54"/>
        <v>88985.386609488545</v>
      </c>
      <c r="X81" s="9">
        <f t="shared" si="57"/>
        <v>1406896.5794020072</v>
      </c>
      <c r="Y81" s="9">
        <f t="shared" si="58"/>
        <v>1243618.7166747027</v>
      </c>
    </row>
    <row r="82" spans="1:26" x14ac:dyDescent="0.3">
      <c r="A82" s="8" t="s">
        <v>36</v>
      </c>
      <c r="B82" s="8"/>
      <c r="C82" s="8"/>
      <c r="D82" s="9">
        <f>SUM(D46:D69)</f>
        <v>8210000</v>
      </c>
      <c r="E82" s="9"/>
      <c r="F82" s="9"/>
      <c r="G82" s="9"/>
      <c r="H82" s="9"/>
      <c r="I82" s="9">
        <f>SUM(I46:I69)</f>
        <v>8446830.8713583387</v>
      </c>
      <c r="J82" s="9">
        <f>SUM(J46:J69)</f>
        <v>8353958.4762067664</v>
      </c>
      <c r="K82" s="9">
        <f>SUM(K46:K69)</f>
        <v>118818346342.16034</v>
      </c>
      <c r="L82" s="9">
        <f>SUM(L46:L69)</f>
        <v>21641981520.236954</v>
      </c>
      <c r="N82" s="8" t="s">
        <v>36</v>
      </c>
      <c r="O82" s="8"/>
      <c r="P82" s="8"/>
      <c r="Q82" s="9">
        <f>SUM(Q46:Q69)</f>
        <v>1484000</v>
      </c>
      <c r="R82" s="9"/>
      <c r="S82" s="9"/>
      <c r="T82" s="9"/>
      <c r="U82" s="9"/>
      <c r="V82" s="9">
        <f>SUM(V46:V69)</f>
        <v>1478095.6484706399</v>
      </c>
      <c r="W82" s="9">
        <f>SUM(W46:W69)</f>
        <v>1493672.174685498</v>
      </c>
      <c r="X82" s="9">
        <f>SUM(X46:X69)</f>
        <v>1706373675.1582882</v>
      </c>
      <c r="Y82" s="9">
        <f>SUM(Y46:Y69)</f>
        <v>365526148.8022688</v>
      </c>
    </row>
    <row r="83" spans="1:26" x14ac:dyDescent="0.3">
      <c r="A83" s="8" t="s">
        <v>37</v>
      </c>
      <c r="B83" s="8"/>
      <c r="C83" s="8"/>
      <c r="D83" s="8">
        <f>D82/COUNT(D46:D69)</f>
        <v>342083.33333333331</v>
      </c>
      <c r="E83" s="8"/>
      <c r="F83" s="8"/>
      <c r="G83" s="8"/>
      <c r="H83" s="8"/>
      <c r="I83" s="8">
        <f>I82/COUNT(I46:I69)</f>
        <v>351951.28630659747</v>
      </c>
      <c r="J83" s="8">
        <f>J82/COUNT(J46:J69)</f>
        <v>348081.60317528195</v>
      </c>
      <c r="K83" s="8">
        <f>K82/COUNT(K46:K69)</f>
        <v>4950764430.9233475</v>
      </c>
      <c r="L83" s="8">
        <f>L82/COUNT(L46:L69)</f>
        <v>901749230.00987303</v>
      </c>
      <c r="N83" s="8" t="s">
        <v>37</v>
      </c>
      <c r="O83" s="8"/>
      <c r="P83" s="8"/>
      <c r="Q83" s="8">
        <f>Q82/COUNT(Q46:Q69)</f>
        <v>61833.333333333336</v>
      </c>
      <c r="R83" s="8"/>
      <c r="S83" s="8"/>
      <c r="T83" s="8"/>
      <c r="U83" s="8"/>
      <c r="V83" s="8">
        <f>V82/COUNT(V46:V69)</f>
        <v>61587.318686276667</v>
      </c>
      <c r="W83" s="8">
        <f>W82/COUNT(W46:W69)</f>
        <v>62236.34061189575</v>
      </c>
      <c r="X83" s="8">
        <f>X82/COUNT(X46:X69)</f>
        <v>71098903.131595343</v>
      </c>
      <c r="Y83" s="8">
        <f>Y82/COUNT(Y46:Y69)</f>
        <v>15230256.200094534</v>
      </c>
    </row>
    <row r="84" spans="1:26" x14ac:dyDescent="0.3">
      <c r="A84" s="25" t="s">
        <v>58</v>
      </c>
      <c r="B84" s="25"/>
      <c r="C84" s="25"/>
      <c r="D84" s="25"/>
      <c r="E84" s="25"/>
      <c r="F84" s="25"/>
      <c r="G84" s="25"/>
      <c r="H84" s="25"/>
      <c r="I84" s="25"/>
      <c r="J84" s="25"/>
      <c r="K84" s="25">
        <f>SQRT(K83)/COUNT(K46:K69)</f>
        <v>2931.7361984018448</v>
      </c>
      <c r="L84" s="25">
        <f>SQRT(L83)/COUNT(L46:L69)</f>
        <v>1251.2141533950251</v>
      </c>
      <c r="N84" s="25" t="s">
        <v>58</v>
      </c>
      <c r="O84" s="25"/>
      <c r="P84" s="25"/>
      <c r="Q84" s="25"/>
      <c r="R84" s="25"/>
      <c r="S84" s="25"/>
      <c r="T84" s="25"/>
      <c r="U84" s="25"/>
      <c r="V84" s="25"/>
      <c r="W84" s="25"/>
      <c r="X84" s="25">
        <f>SQRT(X83)/COUNT(X46:X69)</f>
        <v>351.33402299603046</v>
      </c>
      <c r="Y84" s="25">
        <f>SQRT(Y83)/COUNT(Y46:Y69)</f>
        <v>162.6081701946523</v>
      </c>
    </row>
    <row r="89" spans="1:26" x14ac:dyDescent="0.3">
      <c r="A89" s="51" t="s">
        <v>174</v>
      </c>
      <c r="B89" s="51"/>
      <c r="C89" s="51"/>
      <c r="D89" s="51"/>
      <c r="E89" s="51"/>
      <c r="F89" s="51"/>
      <c r="G89" s="51"/>
      <c r="H89" s="51"/>
      <c r="I89" s="51"/>
      <c r="J89" s="51"/>
      <c r="K89" s="51"/>
      <c r="L89" s="51"/>
      <c r="N89" s="8"/>
      <c r="O89" s="8"/>
      <c r="P89" s="11" t="s">
        <v>56</v>
      </c>
      <c r="Q89" s="11" t="s">
        <v>57</v>
      </c>
      <c r="R89" s="11" t="s">
        <v>58</v>
      </c>
      <c r="S89" s="8" t="s">
        <v>59</v>
      </c>
      <c r="T89" s="8" t="s">
        <v>60</v>
      </c>
      <c r="U89" s="8" t="s">
        <v>181</v>
      </c>
      <c r="Z89" t="e" vm="1">
        <v>#VALUE!</v>
      </c>
    </row>
    <row r="90" spans="1:26" x14ac:dyDescent="0.3">
      <c r="A90" s="8" t="s">
        <v>38</v>
      </c>
      <c r="B90" s="8" t="s">
        <v>39</v>
      </c>
      <c r="C90" s="8" t="s">
        <v>40</v>
      </c>
      <c r="D90" s="8" t="s">
        <v>129</v>
      </c>
      <c r="E90" s="8" t="s">
        <v>65</v>
      </c>
      <c r="F90" s="8" t="s">
        <v>67</v>
      </c>
      <c r="G90" s="8" t="s">
        <v>65</v>
      </c>
      <c r="H90" s="8" t="s">
        <v>67</v>
      </c>
      <c r="I90" s="8" t="s">
        <v>175</v>
      </c>
      <c r="J90" s="8" t="s">
        <v>176</v>
      </c>
      <c r="K90" s="8" t="s">
        <v>177</v>
      </c>
      <c r="L90" s="8" t="s">
        <v>178</v>
      </c>
      <c r="N90" s="56" t="s">
        <v>184</v>
      </c>
      <c r="O90" s="8" t="s">
        <v>3</v>
      </c>
      <c r="P90" s="11" cm="1">
        <f t="array" ref="P90">(1/22)*SUM(ABS(_xlfn.ANCHORARRAY(D3)-I3:I26))</f>
        <v>27386.903076902672</v>
      </c>
      <c r="Q90" s="11" t="e" cm="1">
        <f t="array" ref="Q90">(1/22)*SUM((_xlfn.ANCHORARRAY(D3)-I3:I38)^2)</f>
        <v>#N/A</v>
      </c>
      <c r="R90" s="11" t="e">
        <f t="shared" ref="R90:R99" si="69">SQRT(Q90)</f>
        <v>#N/A</v>
      </c>
      <c r="S90" s="29" t="e" cm="1">
        <f t="array" ref="S90">(1/22)*SUM((ABS(_xlfn.ANCHORARRAY(D3)-I3:I38))/ABS(D3:D38))</f>
        <v>#N/A</v>
      </c>
      <c r="T90" s="11" t="e" cm="1">
        <f t="array" ref="T90">(1/22)*SUM((_xlfn.ANCHORARRAY(D3)-I3:I38)/(_xlfn.ANCHORARRAY(D3)))</f>
        <v>#N/A</v>
      </c>
      <c r="U90" s="11" t="e">
        <f t="shared" ref="U90:U99" si="70">2*R90</f>
        <v>#N/A</v>
      </c>
    </row>
    <row r="91" spans="1:26" x14ac:dyDescent="0.3">
      <c r="A91" s="50">
        <v>2021</v>
      </c>
      <c r="B91" s="8" t="s">
        <v>44</v>
      </c>
      <c r="C91" s="8">
        <v>1</v>
      </c>
      <c r="D91" s="9" cm="1">
        <f t="array" ref="D91:D114">TRANSPOSE('Historical Sale'!C17:Z17)</f>
        <v>30000</v>
      </c>
      <c r="E91" s="9">
        <f>D91</f>
        <v>30000</v>
      </c>
      <c r="F91" s="9">
        <f>0</f>
        <v>0</v>
      </c>
      <c r="G91" s="9">
        <f>D91</f>
        <v>30000</v>
      </c>
      <c r="H91" s="9">
        <f>0</f>
        <v>0</v>
      </c>
      <c r="I91" s="8">
        <f>E91+1*F91</f>
        <v>30000</v>
      </c>
      <c r="J91" s="8">
        <f>G91+1*H91</f>
        <v>30000</v>
      </c>
      <c r="K91" s="8">
        <f t="shared" ref="K91:K126" si="71">(D91-I91)^2</f>
        <v>0</v>
      </c>
      <c r="L91" s="8">
        <f t="shared" ref="L91:L126" si="72">(D91-J91)^2</f>
        <v>0</v>
      </c>
      <c r="N91" s="56"/>
      <c r="O91" s="8" t="s">
        <v>173</v>
      </c>
      <c r="P91" s="11" t="e" cm="1">
        <f t="array" ref="P91">(1/2)*SUM(ABS(_xlfn.ANCHORARRAY(Q3)-V3:V38))</f>
        <v>#N/A</v>
      </c>
      <c r="Q91" s="11" t="e" cm="1">
        <f t="array" ref="Q91">(1/22)*SUM((_xlfn.ANCHORARRAY(Q3)-V3:V38)^2)</f>
        <v>#N/A</v>
      </c>
      <c r="R91" s="11" t="e">
        <f t="shared" si="69"/>
        <v>#N/A</v>
      </c>
      <c r="S91" s="29" t="e" cm="1">
        <f t="array" ref="S91">(1/22)*SUM((ABS(_xlfn.ANCHORARRAY(Q3)-V3:V38))/ABS(_xlfn.ANCHORARRAY(Q3)))</f>
        <v>#N/A</v>
      </c>
      <c r="T91" s="11" t="e" cm="1">
        <f t="array" ref="T91">(1/22)*SUM((_xlfn.ANCHORARRAY(Q3)-V3:V38)/(_xlfn.ANCHORARRAY(Q3)))</f>
        <v>#N/A</v>
      </c>
      <c r="U91" s="11" t="e">
        <f t="shared" si="70"/>
        <v>#N/A</v>
      </c>
    </row>
    <row r="92" spans="1:26" x14ac:dyDescent="0.3">
      <c r="A92" s="50"/>
      <c r="B92" s="8" t="s">
        <v>45</v>
      </c>
      <c r="C92" s="8">
        <v>2</v>
      </c>
      <c r="D92" s="9">
        <v>20000</v>
      </c>
      <c r="E92" s="9">
        <f>0.3*D92+(1-0.3)*(E91+F91)</f>
        <v>27000</v>
      </c>
      <c r="F92" s="9">
        <f>0.1*(E92-E91)+(1-0.1)*F91</f>
        <v>-300</v>
      </c>
      <c r="G92" s="9">
        <f>0.7*D92+(1-0.7)*(G91+H91)</f>
        <v>23000</v>
      </c>
      <c r="H92" s="9">
        <f>0.1*(G92-G91)+(1-0.1)*H91</f>
        <v>-700</v>
      </c>
      <c r="I92" s="8">
        <f t="shared" ref="I92" si="73">E92+1*F92</f>
        <v>26700</v>
      </c>
      <c r="J92" s="8">
        <f t="shared" ref="J92" si="74">G92+1*H92</f>
        <v>22300</v>
      </c>
      <c r="K92" s="8">
        <f t="shared" si="71"/>
        <v>44890000</v>
      </c>
      <c r="L92" s="8">
        <f t="shared" si="72"/>
        <v>5290000</v>
      </c>
      <c r="N92" s="56"/>
      <c r="O92" s="8" t="s">
        <v>6</v>
      </c>
      <c r="P92" s="11" cm="1">
        <f t="array" ref="P92">(1/22)*SUM(ABS(_xlfn.ANCHORARRAY(D46)-I46:I69))</f>
        <v>57161.373779962349</v>
      </c>
      <c r="Q92" s="11" cm="1">
        <f t="array" ref="Q92">(1/22)*SUM((_xlfn.ANCHORARRAY(D46)-I46:I69)^2)</f>
        <v>5400833924.643652</v>
      </c>
      <c r="R92" s="11">
        <f t="shared" si="69"/>
        <v>73490.366202949706</v>
      </c>
      <c r="S92" s="29" cm="1">
        <f t="array" ref="S92">(1/22)*SUM((ABS(_xlfn.ANCHORARRAY(D46)-I46:I69))/ABS(_xlfn.ANCHORARRAY(D46)))</f>
        <v>0.18185941670891373</v>
      </c>
      <c r="T92" s="11" cm="1">
        <f t="array" ref="T92">(1/22)*SUM((_xlfn.ANCHORARRAY(D46)-I46:I69)/(_xlfn.ANCHORARRAY(D46)))</f>
        <v>-7.6598506102851904E-2</v>
      </c>
      <c r="U92" s="11">
        <f t="shared" si="70"/>
        <v>146980.73240589941</v>
      </c>
    </row>
    <row r="93" spans="1:26" x14ac:dyDescent="0.3">
      <c r="A93" s="50"/>
      <c r="B93" s="8" t="s">
        <v>46</v>
      </c>
      <c r="C93" s="8">
        <v>3</v>
      </c>
      <c r="D93" s="9">
        <v>40000</v>
      </c>
      <c r="E93" s="9">
        <f t="shared" ref="E93:E126" si="75">0.3*D93+(1-0.3)*(E92+F92)</f>
        <v>30690</v>
      </c>
      <c r="F93" s="9">
        <f t="shared" ref="F93:F126" si="76">0.1*(E93-E92)+(1-0.1)*F92</f>
        <v>99</v>
      </c>
      <c r="G93" s="9">
        <f t="shared" ref="G93:G126" si="77">0.7*D93+(1-0.7)*(G92+H92)</f>
        <v>34690</v>
      </c>
      <c r="H93" s="9">
        <f t="shared" ref="H93" si="78">0.1*(G93-G92)+(1-0.1)*H92</f>
        <v>539</v>
      </c>
      <c r="I93" s="8">
        <f>E93+1*F93</f>
        <v>30789</v>
      </c>
      <c r="J93" s="8">
        <f>G93+1*H93</f>
        <v>35229</v>
      </c>
      <c r="K93" s="8">
        <f t="shared" si="71"/>
        <v>84842521</v>
      </c>
      <c r="L93" s="8">
        <f t="shared" si="72"/>
        <v>22762441</v>
      </c>
      <c r="N93" s="56"/>
      <c r="O93" s="8" t="s">
        <v>8</v>
      </c>
      <c r="P93" s="11" cm="1">
        <f t="array" ref="P93">(1/22)*SUM(ABS(_xlfn.ANCHORARRAY(Q46)-V46:V69))</f>
        <v>6921.1454361511069</v>
      </c>
      <c r="Q93" s="11" cm="1">
        <f t="array" ref="Q93">(1/22)*SUM((_xlfn.ANCHORARRAY(Q46)-V46:V69)^2)</f>
        <v>77562439.779922202</v>
      </c>
      <c r="R93" s="11">
        <f t="shared" si="69"/>
        <v>8806.954058011328</v>
      </c>
      <c r="S93" s="29" cm="1">
        <f t="array" ref="S93">(1/22)*SUM((ABS(_xlfn.ANCHORARRAY(Q46)-V46:V69))/ABS(_xlfn.ANCHORARRAY(Q46)))</f>
        <v>0.11601792670447589</v>
      </c>
      <c r="T93" s="11" cm="1">
        <f t="array" ref="T93">(1/22)*SUM((_xlfn.ANCHORARRAY(Q46)-V46:V69)/(_xlfn.ANCHORARRAY(Q46)))</f>
        <v>-1.9547206270269679E-2</v>
      </c>
      <c r="U93" s="11">
        <f t="shared" si="70"/>
        <v>17613.908116022656</v>
      </c>
    </row>
    <row r="94" spans="1:26" x14ac:dyDescent="0.3">
      <c r="A94" s="50"/>
      <c r="B94" s="8" t="s">
        <v>47</v>
      </c>
      <c r="C94" s="8">
        <v>4</v>
      </c>
      <c r="D94" s="9">
        <v>20000</v>
      </c>
      <c r="E94" s="9">
        <f t="shared" si="75"/>
        <v>27552.3</v>
      </c>
      <c r="F94" s="9">
        <f t="shared" si="76"/>
        <v>-224.67000000000007</v>
      </c>
      <c r="G94" s="9">
        <f t="shared" si="77"/>
        <v>24568.7</v>
      </c>
      <c r="H94" s="9">
        <f>0.1*(G94-G93)+(1-0.1)*H93</f>
        <v>-527.03</v>
      </c>
      <c r="I94" s="8">
        <f t="shared" ref="I94:I126" si="79">E94+1*F94</f>
        <v>27327.629999999997</v>
      </c>
      <c r="J94" s="8">
        <f t="shared" ref="J94:J126" si="80">G94+1*H94</f>
        <v>24041.670000000002</v>
      </c>
      <c r="K94" s="9">
        <f t="shared" si="71"/>
        <v>53694161.416899964</v>
      </c>
      <c r="L94" s="8">
        <f t="shared" si="72"/>
        <v>16335096.388900016</v>
      </c>
      <c r="N94" s="56"/>
      <c r="O94" s="8" t="s">
        <v>15</v>
      </c>
      <c r="P94" s="11" cm="1">
        <f t="array" ref="P94">(1/22)*SUM(ABS(_xlfn.ANCHORARRAY(D91)-I91:I114))</f>
        <v>6875.7290680423348</v>
      </c>
      <c r="Q94" s="11" cm="1">
        <f t="array" ref="Q94">(1/22)*SUM((_xlfn.ANCHORARRAY(D91)-I91:I114)^2)</f>
        <v>58196525.538929217</v>
      </c>
      <c r="R94" s="11">
        <f t="shared" si="69"/>
        <v>7628.6647284389956</v>
      </c>
      <c r="S94" s="29" cm="1">
        <f t="array" ref="S94">(1/22)*SUM((ABS(_xlfn.ANCHORARRAY(D91)-I91:I114))/ABS(_xlfn.ANCHORARRAY(D91)))</f>
        <v>0.2153879350510701</v>
      </c>
      <c r="T94" s="11" cm="1">
        <f t="array" ref="T94">(1/22)*SUM((_xlfn.ANCHORARRAY(D91)-I91:I114)/(_xlfn.ANCHORARRAY(D91)))</f>
        <v>-5.9179539060615662E-2</v>
      </c>
      <c r="U94" s="11">
        <f t="shared" si="70"/>
        <v>15257.329456877991</v>
      </c>
    </row>
    <row r="95" spans="1:26" x14ac:dyDescent="0.3">
      <c r="A95" s="50"/>
      <c r="B95" s="8" t="s">
        <v>48</v>
      </c>
      <c r="C95" s="8">
        <v>5</v>
      </c>
      <c r="D95" s="9">
        <v>30000</v>
      </c>
      <c r="E95" s="9">
        <f t="shared" si="75"/>
        <v>28129.340999999997</v>
      </c>
      <c r="F95" s="9">
        <f t="shared" si="76"/>
        <v>-144.4989000000003</v>
      </c>
      <c r="G95" s="9">
        <f t="shared" si="77"/>
        <v>28212.501000000004</v>
      </c>
      <c r="H95" s="9">
        <f t="shared" ref="H95:H126" si="81">0.1*(G95-G94)+(1-0.1)*H94</f>
        <v>-109.94689999999969</v>
      </c>
      <c r="I95" s="8">
        <f t="shared" si="79"/>
        <v>27984.842099999998</v>
      </c>
      <c r="J95" s="8">
        <f t="shared" si="80"/>
        <v>28102.554100000005</v>
      </c>
      <c r="K95" s="9">
        <f t="shared" si="71"/>
        <v>4060861.3619324178</v>
      </c>
      <c r="L95" s="8">
        <f t="shared" si="72"/>
        <v>3600300.9434267916</v>
      </c>
      <c r="N95" s="56" t="s">
        <v>185</v>
      </c>
      <c r="O95" s="8" t="s">
        <v>3</v>
      </c>
      <c r="P95" s="11" t="e" cm="1">
        <f t="array" ref="P95">(1/22)*SUM(ABS(_xlfn.ANCHORARRAY(D3)-J3:J38))</f>
        <v>#N/A</v>
      </c>
      <c r="Q95" s="11" t="e" cm="1">
        <f t="array" ref="Q95">(1/22)*SUM((_xlfn.ANCHORARRAY(D3)-J3:J38)^2)</f>
        <v>#N/A</v>
      </c>
      <c r="R95" s="11" t="e">
        <f t="shared" si="69"/>
        <v>#N/A</v>
      </c>
      <c r="S95" s="29" t="e" cm="1">
        <f t="array" ref="S95">(1/22)*SUM((ABS(_xlfn.ANCHORARRAY(D3)-J3:J38))/ABS(_xlfn.ANCHORARRAY(D3)))</f>
        <v>#N/A</v>
      </c>
      <c r="T95" s="11" t="e" cm="1">
        <f t="array" ref="T95">(1/22)*SUM((_xlfn.ANCHORARRAY(D3)-J3:J38)/(_xlfn.ANCHORARRAY(D3)))</f>
        <v>#N/A</v>
      </c>
      <c r="U95" s="11" t="e">
        <f t="shared" si="70"/>
        <v>#N/A</v>
      </c>
    </row>
    <row r="96" spans="1:26" x14ac:dyDescent="0.3">
      <c r="A96" s="50"/>
      <c r="B96" s="8" t="s">
        <v>49</v>
      </c>
      <c r="C96" s="8">
        <v>6</v>
      </c>
      <c r="D96" s="9">
        <v>40000</v>
      </c>
      <c r="E96" s="9">
        <f t="shared" si="75"/>
        <v>31589.389469999998</v>
      </c>
      <c r="F96" s="9">
        <f t="shared" si="76"/>
        <v>215.95583699999989</v>
      </c>
      <c r="G96" s="9">
        <f t="shared" si="77"/>
        <v>36430.766230000001</v>
      </c>
      <c r="H96" s="9">
        <f t="shared" si="81"/>
        <v>722.87431300000003</v>
      </c>
      <c r="I96" s="8">
        <f t="shared" si="79"/>
        <v>31805.345307</v>
      </c>
      <c r="J96" s="8">
        <f t="shared" si="80"/>
        <v>37153.640543000001</v>
      </c>
      <c r="K96" s="9">
        <f t="shared" si="71"/>
        <v>67152365.537506938</v>
      </c>
      <c r="L96" s="9">
        <f t="shared" si="72"/>
        <v>8101762.1584533276</v>
      </c>
      <c r="N96" s="56"/>
      <c r="O96" s="8" t="s">
        <v>173</v>
      </c>
      <c r="P96" s="11" t="e" cm="1">
        <f t="array" ref="P96">(1/22)*SUM(ABS(_xlfn.ANCHORARRAY(Q3)-W3:W38))</f>
        <v>#N/A</v>
      </c>
      <c r="Q96" s="11" t="e" cm="1">
        <f t="array" ref="Q96">(1/22)*SUM((_xlfn.ANCHORARRAY(Q3)-W3:W38)^2)</f>
        <v>#N/A</v>
      </c>
      <c r="R96" s="11" t="e">
        <f t="shared" si="69"/>
        <v>#N/A</v>
      </c>
      <c r="S96" s="29" t="e" cm="1">
        <f t="array" ref="S96">(1/22)*SUM((ABS(_xlfn.ANCHORARRAY(Q3)-W3:W38))/ABS(_xlfn.ANCHORARRAY(Q3)))</f>
        <v>#N/A</v>
      </c>
      <c r="T96" s="11" t="e" cm="1">
        <f t="array" ref="T96">(1/22)*SUM((_xlfn.ANCHORARRAY(Q3)-W3:W38)/(_xlfn.ANCHORARRAY(Q3)))</f>
        <v>#N/A</v>
      </c>
      <c r="U96" s="11" t="e">
        <f t="shared" si="70"/>
        <v>#N/A</v>
      </c>
    </row>
    <row r="97" spans="1:21" x14ac:dyDescent="0.3">
      <c r="A97" s="50"/>
      <c r="B97" s="8" t="s">
        <v>50</v>
      </c>
      <c r="C97" s="8">
        <v>7</v>
      </c>
      <c r="D97" s="8">
        <v>40000</v>
      </c>
      <c r="E97" s="8">
        <f t="shared" si="75"/>
        <v>34263.741714899996</v>
      </c>
      <c r="F97" s="8">
        <f t="shared" si="76"/>
        <v>461.79547778999967</v>
      </c>
      <c r="G97" s="8">
        <f t="shared" si="77"/>
        <v>39146.0921629</v>
      </c>
      <c r="H97" s="8">
        <f t="shared" si="81"/>
        <v>922.11947499000007</v>
      </c>
      <c r="I97" s="8">
        <f t="shared" si="79"/>
        <v>34725.537192689997</v>
      </c>
      <c r="J97" s="8">
        <f t="shared" si="80"/>
        <v>40068.211637890003</v>
      </c>
      <c r="K97" s="9">
        <f t="shared" si="71"/>
        <v>27819957.905696519</v>
      </c>
      <c r="L97" s="9">
        <f t="shared" si="72"/>
        <v>4652.8275436368585</v>
      </c>
      <c r="N97" s="56"/>
      <c r="O97" s="8" t="s">
        <v>6</v>
      </c>
      <c r="P97" s="11" cm="1">
        <f t="array" ref="P97">(1/22)*SUM(ABS(_xlfn.ANCHORARRAY(D46)-J46:J69))</f>
        <v>23983.650851253271</v>
      </c>
      <c r="Q97" s="11" cm="1">
        <f t="array" ref="Q97">(1/22)*SUM((_xlfn.ANCHORARRAY(D46)-J46:J69)^2)</f>
        <v>983726432.73804343</v>
      </c>
      <c r="R97" s="11">
        <f t="shared" si="69"/>
        <v>31364.413476710248</v>
      </c>
      <c r="S97" s="29" cm="1">
        <f t="array" ref="S97">(1/22)*SUM((ABS(_xlfn.ANCHORARRAY(D46)-J46:J69))/ABS(_xlfn.ANCHORARRAY(D46)))</f>
        <v>7.7830726831710384E-2</v>
      </c>
      <c r="T97" s="11" cm="1">
        <f t="array" ref="T97">(1/22)*SUM((_xlfn.ANCHORARRAY(D46)-J46:J69)/(_xlfn.ANCHORARRAY(D46)))</f>
        <v>-3.3634042560690788E-2</v>
      </c>
      <c r="U97" s="11">
        <f t="shared" si="70"/>
        <v>62728.826953420496</v>
      </c>
    </row>
    <row r="98" spans="1:21" x14ac:dyDescent="0.3">
      <c r="A98" s="50"/>
      <c r="B98" s="8" t="s">
        <v>51</v>
      </c>
      <c r="C98" s="8">
        <v>8</v>
      </c>
      <c r="D98" s="8">
        <v>30000</v>
      </c>
      <c r="E98" s="8">
        <f t="shared" si="75"/>
        <v>33307.876034882996</v>
      </c>
      <c r="F98" s="8">
        <f t="shared" si="76"/>
        <v>320.0293620092998</v>
      </c>
      <c r="G98" s="8">
        <f t="shared" si="77"/>
        <v>33020.463491367002</v>
      </c>
      <c r="H98" s="8">
        <f t="shared" si="81"/>
        <v>217.34466033770025</v>
      </c>
      <c r="I98" s="8">
        <f t="shared" si="79"/>
        <v>33627.905396892296</v>
      </c>
      <c r="J98" s="8">
        <f t="shared" si="80"/>
        <v>33237.808151704703</v>
      </c>
      <c r="K98" s="9">
        <f t="shared" si="71"/>
        <v>13161697.56880025</v>
      </c>
      <c r="L98" s="9">
        <f t="shared" si="72"/>
        <v>10483401.627245426</v>
      </c>
      <c r="N98" s="56"/>
      <c r="O98" s="8" t="s">
        <v>8</v>
      </c>
      <c r="P98" s="11" cm="1">
        <f t="array" ref="P98">(1/22)*SUM(ABS(_xlfn.ANCHORARRAY(Q46)-W46:W69))</f>
        <v>3269.0191092092095</v>
      </c>
      <c r="Q98" s="11" cm="1">
        <f t="array" ref="Q98">(1/22)*SUM((_xlfn.ANCHORARRAY(Q46)-W46:W69)^2)</f>
        <v>16614824.945557673</v>
      </c>
      <c r="R98" s="11">
        <f t="shared" si="69"/>
        <v>4076.1286713691547</v>
      </c>
      <c r="S98" s="29" cm="1">
        <f t="array" ref="S98">(1/22)*SUM((ABS(_xlfn.ANCHORARRAY(Q46)-W46:W69))/ABS(_xlfn.ANCHORARRAY(Q46)))</f>
        <v>5.3857815516845431E-2</v>
      </c>
      <c r="T98" s="11" cm="1">
        <f t="array" ref="T98">(1/22)*SUM((_xlfn.ANCHORARRAY(Q46)-W46:W69)/(_xlfn.ANCHORARRAY(Q46)))</f>
        <v>-1.5852066109174719E-2</v>
      </c>
      <c r="U98" s="11">
        <f t="shared" si="70"/>
        <v>8152.2573427383095</v>
      </c>
    </row>
    <row r="99" spans="1:21" x14ac:dyDescent="0.3">
      <c r="A99" s="50"/>
      <c r="B99" s="8" t="s">
        <v>52</v>
      </c>
      <c r="C99" s="8">
        <v>9</v>
      </c>
      <c r="D99" s="8">
        <v>60000</v>
      </c>
      <c r="E99" s="8">
        <f t="shared" si="75"/>
        <v>41539.533777824603</v>
      </c>
      <c r="F99" s="8">
        <f t="shared" si="76"/>
        <v>1111.1922001025305</v>
      </c>
      <c r="G99" s="8">
        <f t="shared" si="77"/>
        <v>51971.342445511415</v>
      </c>
      <c r="H99" s="8">
        <f t="shared" si="81"/>
        <v>2090.6980897183716</v>
      </c>
      <c r="I99" s="8">
        <f t="shared" si="79"/>
        <v>42650.725977927133</v>
      </c>
      <c r="J99" s="8">
        <f t="shared" si="80"/>
        <v>54062.040535229789</v>
      </c>
      <c r="K99" s="9">
        <f t="shared" si="71"/>
        <v>300997309.0929724</v>
      </c>
      <c r="L99" s="9">
        <f t="shared" si="72"/>
        <v>35259362.605254129</v>
      </c>
      <c r="N99" s="56"/>
      <c r="O99" s="8" t="s">
        <v>15</v>
      </c>
      <c r="P99" s="11" cm="1">
        <f t="array" ref="P99">(1/22)*SUM(ABS(_xlfn.ANCHORARRAY(D91)-J91:J114))</f>
        <v>2555.6731398791121</v>
      </c>
      <c r="Q99" s="11" cm="1">
        <f t="array" ref="Q99">(1/22)*SUM((_xlfn.ANCHORARRAY(D91)-J91:J114)^2)</f>
        <v>9729174.4047883507</v>
      </c>
      <c r="R99" s="11">
        <f t="shared" si="69"/>
        <v>3119.1624524523168</v>
      </c>
      <c r="S99" s="29" cm="1">
        <f t="array" ref="S99">(1/22)*SUM((ABS(_xlfn.ANCHORARRAY(D91)-J91:J114))/ABS(_xlfn.ANCHORARRAY(D91)))</f>
        <v>7.8049766861244388E-2</v>
      </c>
      <c r="T99" s="11" cm="1">
        <f t="array" ref="T99">(1/22)*SUM((_xlfn.ANCHORARRAY(D91)-J91:J114)/(_xlfn.ANCHORARRAY(D91)))</f>
        <v>-1.5013891271121935E-2</v>
      </c>
      <c r="U99" s="11">
        <f t="shared" si="70"/>
        <v>6238.3249049046335</v>
      </c>
    </row>
    <row r="100" spans="1:21" x14ac:dyDescent="0.3">
      <c r="A100" s="50"/>
      <c r="B100" s="8" t="s">
        <v>53</v>
      </c>
      <c r="C100" s="8">
        <v>10</v>
      </c>
      <c r="D100" s="8">
        <v>40000</v>
      </c>
      <c r="E100" s="8">
        <f t="shared" si="75"/>
        <v>41855.508184548991</v>
      </c>
      <c r="F100" s="8">
        <f t="shared" si="76"/>
        <v>1031.6704207647163</v>
      </c>
      <c r="G100" s="8">
        <f t="shared" si="77"/>
        <v>44218.61216056894</v>
      </c>
      <c r="H100" s="8">
        <f t="shared" si="81"/>
        <v>1106.3552522522871</v>
      </c>
      <c r="I100" s="8">
        <f t="shared" si="79"/>
        <v>42887.178605313704</v>
      </c>
      <c r="J100" s="8">
        <f t="shared" si="80"/>
        <v>45324.967412821228</v>
      </c>
      <c r="K100" s="9">
        <f t="shared" si="71"/>
        <v>8335800.2989811841</v>
      </c>
      <c r="L100" s="9">
        <f t="shared" si="72"/>
        <v>28355277.947608005</v>
      </c>
    </row>
    <row r="101" spans="1:21" x14ac:dyDescent="0.3">
      <c r="A101" s="50"/>
      <c r="B101" s="8" t="s">
        <v>54</v>
      </c>
      <c r="C101" s="8">
        <v>11</v>
      </c>
      <c r="D101" s="8">
        <v>50000</v>
      </c>
      <c r="E101" s="8">
        <f t="shared" si="75"/>
        <v>45021.025023719587</v>
      </c>
      <c r="F101" s="8">
        <f t="shared" si="76"/>
        <v>1245.0550626053041</v>
      </c>
      <c r="G101" s="8">
        <f t="shared" si="77"/>
        <v>48597.490223846369</v>
      </c>
      <c r="H101" s="8">
        <f t="shared" si="81"/>
        <v>1433.6075333548013</v>
      </c>
      <c r="I101" s="8">
        <f t="shared" si="79"/>
        <v>46266.080086324888</v>
      </c>
      <c r="J101" s="8">
        <f t="shared" si="80"/>
        <v>50031.097757201169</v>
      </c>
      <c r="K101" s="9">
        <f t="shared" si="71"/>
        <v>13942157.921739558</v>
      </c>
      <c r="L101" s="9">
        <f t="shared" si="72"/>
        <v>967.07050294284977</v>
      </c>
    </row>
    <row r="102" spans="1:21" x14ac:dyDescent="0.3">
      <c r="A102" s="50"/>
      <c r="B102" s="8" t="s">
        <v>55</v>
      </c>
      <c r="C102" s="8">
        <v>12</v>
      </c>
      <c r="D102" s="8">
        <v>40000</v>
      </c>
      <c r="E102" s="8">
        <f t="shared" si="75"/>
        <v>44386.256060427419</v>
      </c>
      <c r="F102" s="8">
        <f t="shared" si="76"/>
        <v>1057.0726600155569</v>
      </c>
      <c r="G102" s="8">
        <f t="shared" si="77"/>
        <v>43009.329327160354</v>
      </c>
      <c r="H102" s="8">
        <f t="shared" si="81"/>
        <v>731.43069035071971</v>
      </c>
      <c r="I102" s="8">
        <f t="shared" si="79"/>
        <v>45443.328720442973</v>
      </c>
      <c r="J102" s="8">
        <f t="shared" si="80"/>
        <v>43740.760017511071</v>
      </c>
      <c r="K102" s="9">
        <f t="shared" si="71"/>
        <v>29629827.55879933</v>
      </c>
      <c r="L102" s="9">
        <f t="shared" si="72"/>
        <v>13993285.508609429</v>
      </c>
    </row>
    <row r="103" spans="1:21" x14ac:dyDescent="0.3">
      <c r="A103" s="50">
        <v>2022</v>
      </c>
      <c r="B103" s="8" t="s">
        <v>44</v>
      </c>
      <c r="C103" s="8">
        <v>13</v>
      </c>
      <c r="D103" s="8">
        <v>40000</v>
      </c>
      <c r="E103" s="8">
        <f t="shared" si="75"/>
        <v>43810.33010431008</v>
      </c>
      <c r="F103" s="8">
        <f t="shared" si="76"/>
        <v>893.77279840226743</v>
      </c>
      <c r="G103" s="8">
        <f t="shared" si="77"/>
        <v>41122.228005253324</v>
      </c>
      <c r="H103" s="8">
        <f t="shared" si="81"/>
        <v>469.5774891249448</v>
      </c>
      <c r="I103" s="8">
        <f t="shared" si="79"/>
        <v>44704.102902712344</v>
      </c>
      <c r="J103" s="8">
        <f t="shared" si="80"/>
        <v>41591.80549437827</v>
      </c>
      <c r="K103" s="9">
        <f t="shared" si="71"/>
        <v>22128584.119306702</v>
      </c>
      <c r="L103" s="9">
        <f t="shared" si="72"/>
        <v>2533844.7319328482</v>
      </c>
      <c r="O103" s="28"/>
    </row>
    <row r="104" spans="1:21" x14ac:dyDescent="0.3">
      <c r="A104" s="50"/>
      <c r="B104" s="8" t="s">
        <v>45</v>
      </c>
      <c r="C104" s="8">
        <v>14</v>
      </c>
      <c r="D104" s="8">
        <v>35000</v>
      </c>
      <c r="E104" s="8">
        <f t="shared" si="75"/>
        <v>41792.872031898638</v>
      </c>
      <c r="F104" s="8">
        <f t="shared" si="76"/>
        <v>602.64971132089647</v>
      </c>
      <c r="G104" s="8">
        <f t="shared" si="77"/>
        <v>36977.541648313483</v>
      </c>
      <c r="H104" s="8">
        <f t="shared" si="81"/>
        <v>8.1511045184661839</v>
      </c>
      <c r="I104" s="8">
        <f t="shared" si="79"/>
        <v>42395.521743219535</v>
      </c>
      <c r="J104" s="8">
        <f t="shared" si="80"/>
        <v>36985.69275283195</v>
      </c>
      <c r="K104" s="9">
        <f t="shared" si="71"/>
        <v>54693741.854432911</v>
      </c>
      <c r="L104" s="9">
        <f t="shared" si="72"/>
        <v>3942975.7086493284</v>
      </c>
      <c r="N104" s="8" t="s">
        <v>197</v>
      </c>
      <c r="O104" s="8" t="s">
        <v>3</v>
      </c>
      <c r="P104" s="8" t="s">
        <v>173</v>
      </c>
      <c r="Q104" s="8" t="s">
        <v>6</v>
      </c>
      <c r="R104" s="8" t="s">
        <v>8</v>
      </c>
      <c r="S104" s="8" t="s">
        <v>15</v>
      </c>
    </row>
    <row r="105" spans="1:21" x14ac:dyDescent="0.3">
      <c r="A105" s="50"/>
      <c r="B105" s="8" t="s">
        <v>46</v>
      </c>
      <c r="C105" s="8">
        <v>15</v>
      </c>
      <c r="D105" s="8">
        <v>30000</v>
      </c>
      <c r="E105" s="8">
        <f t="shared" si="75"/>
        <v>38676.865220253676</v>
      </c>
      <c r="F105" s="8">
        <f t="shared" si="76"/>
        <v>230.78405902431064</v>
      </c>
      <c r="G105" s="8">
        <f t="shared" si="77"/>
        <v>32095.707825849589</v>
      </c>
      <c r="H105" s="8">
        <f t="shared" si="81"/>
        <v>-480.84738817976984</v>
      </c>
      <c r="I105" s="8">
        <f t="shared" si="79"/>
        <v>38907.64927927799</v>
      </c>
      <c r="J105" s="8">
        <f t="shared" si="80"/>
        <v>31614.86043766982</v>
      </c>
      <c r="K105" s="9">
        <f t="shared" si="71"/>
        <v>79346215.682621688</v>
      </c>
      <c r="L105" s="9">
        <f t="shared" si="72"/>
        <v>2607774.2331511639</v>
      </c>
      <c r="N105" s="8" t="s">
        <v>44</v>
      </c>
      <c r="O105" s="12" cm="1">
        <f t="array" ref="O105:O116">J27:J38</f>
        <v>60862.796886037351</v>
      </c>
      <c r="P105" s="12" cm="1">
        <f t="array" ref="P105:P116">W27:W38</f>
        <v>182275.51606201142</v>
      </c>
      <c r="Q105" s="12" cm="1">
        <f t="array" ref="Q105:Q116">J70:J81</f>
        <v>313596.52835764678</v>
      </c>
      <c r="R105" s="12" cm="1">
        <f t="array" ref="R105:R116">W70:W81</f>
        <v>76718.444663035916</v>
      </c>
      <c r="S105" s="12" cm="1">
        <f t="array" ref="S105:S116">J115:J126</f>
        <v>32993.250216461784</v>
      </c>
    </row>
    <row r="106" spans="1:21" x14ac:dyDescent="0.3">
      <c r="A106" s="50"/>
      <c r="B106" s="8" t="s">
        <v>47</v>
      </c>
      <c r="C106" s="8">
        <v>16</v>
      </c>
      <c r="D106" s="8">
        <v>30000</v>
      </c>
      <c r="E106" s="8">
        <f t="shared" si="75"/>
        <v>36235.35449549459</v>
      </c>
      <c r="F106" s="8">
        <f t="shared" si="76"/>
        <v>-36.445419354029013</v>
      </c>
      <c r="G106" s="8">
        <f t="shared" si="77"/>
        <v>30484.458131300948</v>
      </c>
      <c r="H106" s="8">
        <f t="shared" si="81"/>
        <v>-593.8876188166571</v>
      </c>
      <c r="I106" s="8">
        <f t="shared" si="79"/>
        <v>36198.909076140561</v>
      </c>
      <c r="J106" s="8">
        <f t="shared" si="80"/>
        <v>29890.57051248429</v>
      </c>
      <c r="K106" s="9">
        <f t="shared" si="71"/>
        <v>38426473.734257817</v>
      </c>
      <c r="L106" s="9">
        <f t="shared" si="72"/>
        <v>11974.812737950975</v>
      </c>
      <c r="N106" s="8" t="s">
        <v>45</v>
      </c>
      <c r="O106" s="12">
        <v>62778.606235201289</v>
      </c>
      <c r="P106" s="12">
        <v>178697.871825001</v>
      </c>
      <c r="Q106" s="12">
        <v>312264.43831144273</v>
      </c>
      <c r="R106" s="12">
        <v>77833.621203622519</v>
      </c>
      <c r="S106" s="12">
        <v>32982.776729266407</v>
      </c>
    </row>
    <row r="107" spans="1:21" x14ac:dyDescent="0.3">
      <c r="A107" s="50"/>
      <c r="B107" s="8" t="s">
        <v>48</v>
      </c>
      <c r="C107" s="8">
        <v>17</v>
      </c>
      <c r="D107" s="8">
        <v>20000</v>
      </c>
      <c r="E107" s="8">
        <f t="shared" si="75"/>
        <v>31339.236353298391</v>
      </c>
      <c r="F107" s="8">
        <f t="shared" si="76"/>
        <v>-522.41269163824609</v>
      </c>
      <c r="G107" s="8">
        <f t="shared" si="77"/>
        <v>22967.171153745287</v>
      </c>
      <c r="H107" s="8">
        <f t="shared" si="81"/>
        <v>-1286.2275546905576</v>
      </c>
      <c r="I107" s="8">
        <f t="shared" si="79"/>
        <v>30816.823661660146</v>
      </c>
      <c r="J107" s="8">
        <f t="shared" si="80"/>
        <v>21680.943599054728</v>
      </c>
      <c r="K107" s="9">
        <f t="shared" si="71"/>
        <v>117003674.12745081</v>
      </c>
      <c r="L107" s="9">
        <f t="shared" si="72"/>
        <v>2825571.3832030627</v>
      </c>
      <c r="N107" s="8" t="s">
        <v>46</v>
      </c>
      <c r="O107" s="12">
        <v>64694.415584365226</v>
      </c>
      <c r="P107" s="12">
        <v>175120.22758799058</v>
      </c>
      <c r="Q107" s="12">
        <v>310932.34826523869</v>
      </c>
      <c r="R107" s="12">
        <v>78948.797744209121</v>
      </c>
      <c r="S107" s="12">
        <v>32972.30324207103</v>
      </c>
    </row>
    <row r="108" spans="1:21" x14ac:dyDescent="0.3">
      <c r="A108" s="50"/>
      <c r="B108" s="8" t="s">
        <v>49</v>
      </c>
      <c r="C108" s="8">
        <v>18</v>
      </c>
      <c r="D108" s="8">
        <v>20000</v>
      </c>
      <c r="E108" s="8">
        <f t="shared" si="75"/>
        <v>27571.776563162101</v>
      </c>
      <c r="F108" s="8">
        <f t="shared" si="76"/>
        <v>-846.91740148805047</v>
      </c>
      <c r="G108" s="8">
        <f t="shared" si="77"/>
        <v>20504.283079716421</v>
      </c>
      <c r="H108" s="8">
        <f t="shared" si="81"/>
        <v>-1403.8936066243887</v>
      </c>
      <c r="I108" s="8">
        <f t="shared" si="79"/>
        <v>26724.859161674049</v>
      </c>
      <c r="J108" s="8">
        <f t="shared" si="80"/>
        <v>19100.389473092033</v>
      </c>
      <c r="K108" s="9">
        <f t="shared" si="71"/>
        <v>45223730.744351387</v>
      </c>
      <c r="L108" s="9">
        <f t="shared" si="72"/>
        <v>809299.10012363025</v>
      </c>
      <c r="N108" s="8" t="s">
        <v>47</v>
      </c>
      <c r="O108" s="12">
        <v>66610.224933529171</v>
      </c>
      <c r="P108" s="12">
        <v>171542.58335098016</v>
      </c>
      <c r="Q108" s="12">
        <v>309600.25821903464</v>
      </c>
      <c r="R108" s="12">
        <v>80063.974284795724</v>
      </c>
      <c r="S108" s="12">
        <v>32961.829754875653</v>
      </c>
    </row>
    <row r="109" spans="1:21" x14ac:dyDescent="0.3">
      <c r="A109" s="50"/>
      <c r="B109" s="8" t="s">
        <v>50</v>
      </c>
      <c r="C109" s="8">
        <v>19</v>
      </c>
      <c r="D109" s="8">
        <v>20000</v>
      </c>
      <c r="E109" s="8">
        <f t="shared" si="75"/>
        <v>24707.401413171832</v>
      </c>
      <c r="F109" s="8">
        <f t="shared" si="76"/>
        <v>-1048.6631763382723</v>
      </c>
      <c r="G109" s="8">
        <f t="shared" si="77"/>
        <v>19730.116841927611</v>
      </c>
      <c r="H109" s="8">
        <f t="shared" si="81"/>
        <v>-1340.9208697408308</v>
      </c>
      <c r="I109" s="8">
        <f t="shared" si="79"/>
        <v>23658.73823683356</v>
      </c>
      <c r="J109" s="8">
        <f t="shared" si="80"/>
        <v>18389.195972186779</v>
      </c>
      <c r="K109" s="9">
        <f t="shared" si="71"/>
        <v>13386365.48566795</v>
      </c>
      <c r="L109" s="9">
        <f t="shared" si="72"/>
        <v>2594689.6160192965</v>
      </c>
      <c r="N109" s="8" t="s">
        <v>48</v>
      </c>
      <c r="O109" s="12">
        <v>68526.034282693116</v>
      </c>
      <c r="P109" s="12">
        <v>167964.93911396974</v>
      </c>
      <c r="Q109" s="12">
        <v>308268.1681728306</v>
      </c>
      <c r="R109" s="12">
        <v>81179.150825382327</v>
      </c>
      <c r="S109" s="12">
        <v>32951.356267680276</v>
      </c>
    </row>
    <row r="110" spans="1:21" x14ac:dyDescent="0.3">
      <c r="A110" s="50"/>
      <c r="B110" s="8" t="s">
        <v>51</v>
      </c>
      <c r="C110" s="8">
        <v>20</v>
      </c>
      <c r="D110" s="8">
        <v>40000</v>
      </c>
      <c r="E110" s="8">
        <f t="shared" si="75"/>
        <v>28561.116765783492</v>
      </c>
      <c r="F110" s="8">
        <f t="shared" si="76"/>
        <v>-558.42532344327901</v>
      </c>
      <c r="G110" s="8">
        <f t="shared" si="77"/>
        <v>33516.758791656037</v>
      </c>
      <c r="H110" s="8">
        <f t="shared" si="81"/>
        <v>171.83541220609504</v>
      </c>
      <c r="I110" s="8">
        <f t="shared" si="79"/>
        <v>28002.691442340212</v>
      </c>
      <c r="J110" s="8">
        <f t="shared" si="80"/>
        <v>33688.594203862129</v>
      </c>
      <c r="K110" s="9">
        <f t="shared" si="71"/>
        <v>143935412.62769678</v>
      </c>
      <c r="L110" s="9">
        <f t="shared" si="72"/>
        <v>39833843.123522714</v>
      </c>
      <c r="N110" s="8" t="s">
        <v>49</v>
      </c>
      <c r="O110" s="12">
        <v>70441.84363185706</v>
      </c>
      <c r="P110" s="12">
        <v>164387.29487695932</v>
      </c>
      <c r="Q110" s="12">
        <v>306936.07812662655</v>
      </c>
      <c r="R110" s="12">
        <v>82294.327365968929</v>
      </c>
      <c r="S110" s="12">
        <v>32940.882780484899</v>
      </c>
    </row>
    <row r="111" spans="1:21" x14ac:dyDescent="0.3">
      <c r="A111" s="50"/>
      <c r="B111" s="8" t="s">
        <v>52</v>
      </c>
      <c r="C111" s="8">
        <v>21</v>
      </c>
      <c r="D111" s="8">
        <v>30000</v>
      </c>
      <c r="E111" s="8">
        <f t="shared" si="75"/>
        <v>28601.884009638146</v>
      </c>
      <c r="F111" s="8">
        <f t="shared" si="76"/>
        <v>-498.50606671348572</v>
      </c>
      <c r="G111" s="8">
        <f t="shared" si="77"/>
        <v>31106.57826115864</v>
      </c>
      <c r="H111" s="8">
        <f t="shared" si="81"/>
        <v>-86.366182064254161</v>
      </c>
      <c r="I111" s="8">
        <f t="shared" si="79"/>
        <v>28103.377942924661</v>
      </c>
      <c r="J111" s="8">
        <f t="shared" si="80"/>
        <v>31020.212079094385</v>
      </c>
      <c r="K111" s="9">
        <f t="shared" si="71"/>
        <v>3597175.2273846921</v>
      </c>
      <c r="L111" s="9">
        <f t="shared" si="72"/>
        <v>1040832.6863300868</v>
      </c>
      <c r="N111" s="8" t="s">
        <v>50</v>
      </c>
      <c r="O111" s="12">
        <v>72357.652981021005</v>
      </c>
      <c r="P111" s="12">
        <v>160809.6506399489</v>
      </c>
      <c r="Q111" s="12">
        <v>305603.98808042251</v>
      </c>
      <c r="R111" s="12">
        <v>83409.503906555532</v>
      </c>
      <c r="S111" s="12">
        <v>32930.409293289522</v>
      </c>
    </row>
    <row r="112" spans="1:21" x14ac:dyDescent="0.3">
      <c r="A112" s="50"/>
      <c r="B112" s="8" t="s">
        <v>53</v>
      </c>
      <c r="C112" s="8">
        <v>22</v>
      </c>
      <c r="D112" s="8">
        <v>40000</v>
      </c>
      <c r="E112" s="8">
        <f t="shared" si="75"/>
        <v>31672.364560047263</v>
      </c>
      <c r="F112" s="8">
        <f t="shared" si="76"/>
        <v>-141.60740500122552</v>
      </c>
      <c r="G112" s="8">
        <f t="shared" si="77"/>
        <v>37306.063623728318</v>
      </c>
      <c r="H112" s="8">
        <f t="shared" si="81"/>
        <v>542.21897239913903</v>
      </c>
      <c r="I112" s="8">
        <f t="shared" si="79"/>
        <v>31530.757155046038</v>
      </c>
      <c r="J112" s="8">
        <f t="shared" si="80"/>
        <v>37848.282596127458</v>
      </c>
      <c r="K112" s="9">
        <f t="shared" si="71"/>
        <v>71728074.366803885</v>
      </c>
      <c r="L112" s="9">
        <f t="shared" si="72"/>
        <v>4629887.7861279938</v>
      </c>
      <c r="N112" s="8" t="s">
        <v>51</v>
      </c>
      <c r="O112" s="12">
        <v>74273.46233018495</v>
      </c>
      <c r="P112" s="12">
        <v>157232.00640293848</v>
      </c>
      <c r="Q112" s="12">
        <v>304271.89803421847</v>
      </c>
      <c r="R112" s="12">
        <v>84524.680447142135</v>
      </c>
      <c r="S112" s="12">
        <v>32919.935806094145</v>
      </c>
    </row>
    <row r="113" spans="1:19" x14ac:dyDescent="0.3">
      <c r="A113" s="50"/>
      <c r="B113" s="8" t="s">
        <v>54</v>
      </c>
      <c r="C113" s="8">
        <v>23</v>
      </c>
      <c r="D113" s="8">
        <v>40000</v>
      </c>
      <c r="E113" s="8">
        <f t="shared" si="75"/>
        <v>34071.530008532223</v>
      </c>
      <c r="F113" s="8">
        <f t="shared" si="76"/>
        <v>112.4698803473931</v>
      </c>
      <c r="G113" s="8">
        <f t="shared" si="77"/>
        <v>39354.484778838239</v>
      </c>
      <c r="H113" s="8">
        <f t="shared" si="81"/>
        <v>692.83919067021725</v>
      </c>
      <c r="I113" s="8">
        <f t="shared" si="79"/>
        <v>34183.999888879618</v>
      </c>
      <c r="J113" s="8">
        <f>G113+1*H113</f>
        <v>40047.323969508456</v>
      </c>
      <c r="K113" s="9">
        <f t="shared" si="71"/>
        <v>33825857.292552292</v>
      </c>
      <c r="L113" s="9">
        <f t="shared" si="72"/>
        <v>2239.558090037252</v>
      </c>
      <c r="N113" s="8" t="s">
        <v>52</v>
      </c>
      <c r="O113" s="12">
        <v>76189.271679348894</v>
      </c>
      <c r="P113" s="12">
        <v>153654.36216592806</v>
      </c>
      <c r="Q113" s="12">
        <v>302939.80798801442</v>
      </c>
      <c r="R113" s="12">
        <v>85639.856987728737</v>
      </c>
      <c r="S113" s="12">
        <v>32909.462318898768</v>
      </c>
    </row>
    <row r="114" spans="1:19" x14ac:dyDescent="0.3">
      <c r="A114" s="50"/>
      <c r="B114" s="8" t="s">
        <v>55</v>
      </c>
      <c r="C114" s="8">
        <v>24</v>
      </c>
      <c r="D114" s="8">
        <v>30000</v>
      </c>
      <c r="E114" s="8">
        <f t="shared" si="75"/>
        <v>32928.79992221573</v>
      </c>
      <c r="F114" s="8">
        <f t="shared" si="76"/>
        <v>-13.050116318995492</v>
      </c>
      <c r="G114" s="8">
        <f t="shared" si="77"/>
        <v>33014.197190852537</v>
      </c>
      <c r="H114" s="8">
        <f t="shared" si="81"/>
        <v>-10.473487195374673</v>
      </c>
      <c r="I114" s="8">
        <f t="shared" si="79"/>
        <v>32915.749805896732</v>
      </c>
      <c r="J114" s="8">
        <f t="shared" si="80"/>
        <v>33003.723703657161</v>
      </c>
      <c r="K114" s="9">
        <f t="shared" si="71"/>
        <v>8501596.9305868316</v>
      </c>
      <c r="L114" s="9">
        <f t="shared" si="72"/>
        <v>9022356.087911889</v>
      </c>
      <c r="N114" s="8" t="s">
        <v>53</v>
      </c>
      <c r="O114" s="12">
        <v>78105.081028512839</v>
      </c>
      <c r="P114" s="12">
        <v>150076.71792891764</v>
      </c>
      <c r="Q114" s="12">
        <v>301607.71794181038</v>
      </c>
      <c r="R114" s="12">
        <v>86755.03352831534</v>
      </c>
      <c r="S114" s="12">
        <v>32898.988831703391</v>
      </c>
    </row>
    <row r="115" spans="1:19" x14ac:dyDescent="0.3">
      <c r="A115" s="27"/>
      <c r="B115" s="8" t="s">
        <v>44</v>
      </c>
      <c r="C115" s="8">
        <v>25</v>
      </c>
      <c r="D115" s="8">
        <f>J114</f>
        <v>33003.723703657161</v>
      </c>
      <c r="E115" s="8">
        <f t="shared" si="75"/>
        <v>32942.141975224862</v>
      </c>
      <c r="F115" s="8">
        <f t="shared" si="76"/>
        <v>-10.410899386182781</v>
      </c>
      <c r="G115" s="8">
        <f t="shared" si="77"/>
        <v>33003.723703657161</v>
      </c>
      <c r="H115" s="8">
        <f t="shared" si="81"/>
        <v>-10.473487195374901</v>
      </c>
      <c r="I115" s="8">
        <f t="shared" si="79"/>
        <v>32931.731075838681</v>
      </c>
      <c r="J115" s="8">
        <f t="shared" si="80"/>
        <v>32993.250216461784</v>
      </c>
      <c r="K115" s="9">
        <f t="shared" si="71"/>
        <v>5182.9384602100909</v>
      </c>
      <c r="L115" s="9">
        <f t="shared" si="72"/>
        <v>109.69393403172487</v>
      </c>
      <c r="N115" s="8" t="s">
        <v>54</v>
      </c>
      <c r="O115" s="12">
        <v>80020.890377676784</v>
      </c>
      <c r="P115" s="12">
        <v>146499.07369190722</v>
      </c>
      <c r="Q115" s="12">
        <v>300275.62789560633</v>
      </c>
      <c r="R115" s="12">
        <v>87870.210068901943</v>
      </c>
      <c r="S115" s="12">
        <v>32888.515344508014</v>
      </c>
    </row>
    <row r="116" spans="1:19" x14ac:dyDescent="0.3">
      <c r="A116" s="27"/>
      <c r="B116" s="8" t="s">
        <v>45</v>
      </c>
      <c r="C116" s="8">
        <v>26</v>
      </c>
      <c r="D116" s="8">
        <f t="shared" ref="D116:D126" si="82">J115</f>
        <v>32993.250216461784</v>
      </c>
      <c r="E116" s="8">
        <f t="shared" si="75"/>
        <v>32950.186818025613</v>
      </c>
      <c r="F116" s="8">
        <f t="shared" si="76"/>
        <v>-8.565325167489382</v>
      </c>
      <c r="G116" s="8">
        <f t="shared" si="77"/>
        <v>32993.250216461784</v>
      </c>
      <c r="H116" s="8">
        <f t="shared" si="81"/>
        <v>-10.473487195375105</v>
      </c>
      <c r="I116" s="8">
        <f t="shared" si="79"/>
        <v>32941.621492858125</v>
      </c>
      <c r="J116" s="8">
        <f t="shared" si="80"/>
        <v>32982.776729266407</v>
      </c>
      <c r="K116" s="9">
        <f t="shared" si="71"/>
        <v>2665.5251009429876</v>
      </c>
      <c r="L116" s="9">
        <f t="shared" si="72"/>
        <v>109.69393403172487</v>
      </c>
      <c r="N116" s="8" t="s">
        <v>55</v>
      </c>
      <c r="O116" s="12">
        <v>81936.699726840729</v>
      </c>
      <c r="P116" s="12">
        <v>142921.4294548968</v>
      </c>
      <c r="Q116" s="12">
        <v>298943.53784940229</v>
      </c>
      <c r="R116" s="12">
        <v>88985.386609488545</v>
      </c>
      <c r="S116" s="12">
        <v>32878.041857312637</v>
      </c>
    </row>
    <row r="117" spans="1:19" x14ac:dyDescent="0.3">
      <c r="A117" s="27"/>
      <c r="B117" s="8" t="s">
        <v>46</v>
      </c>
      <c r="C117" s="8">
        <v>27</v>
      </c>
      <c r="D117" s="8">
        <f t="shared" si="82"/>
        <v>32982.776729266407</v>
      </c>
      <c r="E117" s="8">
        <f t="shared" si="75"/>
        <v>32953.968063780609</v>
      </c>
      <c r="F117" s="8">
        <f t="shared" si="76"/>
        <v>-7.3306680752409115</v>
      </c>
      <c r="G117" s="8">
        <f t="shared" si="77"/>
        <v>32982.776729266407</v>
      </c>
      <c r="H117" s="8">
        <f t="shared" si="81"/>
        <v>-10.47348719537529</v>
      </c>
      <c r="I117" s="8">
        <f t="shared" si="79"/>
        <v>32946.637395705366</v>
      </c>
      <c r="J117" s="8">
        <f t="shared" si="80"/>
        <v>32972.30324207103</v>
      </c>
      <c r="K117" s="9">
        <f t="shared" si="71"/>
        <v>1306.0514302361833</v>
      </c>
      <c r="L117" s="9">
        <f t="shared" si="72"/>
        <v>109.69393403172487</v>
      </c>
    </row>
    <row r="118" spans="1:19" x14ac:dyDescent="0.3">
      <c r="A118" s="27"/>
      <c r="B118" s="8" t="s">
        <v>47</v>
      </c>
      <c r="C118" s="8">
        <v>28</v>
      </c>
      <c r="D118" s="8">
        <f t="shared" si="82"/>
        <v>32972.30324207103</v>
      </c>
      <c r="E118" s="8">
        <f t="shared" si="75"/>
        <v>32954.337149615065</v>
      </c>
      <c r="F118" s="8">
        <f t="shared" si="76"/>
        <v>-6.5606926842712001</v>
      </c>
      <c r="G118" s="8">
        <f t="shared" si="77"/>
        <v>32972.30324207103</v>
      </c>
      <c r="H118" s="8">
        <f t="shared" si="81"/>
        <v>-10.473487195375455</v>
      </c>
      <c r="I118" s="8">
        <f t="shared" si="79"/>
        <v>32947.776456930791</v>
      </c>
      <c r="J118" s="8">
        <f t="shared" si="80"/>
        <v>32961.829754875653</v>
      </c>
      <c r="K118" s="9">
        <f t="shared" si="71"/>
        <v>601.56318931543115</v>
      </c>
      <c r="L118" s="9">
        <f t="shared" si="72"/>
        <v>109.69393403172487</v>
      </c>
    </row>
    <row r="119" spans="1:19" x14ac:dyDescent="0.3">
      <c r="A119" s="27"/>
      <c r="B119" s="8" t="s">
        <v>48</v>
      </c>
      <c r="C119" s="8">
        <v>29</v>
      </c>
      <c r="D119" s="8">
        <f t="shared" si="82"/>
        <v>32961.829754875653</v>
      </c>
      <c r="E119" s="8">
        <f t="shared" si="75"/>
        <v>32951.992446314252</v>
      </c>
      <c r="F119" s="8">
        <f t="shared" si="76"/>
        <v>-6.1390937459253196</v>
      </c>
      <c r="G119" s="8">
        <f t="shared" si="77"/>
        <v>32961.829754875653</v>
      </c>
      <c r="H119" s="8">
        <f t="shared" si="81"/>
        <v>-10.473487195375604</v>
      </c>
      <c r="I119" s="8">
        <f t="shared" si="79"/>
        <v>32945.853352568331</v>
      </c>
      <c r="J119" s="8">
        <f t="shared" si="80"/>
        <v>32951.356267680276</v>
      </c>
      <c r="K119" s="9">
        <f t="shared" si="71"/>
        <v>255.24543068540797</v>
      </c>
      <c r="L119" s="9">
        <f t="shared" si="72"/>
        <v>109.69393403172487</v>
      </c>
    </row>
    <row r="120" spans="1:19" x14ac:dyDescent="0.3">
      <c r="A120" s="27"/>
      <c r="B120" s="8" t="s">
        <v>49</v>
      </c>
      <c r="C120" s="8">
        <v>30</v>
      </c>
      <c r="D120" s="8">
        <f t="shared" si="82"/>
        <v>32951.356267680276</v>
      </c>
      <c r="E120" s="8">
        <f t="shared" si="75"/>
        <v>32947.504227101912</v>
      </c>
      <c r="F120" s="8">
        <f t="shared" si="76"/>
        <v>-5.9740062925668358</v>
      </c>
      <c r="G120" s="8">
        <f t="shared" si="77"/>
        <v>32951.356267680276</v>
      </c>
      <c r="H120" s="8">
        <f t="shared" si="81"/>
        <v>-10.473487195375739</v>
      </c>
      <c r="I120" s="8">
        <f t="shared" si="79"/>
        <v>32941.530220809342</v>
      </c>
      <c r="J120" s="8">
        <f t="shared" si="80"/>
        <v>32940.882780484899</v>
      </c>
      <c r="K120" s="9">
        <f t="shared" si="71"/>
        <v>96.551197109793392</v>
      </c>
      <c r="L120" s="9">
        <f t="shared" si="72"/>
        <v>109.69393403172487</v>
      </c>
    </row>
    <row r="121" spans="1:19" x14ac:dyDescent="0.3">
      <c r="A121" s="27"/>
      <c r="B121" s="8" t="s">
        <v>50</v>
      </c>
      <c r="C121" s="8">
        <v>31</v>
      </c>
      <c r="D121" s="8">
        <f t="shared" si="82"/>
        <v>32940.882780484899</v>
      </c>
      <c r="E121" s="8">
        <f t="shared" si="75"/>
        <v>32941.335988712002</v>
      </c>
      <c r="F121" s="8">
        <f t="shared" si="76"/>
        <v>-5.9934295023011197</v>
      </c>
      <c r="G121" s="8">
        <f t="shared" si="77"/>
        <v>32940.882780484899</v>
      </c>
      <c r="H121" s="8">
        <f t="shared" si="81"/>
        <v>-10.47348719537586</v>
      </c>
      <c r="I121" s="8">
        <f t="shared" si="79"/>
        <v>32935.342559209705</v>
      </c>
      <c r="J121" s="8">
        <f t="shared" si="80"/>
        <v>32930.409293289522</v>
      </c>
      <c r="K121" s="9">
        <f t="shared" si="71"/>
        <v>30.694051778114435</v>
      </c>
      <c r="L121" s="9">
        <f t="shared" si="72"/>
        <v>109.69393403172487</v>
      </c>
    </row>
    <row r="122" spans="1:19" x14ac:dyDescent="0.3">
      <c r="A122" s="27"/>
      <c r="B122" s="8" t="s">
        <v>51</v>
      </c>
      <c r="C122" s="8">
        <v>32</v>
      </c>
      <c r="D122" s="8">
        <f t="shared" si="82"/>
        <v>32930.409293289522</v>
      </c>
      <c r="E122" s="8">
        <f t="shared" si="75"/>
        <v>32933.862579433648</v>
      </c>
      <c r="F122" s="8">
        <f t="shared" si="76"/>
        <v>-6.1414274799064748</v>
      </c>
      <c r="G122" s="8">
        <f t="shared" si="77"/>
        <v>32930.409293289522</v>
      </c>
      <c r="H122" s="8">
        <f t="shared" si="81"/>
        <v>-10.473487195375968</v>
      </c>
      <c r="I122" s="8">
        <f t="shared" si="79"/>
        <v>32927.721151953738</v>
      </c>
      <c r="J122" s="8">
        <f t="shared" si="80"/>
        <v>32919.935806094145</v>
      </c>
      <c r="K122" s="9">
        <f t="shared" si="71"/>
        <v>7.2261038411514837</v>
      </c>
      <c r="L122" s="9">
        <f t="shared" si="72"/>
        <v>109.69393403172487</v>
      </c>
    </row>
    <row r="123" spans="1:19" x14ac:dyDescent="0.3">
      <c r="A123" s="27"/>
      <c r="B123" s="8" t="s">
        <v>52</v>
      </c>
      <c r="C123" s="8">
        <v>33</v>
      </c>
      <c r="D123" s="8">
        <f t="shared" si="82"/>
        <v>32919.935806094145</v>
      </c>
      <c r="E123" s="8">
        <f t="shared" si="75"/>
        <v>32925.38554819586</v>
      </c>
      <c r="F123" s="8">
        <f t="shared" si="76"/>
        <v>-6.3749878556946014</v>
      </c>
      <c r="G123" s="8">
        <f t="shared" si="77"/>
        <v>32919.935806094145</v>
      </c>
      <c r="H123" s="8">
        <f t="shared" si="81"/>
        <v>-10.473487195376066</v>
      </c>
      <c r="I123" s="8">
        <f t="shared" si="79"/>
        <v>32919.010560340168</v>
      </c>
      <c r="J123" s="8">
        <f t="shared" si="80"/>
        <v>32909.462318898768</v>
      </c>
      <c r="K123" s="9">
        <f t="shared" si="71"/>
        <v>0.85607970525232635</v>
      </c>
      <c r="L123" s="9">
        <f t="shared" si="72"/>
        <v>109.69393403172487</v>
      </c>
    </row>
    <row r="124" spans="1:19" x14ac:dyDescent="0.3">
      <c r="A124" s="27"/>
      <c r="B124" s="8" t="s">
        <v>53</v>
      </c>
      <c r="C124" s="8">
        <v>34</v>
      </c>
      <c r="D124" s="8">
        <f t="shared" si="82"/>
        <v>32909.462318898768</v>
      </c>
      <c r="E124" s="8">
        <f t="shared" si="75"/>
        <v>32916.146087907749</v>
      </c>
      <c r="F124" s="8">
        <f t="shared" si="76"/>
        <v>-6.6614350989361837</v>
      </c>
      <c r="G124" s="8">
        <f t="shared" si="77"/>
        <v>32909.462318898768</v>
      </c>
      <c r="H124" s="8">
        <f t="shared" si="81"/>
        <v>-10.473487195376155</v>
      </c>
      <c r="I124" s="8">
        <f t="shared" si="79"/>
        <v>32909.484652808816</v>
      </c>
      <c r="J124" s="8">
        <f t="shared" si="80"/>
        <v>32898.988831703391</v>
      </c>
      <c r="K124" s="9">
        <f t="shared" si="71"/>
        <v>4.9880353805331124E-4</v>
      </c>
      <c r="L124" s="9">
        <f t="shared" si="72"/>
        <v>109.69393403172487</v>
      </c>
    </row>
    <row r="125" spans="1:19" x14ac:dyDescent="0.3">
      <c r="A125" s="27"/>
      <c r="B125" s="8" t="s">
        <v>54</v>
      </c>
      <c r="C125" s="8">
        <v>35</v>
      </c>
      <c r="D125" s="8">
        <f t="shared" si="82"/>
        <v>32898.988831703391</v>
      </c>
      <c r="E125" s="8">
        <f t="shared" si="75"/>
        <v>32906.335906477187</v>
      </c>
      <c r="F125" s="8">
        <f t="shared" si="76"/>
        <v>-6.9763097320988461</v>
      </c>
      <c r="G125" s="8">
        <f t="shared" si="77"/>
        <v>32898.988831703391</v>
      </c>
      <c r="H125" s="8">
        <f t="shared" si="81"/>
        <v>-10.473487195376235</v>
      </c>
      <c r="I125" s="8">
        <f t="shared" si="79"/>
        <v>32899.359596745089</v>
      </c>
      <c r="J125" s="8">
        <f t="shared" si="80"/>
        <v>32888.515344508014</v>
      </c>
      <c r="K125" s="9">
        <f t="shared" si="71"/>
        <v>0.13746671614545153</v>
      </c>
      <c r="L125" s="9">
        <f t="shared" si="72"/>
        <v>109.69393403172487</v>
      </c>
    </row>
    <row r="126" spans="1:19" x14ac:dyDescent="0.3">
      <c r="A126" s="27"/>
      <c r="B126" s="8" t="s">
        <v>55</v>
      </c>
      <c r="C126" s="8">
        <v>36</v>
      </c>
      <c r="D126" s="8">
        <f t="shared" si="82"/>
        <v>32888.515344508014</v>
      </c>
      <c r="E126" s="8">
        <f t="shared" si="75"/>
        <v>32896.106321073967</v>
      </c>
      <c r="F126" s="8">
        <f t="shared" si="76"/>
        <v>-7.3016372992109586</v>
      </c>
      <c r="G126" s="8">
        <f t="shared" si="77"/>
        <v>32888.515344508014</v>
      </c>
      <c r="H126" s="8">
        <f t="shared" si="81"/>
        <v>-10.473487195376306</v>
      </c>
      <c r="I126" s="8">
        <f t="shared" si="79"/>
        <v>32888.804683774753</v>
      </c>
      <c r="J126" s="8">
        <f t="shared" si="80"/>
        <v>32878.041857312637</v>
      </c>
      <c r="K126" s="9">
        <f t="shared" si="71"/>
        <v>8.3717211277213696E-2</v>
      </c>
      <c r="L126" s="9">
        <f t="shared" si="72"/>
        <v>109.69393403172487</v>
      </c>
    </row>
    <row r="127" spans="1:19" x14ac:dyDescent="0.3">
      <c r="A127" s="8" t="s">
        <v>36</v>
      </c>
      <c r="B127" s="8"/>
      <c r="C127" s="8"/>
      <c r="D127" s="9">
        <f>SUM(D91:D114)</f>
        <v>815000</v>
      </c>
      <c r="E127" s="9"/>
      <c r="F127" s="9"/>
      <c r="G127" s="9"/>
      <c r="H127" s="9"/>
      <c r="I127" s="9">
        <f t="shared" ref="I127:L127" si="83">SUM(I91:I114)</f>
        <v>818350.7536831965</v>
      </c>
      <c r="J127" s="9">
        <f t="shared" si="83"/>
        <v>818153.34494930541</v>
      </c>
      <c r="K127" s="9">
        <f t="shared" si="83"/>
        <v>1280323561.8564427</v>
      </c>
      <c r="L127" s="9">
        <f t="shared" si="83"/>
        <v>214041836.90534371</v>
      </c>
    </row>
    <row r="128" spans="1:19" x14ac:dyDescent="0.3">
      <c r="A128" s="8" t="s">
        <v>37</v>
      </c>
      <c r="B128" s="8"/>
      <c r="C128" s="8"/>
      <c r="D128" s="8">
        <f>D127/COUNT(D91:D114)</f>
        <v>33958.333333333336</v>
      </c>
      <c r="E128" s="8"/>
      <c r="F128" s="8"/>
      <c r="G128" s="8"/>
      <c r="H128" s="8"/>
      <c r="I128" s="8">
        <f t="shared" ref="I128:L128" si="84">I127/COUNT(I91:I114)</f>
        <v>34097.948070133185</v>
      </c>
      <c r="J128" s="8">
        <f t="shared" si="84"/>
        <v>34089.722706221059</v>
      </c>
      <c r="K128" s="8">
        <f t="shared" si="84"/>
        <v>53346815.077351779</v>
      </c>
      <c r="L128" s="8">
        <f t="shared" si="84"/>
        <v>8918409.8710559886</v>
      </c>
    </row>
    <row r="129" spans="1:12" x14ac:dyDescent="0.3">
      <c r="A129" s="25" t="s">
        <v>58</v>
      </c>
      <c r="B129" s="25"/>
      <c r="C129" s="25"/>
      <c r="D129" s="25"/>
      <c r="E129" s="25"/>
      <c r="F129" s="25"/>
      <c r="G129" s="25"/>
      <c r="H129" s="25"/>
      <c r="I129" s="25"/>
      <c r="J129" s="25"/>
      <c r="K129" s="25">
        <f>SQRT(K128)/COUNT(K91:K114)</f>
        <v>304.32876695800576</v>
      </c>
      <c r="L129" s="25">
        <f>SQRT(L128)/COUNT(L91:L114)</f>
        <v>124.43211189473284</v>
      </c>
    </row>
  </sheetData>
  <mergeCells count="17">
    <mergeCell ref="A89:L89"/>
    <mergeCell ref="N90:N94"/>
    <mergeCell ref="A91:A102"/>
    <mergeCell ref="N95:N99"/>
    <mergeCell ref="A103:A114"/>
    <mergeCell ref="A44:L44"/>
    <mergeCell ref="N44:Y44"/>
    <mergeCell ref="A46:A57"/>
    <mergeCell ref="N46:N57"/>
    <mergeCell ref="A58:A69"/>
    <mergeCell ref="N58:N69"/>
    <mergeCell ref="A1:L1"/>
    <mergeCell ref="N1:Y1"/>
    <mergeCell ref="A3:A14"/>
    <mergeCell ref="N3:N14"/>
    <mergeCell ref="N15:N38"/>
    <mergeCell ref="A15:A26"/>
  </mergeCells>
  <phoneticPr fontId="4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695CF-B61D-458B-9241-95CA9CF53687}">
  <dimension ref="A1:AM93"/>
  <sheetViews>
    <sheetView tabSelected="1" topLeftCell="D1" zoomScale="64" zoomScaleNormal="64" workbookViewId="0">
      <selection activeCell="S76" sqref="S76"/>
    </sheetView>
  </sheetViews>
  <sheetFormatPr defaultRowHeight="14.4" x14ac:dyDescent="0.3"/>
  <cols>
    <col min="4" max="4" width="15.109375" bestFit="1" customWidth="1"/>
    <col min="5" max="10" width="15.109375" customWidth="1"/>
    <col min="11" max="11" width="12" bestFit="1" customWidth="1"/>
    <col min="12" max="12" width="10.109375" bestFit="1" customWidth="1"/>
    <col min="13" max="14" width="18.44140625" bestFit="1" customWidth="1"/>
    <col min="17" max="17" width="19.21875" bestFit="1" customWidth="1"/>
    <col min="18" max="18" width="12.6640625" customWidth="1"/>
    <col min="19" max="19" width="20.21875" customWidth="1"/>
    <col min="20" max="25" width="15.6640625" customWidth="1"/>
    <col min="26" max="27" width="12" bestFit="1" customWidth="1"/>
    <col min="28" max="29" width="13.77734375" bestFit="1" customWidth="1"/>
  </cols>
  <sheetData>
    <row r="1" spans="1:39" x14ac:dyDescent="0.3">
      <c r="A1" s="51" t="s">
        <v>169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P1" s="51" t="s">
        <v>170</v>
      </c>
      <c r="Q1" s="51"/>
      <c r="R1" s="51"/>
      <c r="S1" s="51"/>
      <c r="T1" s="51"/>
      <c r="U1" s="51"/>
      <c r="V1" s="51"/>
      <c r="W1" s="51"/>
      <c r="X1" s="51"/>
      <c r="Y1" s="51"/>
      <c r="Z1" s="51"/>
      <c r="AA1" s="51"/>
      <c r="AB1" s="51"/>
      <c r="AC1" s="51"/>
    </row>
    <row r="2" spans="1:39" x14ac:dyDescent="0.3">
      <c r="A2" s="8" t="s">
        <v>38</v>
      </c>
      <c r="B2" s="8" t="s">
        <v>39</v>
      </c>
      <c r="C2" s="8" t="s">
        <v>40</v>
      </c>
      <c r="D2" s="8" t="s">
        <v>129</v>
      </c>
      <c r="E2" t="s">
        <v>65</v>
      </c>
      <c r="F2" t="s">
        <v>188</v>
      </c>
      <c r="G2" t="s">
        <v>189</v>
      </c>
      <c r="H2" t="s">
        <v>65</v>
      </c>
      <c r="I2" t="s">
        <v>188</v>
      </c>
      <c r="J2" t="s">
        <v>189</v>
      </c>
      <c r="K2" s="8" t="s">
        <v>186</v>
      </c>
      <c r="L2" s="8" t="s">
        <v>187</v>
      </c>
      <c r="M2" s="8" t="s">
        <v>177</v>
      </c>
      <c r="N2" s="8" t="s">
        <v>178</v>
      </c>
      <c r="P2" s="8" t="s">
        <v>38</v>
      </c>
      <c r="Q2" s="8" t="s">
        <v>39</v>
      </c>
      <c r="R2" s="8" t="s">
        <v>40</v>
      </c>
      <c r="S2" s="8" t="s">
        <v>129</v>
      </c>
      <c r="T2" t="s">
        <v>65</v>
      </c>
      <c r="U2" t="s">
        <v>188</v>
      </c>
      <c r="V2" t="s">
        <v>189</v>
      </c>
      <c r="W2" t="s">
        <v>65</v>
      </c>
      <c r="X2" t="s">
        <v>188</v>
      </c>
      <c r="Y2" t="s">
        <v>189</v>
      </c>
      <c r="Z2" s="8" t="s">
        <v>186</v>
      </c>
      <c r="AA2" s="8" t="s">
        <v>187</v>
      </c>
      <c r="AB2" s="8" t="s">
        <v>177</v>
      </c>
      <c r="AC2" s="8" t="s">
        <v>178</v>
      </c>
      <c r="AF2" t="s">
        <v>39</v>
      </c>
      <c r="AG2" t="s">
        <v>40</v>
      </c>
      <c r="AH2" t="s">
        <v>41</v>
      </c>
      <c r="AK2" t="s">
        <v>66</v>
      </c>
      <c r="AL2" t="s">
        <v>42</v>
      </c>
      <c r="AM2" t="s">
        <v>43</v>
      </c>
    </row>
    <row r="3" spans="1:39" x14ac:dyDescent="0.3">
      <c r="A3" s="50">
        <v>2021</v>
      </c>
      <c r="B3" s="8" t="s">
        <v>44</v>
      </c>
      <c r="C3" s="8">
        <v>1</v>
      </c>
      <c r="D3" s="9" cm="1">
        <f t="array" ref="D3:D26">TRANSPOSE('Historical Sale'!C7:Z7)</f>
        <v>110000</v>
      </c>
      <c r="E3" s="9"/>
      <c r="F3" s="9"/>
      <c r="G3" s="8">
        <f>D3/$E$6</f>
        <v>0.93617021276595747</v>
      </c>
      <c r="H3" s="9"/>
      <c r="I3" s="9"/>
      <c r="J3" s="8" cm="1">
        <f t="array" ref="J3:J14">D3:D14/H14</f>
        <v>1.3333333333333333</v>
      </c>
      <c r="K3" s="9"/>
      <c r="L3" s="9">
        <f>H3+1*I3</f>
        <v>0</v>
      </c>
      <c r="M3" s="9">
        <f t="shared" ref="M3:M26" si="0">(D3-K3)^2</f>
        <v>12100000000</v>
      </c>
      <c r="N3" s="9">
        <f t="shared" ref="N3:N26" si="1">(D3-L3)^2</f>
        <v>12100000000</v>
      </c>
      <c r="P3" s="50">
        <v>2021</v>
      </c>
      <c r="Q3" s="8" t="s">
        <v>44</v>
      </c>
      <c r="R3" s="8">
        <v>1</v>
      </c>
      <c r="S3" s="9" cm="1">
        <f t="array" ref="S3:S26">TRANSPOSE('Historical Sale'!C9:Z9)</f>
        <v>230000</v>
      </c>
      <c r="T3" s="9"/>
      <c r="U3" s="9"/>
      <c r="V3" s="9">
        <f>S3/$E$6</f>
        <v>1.9574468085106382</v>
      </c>
      <c r="W3" s="9"/>
      <c r="X3" s="9"/>
      <c r="Y3" s="9" cm="1">
        <f t="array" ref="Y3:Y14">S3:S14/W14</f>
        <v>1.0574712643678161</v>
      </c>
      <c r="Z3" s="8"/>
      <c r="AA3" s="8">
        <f>W3+1*X3</f>
        <v>0</v>
      </c>
      <c r="AB3" s="8">
        <f>(S3-Z3)^2</f>
        <v>52900000000</v>
      </c>
      <c r="AC3" s="8">
        <f>(S3-AA3)^2</f>
        <v>52900000000</v>
      </c>
    </row>
    <row r="4" spans="1:39" x14ac:dyDescent="0.3">
      <c r="A4" s="50"/>
      <c r="B4" s="8" t="s">
        <v>45</v>
      </c>
      <c r="C4" s="8">
        <v>2</v>
      </c>
      <c r="D4" s="9">
        <v>60000</v>
      </c>
      <c r="E4" s="9"/>
      <c r="F4" s="9"/>
      <c r="G4" s="8">
        <f t="shared" ref="G4:G6" si="2">D4/$E$6</f>
        <v>0.51063829787234039</v>
      </c>
      <c r="H4" s="9"/>
      <c r="I4" s="9"/>
      <c r="J4" s="8">
        <v>0.72727272727272729</v>
      </c>
      <c r="K4" s="9">
        <f t="shared" ref="K4:K5" si="3">E4+1*F4</f>
        <v>0</v>
      </c>
      <c r="L4" s="9">
        <f t="shared" ref="L4:L13" si="4">H4+1*I4</f>
        <v>0</v>
      </c>
      <c r="M4" s="9">
        <f t="shared" si="0"/>
        <v>3600000000</v>
      </c>
      <c r="N4" s="9">
        <f t="shared" si="1"/>
        <v>3600000000</v>
      </c>
      <c r="P4" s="50"/>
      <c r="Q4" s="8" t="s">
        <v>45</v>
      </c>
      <c r="R4" s="8">
        <v>2</v>
      </c>
      <c r="S4" s="9">
        <v>200000</v>
      </c>
      <c r="T4" s="9"/>
      <c r="U4" s="9"/>
      <c r="V4" s="9">
        <f t="shared" ref="V4:V6" si="5">S4/$E$6</f>
        <v>1.7021276595744681</v>
      </c>
      <c r="W4" s="9"/>
      <c r="X4" s="9"/>
      <c r="Y4" s="9">
        <v>0.91954022988505746</v>
      </c>
      <c r="Z4" s="8">
        <f t="shared" ref="Z4:Z5" si="6">T4+1*U4</f>
        <v>0</v>
      </c>
      <c r="AA4" s="8">
        <f t="shared" ref="AA4:AA13" si="7">W4+1*X4</f>
        <v>0</v>
      </c>
      <c r="AB4" s="9">
        <f>(S4-Z4)^2</f>
        <v>40000000000</v>
      </c>
      <c r="AC4" s="8">
        <f t="shared" ref="AC4:AC7" si="8">(S4-AA4)^2</f>
        <v>40000000000</v>
      </c>
    </row>
    <row r="5" spans="1:39" x14ac:dyDescent="0.3">
      <c r="A5" s="50"/>
      <c r="B5" s="8" t="s">
        <v>46</v>
      </c>
      <c r="C5" s="8">
        <v>3</v>
      </c>
      <c r="D5" s="9">
        <v>200000</v>
      </c>
      <c r="E5" s="9"/>
      <c r="F5" s="9"/>
      <c r="G5" s="8">
        <f t="shared" si="2"/>
        <v>1.7021276595744681</v>
      </c>
      <c r="H5" s="9"/>
      <c r="I5" s="9"/>
      <c r="J5" s="8">
        <v>2.4242424242424243</v>
      </c>
      <c r="K5" s="9">
        <f t="shared" si="3"/>
        <v>0</v>
      </c>
      <c r="L5" s="9">
        <f t="shared" si="4"/>
        <v>0</v>
      </c>
      <c r="M5" s="9">
        <f t="shared" si="0"/>
        <v>40000000000</v>
      </c>
      <c r="N5" s="9">
        <f t="shared" si="1"/>
        <v>40000000000</v>
      </c>
      <c r="P5" s="50"/>
      <c r="Q5" s="8" t="s">
        <v>46</v>
      </c>
      <c r="R5" s="8">
        <v>3</v>
      </c>
      <c r="S5" s="9">
        <v>240000</v>
      </c>
      <c r="T5" s="9"/>
      <c r="U5" s="9"/>
      <c r="V5" s="9">
        <f t="shared" si="5"/>
        <v>2.0425531914893615</v>
      </c>
      <c r="W5" s="9"/>
      <c r="X5" s="9"/>
      <c r="Y5" s="9">
        <v>1.103448275862069</v>
      </c>
      <c r="Z5" s="8">
        <f t="shared" si="6"/>
        <v>0</v>
      </c>
      <c r="AA5" s="8">
        <f t="shared" si="7"/>
        <v>0</v>
      </c>
      <c r="AB5" s="8">
        <f t="shared" ref="AB5" si="9">(S5-Z5)^2</f>
        <v>57600000000</v>
      </c>
      <c r="AC5" s="8">
        <f t="shared" si="8"/>
        <v>57600000000</v>
      </c>
    </row>
    <row r="6" spans="1:39" x14ac:dyDescent="0.3">
      <c r="A6" s="50"/>
      <c r="B6" s="8" t="s">
        <v>47</v>
      </c>
      <c r="C6" s="8">
        <v>4</v>
      </c>
      <c r="D6" s="9">
        <v>100000</v>
      </c>
      <c r="E6" s="9">
        <f>(1/4)*(SUM(D3:D6))</f>
        <v>117500</v>
      </c>
      <c r="F6" s="9">
        <f>(1/16)*(D7-D3+D8-D4+D9-D5+D10-D6)</f>
        <v>-21250</v>
      </c>
      <c r="G6" s="8">
        <f t="shared" si="2"/>
        <v>0.85106382978723405</v>
      </c>
      <c r="H6" s="9"/>
      <c r="I6" s="9"/>
      <c r="J6" s="8">
        <v>1.2121212121212122</v>
      </c>
      <c r="K6" s="9">
        <f>(E6+1*F6)*G3</f>
        <v>90106.382978723399</v>
      </c>
      <c r="L6" s="9">
        <f t="shared" si="4"/>
        <v>0</v>
      </c>
      <c r="M6" s="9">
        <f t="shared" si="0"/>
        <v>97883657.763694078</v>
      </c>
      <c r="N6" s="9">
        <f t="shared" si="1"/>
        <v>10000000000</v>
      </c>
      <c r="P6" s="50"/>
      <c r="Q6" s="8" t="s">
        <v>47</v>
      </c>
      <c r="R6" s="8">
        <v>4</v>
      </c>
      <c r="S6" s="9">
        <v>200000</v>
      </c>
      <c r="T6" s="9">
        <f>(1/4)*(SUM(S3:S6))</f>
        <v>217500</v>
      </c>
      <c r="U6" s="9">
        <f>(1/16)*(S7-S3+S8-S4+S9-S5+S10-S6)</f>
        <v>3750</v>
      </c>
      <c r="V6" s="9">
        <f t="shared" si="5"/>
        <v>1.7021276595744681</v>
      </c>
      <c r="W6" s="9"/>
      <c r="X6" s="9"/>
      <c r="Y6" s="9">
        <v>0.91954022988505746</v>
      </c>
      <c r="Z6" s="8">
        <f>(T6+1*U6)*V3</f>
        <v>433085.10638297873</v>
      </c>
      <c r="AA6" s="8">
        <f t="shared" si="7"/>
        <v>0</v>
      </c>
      <c r="AB6" s="9">
        <f>(S6-Z6)^2</f>
        <v>54328666817.564514</v>
      </c>
      <c r="AC6" s="8">
        <f t="shared" si="8"/>
        <v>40000000000</v>
      </c>
    </row>
    <row r="7" spans="1:39" x14ac:dyDescent="0.3">
      <c r="A7" s="50"/>
      <c r="B7" s="8" t="s">
        <v>48</v>
      </c>
      <c r="C7" s="8">
        <v>5</v>
      </c>
      <c r="D7" s="9">
        <v>40000</v>
      </c>
      <c r="E7" s="9">
        <f>0.3*(D7/G3)+(1-0.3)*(E6+F6)</f>
        <v>80193.181818181823</v>
      </c>
      <c r="F7" s="9">
        <f>0.1*(E7-E6)+(1-0.1)*F6</f>
        <v>-22855.681818181816</v>
      </c>
      <c r="G7" s="8">
        <f>0.1*(D7/E7)+(1-0.1)*(G3)</f>
        <v>0.89243274370701797</v>
      </c>
      <c r="H7" s="9"/>
      <c r="I7" s="9"/>
      <c r="J7" s="8">
        <v>0.48484848484848486</v>
      </c>
      <c r="K7" s="9">
        <f>(E7+1*F7)*G4</f>
        <v>29278.723404255321</v>
      </c>
      <c r="L7" s="9">
        <f t="shared" si="4"/>
        <v>0</v>
      </c>
      <c r="M7" s="9">
        <f t="shared" si="0"/>
        <v>114945771.84246261</v>
      </c>
      <c r="N7" s="9">
        <f t="shared" si="1"/>
        <v>1600000000</v>
      </c>
      <c r="P7" s="50"/>
      <c r="Q7" s="8" t="s">
        <v>48</v>
      </c>
      <c r="R7" s="8">
        <v>5</v>
      </c>
      <c r="S7" s="9">
        <v>210000</v>
      </c>
      <c r="T7" s="9">
        <f>0.3*(S7/V3)+(1-0.3)*(T6+U6)</f>
        <v>187059.78260869565</v>
      </c>
      <c r="U7" s="9">
        <f>0.1*(T7-T6)+(1-0.1)*U6</f>
        <v>330.97826086956456</v>
      </c>
      <c r="V7" s="9">
        <f>0.1*(S7/T7)+(1-0.1)*(V3)</f>
        <v>1.873965703010398</v>
      </c>
      <c r="W7" s="9"/>
      <c r="X7" s="9"/>
      <c r="Y7" s="9">
        <v>0.96551724137931039</v>
      </c>
      <c r="Z7" s="8">
        <f>(T7+1*U7)*V4</f>
        <v>318962.99722479185</v>
      </c>
      <c r="AA7" s="8">
        <f t="shared" si="7"/>
        <v>0</v>
      </c>
      <c r="AB7" s="9">
        <f t="shared" ref="AB7:AB26" si="10">(S7-Z7)^2</f>
        <v>11872934764.209995</v>
      </c>
      <c r="AC7" s="8">
        <f t="shared" si="8"/>
        <v>44100000000</v>
      </c>
    </row>
    <row r="8" spans="1:39" x14ac:dyDescent="0.3">
      <c r="A8" s="50"/>
      <c r="B8" s="8" t="s">
        <v>49</v>
      </c>
      <c r="C8" s="8">
        <v>6</v>
      </c>
      <c r="D8" s="9">
        <v>20000</v>
      </c>
      <c r="E8" s="9">
        <f t="shared" ref="E8:E26" si="11">0.3*(D8/G4)+(1-0.3)*(E7+F7)</f>
        <v>51886.25</v>
      </c>
      <c r="F8" s="9">
        <f t="shared" ref="F8:F26" si="12">0.1*(E8-E7)+(1-0.1)*F7</f>
        <v>-23400.80681818182</v>
      </c>
      <c r="G8" s="8">
        <f t="shared" ref="G8:G26" si="13">0.1*(D8/E8)+(1-0.1)*(G4)</f>
        <v>0.49812032560998049</v>
      </c>
      <c r="H8" s="9"/>
      <c r="I8" s="9"/>
      <c r="J8" s="8">
        <v>0.24242424242424243</v>
      </c>
      <c r="K8" s="9">
        <f t="shared" ref="K8:K26" si="14">(E8+1*F8)*G5</f>
        <v>48485.860735009672</v>
      </c>
      <c r="L8" s="9">
        <f t="shared" si="4"/>
        <v>0</v>
      </c>
      <c r="M8" s="9">
        <f t="shared" si="0"/>
        <v>811444261.81436574</v>
      </c>
      <c r="N8" s="9">
        <f t="shared" si="1"/>
        <v>400000000</v>
      </c>
      <c r="P8" s="50"/>
      <c r="Q8" s="8" t="s">
        <v>49</v>
      </c>
      <c r="R8" s="8">
        <v>6</v>
      </c>
      <c r="S8" s="9">
        <v>220000</v>
      </c>
      <c r="T8" s="9">
        <f t="shared" ref="T8:T26" si="15">0.3*(S8/V4)+(1-0.3)*(T7+U7)</f>
        <v>169948.53260869565</v>
      </c>
      <c r="U8" s="9">
        <f t="shared" ref="U8:U26" si="16">0.1*(T8-T7)+(1-0.1)*U7</f>
        <v>-1413.2445652173919</v>
      </c>
      <c r="V8" s="9">
        <f t="shared" ref="V8:V26" si="17">0.1*(S8/T8)+(1-0.1)*(V4)</f>
        <v>1.6613658495170331</v>
      </c>
      <c r="W8" s="9"/>
      <c r="X8" s="9"/>
      <c r="Y8" s="9">
        <v>1.0114942528735633</v>
      </c>
      <c r="Z8" s="8">
        <f t="shared" ref="Z8:Z26" si="18">(T8+1*U8)*V5</f>
        <v>344242.29047178535</v>
      </c>
      <c r="AA8" s="8">
        <f t="shared" si="7"/>
        <v>0</v>
      </c>
      <c r="AB8" s="9">
        <f t="shared" si="10"/>
        <v>15436146741.675486</v>
      </c>
      <c r="AC8" s="9">
        <f>(S8-AA8)^2</f>
        <v>48400000000</v>
      </c>
    </row>
    <row r="9" spans="1:39" x14ac:dyDescent="0.3">
      <c r="A9" s="50"/>
      <c r="B9" s="8" t="s">
        <v>50</v>
      </c>
      <c r="C9" s="8">
        <v>7</v>
      </c>
      <c r="D9" s="8">
        <v>10000</v>
      </c>
      <c r="E9" s="9">
        <f t="shared" si="11"/>
        <v>21702.310227272726</v>
      </c>
      <c r="F9" s="9">
        <f t="shared" si="12"/>
        <v>-24079.120113636367</v>
      </c>
      <c r="G9" s="8">
        <f t="shared" si="13"/>
        <v>1.5779929373611075</v>
      </c>
      <c r="H9" s="9"/>
      <c r="I9" s="9"/>
      <c r="J9" s="8">
        <v>0.12121212121212122</v>
      </c>
      <c r="K9" s="9">
        <f t="shared" si="14"/>
        <v>-2022.8169245648005</v>
      </c>
      <c r="L9" s="9">
        <f t="shared" si="4"/>
        <v>0</v>
      </c>
      <c r="M9" s="9">
        <f t="shared" si="0"/>
        <v>144548126.8016018</v>
      </c>
      <c r="N9" s="9">
        <f t="shared" si="1"/>
        <v>100000000</v>
      </c>
      <c r="P9" s="50"/>
      <c r="Q9" s="8" t="s">
        <v>50</v>
      </c>
      <c r="R9" s="8">
        <v>7</v>
      </c>
      <c r="S9" s="8">
        <v>200000</v>
      </c>
      <c r="T9" s="8">
        <f t="shared" si="15"/>
        <v>147349.70163043478</v>
      </c>
      <c r="U9" s="8">
        <f t="shared" si="16"/>
        <v>-3531.8032065217399</v>
      </c>
      <c r="V9" s="8">
        <f t="shared" si="17"/>
        <v>1.9740293993045022</v>
      </c>
      <c r="W9" s="8"/>
      <c r="X9" s="8"/>
      <c r="Y9" s="8">
        <v>0.91954022988505746</v>
      </c>
      <c r="Z9" s="8">
        <f t="shared" si="18"/>
        <v>244796.4228492137</v>
      </c>
      <c r="AA9" s="8">
        <f t="shared" si="7"/>
        <v>0</v>
      </c>
      <c r="AB9" s="9">
        <f t="shared" si="10"/>
        <v>2006719500.0855556</v>
      </c>
      <c r="AC9" s="9">
        <f t="shared" ref="AC9:AC26" si="19">(S9-AA9)^2</f>
        <v>40000000000</v>
      </c>
    </row>
    <row r="10" spans="1:39" x14ac:dyDescent="0.3">
      <c r="A10" s="50"/>
      <c r="B10" s="8" t="s">
        <v>51</v>
      </c>
      <c r="C10" s="8">
        <v>8</v>
      </c>
      <c r="D10" s="8">
        <v>60000</v>
      </c>
      <c r="E10" s="9">
        <f t="shared" si="11"/>
        <v>19486.233079545451</v>
      </c>
      <c r="F10" s="9">
        <f t="shared" si="12"/>
        <v>-21892.815817045459</v>
      </c>
      <c r="G10" s="8">
        <f t="shared" si="13"/>
        <v>1.0738671374863951</v>
      </c>
      <c r="H10" s="9"/>
      <c r="I10" s="9"/>
      <c r="J10" s="8">
        <v>0.72727272727272729</v>
      </c>
      <c r="K10" s="9">
        <f t="shared" si="14"/>
        <v>-2147.7132353850784</v>
      </c>
      <c r="L10" s="9">
        <f t="shared" si="4"/>
        <v>0</v>
      </c>
      <c r="M10" s="9">
        <f t="shared" si="0"/>
        <v>3862338260.3876572</v>
      </c>
      <c r="N10" s="9">
        <f t="shared" si="1"/>
        <v>3600000000</v>
      </c>
      <c r="P10" s="50"/>
      <c r="Q10" s="8" t="s">
        <v>51</v>
      </c>
      <c r="R10" s="8">
        <v>8</v>
      </c>
      <c r="S10" s="8">
        <v>300000</v>
      </c>
      <c r="T10" s="8">
        <f t="shared" si="15"/>
        <v>153547.52889673912</v>
      </c>
      <c r="U10" s="8">
        <f t="shared" si="16"/>
        <v>-2558.840159239131</v>
      </c>
      <c r="V10" s="8">
        <f t="shared" si="17"/>
        <v>1.7272941368751464</v>
      </c>
      <c r="W10" s="8"/>
      <c r="X10" s="8"/>
      <c r="Y10" s="8">
        <v>1.3793103448275863</v>
      </c>
      <c r="Z10" s="8">
        <f t="shared" si="18"/>
        <v>282947.62423658732</v>
      </c>
      <c r="AA10" s="8">
        <f t="shared" si="7"/>
        <v>0</v>
      </c>
      <c r="AB10" s="9">
        <f t="shared" si="10"/>
        <v>290783519.17662424</v>
      </c>
      <c r="AC10" s="9">
        <f t="shared" si="19"/>
        <v>90000000000</v>
      </c>
    </row>
    <row r="11" spans="1:39" x14ac:dyDescent="0.3">
      <c r="A11" s="50"/>
      <c r="B11" s="8" t="s">
        <v>52</v>
      </c>
      <c r="C11" s="8">
        <v>9</v>
      </c>
      <c r="D11" s="8">
        <v>100000</v>
      </c>
      <c r="E11" s="9">
        <f t="shared" si="11"/>
        <v>31931.370667620595</v>
      </c>
      <c r="F11" s="9">
        <f t="shared" si="12"/>
        <v>-18459.020476533398</v>
      </c>
      <c r="G11" s="8">
        <f t="shared" si="13"/>
        <v>1.1163611181230784</v>
      </c>
      <c r="H11" s="9"/>
      <c r="I11" s="9"/>
      <c r="J11" s="8">
        <v>1.2121212121212122</v>
      </c>
      <c r="K11" s="9">
        <f t="shared" si="14"/>
        <v>6710.8514639160367</v>
      </c>
      <c r="L11" s="9">
        <f t="shared" si="4"/>
        <v>0</v>
      </c>
      <c r="M11" s="9">
        <f t="shared" si="0"/>
        <v>8702865234.5875359</v>
      </c>
      <c r="N11" s="9">
        <f t="shared" si="1"/>
        <v>10000000000</v>
      </c>
      <c r="P11" s="50"/>
      <c r="Q11" s="8" t="s">
        <v>52</v>
      </c>
      <c r="R11" s="8">
        <v>9</v>
      </c>
      <c r="S11" s="8">
        <v>200000</v>
      </c>
      <c r="T11" s="8">
        <f t="shared" si="15"/>
        <v>137709.74386086682</v>
      </c>
      <c r="U11" s="8">
        <f t="shared" si="16"/>
        <v>-3886.7346469024487</v>
      </c>
      <c r="V11" s="8">
        <f t="shared" si="17"/>
        <v>1.831802138299774</v>
      </c>
      <c r="W11" s="8"/>
      <c r="X11" s="8"/>
      <c r="Y11" s="8">
        <v>0.91954022988505746</v>
      </c>
      <c r="Z11" s="8">
        <f t="shared" si="18"/>
        <v>222328.97738768367</v>
      </c>
      <c r="AA11" s="8">
        <f t="shared" si="7"/>
        <v>0</v>
      </c>
      <c r="AB11" s="9">
        <f t="shared" si="10"/>
        <v>498583231.17968863</v>
      </c>
      <c r="AC11" s="9">
        <f t="shared" si="19"/>
        <v>40000000000</v>
      </c>
    </row>
    <row r="12" spans="1:39" x14ac:dyDescent="0.3">
      <c r="A12" s="50"/>
      <c r="B12" s="8" t="s">
        <v>53</v>
      </c>
      <c r="C12" s="8">
        <v>10</v>
      </c>
      <c r="D12" s="8">
        <v>110000</v>
      </c>
      <c r="E12" s="9">
        <f t="shared" si="11"/>
        <v>75679.698431454453</v>
      </c>
      <c r="F12" s="9">
        <f t="shared" si="12"/>
        <v>-12238.28565249667</v>
      </c>
      <c r="G12" s="8">
        <f t="shared" si="13"/>
        <v>0.59365770944449114</v>
      </c>
      <c r="H12" s="9"/>
      <c r="I12" s="9"/>
      <c r="J12" s="8">
        <v>1.3333333333333333</v>
      </c>
      <c r="K12" s="9">
        <f t="shared" si="14"/>
        <v>100110.10130140609</v>
      </c>
      <c r="L12" s="9">
        <f t="shared" si="4"/>
        <v>0</v>
      </c>
      <c r="M12" s="9">
        <f t="shared" si="0"/>
        <v>97810096.268449545</v>
      </c>
      <c r="N12" s="9">
        <f t="shared" si="1"/>
        <v>12100000000</v>
      </c>
      <c r="P12" s="50"/>
      <c r="Q12" s="8" t="s">
        <v>53</v>
      </c>
      <c r="R12" s="8">
        <v>10</v>
      </c>
      <c r="S12" s="8">
        <v>200000</v>
      </c>
      <c r="T12" s="8">
        <f t="shared" si="15"/>
        <v>129790.96942077103</v>
      </c>
      <c r="U12" s="8">
        <f t="shared" si="16"/>
        <v>-4289.9386262217831</v>
      </c>
      <c r="V12" s="8">
        <f t="shared" si="17"/>
        <v>1.6493231902772316</v>
      </c>
      <c r="W12" s="8"/>
      <c r="X12" s="8"/>
      <c r="Y12" s="8">
        <v>0.91954022988505746</v>
      </c>
      <c r="Z12" s="8">
        <f t="shared" si="18"/>
        <v>247742.72443145985</v>
      </c>
      <c r="AA12" s="8">
        <f t="shared" si="7"/>
        <v>0</v>
      </c>
      <c r="AB12" s="9">
        <f t="shared" si="10"/>
        <v>2279367736.1383133</v>
      </c>
      <c r="AC12" s="9">
        <f t="shared" si="19"/>
        <v>40000000000</v>
      </c>
    </row>
    <row r="13" spans="1:39" x14ac:dyDescent="0.3">
      <c r="A13" s="50"/>
      <c r="B13" s="8" t="s">
        <v>54</v>
      </c>
      <c r="C13" s="8">
        <v>11</v>
      </c>
      <c r="D13" s="8">
        <v>110000</v>
      </c>
      <c r="E13" s="9">
        <f t="shared" si="11"/>
        <v>65321.630072287284</v>
      </c>
      <c r="F13" s="9">
        <f t="shared" si="12"/>
        <v>-12050.26392316372</v>
      </c>
      <c r="G13" s="8">
        <f t="shared" si="13"/>
        <v>1.5885911558705883</v>
      </c>
      <c r="H13" s="9"/>
      <c r="I13" s="9"/>
      <c r="J13" s="8">
        <v>1.3333333333333333</v>
      </c>
      <c r="K13" s="9">
        <f t="shared" si="14"/>
        <v>57206.369476548964</v>
      </c>
      <c r="L13" s="9">
        <f t="shared" si="4"/>
        <v>0</v>
      </c>
      <c r="M13" s="9">
        <f t="shared" si="0"/>
        <v>2787167423.8466611</v>
      </c>
      <c r="N13" s="9">
        <f t="shared" si="1"/>
        <v>12100000000</v>
      </c>
      <c r="P13" s="50"/>
      <c r="Q13" s="8" t="s">
        <v>54</v>
      </c>
      <c r="R13" s="8">
        <v>11</v>
      </c>
      <c r="S13" s="8">
        <v>210000</v>
      </c>
      <c r="T13" s="8">
        <f t="shared" si="15"/>
        <v>119765.13986332639</v>
      </c>
      <c r="U13" s="8">
        <f t="shared" si="16"/>
        <v>-4863.5277193440688</v>
      </c>
      <c r="V13" s="8">
        <f t="shared" si="17"/>
        <v>1.9519696353930904</v>
      </c>
      <c r="W13" s="8"/>
      <c r="X13" s="8"/>
      <c r="Y13" s="8">
        <v>0.96551724137931039</v>
      </c>
      <c r="Z13" s="8">
        <f t="shared" si="18"/>
        <v>198468.88097380279</v>
      </c>
      <c r="AA13" s="8">
        <f t="shared" si="7"/>
        <v>0</v>
      </c>
      <c r="AB13" s="9">
        <f t="shared" si="10"/>
        <v>132966705.99632724</v>
      </c>
      <c r="AC13" s="9">
        <f t="shared" si="19"/>
        <v>44100000000</v>
      </c>
    </row>
    <row r="14" spans="1:39" x14ac:dyDescent="0.3">
      <c r="A14" s="50"/>
      <c r="B14" s="8" t="s">
        <v>55</v>
      </c>
      <c r="C14" s="8">
        <v>12</v>
      </c>
      <c r="D14" s="8">
        <v>70000</v>
      </c>
      <c r="E14" s="9">
        <f t="shared" si="11"/>
        <v>56845.448103078437</v>
      </c>
      <c r="F14" s="9">
        <f t="shared" si="12"/>
        <v>-11692.855727768234</v>
      </c>
      <c r="G14" s="8">
        <f t="shared" si="13"/>
        <v>1.0896213300651509</v>
      </c>
      <c r="H14" s="9">
        <f>(1/12)*SUM(D3:D14)</f>
        <v>82500</v>
      </c>
      <c r="I14" s="9" cm="1">
        <f t="array" ref="I14">(1/(12*12))*(SUM(D15:D26-D3:D14))</f>
        <v>-5097.2222222222217</v>
      </c>
      <c r="J14" s="8">
        <v>0.84848484848484851</v>
      </c>
      <c r="K14" s="9">
        <f t="shared" si="14"/>
        <v>50406.598510256881</v>
      </c>
      <c r="L14" s="9">
        <f>(H14+1*I14)*J3</f>
        <v>103203.70370370371</v>
      </c>
      <c r="M14" s="9">
        <f t="shared" si="0"/>
        <v>383901381.93826789</v>
      </c>
      <c r="N14" s="9">
        <f t="shared" si="1"/>
        <v>1102485939.6433473</v>
      </c>
      <c r="P14" s="50"/>
      <c r="Q14" s="8" t="s">
        <v>55</v>
      </c>
      <c r="R14" s="8">
        <v>12</v>
      </c>
      <c r="S14" s="8">
        <v>200000</v>
      </c>
      <c r="T14" s="8">
        <f t="shared" si="15"/>
        <v>115167.54004708407</v>
      </c>
      <c r="U14" s="8">
        <f t="shared" si="16"/>
        <v>-4836.9349290338942</v>
      </c>
      <c r="V14" s="8">
        <f t="shared" si="17"/>
        <v>1.7282247665629038</v>
      </c>
      <c r="W14" s="8">
        <f>(1/12)*SUM(S3:S14)</f>
        <v>217500</v>
      </c>
      <c r="X14" s="8" cm="1">
        <f t="array" ref="X14">(1/(12*12))*(SUM(S15:S26-S3:S14))</f>
        <v>763.8888888888888</v>
      </c>
      <c r="Y14" s="8">
        <v>0.91954022988505746</v>
      </c>
      <c r="Z14" s="8">
        <f t="shared" si="18"/>
        <v>202103.83837515232</v>
      </c>
      <c r="AA14" s="8">
        <f>(W14+1*X14)*Y3</f>
        <v>230807.79054916985</v>
      </c>
      <c r="AB14" s="9">
        <f t="shared" si="10"/>
        <v>4426135.9087635605</v>
      </c>
      <c r="AC14" s="9">
        <f t="shared" si="19"/>
        <v>949119958.52151895</v>
      </c>
    </row>
    <row r="15" spans="1:39" x14ac:dyDescent="0.3">
      <c r="A15" s="50">
        <v>2022</v>
      </c>
      <c r="B15" s="8" t="s">
        <v>44</v>
      </c>
      <c r="C15" s="8">
        <v>13</v>
      </c>
      <c r="D15" s="8">
        <v>10000</v>
      </c>
      <c r="E15" s="9">
        <f t="shared" si="11"/>
        <v>34294.117141545728</v>
      </c>
      <c r="F15" s="9">
        <f t="shared" si="12"/>
        <v>-12778.703251144681</v>
      </c>
      <c r="G15" s="8">
        <f t="shared" si="13"/>
        <v>1.0338845264661547</v>
      </c>
      <c r="H15" s="9">
        <f>0.3*(D15/J3)+(1-0.3)*(H14+I14)</f>
        <v>56431.944444444445</v>
      </c>
      <c r="I15" s="9">
        <f>0.1*(H15-H14)+(1-0.1)*(I14)</f>
        <v>-7194.3055555555557</v>
      </c>
      <c r="J15" s="8">
        <f>0.1*(D15/H15)+(1-0.1)*(J3)</f>
        <v>1.2177204597474833</v>
      </c>
      <c r="K15" s="9">
        <f t="shared" si="14"/>
        <v>12772.791327925674</v>
      </c>
      <c r="L15" s="9">
        <f t="shared" ref="L15:L26" si="20">(H15+1*I15)*J4</f>
        <v>35809.191919191922</v>
      </c>
      <c r="M15" s="9">
        <f t="shared" si="0"/>
        <v>7688371.7482198207</v>
      </c>
      <c r="N15" s="9">
        <f t="shared" si="1"/>
        <v>666114387.52168167</v>
      </c>
      <c r="P15" s="50">
        <v>2022</v>
      </c>
      <c r="Q15" s="8" t="s">
        <v>44</v>
      </c>
      <c r="R15" s="8">
        <v>13</v>
      </c>
      <c r="S15" s="8">
        <v>230000</v>
      </c>
      <c r="T15" s="8">
        <f t="shared" si="15"/>
        <v>114899.24728331264</v>
      </c>
      <c r="U15" s="8">
        <f t="shared" si="16"/>
        <v>-4380.0707125076478</v>
      </c>
      <c r="V15" s="8">
        <f t="shared" si="17"/>
        <v>1.8487973002343374</v>
      </c>
      <c r="W15" s="8">
        <f>0.3*(S15/Y3)+(1-0.3)*(W14+X14)</f>
        <v>218034.72222222219</v>
      </c>
      <c r="X15" s="8">
        <f>0.1*(W15-W14)+(1-0.1)*(X14)</f>
        <v>740.97222222221887</v>
      </c>
      <c r="Y15" s="8">
        <f>0.1*(S15/W15)+(1-0.1)*(Y3)</f>
        <v>1.0572119233882438</v>
      </c>
      <c r="Z15" s="8">
        <f t="shared" si="18"/>
        <v>182281.84088857277</v>
      </c>
      <c r="AA15" s="8">
        <f t="shared" ref="AA15:AA26" si="21">(W15+1*X15)*Y4</f>
        <v>201173.0523627075</v>
      </c>
      <c r="AB15" s="9">
        <f t="shared" si="10"/>
        <v>2277022708.9834857</v>
      </c>
      <c r="AC15" s="9">
        <f t="shared" si="19"/>
        <v>830992910.08320355</v>
      </c>
    </row>
    <row r="16" spans="1:39" x14ac:dyDescent="0.3">
      <c r="A16" s="50"/>
      <c r="B16" s="8" t="s">
        <v>45</v>
      </c>
      <c r="C16" s="8">
        <v>14</v>
      </c>
      <c r="D16" s="8">
        <v>15000</v>
      </c>
      <c r="E16" s="9">
        <f t="shared" si="11"/>
        <v>22640.915321600387</v>
      </c>
      <c r="F16" s="9">
        <f t="shared" si="12"/>
        <v>-12666.153108024748</v>
      </c>
      <c r="G16" s="8">
        <f t="shared" si="13"/>
        <v>0.60054367694318433</v>
      </c>
      <c r="H16" s="9">
        <f t="shared" ref="H16:H26" si="22">0.3*(D16/J4)+(1-0.3)*(H15+I15)</f>
        <v>40653.847222222219</v>
      </c>
      <c r="I16" s="9">
        <f t="shared" ref="I16:I26" si="23">0.1*(H16-H15)+(1-0.1)*(I15)</f>
        <v>-8052.6847222222223</v>
      </c>
      <c r="J16" s="8">
        <f t="shared" ref="J16:J26" si="24">0.1*(D16/H16)+(1-0.1)*(J4)</f>
        <v>0.69144233153229162</v>
      </c>
      <c r="K16" s="9">
        <f t="shared" si="14"/>
        <v>15845.819034398393</v>
      </c>
      <c r="L16" s="9">
        <f t="shared" si="20"/>
        <v>79033.121212121216</v>
      </c>
      <c r="M16" s="9">
        <f t="shared" si="0"/>
        <v>715409.83895063051</v>
      </c>
      <c r="N16" s="9">
        <f t="shared" si="1"/>
        <v>4100240612.1662078</v>
      </c>
      <c r="P16" s="50"/>
      <c r="Q16" s="8" t="s">
        <v>45</v>
      </c>
      <c r="R16" s="8">
        <v>14</v>
      </c>
      <c r="S16" s="8">
        <v>250000</v>
      </c>
      <c r="T16" s="8">
        <f t="shared" si="15"/>
        <v>122836.62160109854</v>
      </c>
      <c r="U16" s="8">
        <f t="shared" si="16"/>
        <v>-3148.3262094782931</v>
      </c>
      <c r="V16" s="8">
        <f t="shared" si="17"/>
        <v>1.6879132383916573</v>
      </c>
      <c r="W16" s="8">
        <f t="shared" ref="W16:W26" si="25">0.3*(S16/Y4)+(1-0.3)*(W15+X15)</f>
        <v>234705.48611111107</v>
      </c>
      <c r="X16" s="8">
        <f t="shared" ref="X16:X26" si="26">0.1*(W16-W15)+(1-0.1)*(X15)</f>
        <v>2333.951388888885</v>
      </c>
      <c r="Y16" s="8">
        <f t="shared" ref="Y16:Y26" si="27">0.1*(S16/W16)+(1-0.1)*(Y4)</f>
        <v>0.9341026774496296</v>
      </c>
      <c r="Z16" s="8">
        <f t="shared" si="18"/>
        <v>233627.91831640145</v>
      </c>
      <c r="AA16" s="8">
        <f t="shared" si="21"/>
        <v>261560.75862068959</v>
      </c>
      <c r="AB16" s="9">
        <f t="shared" si="10"/>
        <v>268045058.654423</v>
      </c>
      <c r="AC16" s="9">
        <f t="shared" si="19"/>
        <v>133651139.88584876</v>
      </c>
    </row>
    <row r="17" spans="1:29" x14ac:dyDescent="0.3">
      <c r="A17" s="50"/>
      <c r="B17" s="8" t="s">
        <v>46</v>
      </c>
      <c r="C17" s="8">
        <v>15</v>
      </c>
      <c r="D17" s="8">
        <v>20000</v>
      </c>
      <c r="E17" s="9">
        <f t="shared" si="11"/>
        <v>10759.265063837009</v>
      </c>
      <c r="F17" s="9">
        <f t="shared" si="12"/>
        <v>-12587.702822998612</v>
      </c>
      <c r="G17" s="8">
        <f t="shared" si="13"/>
        <v>1.6156183427524782</v>
      </c>
      <c r="H17" s="9">
        <f t="shared" si="22"/>
        <v>25295.813749999998</v>
      </c>
      <c r="I17" s="9">
        <f t="shared" si="23"/>
        <v>-8783.2195972222216</v>
      </c>
      <c r="J17" s="8">
        <f t="shared" si="24"/>
        <v>2.2608826475739043</v>
      </c>
      <c r="K17" s="9">
        <f t="shared" si="14"/>
        <v>-1992.3047830790101</v>
      </c>
      <c r="L17" s="9">
        <f t="shared" si="20"/>
        <v>20015.265639730638</v>
      </c>
      <c r="M17" s="9">
        <f t="shared" si="0"/>
        <v>483661469.67183989</v>
      </c>
      <c r="N17" s="9">
        <f t="shared" si="1"/>
        <v>233.03975638563995</v>
      </c>
      <c r="P17" s="50"/>
      <c r="Q17" s="8" t="s">
        <v>46</v>
      </c>
      <c r="R17" s="8">
        <v>15</v>
      </c>
      <c r="S17" s="8">
        <v>300000</v>
      </c>
      <c r="T17" s="8">
        <f t="shared" si="15"/>
        <v>129889.0813792925</v>
      </c>
      <c r="U17" s="8">
        <f t="shared" si="16"/>
        <v>-2128.2476107110674</v>
      </c>
      <c r="V17" s="8">
        <f t="shared" si="17"/>
        <v>1.9877389677227639</v>
      </c>
      <c r="W17" s="8">
        <f t="shared" si="25"/>
        <v>247490.10624999995</v>
      </c>
      <c r="X17" s="8">
        <f t="shared" si="26"/>
        <v>3379.0182638888855</v>
      </c>
      <c r="Y17" s="8">
        <f t="shared" si="27"/>
        <v>1.1143204151056221</v>
      </c>
      <c r="Z17" s="8">
        <f t="shared" si="18"/>
        <v>220799.4371155886</v>
      </c>
      <c r="AA17" s="8">
        <f t="shared" si="21"/>
        <v>230684.25242656446</v>
      </c>
      <c r="AB17" s="9">
        <f t="shared" si="10"/>
        <v>6272729161.2076044</v>
      </c>
      <c r="AC17" s="9">
        <f t="shared" si="19"/>
        <v>4804672861.6642351</v>
      </c>
    </row>
    <row r="18" spans="1:29" x14ac:dyDescent="0.3">
      <c r="A18" s="50"/>
      <c r="B18" s="8" t="s">
        <v>47</v>
      </c>
      <c r="C18" s="8">
        <v>16</v>
      </c>
      <c r="D18" s="8">
        <v>40000</v>
      </c>
      <c r="E18" s="9">
        <f t="shared" si="11"/>
        <v>9733.0938365629954</v>
      </c>
      <c r="F18" s="9">
        <f t="shared" si="12"/>
        <v>-11431.549663426151</v>
      </c>
      <c r="G18" s="8">
        <f t="shared" si="13"/>
        <v>1.3916282134030322</v>
      </c>
      <c r="H18" s="9">
        <f t="shared" si="22"/>
        <v>21458.815906944445</v>
      </c>
      <c r="I18" s="9">
        <f t="shared" si="23"/>
        <v>-8288.5974218055544</v>
      </c>
      <c r="J18" s="8">
        <f t="shared" si="24"/>
        <v>1.2773126658941176</v>
      </c>
      <c r="K18" s="9">
        <f t="shared" si="14"/>
        <v>-1756.0071982800946</v>
      </c>
      <c r="L18" s="9">
        <f t="shared" si="20"/>
        <v>6385.5604776430982</v>
      </c>
      <c r="M18" s="9">
        <f t="shared" si="0"/>
        <v>1743564137.1428192</v>
      </c>
      <c r="N18" s="9">
        <f t="shared" si="1"/>
        <v>1129930544.4021897</v>
      </c>
      <c r="P18" s="50"/>
      <c r="Q18" s="8" t="s">
        <v>47</v>
      </c>
      <c r="R18" s="8">
        <v>16</v>
      </c>
      <c r="S18" s="8">
        <v>270000</v>
      </c>
      <c r="T18" s="8">
        <f t="shared" si="15"/>
        <v>136301.48724774574</v>
      </c>
      <c r="U18" s="8">
        <f t="shared" si="16"/>
        <v>-1274.1822627946372</v>
      </c>
      <c r="V18" s="8">
        <f t="shared" si="17"/>
        <v>1.7534925715696741</v>
      </c>
      <c r="W18" s="8">
        <f t="shared" si="25"/>
        <v>263695.88715972216</v>
      </c>
      <c r="X18" s="8">
        <f t="shared" si="26"/>
        <v>4661.6945284722178</v>
      </c>
      <c r="Y18" s="8">
        <f t="shared" si="27"/>
        <v>0.92997688234779963</v>
      </c>
      <c r="Z18" s="8">
        <f t="shared" si="18"/>
        <v>249638.11691409608</v>
      </c>
      <c r="AA18" s="8">
        <f t="shared" si="21"/>
        <v>259103.87197480837</v>
      </c>
      <c r="AB18" s="9">
        <f t="shared" si="10"/>
        <v>414606282.80401993</v>
      </c>
      <c r="AC18" s="9">
        <f t="shared" si="19"/>
        <v>118725605.94136651</v>
      </c>
    </row>
    <row r="19" spans="1:29" x14ac:dyDescent="0.3">
      <c r="A19" s="50"/>
      <c r="B19" s="8" t="s">
        <v>48</v>
      </c>
      <c r="C19" s="8">
        <v>17</v>
      </c>
      <c r="D19" s="8">
        <v>40000</v>
      </c>
      <c r="E19" s="9">
        <f t="shared" si="11"/>
        <v>10417.792979278645</v>
      </c>
      <c r="F19" s="9">
        <f t="shared" si="12"/>
        <v>-10219.924782811971</v>
      </c>
      <c r="G19" s="8">
        <f t="shared" si="13"/>
        <v>1.3144545579203597</v>
      </c>
      <c r="H19" s="9">
        <f t="shared" si="22"/>
        <v>33969.152939597225</v>
      </c>
      <c r="I19" s="9">
        <f t="shared" si="23"/>
        <v>-6208.7039763597213</v>
      </c>
      <c r="J19" s="8">
        <f t="shared" si="24"/>
        <v>0.55411752934744618</v>
      </c>
      <c r="K19" s="9">
        <f t="shared" si="14"/>
        <v>118.82849425621275</v>
      </c>
      <c r="L19" s="9">
        <f t="shared" si="20"/>
        <v>6729.8058092696983</v>
      </c>
      <c r="M19" s="9">
        <f t="shared" si="0"/>
        <v>1590507840.6705503</v>
      </c>
      <c r="N19" s="9">
        <f t="shared" si="1"/>
        <v>1106905821.4889045</v>
      </c>
      <c r="P19" s="50"/>
      <c r="Q19" s="8" t="s">
        <v>48</v>
      </c>
      <c r="R19" s="8">
        <v>17</v>
      </c>
      <c r="S19" s="8">
        <v>200000</v>
      </c>
      <c r="T19" s="8">
        <f t="shared" si="15"/>
        <v>126972.64422125281</v>
      </c>
      <c r="U19" s="8">
        <f t="shared" si="16"/>
        <v>-2079.648339164467</v>
      </c>
      <c r="V19" s="8">
        <f t="shared" si="17"/>
        <v>1.8214318137132248</v>
      </c>
      <c r="W19" s="8">
        <f t="shared" si="25"/>
        <v>249993.16432459318</v>
      </c>
      <c r="X19" s="8">
        <f t="shared" si="26"/>
        <v>2825.2527921120982</v>
      </c>
      <c r="Y19" s="8">
        <f t="shared" si="27"/>
        <v>0.94896770471732106</v>
      </c>
      <c r="Z19" s="8">
        <f t="shared" si="18"/>
        <v>210808.54113177164</v>
      </c>
      <c r="AA19" s="8">
        <f t="shared" si="21"/>
        <v>255724.37593413869</v>
      </c>
      <c r="AB19" s="9">
        <f t="shared" si="10"/>
        <v>116824561.39719926</v>
      </c>
      <c r="AC19" s="9">
        <f t="shared" si="19"/>
        <v>3105206073.2492151</v>
      </c>
    </row>
    <row r="20" spans="1:29" x14ac:dyDescent="0.3">
      <c r="A20" s="50"/>
      <c r="B20" s="8" t="s">
        <v>49</v>
      </c>
      <c r="C20" s="8">
        <v>18</v>
      </c>
      <c r="D20" s="8">
        <v>10000</v>
      </c>
      <c r="E20" s="9">
        <f t="shared" si="11"/>
        <v>5133.9811979587948</v>
      </c>
      <c r="F20" s="9">
        <f t="shared" si="12"/>
        <v>-9726.3134826627593</v>
      </c>
      <c r="G20" s="8">
        <f t="shared" si="13"/>
        <v>0.73526992130050095</v>
      </c>
      <c r="H20" s="9">
        <f t="shared" si="22"/>
        <v>31807.314274266253</v>
      </c>
      <c r="I20" s="9">
        <f t="shared" si="23"/>
        <v>-5804.0174452568463</v>
      </c>
      <c r="J20" s="8">
        <f t="shared" si="24"/>
        <v>0.24962112774996528</v>
      </c>
      <c r="K20" s="9">
        <f t="shared" si="14"/>
        <v>-7419.4562751821204</v>
      </c>
      <c r="L20" s="9">
        <f t="shared" si="20"/>
        <v>3151.9147671526553</v>
      </c>
      <c r="M20" s="9">
        <f t="shared" si="0"/>
        <v>303437456.9229818</v>
      </c>
      <c r="N20" s="9">
        <f t="shared" si="1"/>
        <v>46896271.356341869</v>
      </c>
      <c r="P20" s="50"/>
      <c r="Q20" s="8" t="s">
        <v>49</v>
      </c>
      <c r="R20" s="8">
        <v>18</v>
      </c>
      <c r="S20" s="8">
        <v>200000</v>
      </c>
      <c r="T20" s="8">
        <f t="shared" si="15"/>
        <v>122971.94788875592</v>
      </c>
      <c r="U20" s="8">
        <f t="shared" si="16"/>
        <v>-2271.7531384977083</v>
      </c>
      <c r="V20" s="8">
        <f t="shared" si="17"/>
        <v>1.6817606329217623</v>
      </c>
      <c r="W20" s="8">
        <f t="shared" si="25"/>
        <v>236291.07379987551</v>
      </c>
      <c r="X20" s="8">
        <f t="shared" si="26"/>
        <v>1172.5184604291214</v>
      </c>
      <c r="Y20" s="8">
        <f t="shared" si="27"/>
        <v>0.99498619671781807</v>
      </c>
      <c r="Z20" s="8">
        <f t="shared" si="18"/>
        <v>239920.48051681483</v>
      </c>
      <c r="AA20" s="8">
        <f t="shared" si="21"/>
        <v>218357.32621637208</v>
      </c>
      <c r="AB20" s="9">
        <f t="shared" si="10"/>
        <v>1593644764.6933925</v>
      </c>
      <c r="AC20" s="9">
        <f t="shared" si="19"/>
        <v>336991425.81430161</v>
      </c>
    </row>
    <row r="21" spans="1:29" x14ac:dyDescent="0.3">
      <c r="A21" s="50"/>
      <c r="B21" s="8" t="s">
        <v>50</v>
      </c>
      <c r="C21" s="8">
        <v>19</v>
      </c>
      <c r="D21" s="8">
        <v>5000</v>
      </c>
      <c r="E21" s="9">
        <f t="shared" si="11"/>
        <v>-2286.1955047717402</v>
      </c>
      <c r="F21" s="9">
        <f t="shared" si="12"/>
        <v>-9495.6998046695371</v>
      </c>
      <c r="G21" s="8">
        <f t="shared" si="13"/>
        <v>1.2353525529509415</v>
      </c>
      <c r="H21" s="9">
        <f t="shared" si="22"/>
        <v>30577.307780306583</v>
      </c>
      <c r="I21" s="9">
        <f t="shared" si="23"/>
        <v>-5346.6163501271294</v>
      </c>
      <c r="J21" s="8">
        <f t="shared" si="24"/>
        <v>0.1254429046162322</v>
      </c>
      <c r="K21" s="9">
        <f t="shared" si="14"/>
        <v>-16396.017919979331</v>
      </c>
      <c r="L21" s="9">
        <f t="shared" si="20"/>
        <v>18349.593767403239</v>
      </c>
      <c r="M21" s="9">
        <f t="shared" si="0"/>
        <v>457789582.83207667</v>
      </c>
      <c r="N21" s="9">
        <f t="shared" si="1"/>
        <v>178211653.75469142</v>
      </c>
      <c r="P21" s="50"/>
      <c r="Q21" s="8" t="s">
        <v>50</v>
      </c>
      <c r="R21" s="8">
        <v>19</v>
      </c>
      <c r="S21" s="8">
        <v>180000</v>
      </c>
      <c r="T21" s="8">
        <f t="shared" si="15"/>
        <v>111656.68126737939</v>
      </c>
      <c r="U21" s="8">
        <f t="shared" si="16"/>
        <v>-3176.1044867855908</v>
      </c>
      <c r="V21" s="8">
        <f t="shared" si="17"/>
        <v>1.9501735162999978</v>
      </c>
      <c r="W21" s="8">
        <f t="shared" si="25"/>
        <v>224949.51458221325</v>
      </c>
      <c r="X21" s="8">
        <f t="shared" si="26"/>
        <v>-78.889307380016589</v>
      </c>
      <c r="Y21" s="8">
        <f t="shared" si="27"/>
        <v>0.90760416129592192</v>
      </c>
      <c r="Z21" s="8">
        <f t="shared" si="18"/>
        <v>190219.88554436489</v>
      </c>
      <c r="AA21" s="8">
        <f t="shared" si="21"/>
        <v>310166.37968942517</v>
      </c>
      <c r="AB21" s="9">
        <f t="shared" si="10"/>
        <v>104446060.53991851</v>
      </c>
      <c r="AC21" s="9">
        <f t="shared" si="19"/>
        <v>16943286401.451597</v>
      </c>
    </row>
    <row r="22" spans="1:29" x14ac:dyDescent="0.3">
      <c r="A22" s="50"/>
      <c r="B22" s="8" t="s">
        <v>51</v>
      </c>
      <c r="C22" s="8">
        <v>20</v>
      </c>
      <c r="D22" s="8">
        <v>8000</v>
      </c>
      <c r="E22" s="9">
        <f t="shared" si="11"/>
        <v>-6522.7281658715992</v>
      </c>
      <c r="F22" s="9">
        <f t="shared" si="12"/>
        <v>-8969.7830903125705</v>
      </c>
      <c r="G22" s="8">
        <f t="shared" si="13"/>
        <v>1.1298173252329964</v>
      </c>
      <c r="H22" s="9">
        <f t="shared" si="22"/>
        <v>20961.484001125616</v>
      </c>
      <c r="I22" s="9">
        <f t="shared" si="23"/>
        <v>-5773.5370930325134</v>
      </c>
      <c r="J22" s="8">
        <f t="shared" si="24"/>
        <v>0.69271069131767171</v>
      </c>
      <c r="K22" s="9">
        <f t="shared" si="14"/>
        <v>-20364.20203432376</v>
      </c>
      <c r="L22" s="9">
        <f t="shared" si="20"/>
        <v>18409.632615870429</v>
      </c>
      <c r="M22" s="9">
        <f t="shared" si="0"/>
        <v>804527957.04393613</v>
      </c>
      <c r="N22" s="9">
        <f t="shared" si="1"/>
        <v>108360451.19739342</v>
      </c>
      <c r="P22" s="50"/>
      <c r="Q22" s="8" t="s">
        <v>51</v>
      </c>
      <c r="R22" s="8">
        <v>20</v>
      </c>
      <c r="S22" s="8">
        <v>240000</v>
      </c>
      <c r="T22" s="8">
        <f t="shared" si="15"/>
        <v>116997.31336609414</v>
      </c>
      <c r="U22" s="8">
        <f t="shared" si="16"/>
        <v>-2324.4308282355569</v>
      </c>
      <c r="V22" s="8">
        <f t="shared" si="17"/>
        <v>1.7832762299430149</v>
      </c>
      <c r="W22" s="8">
        <f t="shared" si="25"/>
        <v>209609.43769238325</v>
      </c>
      <c r="X22" s="8">
        <f t="shared" si="26"/>
        <v>-1605.0080656250152</v>
      </c>
      <c r="Y22" s="8">
        <f t="shared" si="27"/>
        <v>1.3558779715893738</v>
      </c>
      <c r="Z22" s="8">
        <f t="shared" si="18"/>
        <v>208868.83642465534</v>
      </c>
      <c r="AA22" s="8">
        <f t="shared" si="21"/>
        <v>191268.44103609954</v>
      </c>
      <c r="AB22" s="9">
        <f t="shared" si="10"/>
        <v>969149345.55486619</v>
      </c>
      <c r="AC22" s="9">
        <f t="shared" si="19"/>
        <v>2374764839.0521073</v>
      </c>
    </row>
    <row r="23" spans="1:29" x14ac:dyDescent="0.3">
      <c r="A23" s="50"/>
      <c r="B23" s="8" t="s">
        <v>52</v>
      </c>
      <c r="C23" s="8">
        <v>21</v>
      </c>
      <c r="D23" s="8">
        <v>10000</v>
      </c>
      <c r="E23" s="9">
        <f t="shared" si="11"/>
        <v>-8562.4423881441999</v>
      </c>
      <c r="F23" s="9">
        <f t="shared" si="12"/>
        <v>-8276.7762035085743</v>
      </c>
      <c r="G23" s="8">
        <f t="shared" si="13"/>
        <v>1.0662199951575571</v>
      </c>
      <c r="H23" s="9">
        <f t="shared" si="22"/>
        <v>13106.562835665172</v>
      </c>
      <c r="I23" s="9">
        <f t="shared" si="23"/>
        <v>-5981.6755002753071</v>
      </c>
      <c r="J23" s="8">
        <f t="shared" si="24"/>
        <v>1.1672067451864452</v>
      </c>
      <c r="K23" s="9">
        <f t="shared" si="14"/>
        <v>-12381.370928646467</v>
      </c>
      <c r="L23" s="9">
        <f t="shared" si="20"/>
        <v>9499.8497805198203</v>
      </c>
      <c r="M23" s="9">
        <f t="shared" si="0"/>
        <v>500925764.64566118</v>
      </c>
      <c r="N23" s="9">
        <f t="shared" si="1"/>
        <v>250150.24204607189</v>
      </c>
      <c r="P23" s="50"/>
      <c r="Q23" s="8" t="s">
        <v>52</v>
      </c>
      <c r="R23" s="8">
        <v>21</v>
      </c>
      <c r="S23" s="8">
        <v>220000</v>
      </c>
      <c r="T23" s="8">
        <f t="shared" si="15"/>
        <v>116506.24739261848</v>
      </c>
      <c r="U23" s="8">
        <f t="shared" si="16"/>
        <v>-2141.0943427595676</v>
      </c>
      <c r="V23" s="8">
        <f t="shared" si="17"/>
        <v>1.8281197078623546</v>
      </c>
      <c r="W23" s="8">
        <f t="shared" si="25"/>
        <v>217378.10073873075</v>
      </c>
      <c r="X23" s="8">
        <f t="shared" si="26"/>
        <v>-667.64095442776352</v>
      </c>
      <c r="Y23" s="8">
        <f t="shared" si="27"/>
        <v>0.9287923538140006</v>
      </c>
      <c r="Z23" s="8">
        <f t="shared" si="18"/>
        <v>192334.81217732493</v>
      </c>
      <c r="AA23" s="8">
        <f t="shared" si="21"/>
        <v>199273.98600855446</v>
      </c>
      <c r="AB23" s="9">
        <f t="shared" si="10"/>
        <v>765362617.26388896</v>
      </c>
      <c r="AC23" s="9">
        <f t="shared" si="19"/>
        <v>429567655.9735961</v>
      </c>
    </row>
    <row r="24" spans="1:29" x14ac:dyDescent="0.3">
      <c r="A24" s="50"/>
      <c r="B24" s="8" t="s">
        <v>53</v>
      </c>
      <c r="C24" s="8">
        <v>22</v>
      </c>
      <c r="D24" s="8">
        <v>10000</v>
      </c>
      <c r="E24" s="9">
        <f t="shared" si="11"/>
        <v>-7707.3187490508953</v>
      </c>
      <c r="F24" s="9">
        <f t="shared" si="12"/>
        <v>-7363.5862192483864</v>
      </c>
      <c r="G24" s="8">
        <f t="shared" si="13"/>
        <v>0.53199612193957779</v>
      </c>
      <c r="H24" s="9">
        <f t="shared" si="22"/>
        <v>7237.4211347729051</v>
      </c>
      <c r="I24" s="9">
        <f t="shared" si="23"/>
        <v>-5970.4221203370034</v>
      </c>
      <c r="J24" s="8">
        <f t="shared" si="24"/>
        <v>1.3381707629524833</v>
      </c>
      <c r="K24" s="9">
        <f t="shared" si="14"/>
        <v>-18617.880927869544</v>
      </c>
      <c r="L24" s="9">
        <f t="shared" si="20"/>
        <v>1689.3320192478689</v>
      </c>
      <c r="M24" s="9">
        <f t="shared" si="0"/>
        <v>818983108.80171943</v>
      </c>
      <c r="N24" s="9">
        <f t="shared" si="1"/>
        <v>69067202.286298692</v>
      </c>
      <c r="P24" s="50"/>
      <c r="Q24" s="8" t="s">
        <v>53</v>
      </c>
      <c r="R24" s="8">
        <v>22</v>
      </c>
      <c r="S24" s="8">
        <v>250000</v>
      </c>
      <c r="T24" s="8">
        <f t="shared" si="15"/>
        <v>124651.7277312674</v>
      </c>
      <c r="U24" s="8">
        <f t="shared" si="16"/>
        <v>-1112.4368746187185</v>
      </c>
      <c r="V24" s="8">
        <f t="shared" si="17"/>
        <v>1.714143362155083</v>
      </c>
      <c r="W24" s="8">
        <f t="shared" si="25"/>
        <v>233259.82184901208</v>
      </c>
      <c r="X24" s="8">
        <f t="shared" si="26"/>
        <v>987.29525204314609</v>
      </c>
      <c r="Y24" s="8">
        <f t="shared" si="27"/>
        <v>0.93476282995074567</v>
      </c>
      <c r="Z24" s="8">
        <f t="shared" si="18"/>
        <v>240923.05325111872</v>
      </c>
      <c r="AA24" s="8">
        <f t="shared" si="21"/>
        <v>226169.63030446711</v>
      </c>
      <c r="AB24" s="9">
        <f t="shared" si="10"/>
        <v>82390962.282026455</v>
      </c>
      <c r="AC24" s="9">
        <f t="shared" si="19"/>
        <v>567886519.8257724</v>
      </c>
    </row>
    <row r="25" spans="1:29" x14ac:dyDescent="0.3">
      <c r="A25" s="50"/>
      <c r="B25" s="8" t="s">
        <v>54</v>
      </c>
      <c r="C25" s="8">
        <v>23</v>
      </c>
      <c r="D25" s="8">
        <v>8000</v>
      </c>
      <c r="E25" s="9">
        <f t="shared" si="11"/>
        <v>-8606.8682370148636</v>
      </c>
      <c r="F25" s="9">
        <f t="shared" si="12"/>
        <v>-6717.1825461199451</v>
      </c>
      <c r="G25" s="8">
        <f t="shared" si="13"/>
        <v>1.0188682739262283</v>
      </c>
      <c r="H25" s="9">
        <f t="shared" si="22"/>
        <v>2686.899310105131</v>
      </c>
      <c r="I25" s="9">
        <f t="shared" si="23"/>
        <v>-5828.4320907700812</v>
      </c>
      <c r="J25" s="8">
        <f t="shared" si="24"/>
        <v>1.4977409674382991</v>
      </c>
      <c r="K25" s="9">
        <f t="shared" si="14"/>
        <v>-17313.37806753597</v>
      </c>
      <c r="L25" s="9">
        <f t="shared" si="20"/>
        <v>-2665.5429654126851</v>
      </c>
      <c r="M25" s="9">
        <f t="shared" si="0"/>
        <v>640767109.19001114</v>
      </c>
      <c r="N25" s="9">
        <f t="shared" si="1"/>
        <v>113753806.74706402</v>
      </c>
      <c r="P25" s="50"/>
      <c r="Q25" s="8" t="s">
        <v>54</v>
      </c>
      <c r="R25" s="8">
        <v>23</v>
      </c>
      <c r="S25" s="8">
        <v>200000</v>
      </c>
      <c r="T25" s="8">
        <f t="shared" si="15"/>
        <v>117243.99668270859</v>
      </c>
      <c r="U25" s="8">
        <f t="shared" si="16"/>
        <v>-1741.9662920127278</v>
      </c>
      <c r="V25" s="8">
        <f t="shared" si="17"/>
        <v>1.9257405917270607</v>
      </c>
      <c r="W25" s="8">
        <f t="shared" si="25"/>
        <v>226115.83911359578</v>
      </c>
      <c r="X25" s="8">
        <f t="shared" si="26"/>
        <v>174.16745329720163</v>
      </c>
      <c r="Y25" s="8">
        <f t="shared" si="27"/>
        <v>0.95741575619147978</v>
      </c>
      <c r="Z25" s="8">
        <f t="shared" si="18"/>
        <v>205972.02530588364</v>
      </c>
      <c r="AA25" s="8">
        <f t="shared" si="21"/>
        <v>208082.76465921194</v>
      </c>
      <c r="AB25" s="9">
        <f t="shared" si="10"/>
        <v>35665086.254114568</v>
      </c>
      <c r="AC25" s="9">
        <f t="shared" si="19"/>
        <v>65331084.536205538</v>
      </c>
    </row>
    <row r="26" spans="1:29" x14ac:dyDescent="0.3">
      <c r="A26" s="50"/>
      <c r="B26" s="8" t="s">
        <v>55</v>
      </c>
      <c r="C26" s="8">
        <v>24</v>
      </c>
      <c r="D26" s="8">
        <v>80000</v>
      </c>
      <c r="E26" s="9">
        <f t="shared" si="11"/>
        <v>10515.53652735387</v>
      </c>
      <c r="F26" s="9">
        <f t="shared" si="12"/>
        <v>-4133.2238150710764</v>
      </c>
      <c r="G26" s="8">
        <f t="shared" si="13"/>
        <v>1.7776146532160009</v>
      </c>
      <c r="H26" s="9">
        <f t="shared" si="22"/>
        <v>26086.641339248821</v>
      </c>
      <c r="I26" s="9">
        <f t="shared" si="23"/>
        <v>-2905.6146787787038</v>
      </c>
      <c r="J26" s="8">
        <f t="shared" si="24"/>
        <v>1.0703067354930713</v>
      </c>
      <c r="K26" s="9">
        <f t="shared" si="14"/>
        <v>6804.9494291841747</v>
      </c>
      <c r="L26" s="9">
        <f t="shared" si="20"/>
        <v>28228.010442406339</v>
      </c>
      <c r="M26" s="9">
        <f t="shared" si="0"/>
        <v>5357515428.0642872</v>
      </c>
      <c r="N26" s="9">
        <f t="shared" si="1"/>
        <v>2680338902.7515869</v>
      </c>
      <c r="P26" s="50"/>
      <c r="Q26" s="8" t="s">
        <v>55</v>
      </c>
      <c r="R26" s="8">
        <v>24</v>
      </c>
      <c r="S26" s="8">
        <v>180000</v>
      </c>
      <c r="T26" s="8">
        <f t="shared" si="15"/>
        <v>111132.76473182815</v>
      </c>
      <c r="U26" s="8">
        <f t="shared" si="16"/>
        <v>-2178.8928578994987</v>
      </c>
      <c r="V26" s="8">
        <f t="shared" si="17"/>
        <v>1.7669170421211433</v>
      </c>
      <c r="W26" s="8">
        <f t="shared" si="25"/>
        <v>217128.00459682508</v>
      </c>
      <c r="X26" s="8">
        <f t="shared" si="26"/>
        <v>-742.03274370958866</v>
      </c>
      <c r="Y26" s="8">
        <f t="shared" si="27"/>
        <v>0.91048661411681497</v>
      </c>
      <c r="Z26" s="8">
        <f t="shared" si="18"/>
        <v>199180.72042063886</v>
      </c>
      <c r="AA26" s="8">
        <f t="shared" si="21"/>
        <v>228765.82949706659</v>
      </c>
      <c r="AB26" s="9">
        <f t="shared" si="10"/>
        <v>367900035.85471243</v>
      </c>
      <c r="AC26" s="9">
        <f t="shared" si="19"/>
        <v>2378106126.5369697</v>
      </c>
    </row>
    <row r="27" spans="1:29" x14ac:dyDescent="0.3">
      <c r="A27" s="8" t="s">
        <v>36</v>
      </c>
      <c r="B27" s="8"/>
      <c r="C27" s="8"/>
      <c r="D27" s="9">
        <f>SUM(D3:D26)</f>
        <v>1246000</v>
      </c>
      <c r="E27" s="9"/>
      <c r="F27" s="9"/>
      <c r="G27" s="9"/>
      <c r="H27" s="9"/>
      <c r="I27" s="9"/>
      <c r="J27" s="8"/>
      <c r="K27" s="9">
        <f t="shared" ref="K27:N27" si="28">SUM(K3:K26)</f>
        <v>317436.12786103465</v>
      </c>
      <c r="L27" s="8">
        <f>0.35*D26+(1-0.35)*L26</f>
        <v>46348.206787564122</v>
      </c>
      <c r="M27" s="9">
        <f>SUM(M3:M26)</f>
        <v>85412987851.823746</v>
      </c>
      <c r="N27" s="9">
        <f t="shared" si="28"/>
        <v>116902555976.5975</v>
      </c>
      <c r="P27" s="8" t="s">
        <v>36</v>
      </c>
      <c r="Q27" s="8"/>
      <c r="R27" s="8"/>
      <c r="S27" s="9">
        <f>SUM(S3:S26)</f>
        <v>5330000</v>
      </c>
      <c r="T27" s="9"/>
      <c r="U27" s="9"/>
      <c r="V27" s="9"/>
      <c r="W27" s="9"/>
      <c r="X27" s="9"/>
      <c r="Y27" s="9"/>
      <c r="Z27" s="9">
        <f t="shared" ref="Z27" si="29">SUM(Z3:Z26)</f>
        <v>5069254.5303406874</v>
      </c>
      <c r="AA27" s="9">
        <f>0.35*S26+(1-0.35)*AA26</f>
        <v>211697.78917309328</v>
      </c>
      <c r="AB27" s="9">
        <f t="shared" ref="AB27:AC27" si="30">SUM(AB3:AB26)</f>
        <v>250618381797.42487</v>
      </c>
      <c r="AC27" s="9">
        <f t="shared" si="30"/>
        <v>570138302602.53613</v>
      </c>
    </row>
    <row r="28" spans="1:29" x14ac:dyDescent="0.3">
      <c r="A28" s="8" t="s">
        <v>37</v>
      </c>
      <c r="B28" s="8"/>
      <c r="C28" s="8"/>
      <c r="D28" s="8">
        <f>D27/COUNT(D3:D26)</f>
        <v>51916.666666666664</v>
      </c>
      <c r="E28" s="8"/>
      <c r="F28" s="8"/>
      <c r="G28" s="8"/>
      <c r="H28" s="8"/>
      <c r="I28" s="8"/>
      <c r="J28" s="8"/>
      <c r="K28" s="8">
        <f t="shared" ref="K28:N28" si="31">K27/COUNT(K3:K26)</f>
        <v>13801.570776566723</v>
      </c>
      <c r="L28" s="8">
        <f>0.35*D27+(1-0.35)*L27</f>
        <v>466226.33441191667</v>
      </c>
      <c r="M28" s="8">
        <f t="shared" si="31"/>
        <v>3558874493.8259892</v>
      </c>
      <c r="N28" s="8">
        <f t="shared" si="31"/>
        <v>4870939832.3582296</v>
      </c>
      <c r="P28" s="8" t="s">
        <v>37</v>
      </c>
      <c r="Q28" s="8"/>
      <c r="R28" s="8"/>
      <c r="S28" s="8">
        <f>S27/COUNT(S3:S26)</f>
        <v>222083.33333333334</v>
      </c>
      <c r="T28" s="8"/>
      <c r="U28" s="8"/>
      <c r="V28" s="8"/>
      <c r="W28" s="8"/>
      <c r="X28" s="8"/>
      <c r="Y28" s="8"/>
      <c r="Z28" s="8">
        <f t="shared" ref="Z28:AC28" si="32">Z27/COUNT(Z3:Z26)</f>
        <v>220402.37088437771</v>
      </c>
      <c r="AA28" s="8">
        <f t="shared" si="32"/>
        <v>8820.7412155455531</v>
      </c>
      <c r="AB28" s="8">
        <f t="shared" si="32"/>
        <v>10442432574.892702</v>
      </c>
      <c r="AC28" s="8">
        <f t="shared" si="32"/>
        <v>23755762608.439007</v>
      </c>
    </row>
    <row r="29" spans="1:29" x14ac:dyDescent="0.3">
      <c r="A29" s="25" t="s">
        <v>58</v>
      </c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>
        <f>SQRT(M28)/COUNT(M3:M26)</f>
        <v>2485.6792938312115</v>
      </c>
      <c r="N29" s="25">
        <f>SQRT(N28)/COUNT(N3:N26)</f>
        <v>2908.0049457507489</v>
      </c>
      <c r="P29" s="25" t="s">
        <v>58</v>
      </c>
      <c r="Q29" s="25"/>
      <c r="R29" s="25"/>
      <c r="S29" s="25"/>
      <c r="T29" s="25"/>
      <c r="U29" s="25"/>
      <c r="V29" s="25"/>
      <c r="W29" s="25"/>
      <c r="X29" s="25"/>
      <c r="Y29" s="25"/>
      <c r="Z29" s="25"/>
      <c r="AA29" s="25"/>
      <c r="AB29" s="25">
        <f>SQRT(AB28)/COUNT(AB3:AB26)</f>
        <v>4257.8425546630806</v>
      </c>
      <c r="AC29" s="25">
        <f>SQRT(AC28)/COUNT(AC3:AC26)</f>
        <v>6422.0435546194194</v>
      </c>
    </row>
    <row r="32" spans="1:29" x14ac:dyDescent="0.3">
      <c r="A32" s="51" t="s">
        <v>171</v>
      </c>
      <c r="B32" s="51"/>
      <c r="C32" s="51"/>
      <c r="D32" s="51"/>
      <c r="E32" s="51"/>
      <c r="F32" s="51"/>
      <c r="G32" s="51"/>
      <c r="H32" s="51"/>
      <c r="I32" s="51"/>
      <c r="J32" s="51"/>
      <c r="K32" s="51"/>
      <c r="L32" s="51"/>
      <c r="M32" s="51"/>
      <c r="N32" s="51"/>
      <c r="P32" s="51" t="s">
        <v>172</v>
      </c>
      <c r="Q32" s="51"/>
      <c r="R32" s="51"/>
      <c r="S32" s="51"/>
      <c r="T32" s="51"/>
      <c r="U32" s="51"/>
      <c r="V32" s="51"/>
      <c r="W32" s="51"/>
      <c r="X32" s="51"/>
      <c r="Y32" s="51"/>
      <c r="Z32" s="51"/>
      <c r="AA32" s="51"/>
      <c r="AB32" s="51"/>
      <c r="AC32" s="51"/>
    </row>
    <row r="33" spans="1:29" x14ac:dyDescent="0.3">
      <c r="A33" s="8" t="s">
        <v>38</v>
      </c>
      <c r="B33" s="8" t="s">
        <v>39</v>
      </c>
      <c r="C33" s="8" t="s">
        <v>40</v>
      </c>
      <c r="D33" s="8" t="s">
        <v>129</v>
      </c>
      <c r="E33" s="8" t="s">
        <v>65</v>
      </c>
      <c r="F33" s="8" t="s">
        <v>188</v>
      </c>
      <c r="G33" s="8" t="s">
        <v>189</v>
      </c>
      <c r="H33" s="8" t="s">
        <v>65</v>
      </c>
      <c r="I33" s="8" t="s">
        <v>188</v>
      </c>
      <c r="J33" s="8" t="s">
        <v>189</v>
      </c>
      <c r="K33" s="8" t="s">
        <v>186</v>
      </c>
      <c r="L33" s="8" t="s">
        <v>187</v>
      </c>
      <c r="M33" s="8" t="s">
        <v>177</v>
      </c>
      <c r="N33" s="8" t="s">
        <v>178</v>
      </c>
      <c r="P33" s="8" t="s">
        <v>38</v>
      </c>
      <c r="Q33" s="8" t="s">
        <v>39</v>
      </c>
      <c r="R33" s="8" t="s">
        <v>40</v>
      </c>
      <c r="S33" s="8" t="s">
        <v>129</v>
      </c>
      <c r="T33" s="8" t="s">
        <v>65</v>
      </c>
      <c r="U33" s="8" t="s">
        <v>188</v>
      </c>
      <c r="V33" s="8" t="s">
        <v>189</v>
      </c>
      <c r="W33" s="8" t="s">
        <v>65</v>
      </c>
      <c r="X33" s="8" t="s">
        <v>188</v>
      </c>
      <c r="Y33" s="8" t="s">
        <v>189</v>
      </c>
      <c r="Z33" s="8" t="s">
        <v>186</v>
      </c>
      <c r="AA33" s="8" t="s">
        <v>187</v>
      </c>
      <c r="AB33" s="8" t="s">
        <v>177</v>
      </c>
      <c r="AC33" s="8" t="s">
        <v>178</v>
      </c>
    </row>
    <row r="34" spans="1:29" x14ac:dyDescent="0.3">
      <c r="A34" s="50">
        <v>2021</v>
      </c>
      <c r="B34" s="8" t="s">
        <v>44</v>
      </c>
      <c r="C34" s="8">
        <v>1</v>
      </c>
      <c r="D34" s="9" cm="1">
        <f t="array" ref="D34:D57">TRANSPOSE('Historical Sale'!C11:Z11)</f>
        <v>190000</v>
      </c>
      <c r="E34" s="9"/>
      <c r="F34" s="9"/>
      <c r="G34" s="9">
        <f>D34/$E$6</f>
        <v>1.6170212765957446</v>
      </c>
      <c r="H34" s="9"/>
      <c r="I34" s="9"/>
      <c r="J34" s="9" cm="1">
        <f t="array" ref="J34:J45">D34:D45/H45</f>
        <v>0.58015267175572516</v>
      </c>
      <c r="K34" s="8"/>
      <c r="L34" s="8">
        <f>H34+1*I34</f>
        <v>0</v>
      </c>
      <c r="M34" s="8">
        <f t="shared" ref="M34:M57" si="33">(D34-K34)^2</f>
        <v>36100000000</v>
      </c>
      <c r="N34" s="8">
        <f t="shared" ref="N34:N57" si="34">(D34-L34)^2</f>
        <v>36100000000</v>
      </c>
      <c r="P34" s="50">
        <v>2021</v>
      </c>
      <c r="Q34" s="8" t="s">
        <v>44</v>
      </c>
      <c r="R34" s="8">
        <v>1</v>
      </c>
      <c r="S34" s="9" cm="1">
        <f t="array" ref="S34:S57">TRANSPOSE('Historical Sale'!C13:Z13)</f>
        <v>50000</v>
      </c>
      <c r="T34" s="9"/>
      <c r="U34" s="9"/>
      <c r="V34" s="9">
        <f>S34/$E$6</f>
        <v>0.42553191489361702</v>
      </c>
      <c r="W34" s="9"/>
      <c r="X34" s="9"/>
      <c r="Y34" s="9" cm="1">
        <f t="array" ref="Y34:Y45">S34:S45/W45</f>
        <v>0.89020771513353114</v>
      </c>
      <c r="Z34" s="8"/>
      <c r="AA34" s="8">
        <f>W34+1*X34</f>
        <v>0</v>
      </c>
      <c r="AB34" s="8">
        <f>(S34-Z34)^2</f>
        <v>2500000000</v>
      </c>
      <c r="AC34" s="8">
        <f>(S34-AA34)^2</f>
        <v>2500000000</v>
      </c>
    </row>
    <row r="35" spans="1:29" x14ac:dyDescent="0.3">
      <c r="A35" s="50"/>
      <c r="B35" s="8" t="s">
        <v>45</v>
      </c>
      <c r="C35" s="8">
        <v>2</v>
      </c>
      <c r="D35" s="9">
        <v>190000</v>
      </c>
      <c r="E35" s="9"/>
      <c r="F35" s="9"/>
      <c r="G35" s="9">
        <f t="shared" ref="G35:G37" si="35">D35/$E$6</f>
        <v>1.6170212765957446</v>
      </c>
      <c r="H35" s="9"/>
      <c r="I35" s="9"/>
      <c r="J35" s="9">
        <v>0.58015267175572516</v>
      </c>
      <c r="K35" s="8">
        <f t="shared" ref="K35:K36" si="36">E35+1*F35</f>
        <v>0</v>
      </c>
      <c r="L35" s="8">
        <f t="shared" ref="L35:L44" si="37">H35+1*I35</f>
        <v>0</v>
      </c>
      <c r="M35" s="8">
        <f t="shared" si="33"/>
        <v>36100000000</v>
      </c>
      <c r="N35" s="8">
        <f t="shared" si="34"/>
        <v>36100000000</v>
      </c>
      <c r="P35" s="50"/>
      <c r="Q35" s="8" t="s">
        <v>45</v>
      </c>
      <c r="R35" s="8">
        <v>2</v>
      </c>
      <c r="S35" s="9">
        <v>60000</v>
      </c>
      <c r="T35" s="9"/>
      <c r="U35" s="9"/>
      <c r="V35" s="9">
        <f t="shared" ref="V35:V37" si="38">S35/$E$6</f>
        <v>0.51063829787234039</v>
      </c>
      <c r="W35" s="9"/>
      <c r="X35" s="9"/>
      <c r="Y35" s="9">
        <v>1.0682492581602374</v>
      </c>
      <c r="Z35" s="8">
        <f t="shared" ref="Z35:Z36" si="39">T35+1*U35</f>
        <v>0</v>
      </c>
      <c r="AA35" s="8">
        <f t="shared" ref="AA35:AA44" si="40">W35+1*X35</f>
        <v>0</v>
      </c>
      <c r="AB35" s="8">
        <f>(S35-Z35)^2</f>
        <v>3600000000</v>
      </c>
      <c r="AC35" s="8">
        <f t="shared" ref="AC35:AC38" si="41">(S35-AA35)^2</f>
        <v>3600000000</v>
      </c>
    </row>
    <row r="36" spans="1:29" x14ac:dyDescent="0.3">
      <c r="A36" s="50"/>
      <c r="B36" s="8" t="s">
        <v>46</v>
      </c>
      <c r="C36" s="8">
        <v>3</v>
      </c>
      <c r="D36" s="9">
        <v>480000</v>
      </c>
      <c r="E36" s="9"/>
      <c r="F36" s="9"/>
      <c r="G36" s="9">
        <f t="shared" si="35"/>
        <v>4.0851063829787231</v>
      </c>
      <c r="H36" s="9"/>
      <c r="I36" s="9"/>
      <c r="J36" s="9">
        <v>1.4656488549618321</v>
      </c>
      <c r="K36" s="8">
        <f t="shared" si="36"/>
        <v>0</v>
      </c>
      <c r="L36" s="8">
        <f t="shared" si="37"/>
        <v>0</v>
      </c>
      <c r="M36" s="8">
        <f t="shared" si="33"/>
        <v>230400000000</v>
      </c>
      <c r="N36" s="8">
        <f t="shared" si="34"/>
        <v>230400000000</v>
      </c>
      <c r="P36" s="50"/>
      <c r="Q36" s="8" t="s">
        <v>46</v>
      </c>
      <c r="R36" s="8">
        <v>3</v>
      </c>
      <c r="S36" s="9">
        <v>60000</v>
      </c>
      <c r="T36" s="9"/>
      <c r="U36" s="9"/>
      <c r="V36" s="9">
        <f t="shared" si="38"/>
        <v>0.51063829787234039</v>
      </c>
      <c r="W36" s="9"/>
      <c r="X36" s="9"/>
      <c r="Y36" s="9">
        <v>1.0682492581602374</v>
      </c>
      <c r="Z36" s="8">
        <f t="shared" si="39"/>
        <v>0</v>
      </c>
      <c r="AA36" s="8">
        <f t="shared" si="40"/>
        <v>0</v>
      </c>
      <c r="AB36" s="8">
        <f t="shared" ref="AB36" si="42">(S36-Z36)^2</f>
        <v>3600000000</v>
      </c>
      <c r="AC36" s="8">
        <f t="shared" si="41"/>
        <v>3600000000</v>
      </c>
    </row>
    <row r="37" spans="1:29" x14ac:dyDescent="0.3">
      <c r="A37" s="50"/>
      <c r="B37" s="8" t="s">
        <v>47</v>
      </c>
      <c r="C37" s="8">
        <v>4</v>
      </c>
      <c r="D37" s="9">
        <v>420000</v>
      </c>
      <c r="E37" s="9">
        <f>(1/4)*(SUM(D34:D37))</f>
        <v>320000</v>
      </c>
      <c r="F37" s="9">
        <f>(1/16)*(D38-D34+D39-D35+D40-D36+D41-D37)</f>
        <v>-5625</v>
      </c>
      <c r="G37" s="9">
        <f t="shared" si="35"/>
        <v>3.5744680851063828</v>
      </c>
      <c r="H37" s="9"/>
      <c r="I37" s="9"/>
      <c r="J37" s="9">
        <v>1.282442748091603</v>
      </c>
      <c r="K37" s="8">
        <f>(E37+1*F37)*G34</f>
        <v>508351.06382978719</v>
      </c>
      <c r="L37" s="8">
        <f t="shared" si="37"/>
        <v>0</v>
      </c>
      <c r="M37" s="9">
        <f t="shared" si="33"/>
        <v>7805910479.8551302</v>
      </c>
      <c r="N37" s="8">
        <f t="shared" si="34"/>
        <v>176400000000</v>
      </c>
      <c r="P37" s="50"/>
      <c r="Q37" s="8" t="s">
        <v>47</v>
      </c>
      <c r="R37" s="8">
        <v>4</v>
      </c>
      <c r="S37" s="9">
        <v>60000</v>
      </c>
      <c r="T37" s="9">
        <f>(1/4)*(SUM(S34:S37))</f>
        <v>57500</v>
      </c>
      <c r="U37" s="9">
        <f>(1/16)*(S38-S34+S39-S35+S40-S36+S41-S37)</f>
        <v>-1625</v>
      </c>
      <c r="V37" s="9">
        <f t="shared" si="38"/>
        <v>0.51063829787234039</v>
      </c>
      <c r="W37" s="9"/>
      <c r="X37" s="9"/>
      <c r="Y37" s="9">
        <v>1.0682492581602374</v>
      </c>
      <c r="Z37" s="8">
        <f>(T37+1*U37)*V34</f>
        <v>23776.59574468085</v>
      </c>
      <c r="AA37" s="8">
        <f t="shared" si="40"/>
        <v>0</v>
      </c>
      <c r="AB37" s="9">
        <f>(S37-Z37)^2</f>
        <v>1312135015.8442738</v>
      </c>
      <c r="AC37" s="8">
        <f t="shared" si="41"/>
        <v>3600000000</v>
      </c>
    </row>
    <row r="38" spans="1:29" x14ac:dyDescent="0.3">
      <c r="A38" s="50"/>
      <c r="B38" s="8" t="s">
        <v>48</v>
      </c>
      <c r="C38" s="8">
        <v>5</v>
      </c>
      <c r="D38" s="9">
        <v>360000</v>
      </c>
      <c r="E38" s="9">
        <f>0.3*(D38/G34)+(1-0.3)*(E37+F37)</f>
        <v>286851.9736842105</v>
      </c>
      <c r="F38" s="9">
        <f>0.1*(E38-E37)+(1-0.1)*F37</f>
        <v>-8377.3026315789502</v>
      </c>
      <c r="G38" s="9">
        <f>0.1*(D38/E38)+(1-0.1)*(G34)</f>
        <v>1.5808194184223117</v>
      </c>
      <c r="H38" s="9"/>
      <c r="I38" s="9"/>
      <c r="J38" s="9">
        <v>1.0992366412213741</v>
      </c>
      <c r="K38" s="8">
        <f>(E38+1*F38)*G35</f>
        <v>450299.46808510635</v>
      </c>
      <c r="L38" s="8">
        <f t="shared" si="37"/>
        <v>0</v>
      </c>
      <c r="M38" s="9">
        <f t="shared" si="33"/>
        <v>8153993936.4531393</v>
      </c>
      <c r="N38" s="8">
        <f t="shared" si="34"/>
        <v>129600000000</v>
      </c>
      <c r="P38" s="50"/>
      <c r="Q38" s="8" t="s">
        <v>48</v>
      </c>
      <c r="R38" s="8">
        <v>5</v>
      </c>
      <c r="S38" s="9">
        <v>64000</v>
      </c>
      <c r="T38" s="9">
        <f>0.3*(S38/V34)+(1-0.3)*(T37+U37)</f>
        <v>84232.5</v>
      </c>
      <c r="U38" s="9">
        <f>0.1*(T38-T37)+(1-0.1)*U37</f>
        <v>1210.75</v>
      </c>
      <c r="V38" s="9">
        <f>0.1*(S38/T38)+(1-0.1)*(V34)</f>
        <v>0.45895889732762218</v>
      </c>
      <c r="W38" s="9"/>
      <c r="X38" s="9"/>
      <c r="Y38" s="9">
        <v>1.1394658753709199</v>
      </c>
      <c r="Z38" s="8">
        <f>(T38+1*U38)*V35</f>
        <v>43630.595744680846</v>
      </c>
      <c r="AA38" s="8">
        <f t="shared" si="40"/>
        <v>0</v>
      </c>
      <c r="AB38" s="9">
        <f t="shared" ref="AB38:AB57" si="43">(S38-Z38)^2</f>
        <v>414912629.71661407</v>
      </c>
      <c r="AC38" s="8">
        <f t="shared" si="41"/>
        <v>4096000000</v>
      </c>
    </row>
    <row r="39" spans="1:29" x14ac:dyDescent="0.3">
      <c r="A39" s="50"/>
      <c r="B39" s="8" t="s">
        <v>49</v>
      </c>
      <c r="C39" s="8">
        <v>6</v>
      </c>
      <c r="D39" s="9">
        <v>220000</v>
      </c>
      <c r="E39" s="9">
        <f t="shared" ref="E39:E57" si="44">0.3*(D39/G35)+(1-0.3)*(E38+F38)</f>
        <v>235748.05921052629</v>
      </c>
      <c r="F39" s="9">
        <f t="shared" ref="F39:F57" si="45">0.1*(E39-E38)+(1-0.1)*F38</f>
        <v>-12649.963815789477</v>
      </c>
      <c r="G39" s="9">
        <f t="shared" ref="G39:G57" si="46">0.1*(D39/E39)+(1-0.1)*(G35)</f>
        <v>1.5486391112453983</v>
      </c>
      <c r="H39" s="9"/>
      <c r="I39" s="9"/>
      <c r="J39" s="9">
        <v>0.6717557251908397</v>
      </c>
      <c r="K39" s="8">
        <f t="shared" ref="K39:K57" si="47">(E39+1*F39)*G36</f>
        <v>911379.45352743543</v>
      </c>
      <c r="L39" s="8">
        <f t="shared" si="37"/>
        <v>0</v>
      </c>
      <c r="M39" s="9">
        <f t="shared" si="33"/>
        <v>478005548759.89526</v>
      </c>
      <c r="N39" s="9">
        <f t="shared" si="34"/>
        <v>48400000000</v>
      </c>
      <c r="P39" s="50"/>
      <c r="Q39" s="8" t="s">
        <v>49</v>
      </c>
      <c r="R39" s="8">
        <v>6</v>
      </c>
      <c r="S39" s="9">
        <v>40000</v>
      </c>
      <c r="T39" s="9">
        <f t="shared" ref="T39:T57" si="48">0.3*(S39/V35)+(1-0.3)*(T38+U38)</f>
        <v>83310.274999999994</v>
      </c>
      <c r="U39" s="9">
        <f t="shared" ref="U39:U57" si="49">0.1*(T39-T38)+(1-0.1)*U38</f>
        <v>997.45249999999942</v>
      </c>
      <c r="V39" s="9">
        <f t="shared" ref="V39:V57" si="50">0.1*(S39/T39)+(1-0.1)*(V35)</f>
        <v>0.50758775336114226</v>
      </c>
      <c r="W39" s="9"/>
      <c r="X39" s="9"/>
      <c r="Y39" s="9">
        <v>0.71216617210682498</v>
      </c>
      <c r="Z39" s="8">
        <f t="shared" ref="Z39:Z57" si="51">(T39+1*U39)*V36</f>
        <v>43050.754468085099</v>
      </c>
      <c r="AA39" s="8">
        <f t="shared" si="40"/>
        <v>0</v>
      </c>
      <c r="AB39" s="9">
        <f t="shared" si="43"/>
        <v>9307102.8245411944</v>
      </c>
      <c r="AC39" s="9">
        <f>(S39-AA39)^2</f>
        <v>1600000000</v>
      </c>
    </row>
    <row r="40" spans="1:29" x14ac:dyDescent="0.3">
      <c r="A40" s="50"/>
      <c r="B40" s="8" t="s">
        <v>50</v>
      </c>
      <c r="C40" s="8">
        <v>7</v>
      </c>
      <c r="D40" s="8">
        <v>380000</v>
      </c>
      <c r="E40" s="8">
        <f t="shared" si="44"/>
        <v>184074.91677631577</v>
      </c>
      <c r="F40" s="8">
        <f t="shared" si="45"/>
        <v>-16552.281677631581</v>
      </c>
      <c r="G40" s="8">
        <f t="shared" si="46"/>
        <v>3.8830334313873829</v>
      </c>
      <c r="H40" s="8"/>
      <c r="I40" s="8"/>
      <c r="J40" s="8">
        <v>1.1603053435114503</v>
      </c>
      <c r="K40" s="8">
        <f t="shared" si="47"/>
        <v>598804.31269316899</v>
      </c>
      <c r="L40" s="8">
        <f t="shared" si="37"/>
        <v>0</v>
      </c>
      <c r="M40" s="9">
        <f t="shared" si="33"/>
        <v>47875327253.130074</v>
      </c>
      <c r="N40" s="9">
        <f t="shared" si="34"/>
        <v>144400000000</v>
      </c>
      <c r="P40" s="50"/>
      <c r="Q40" s="8" t="s">
        <v>50</v>
      </c>
      <c r="R40" s="8">
        <v>7</v>
      </c>
      <c r="S40" s="8">
        <v>50000</v>
      </c>
      <c r="T40" s="8">
        <f t="shared" si="48"/>
        <v>88390.409249999997</v>
      </c>
      <c r="U40" s="8">
        <f t="shared" si="49"/>
        <v>1405.7206749999998</v>
      </c>
      <c r="V40" s="8">
        <f t="shared" si="50"/>
        <v>0.51614169118572806</v>
      </c>
      <c r="W40" s="8"/>
      <c r="X40" s="8"/>
      <c r="Y40" s="8">
        <v>0.89020771513353114</v>
      </c>
      <c r="Z40" s="8">
        <f t="shared" si="51"/>
        <v>45853.342940425529</v>
      </c>
      <c r="AA40" s="8">
        <f t="shared" si="40"/>
        <v>0</v>
      </c>
      <c r="AB40" s="9">
        <f t="shared" si="43"/>
        <v>17194764.769718796</v>
      </c>
      <c r="AC40" s="9">
        <f t="shared" ref="AC40:AC57" si="52">(S40-AA40)^2</f>
        <v>2500000000</v>
      </c>
    </row>
    <row r="41" spans="1:29" x14ac:dyDescent="0.3">
      <c r="A41" s="50"/>
      <c r="B41" s="8" t="s">
        <v>51</v>
      </c>
      <c r="C41" s="8">
        <v>8</v>
      </c>
      <c r="D41" s="8">
        <v>230000</v>
      </c>
      <c r="E41" s="8">
        <f t="shared" si="44"/>
        <v>136569.41599765036</v>
      </c>
      <c r="F41" s="8">
        <f t="shared" si="45"/>
        <v>-19647.603587734964</v>
      </c>
      <c r="G41" s="8">
        <f t="shared" si="46"/>
        <v>3.3854338002342415</v>
      </c>
      <c r="H41" s="8"/>
      <c r="I41" s="8"/>
      <c r="J41" s="8">
        <v>0.70229007633587781</v>
      </c>
      <c r="K41" s="8">
        <f t="shared" si="47"/>
        <v>184832.27149472508</v>
      </c>
      <c r="L41" s="8">
        <f t="shared" si="37"/>
        <v>0</v>
      </c>
      <c r="M41" s="9">
        <f t="shared" si="33"/>
        <v>2040123698.3262246</v>
      </c>
      <c r="N41" s="9">
        <f t="shared" si="34"/>
        <v>52900000000</v>
      </c>
      <c r="P41" s="50"/>
      <c r="Q41" s="8" t="s">
        <v>51</v>
      </c>
      <c r="R41" s="8">
        <v>8</v>
      </c>
      <c r="S41" s="8">
        <v>50000</v>
      </c>
      <c r="T41" s="8">
        <f t="shared" si="48"/>
        <v>92232.290947500005</v>
      </c>
      <c r="U41" s="8">
        <f t="shared" si="49"/>
        <v>1649.3367772500005</v>
      </c>
      <c r="V41" s="8">
        <f t="shared" si="50"/>
        <v>0.51378541686058543</v>
      </c>
      <c r="W41" s="8"/>
      <c r="X41" s="8"/>
      <c r="Y41" s="8">
        <v>0.89020771513353114</v>
      </c>
      <c r="Z41" s="8">
        <f t="shared" si="51"/>
        <v>43087.808339873591</v>
      </c>
      <c r="AA41" s="8">
        <f t="shared" si="40"/>
        <v>0</v>
      </c>
      <c r="AB41" s="9">
        <f t="shared" si="43"/>
        <v>47778393.546321087</v>
      </c>
      <c r="AC41" s="9">
        <f t="shared" si="52"/>
        <v>2500000000</v>
      </c>
    </row>
    <row r="42" spans="1:29" x14ac:dyDescent="0.3">
      <c r="A42" s="50"/>
      <c r="B42" s="8" t="s">
        <v>52</v>
      </c>
      <c r="C42" s="8">
        <v>9</v>
      </c>
      <c r="D42" s="8">
        <v>360000</v>
      </c>
      <c r="E42" s="8">
        <f t="shared" si="44"/>
        <v>150164.26751843671</v>
      </c>
      <c r="F42" s="8">
        <f t="shared" si="45"/>
        <v>-16323.358076882832</v>
      </c>
      <c r="G42" s="8">
        <f t="shared" si="46"/>
        <v>1.6624749360631097</v>
      </c>
      <c r="H42" s="8"/>
      <c r="I42" s="8"/>
      <c r="J42" s="8">
        <v>1.0992366412213741</v>
      </c>
      <c r="K42" s="8">
        <f t="shared" si="47"/>
        <v>207271.26704584382</v>
      </c>
      <c r="L42" s="8">
        <f t="shared" si="37"/>
        <v>0</v>
      </c>
      <c r="M42" s="9">
        <f t="shared" si="33"/>
        <v>23326065869.781952</v>
      </c>
      <c r="N42" s="9">
        <f t="shared" si="34"/>
        <v>129600000000</v>
      </c>
      <c r="P42" s="50"/>
      <c r="Q42" s="8" t="s">
        <v>52</v>
      </c>
      <c r="R42" s="8">
        <v>9</v>
      </c>
      <c r="S42" s="8">
        <v>40000</v>
      </c>
      <c r="T42" s="8">
        <f t="shared" si="48"/>
        <v>91863.27159884006</v>
      </c>
      <c r="U42" s="8">
        <f t="shared" si="49"/>
        <v>1447.501164659006</v>
      </c>
      <c r="V42" s="8">
        <f t="shared" si="50"/>
        <v>0.45660598108558975</v>
      </c>
      <c r="W42" s="8"/>
      <c r="X42" s="8"/>
      <c r="Y42" s="8">
        <v>0.71216617210682498</v>
      </c>
      <c r="Z42" s="8">
        <f t="shared" si="51"/>
        <v>47363.405511416553</v>
      </c>
      <c r="AA42" s="8">
        <f t="shared" si="40"/>
        <v>0</v>
      </c>
      <c r="AB42" s="9">
        <f t="shared" si="43"/>
        <v>54219740.725559667</v>
      </c>
      <c r="AC42" s="9">
        <f t="shared" si="52"/>
        <v>1600000000</v>
      </c>
    </row>
    <row r="43" spans="1:29" x14ac:dyDescent="0.3">
      <c r="A43" s="50"/>
      <c r="B43" s="8" t="s">
        <v>53</v>
      </c>
      <c r="C43" s="8">
        <v>10</v>
      </c>
      <c r="D43" s="8">
        <v>440000</v>
      </c>
      <c r="E43" s="8">
        <f t="shared" si="44"/>
        <v>178924.76363279892</v>
      </c>
      <c r="F43" s="8">
        <f t="shared" si="45"/>
        <v>-11814.972657758328</v>
      </c>
      <c r="G43" s="8">
        <f t="shared" si="46"/>
        <v>1.6396886170601688</v>
      </c>
      <c r="H43" s="8"/>
      <c r="I43" s="8"/>
      <c r="J43" s="8">
        <v>1.3435114503816794</v>
      </c>
      <c r="K43" s="8">
        <f t="shared" si="47"/>
        <v>648892.90506824013</v>
      </c>
      <c r="L43" s="8">
        <f t="shared" si="37"/>
        <v>0</v>
      </c>
      <c r="M43" s="9">
        <f t="shared" si="33"/>
        <v>43636245787.848785</v>
      </c>
      <c r="N43" s="9">
        <f t="shared" si="34"/>
        <v>193600000000</v>
      </c>
      <c r="P43" s="50"/>
      <c r="Q43" s="8" t="s">
        <v>53</v>
      </c>
      <c r="R43" s="8">
        <v>10</v>
      </c>
      <c r="S43" s="8">
        <v>80000</v>
      </c>
      <c r="T43" s="8">
        <f t="shared" si="48"/>
        <v>112600.00557445869</v>
      </c>
      <c r="U43" s="8">
        <f t="shared" si="49"/>
        <v>3376.424445754968</v>
      </c>
      <c r="V43" s="8">
        <f t="shared" si="50"/>
        <v>0.52787693187890117</v>
      </c>
      <c r="W43" s="8"/>
      <c r="X43" s="8"/>
      <c r="Y43" s="8">
        <v>1.42433234421365</v>
      </c>
      <c r="Z43" s="8">
        <f t="shared" si="51"/>
        <v>59860.270728316318</v>
      </c>
      <c r="AA43" s="8">
        <f t="shared" si="40"/>
        <v>0</v>
      </c>
      <c r="AB43" s="9">
        <f t="shared" si="43"/>
        <v>405608695.13671255</v>
      </c>
      <c r="AC43" s="9">
        <f t="shared" si="52"/>
        <v>6400000000</v>
      </c>
    </row>
    <row r="44" spans="1:29" x14ac:dyDescent="0.3">
      <c r="A44" s="50"/>
      <c r="B44" s="8" t="s">
        <v>54</v>
      </c>
      <c r="C44" s="8">
        <v>11</v>
      </c>
      <c r="D44" s="8">
        <v>280000</v>
      </c>
      <c r="E44" s="8">
        <f t="shared" si="44"/>
        <v>138609.42560967436</v>
      </c>
      <c r="F44" s="8">
        <f t="shared" si="45"/>
        <v>-14665.009194294951</v>
      </c>
      <c r="G44" s="8">
        <f t="shared" si="46"/>
        <v>3.6967365526491847</v>
      </c>
      <c r="H44" s="8"/>
      <c r="I44" s="8"/>
      <c r="J44" s="8">
        <v>0.85496183206106868</v>
      </c>
      <c r="K44" s="8">
        <f t="shared" si="47"/>
        <v>419605.61668293324</v>
      </c>
      <c r="L44" s="8">
        <f t="shared" si="37"/>
        <v>0</v>
      </c>
      <c r="M44" s="9">
        <f t="shared" si="33"/>
        <v>19489728209.422085</v>
      </c>
      <c r="N44" s="9">
        <f t="shared" si="34"/>
        <v>78400000000</v>
      </c>
      <c r="P44" s="50"/>
      <c r="Q44" s="8" t="s">
        <v>54</v>
      </c>
      <c r="R44" s="8">
        <v>11</v>
      </c>
      <c r="S44" s="8">
        <v>60000</v>
      </c>
      <c r="T44" s="8">
        <f t="shared" si="48"/>
        <v>116057.64566743022</v>
      </c>
      <c r="U44" s="8">
        <f t="shared" si="49"/>
        <v>3384.5460104766244</v>
      </c>
      <c r="V44" s="8">
        <f t="shared" si="50"/>
        <v>0.51622596869249304</v>
      </c>
      <c r="W44" s="8"/>
      <c r="X44" s="8"/>
      <c r="Y44" s="8">
        <v>1.0682492581602374</v>
      </c>
      <c r="Z44" s="8">
        <f t="shared" si="51"/>
        <v>61367.656241975317</v>
      </c>
      <c r="AA44" s="8">
        <f t="shared" si="40"/>
        <v>0</v>
      </c>
      <c r="AB44" s="9">
        <f t="shared" si="43"/>
        <v>1870483.5962140474</v>
      </c>
      <c r="AC44" s="9">
        <f t="shared" si="52"/>
        <v>3600000000</v>
      </c>
    </row>
    <row r="45" spans="1:29" x14ac:dyDescent="0.3">
      <c r="A45" s="50"/>
      <c r="B45" s="8" t="s">
        <v>55</v>
      </c>
      <c r="C45" s="8">
        <v>12</v>
      </c>
      <c r="D45" s="8">
        <v>380000</v>
      </c>
      <c r="E45" s="8">
        <f t="shared" si="44"/>
        <v>120434.76722239921</v>
      </c>
      <c r="F45" s="8">
        <f t="shared" si="45"/>
        <v>-15015.974113592973</v>
      </c>
      <c r="G45" s="8">
        <f t="shared" si="46"/>
        <v>3.3624139262248893</v>
      </c>
      <c r="H45" s="8">
        <f>(1/12)*SUM(D34:D45)</f>
        <v>327500</v>
      </c>
      <c r="I45" s="8" cm="1">
        <f t="array" ref="I45">(1/(12*12))*(SUM(D46:D57-D34:D45))</f>
        <v>2430.5555555555552</v>
      </c>
      <c r="J45" s="8">
        <v>1.1603053435114503</v>
      </c>
      <c r="K45" s="8">
        <f t="shared" si="47"/>
        <v>175256.10133341287</v>
      </c>
      <c r="L45" s="8">
        <f>(H45+1*I45)*J34</f>
        <v>191410.09329940626</v>
      </c>
      <c r="M45" s="9">
        <f t="shared" si="33"/>
        <v>41920064041.193703</v>
      </c>
      <c r="N45" s="9">
        <f t="shared" si="34"/>
        <v>35566152909.338654</v>
      </c>
      <c r="P45" s="50"/>
      <c r="Q45" s="8" t="s">
        <v>55</v>
      </c>
      <c r="R45" s="8">
        <v>12</v>
      </c>
      <c r="S45" s="8">
        <v>60000</v>
      </c>
      <c r="T45" s="8">
        <f t="shared" si="48"/>
        <v>118643.61534792912</v>
      </c>
      <c r="U45" s="8">
        <f t="shared" si="49"/>
        <v>3304.6883774788525</v>
      </c>
      <c r="V45" s="8">
        <f t="shared" si="50"/>
        <v>0.51297849660063277</v>
      </c>
      <c r="W45" s="8">
        <f>(1/12)*SUM(S34:S45)</f>
        <v>56166.666666666664</v>
      </c>
      <c r="X45" s="8" cm="1">
        <f t="array" ref="X45">(1/(12*12))*(SUM(S46:S57-S34:S45))</f>
        <v>944.44444444444434</v>
      </c>
      <c r="Y45" s="8">
        <v>1.0682492581602374</v>
      </c>
      <c r="Z45" s="8">
        <f t="shared" si="51"/>
        <v>55682.324864263392</v>
      </c>
      <c r="AA45" s="8">
        <f>(W45+1*X45)*Y34</f>
        <v>50840.75173095944</v>
      </c>
      <c r="AB45" s="9">
        <f t="shared" si="43"/>
        <v>18642318.577758141</v>
      </c>
      <c r="AC45" s="9">
        <f t="shared" si="52"/>
        <v>83891828.853922486</v>
      </c>
    </row>
    <row r="46" spans="1:29" x14ac:dyDescent="0.3">
      <c r="A46" s="50">
        <v>2022</v>
      </c>
      <c r="B46" s="8" t="s">
        <v>44</v>
      </c>
      <c r="C46" s="8">
        <v>13</v>
      </c>
      <c r="D46" s="8">
        <v>380000</v>
      </c>
      <c r="E46" s="8">
        <f t="shared" si="44"/>
        <v>142365.61754961958</v>
      </c>
      <c r="F46" s="8">
        <f t="shared" si="45"/>
        <v>-11321.29166951164</v>
      </c>
      <c r="G46" s="8">
        <f t="shared" si="46"/>
        <v>1.7631458224283929</v>
      </c>
      <c r="H46" s="8">
        <f>0.3*(D46/J34)+(1-0.3)*(H45+I45)</f>
        <v>427451.38888888888</v>
      </c>
      <c r="I46" s="8">
        <f>0.1*(H46-H45)+(1-0.1)*(I45)</f>
        <v>12182.638888888889</v>
      </c>
      <c r="J46" s="8">
        <f>0.1*(D46/H46)+(1-0.1)*(J34)</f>
        <v>0.61103640219196687</v>
      </c>
      <c r="K46" s="8">
        <f t="shared" si="47"/>
        <v>214871.88947593627</v>
      </c>
      <c r="L46" s="8">
        <f t="shared" ref="L46:L57" si="53">(H46+1*I46)*J35</f>
        <v>255054.85581000845</v>
      </c>
      <c r="M46" s="9">
        <f t="shared" si="33"/>
        <v>27267292885.247406</v>
      </c>
      <c r="N46" s="9">
        <f t="shared" si="34"/>
        <v>15611289056.65778</v>
      </c>
      <c r="P46" s="50">
        <v>2022</v>
      </c>
      <c r="Q46" s="8" t="s">
        <v>44</v>
      </c>
      <c r="R46" s="8">
        <v>13</v>
      </c>
      <c r="S46" s="8">
        <v>50000</v>
      </c>
      <c r="T46" s="8">
        <f t="shared" si="48"/>
        <v>118214.89345507804</v>
      </c>
      <c r="U46" s="8">
        <f t="shared" si="49"/>
        <v>2931.3473504458589</v>
      </c>
      <c r="V46" s="8">
        <f t="shared" si="50"/>
        <v>0.45324123804118149</v>
      </c>
      <c r="W46" s="8">
        <f>0.3*(S46/Y34)+(1-0.3)*(W45+X45)</f>
        <v>56827.777777777774</v>
      </c>
      <c r="X46" s="8">
        <f>0.1*(W46-W45)+(1-0.1)*(X45)</f>
        <v>916.11111111111086</v>
      </c>
      <c r="Y46" s="8">
        <f>0.1*(S46/W46)+(1-0.1)*(Y34)</f>
        <v>0.88917208390759617</v>
      </c>
      <c r="Z46" s="8">
        <f t="shared" si="51"/>
        <v>63950.305905082496</v>
      </c>
      <c r="AA46" s="8">
        <f t="shared" ref="AA46:AA57" si="54">(W46+1*X46)*Y35</f>
        <v>61684.866468842723</v>
      </c>
      <c r="AB46" s="9">
        <f t="shared" si="43"/>
        <v>194611034.84537956</v>
      </c>
      <c r="AC46" s="9">
        <f t="shared" si="52"/>
        <v>136536104.39468503</v>
      </c>
    </row>
    <row r="47" spans="1:29" x14ac:dyDescent="0.3">
      <c r="A47" s="50"/>
      <c r="B47" s="8" t="s">
        <v>45</v>
      </c>
      <c r="C47" s="8">
        <v>14</v>
      </c>
      <c r="D47" s="8">
        <v>450000</v>
      </c>
      <c r="E47" s="8">
        <f t="shared" si="44"/>
        <v>174063.73360380667</v>
      </c>
      <c r="F47" s="8">
        <f t="shared" si="45"/>
        <v>-7019.3508971417677</v>
      </c>
      <c r="G47" s="8">
        <f t="shared" si="46"/>
        <v>1.7342457507945708</v>
      </c>
      <c r="H47" s="8">
        <f t="shared" ref="H47:H57" si="55">0.3*(D47/J35)+(1-0.3)*(H46+I46)</f>
        <v>540441.18786549708</v>
      </c>
      <c r="I47" s="8">
        <f t="shared" ref="I47:I57" si="56">0.1*(H47-H46)+(1-0.1)*(I46)</f>
        <v>22263.354897660822</v>
      </c>
      <c r="J47" s="8">
        <f t="shared" ref="J47:J57" si="57">0.1*(D47/H47)+(1-0.1)*(J35)</f>
        <v>0.60540270894699788</v>
      </c>
      <c r="K47" s="8">
        <f t="shared" si="47"/>
        <v>617519.07546644751</v>
      </c>
      <c r="L47" s="8">
        <f t="shared" si="53"/>
        <v>824727.2687826436</v>
      </c>
      <c r="M47" s="9">
        <f t="shared" si="33"/>
        <v>28062640645.133335</v>
      </c>
      <c r="N47" s="9">
        <f t="shared" si="34"/>
        <v>140420525969.29962</v>
      </c>
      <c r="P47" s="50"/>
      <c r="Q47" s="8" t="s">
        <v>45</v>
      </c>
      <c r="R47" s="8">
        <v>14</v>
      </c>
      <c r="S47" s="8">
        <v>80000</v>
      </c>
      <c r="T47" s="8">
        <f t="shared" si="48"/>
        <v>130267.51119583492</v>
      </c>
      <c r="U47" s="8">
        <f t="shared" si="49"/>
        <v>3843.4743894769608</v>
      </c>
      <c r="V47" s="8">
        <f t="shared" si="50"/>
        <v>0.53650132775728154</v>
      </c>
      <c r="W47" s="8">
        <f t="shared" ref="W47:W57" si="58">0.3*(S47/Y35)+(1-0.3)*(W46+X46)</f>
        <v>62887.388888888891</v>
      </c>
      <c r="X47" s="8">
        <f t="shared" ref="X47:X57" si="59">0.1*(W47-W46)+(1-0.1)*(X46)</f>
        <v>1430.4611111111114</v>
      </c>
      <c r="Y47" s="8">
        <f t="shared" ref="Y47:Y57" si="60">0.1*(S47/W47)+(1-0.1)*(Y35)</f>
        <v>1.0886358471064916</v>
      </c>
      <c r="Z47" s="8">
        <f t="shared" si="51"/>
        <v>69231.573446082592</v>
      </c>
      <c r="AA47" s="8">
        <f t="shared" si="54"/>
        <v>68707.495548961422</v>
      </c>
      <c r="AB47" s="9">
        <f t="shared" si="43"/>
        <v>115959010.44711356</v>
      </c>
      <c r="AC47" s="9">
        <f t="shared" si="52"/>
        <v>127520656.7767261</v>
      </c>
    </row>
    <row r="48" spans="1:29" x14ac:dyDescent="0.3">
      <c r="A48" s="50"/>
      <c r="B48" s="8" t="s">
        <v>46</v>
      </c>
      <c r="C48" s="8">
        <v>15</v>
      </c>
      <c r="D48" s="8">
        <v>510000</v>
      </c>
      <c r="E48" s="8">
        <f t="shared" si="44"/>
        <v>158318.92386464411</v>
      </c>
      <c r="F48" s="8">
        <f t="shared" si="45"/>
        <v>-7891.8967813438476</v>
      </c>
      <c r="G48" s="8">
        <f t="shared" si="46"/>
        <v>3.6491974770988351</v>
      </c>
      <c r="H48" s="8">
        <f t="shared" si="55"/>
        <v>498283.80493421049</v>
      </c>
      <c r="I48" s="8">
        <f t="shared" si="56"/>
        <v>15821.28111476608</v>
      </c>
      <c r="J48" s="8">
        <f t="shared" si="57"/>
        <v>1.4214352790907603</v>
      </c>
      <c r="K48" s="8">
        <f t="shared" si="47"/>
        <v>505797.9307454974</v>
      </c>
      <c r="L48" s="8">
        <f t="shared" si="53"/>
        <v>659310.33936051955</v>
      </c>
      <c r="M48" s="9">
        <f t="shared" si="33"/>
        <v>17657386.019636001</v>
      </c>
      <c r="N48" s="9">
        <f t="shared" si="34"/>
        <v>22293577439.95351</v>
      </c>
      <c r="P48" s="50"/>
      <c r="Q48" s="8" t="s">
        <v>46</v>
      </c>
      <c r="R48" s="8">
        <v>15</v>
      </c>
      <c r="S48" s="8">
        <v>70000</v>
      </c>
      <c r="T48" s="8">
        <f t="shared" si="48"/>
        <v>134557.54964864076</v>
      </c>
      <c r="U48" s="8">
        <f t="shared" si="49"/>
        <v>3888.1307958098496</v>
      </c>
      <c r="V48" s="8">
        <f t="shared" si="50"/>
        <v>0.51662572224712211</v>
      </c>
      <c r="W48" s="8">
        <f t="shared" si="58"/>
        <v>64680.828333333324</v>
      </c>
      <c r="X48" s="8">
        <f t="shared" si="59"/>
        <v>1466.7589444444438</v>
      </c>
      <c r="Y48" s="8">
        <f t="shared" si="60"/>
        <v>1.069648054587309</v>
      </c>
      <c r="Z48" s="8">
        <f t="shared" si="51"/>
        <v>71019.657015245903</v>
      </c>
      <c r="AA48" s="8">
        <f t="shared" si="54"/>
        <v>70662.111038575662</v>
      </c>
      <c r="AB48" s="9">
        <f t="shared" si="43"/>
        <v>1039700.4287401828</v>
      </c>
      <c r="AC48" s="9">
        <f t="shared" si="52"/>
        <v>438391.02740374173</v>
      </c>
    </row>
    <row r="49" spans="1:29" x14ac:dyDescent="0.3">
      <c r="A49" s="50"/>
      <c r="B49" s="8" t="s">
        <v>47</v>
      </c>
      <c r="C49" s="8">
        <v>16</v>
      </c>
      <c r="D49" s="8">
        <v>300000</v>
      </c>
      <c r="E49" s="8">
        <f t="shared" si="44"/>
        <v>132065.40338726519</v>
      </c>
      <c r="F49" s="8">
        <f t="shared" si="45"/>
        <v>-9728.0591509473543</v>
      </c>
      <c r="G49" s="8">
        <f t="shared" si="46"/>
        <v>3.2533327075052414</v>
      </c>
      <c r="H49" s="8">
        <f t="shared" si="55"/>
        <v>430052.13166285498</v>
      </c>
      <c r="I49" s="8">
        <f t="shared" si="56"/>
        <v>7415.9856761539204</v>
      </c>
      <c r="J49" s="8">
        <f t="shared" si="57"/>
        <v>1.2239574578129946</v>
      </c>
      <c r="K49" s="8">
        <f t="shared" si="47"/>
        <v>215698.57741724802</v>
      </c>
      <c r="L49" s="8">
        <f t="shared" si="53"/>
        <v>480880.98394517013</v>
      </c>
      <c r="M49" s="9">
        <f t="shared" si="33"/>
        <v>7106729849.4757261</v>
      </c>
      <c r="N49" s="9">
        <f t="shared" si="34"/>
        <v>32717930352.972893</v>
      </c>
      <c r="P49" s="50"/>
      <c r="Q49" s="8" t="s">
        <v>47</v>
      </c>
      <c r="R49" s="8">
        <v>16</v>
      </c>
      <c r="S49" s="8">
        <v>50000</v>
      </c>
      <c r="T49" s="8">
        <f t="shared" si="48"/>
        <v>126152.96808640593</v>
      </c>
      <c r="U49" s="8">
        <f t="shared" si="49"/>
        <v>2658.8595600053818</v>
      </c>
      <c r="V49" s="8">
        <f t="shared" si="50"/>
        <v>0.5013150691491326</v>
      </c>
      <c r="W49" s="8">
        <f t="shared" si="58"/>
        <v>60344.977761111099</v>
      </c>
      <c r="X49" s="8">
        <f t="shared" si="59"/>
        <v>886.49799277777697</v>
      </c>
      <c r="Y49" s="8">
        <f t="shared" si="60"/>
        <v>1.0442812690025318</v>
      </c>
      <c r="Z49" s="8">
        <f t="shared" si="51"/>
        <v>58382.832236806753</v>
      </c>
      <c r="AA49" s="8">
        <f t="shared" si="54"/>
        <v>69771.177120158245</v>
      </c>
      <c r="AB49" s="9">
        <f t="shared" si="43"/>
        <v>70271876.310446516</v>
      </c>
      <c r="AC49" s="9">
        <f t="shared" si="52"/>
        <v>390899444.7166689</v>
      </c>
    </row>
    <row r="50" spans="1:29" x14ac:dyDescent="0.3">
      <c r="A50" s="50"/>
      <c r="B50" s="8" t="s">
        <v>48</v>
      </c>
      <c r="C50" s="8">
        <v>17</v>
      </c>
      <c r="D50" s="8">
        <v>390000</v>
      </c>
      <c r="E50" s="8">
        <f t="shared" si="44"/>
        <v>151994.80427714737</v>
      </c>
      <c r="F50" s="8">
        <f t="shared" si="45"/>
        <v>-6762.3131468644006</v>
      </c>
      <c r="G50" s="8">
        <f t="shared" si="46"/>
        <v>1.8434189583347043</v>
      </c>
      <c r="H50" s="8">
        <f t="shared" si="55"/>
        <v>412665.1821373062</v>
      </c>
      <c r="I50" s="8">
        <f t="shared" si="56"/>
        <v>4935.6921559836492</v>
      </c>
      <c r="J50" s="8">
        <f t="shared" si="57"/>
        <v>1.0838205868714212</v>
      </c>
      <c r="K50" s="8">
        <f t="shared" si="47"/>
        <v>251868.8306200034</v>
      </c>
      <c r="L50" s="8">
        <f t="shared" si="53"/>
        <v>280525.77815121762</v>
      </c>
      <c r="M50" s="9">
        <f t="shared" si="33"/>
        <v>19080219954.285309</v>
      </c>
      <c r="N50" s="9">
        <f t="shared" si="34"/>
        <v>11984605249.396423</v>
      </c>
      <c r="P50" s="50"/>
      <c r="Q50" s="8" t="s">
        <v>48</v>
      </c>
      <c r="R50" s="8">
        <v>17</v>
      </c>
      <c r="S50" s="8">
        <v>60000</v>
      </c>
      <c r="T50" s="8">
        <f t="shared" si="48"/>
        <v>129882.22964922705</v>
      </c>
      <c r="U50" s="8">
        <f t="shared" si="49"/>
        <v>2765.8997602869558</v>
      </c>
      <c r="V50" s="8">
        <f t="shared" si="50"/>
        <v>0.45411281026264128</v>
      </c>
      <c r="W50" s="8">
        <f t="shared" si="58"/>
        <v>58658.908027722209</v>
      </c>
      <c r="X50" s="8">
        <f t="shared" si="59"/>
        <v>629.24122016111039</v>
      </c>
      <c r="Y50" s="8">
        <f t="shared" si="60"/>
        <v>1.1278055424153894</v>
      </c>
      <c r="Z50" s="8">
        <f t="shared" si="51"/>
        <v>71165.897552723982</v>
      </c>
      <c r="AA50" s="8">
        <f t="shared" si="54"/>
        <v>42223.014301163195</v>
      </c>
      <c r="AB50" s="9">
        <f t="shared" si="43"/>
        <v>124677268.15792741</v>
      </c>
      <c r="AC50" s="9">
        <f t="shared" si="52"/>
        <v>316021220.53664827</v>
      </c>
    </row>
    <row r="51" spans="1:29" x14ac:dyDescent="0.3">
      <c r="A51" s="50"/>
      <c r="B51" s="8" t="s">
        <v>49</v>
      </c>
      <c r="C51" s="8">
        <v>18</v>
      </c>
      <c r="D51" s="8">
        <v>350000</v>
      </c>
      <c r="E51" s="8">
        <f t="shared" si="44"/>
        <v>162207.79627403832</v>
      </c>
      <c r="F51" s="8">
        <f t="shared" si="45"/>
        <v>-5064.7826324888656</v>
      </c>
      <c r="G51" s="8">
        <f t="shared" si="46"/>
        <v>1.7765937884005734</v>
      </c>
      <c r="H51" s="8">
        <f t="shared" si="55"/>
        <v>448627.43018712103</v>
      </c>
      <c r="I51" s="8">
        <f t="shared" si="56"/>
        <v>8038.3477453667674</v>
      </c>
      <c r="J51" s="8">
        <f t="shared" si="57"/>
        <v>0.68259589055341319</v>
      </c>
      <c r="K51" s="8">
        <f t="shared" si="47"/>
        <v>573445.88892445003</v>
      </c>
      <c r="L51" s="8">
        <f t="shared" si="53"/>
        <v>529871.74233387888</v>
      </c>
      <c r="M51" s="9">
        <f t="shared" si="33"/>
        <v>49928065277.237663</v>
      </c>
      <c r="N51" s="9">
        <f t="shared" si="34"/>
        <v>32353843690.225315</v>
      </c>
      <c r="P51" s="50"/>
      <c r="Q51" s="8" t="s">
        <v>49</v>
      </c>
      <c r="R51" s="8">
        <v>18</v>
      </c>
      <c r="S51" s="8">
        <v>80000</v>
      </c>
      <c r="T51" s="8">
        <f t="shared" si="48"/>
        <v>137587.96943798417</v>
      </c>
      <c r="U51" s="8">
        <f t="shared" si="49"/>
        <v>3259.8837631339716</v>
      </c>
      <c r="V51" s="8">
        <f t="shared" si="50"/>
        <v>0.54099581353125792</v>
      </c>
      <c r="W51" s="8">
        <f t="shared" si="58"/>
        <v>75201.70447351833</v>
      </c>
      <c r="X51" s="8">
        <f t="shared" si="59"/>
        <v>2220.5967427246114</v>
      </c>
      <c r="Y51" s="8">
        <f t="shared" si="60"/>
        <v>0.74733012241129948</v>
      </c>
      <c r="Z51" s="8">
        <f t="shared" si="51"/>
        <v>72765.623886984293</v>
      </c>
      <c r="AA51" s="8">
        <f t="shared" si="54"/>
        <v>68921.929866091639</v>
      </c>
      <c r="AB51" s="9">
        <f t="shared" si="43"/>
        <v>52336197.744572252</v>
      </c>
      <c r="AC51" s="9">
        <f t="shared" si="52"/>
        <v>122723637.8917924</v>
      </c>
    </row>
    <row r="52" spans="1:29" x14ac:dyDescent="0.3">
      <c r="A52" s="50"/>
      <c r="B52" s="8" t="s">
        <v>50</v>
      </c>
      <c r="C52" s="8">
        <v>19</v>
      </c>
      <c r="D52" s="8">
        <v>380000</v>
      </c>
      <c r="E52" s="8">
        <f t="shared" si="44"/>
        <v>141239.8549219855</v>
      </c>
      <c r="F52" s="8">
        <f t="shared" si="45"/>
        <v>-6655.0985044452609</v>
      </c>
      <c r="G52" s="8">
        <f t="shared" si="46"/>
        <v>3.5533236018941983</v>
      </c>
      <c r="H52" s="8">
        <f t="shared" si="55"/>
        <v>417916.0445527414</v>
      </c>
      <c r="I52" s="8">
        <f t="shared" si="56"/>
        <v>4163.3744073921271</v>
      </c>
      <c r="J52" s="8">
        <f t="shared" si="57"/>
        <v>1.1352021628604201</v>
      </c>
      <c r="K52" s="8">
        <f t="shared" si="47"/>
        <v>437848.98998480965</v>
      </c>
      <c r="L52" s="8">
        <f t="shared" si="53"/>
        <v>296422.18736131513</v>
      </c>
      <c r="M52" s="9">
        <f t="shared" si="33"/>
        <v>3346505642.2626076</v>
      </c>
      <c r="N52" s="9">
        <f t="shared" si="34"/>
        <v>6985250765.4671135</v>
      </c>
      <c r="P52" s="50"/>
      <c r="Q52" s="8" t="s">
        <v>50</v>
      </c>
      <c r="R52" s="8">
        <v>19</v>
      </c>
      <c r="S52" s="8">
        <v>70000</v>
      </c>
      <c r="T52" s="8">
        <f t="shared" si="48"/>
        <v>139241.87980419461</v>
      </c>
      <c r="U52" s="8">
        <f t="shared" si="49"/>
        <v>3099.2864234416193</v>
      </c>
      <c r="V52" s="8">
        <f t="shared" si="50"/>
        <v>0.51523538140741831</v>
      </c>
      <c r="W52" s="8">
        <f t="shared" si="58"/>
        <v>77785.610851370046</v>
      </c>
      <c r="X52" s="8">
        <f t="shared" si="59"/>
        <v>2256.9277062373221</v>
      </c>
      <c r="Y52" s="8">
        <f t="shared" si="60"/>
        <v>0.89117788054777192</v>
      </c>
      <c r="Z52" s="8">
        <f t="shared" si="51"/>
        <v>71357.771590175631</v>
      </c>
      <c r="AA52" s="8">
        <f t="shared" si="54"/>
        <v>71254.485362855223</v>
      </c>
      <c r="AB52" s="9">
        <f t="shared" si="43"/>
        <v>1843543.6910880615</v>
      </c>
      <c r="AC52" s="9">
        <f t="shared" si="52"/>
        <v>1573733.525618</v>
      </c>
    </row>
    <row r="53" spans="1:29" x14ac:dyDescent="0.3">
      <c r="A53" s="50"/>
      <c r="B53" s="8" t="s">
        <v>51</v>
      </c>
      <c r="C53" s="8">
        <v>20</v>
      </c>
      <c r="D53" s="8">
        <v>390000</v>
      </c>
      <c r="E53" s="8">
        <f t="shared" si="44"/>
        <v>130172.45116442934</v>
      </c>
      <c r="F53" s="8">
        <f t="shared" si="45"/>
        <v>-7096.3290297563517</v>
      </c>
      <c r="G53" s="8">
        <f t="shared" si="46"/>
        <v>3.2276019997481464</v>
      </c>
      <c r="H53" s="8">
        <f t="shared" si="55"/>
        <v>462053.41935904999</v>
      </c>
      <c r="I53" s="8">
        <f t="shared" si="56"/>
        <v>8160.7744472837749</v>
      </c>
      <c r="J53" s="8">
        <f t="shared" si="57"/>
        <v>0.71646689358310134</v>
      </c>
      <c r="K53" s="8">
        <f t="shared" si="47"/>
        <v>226880.85686137373</v>
      </c>
      <c r="L53" s="8">
        <f t="shared" si="53"/>
        <v>516876.67105429055</v>
      </c>
      <c r="M53" s="9">
        <f t="shared" si="33"/>
        <v>26607854858.279644</v>
      </c>
      <c r="N53" s="9">
        <f t="shared" si="34"/>
        <v>16097689657.818649</v>
      </c>
      <c r="P53" s="50"/>
      <c r="Q53" s="8" t="s">
        <v>51</v>
      </c>
      <c r="R53" s="8">
        <v>20</v>
      </c>
      <c r="S53" s="8">
        <v>70000</v>
      </c>
      <c r="T53" s="8">
        <f t="shared" si="48"/>
        <v>141528.64032901515</v>
      </c>
      <c r="U53" s="8">
        <f t="shared" si="49"/>
        <v>3018.0338335795113</v>
      </c>
      <c r="V53" s="8">
        <f t="shared" si="50"/>
        <v>0.50064351594907819</v>
      </c>
      <c r="W53" s="8">
        <f t="shared" si="58"/>
        <v>79619.776990325146</v>
      </c>
      <c r="X53" s="8">
        <f t="shared" si="59"/>
        <v>2214.6515495090998</v>
      </c>
      <c r="Y53" s="8">
        <f t="shared" si="60"/>
        <v>0.88910479851256985</v>
      </c>
      <c r="Z53" s="8">
        <f t="shared" si="51"/>
        <v>65640.496418094175</v>
      </c>
      <c r="AA53" s="8">
        <f t="shared" si="54"/>
        <v>58279.711719763269</v>
      </c>
      <c r="AB53" s="9">
        <f t="shared" si="43"/>
        <v>19005271.480649717</v>
      </c>
      <c r="AC53" s="9">
        <f t="shared" si="52"/>
        <v>137365157.37185448</v>
      </c>
    </row>
    <row r="54" spans="1:29" x14ac:dyDescent="0.3">
      <c r="A54" s="50"/>
      <c r="B54" s="8" t="s">
        <v>52</v>
      </c>
      <c r="C54" s="8">
        <v>21</v>
      </c>
      <c r="D54" s="8">
        <v>320000</v>
      </c>
      <c r="E54" s="8">
        <f t="shared" si="44"/>
        <v>138230.4324531609</v>
      </c>
      <c r="F54" s="8">
        <f t="shared" si="45"/>
        <v>-5580.8979979075602</v>
      </c>
      <c r="G54" s="8">
        <f t="shared" si="46"/>
        <v>1.890574565851975</v>
      </c>
      <c r="H54" s="8">
        <f t="shared" si="55"/>
        <v>416483.26899776695</v>
      </c>
      <c r="I54" s="8">
        <f t="shared" si="56"/>
        <v>2787.6819664270934</v>
      </c>
      <c r="J54" s="8">
        <f t="shared" si="57"/>
        <v>1.0661467958430373</v>
      </c>
      <c r="K54" s="8">
        <f t="shared" si="47"/>
        <v>235664.33894743092</v>
      </c>
      <c r="L54" s="8">
        <f t="shared" si="53"/>
        <v>563295.32343281026</v>
      </c>
      <c r="M54" s="9">
        <f t="shared" si="33"/>
        <v>7112503725.1738167</v>
      </c>
      <c r="N54" s="9">
        <f t="shared" si="34"/>
        <v>59192614404.275749</v>
      </c>
      <c r="P54" s="50"/>
      <c r="Q54" s="8" t="s">
        <v>52</v>
      </c>
      <c r="R54" s="8">
        <v>21</v>
      </c>
      <c r="S54" s="8">
        <v>80000</v>
      </c>
      <c r="T54" s="8">
        <f t="shared" si="48"/>
        <v>154032.97575377912</v>
      </c>
      <c r="U54" s="8">
        <f t="shared" si="49"/>
        <v>3966.6639926979569</v>
      </c>
      <c r="V54" s="8">
        <f t="shared" si="50"/>
        <v>0.46063846001922432</v>
      </c>
      <c r="W54" s="8">
        <f t="shared" si="58"/>
        <v>90984.099977883976</v>
      </c>
      <c r="X54" s="8">
        <f t="shared" si="59"/>
        <v>3129.618693314073</v>
      </c>
      <c r="Y54" s="8">
        <f t="shared" si="60"/>
        <v>0.72887700597764582</v>
      </c>
      <c r="Z54" s="8">
        <f t="shared" si="51"/>
        <v>85477.143642291034</v>
      </c>
      <c r="AA54" s="8">
        <f t="shared" si="54"/>
        <v>134049.21353761147</v>
      </c>
      <c r="AB54" s="9">
        <f t="shared" si="43"/>
        <v>29999102.47828909</v>
      </c>
      <c r="AC54" s="9">
        <f t="shared" si="52"/>
        <v>2921317484.0343237</v>
      </c>
    </row>
    <row r="55" spans="1:29" x14ac:dyDescent="0.3">
      <c r="A55" s="50"/>
      <c r="B55" s="8" t="s">
        <v>53</v>
      </c>
      <c r="C55" s="8">
        <v>22</v>
      </c>
      <c r="D55" s="8">
        <v>210000</v>
      </c>
      <c r="E55" s="8">
        <f t="shared" si="44"/>
        <v>128315.79101063576</v>
      </c>
      <c r="F55" s="8">
        <f t="shared" si="45"/>
        <v>-6014.2723423693187</v>
      </c>
      <c r="G55" s="8">
        <f t="shared" si="46"/>
        <v>1.7625931442696319</v>
      </c>
      <c r="H55" s="8">
        <f t="shared" si="55"/>
        <v>340381.71112948126</v>
      </c>
      <c r="I55" s="8">
        <f t="shared" si="56"/>
        <v>-5101.2420170441856</v>
      </c>
      <c r="J55" s="8">
        <f t="shared" si="57"/>
        <v>1.2708557470002215</v>
      </c>
      <c r="K55" s="8">
        <f t="shared" si="47"/>
        <v>434576.87283145502</v>
      </c>
      <c r="L55" s="8">
        <f t="shared" si="53"/>
        <v>286652.00412666379</v>
      </c>
      <c r="M55" s="9">
        <f t="shared" si="33"/>
        <v>50434771810.755524</v>
      </c>
      <c r="N55" s="9">
        <f t="shared" si="34"/>
        <v>5875529736.6340818</v>
      </c>
      <c r="P55" s="50"/>
      <c r="Q55" s="8" t="s">
        <v>53</v>
      </c>
      <c r="R55" s="8">
        <v>22</v>
      </c>
      <c r="S55" s="8">
        <v>60000</v>
      </c>
      <c r="T55" s="8">
        <f t="shared" si="48"/>
        <v>143871.72433286603</v>
      </c>
      <c r="U55" s="8">
        <f t="shared" si="49"/>
        <v>2553.8724513368525</v>
      </c>
      <c r="V55" s="8">
        <f t="shared" si="50"/>
        <v>0.52860004873987865</v>
      </c>
      <c r="W55" s="8">
        <f t="shared" si="58"/>
        <v>78517.103069838631</v>
      </c>
      <c r="X55" s="8">
        <f t="shared" si="59"/>
        <v>1569.957133178131</v>
      </c>
      <c r="Y55" s="8">
        <f t="shared" si="60"/>
        <v>1.3583155816871175</v>
      </c>
      <c r="Z55" s="8">
        <f t="shared" si="51"/>
        <v>75443.648206917613</v>
      </c>
      <c r="AA55" s="8">
        <f t="shared" si="54"/>
        <v>85552.942650106925</v>
      </c>
      <c r="AB55" s="9">
        <f t="shared" si="43"/>
        <v>238506269.9390296</v>
      </c>
      <c r="AC55" s="9">
        <f t="shared" si="52"/>
        <v>652952878.0796535</v>
      </c>
    </row>
    <row r="56" spans="1:29" x14ac:dyDescent="0.3">
      <c r="A56" s="50"/>
      <c r="B56" s="8" t="s">
        <v>54</v>
      </c>
      <c r="C56" s="8">
        <v>23</v>
      </c>
      <c r="D56" s="8">
        <v>250000</v>
      </c>
      <c r="E56" s="8">
        <f t="shared" si="44"/>
        <v>106718.06271173088</v>
      </c>
      <c r="F56" s="8">
        <f t="shared" si="45"/>
        <v>-7572.6179380228759</v>
      </c>
      <c r="G56" s="8">
        <f t="shared" si="46"/>
        <v>3.432253365329816</v>
      </c>
      <c r="H56" s="8">
        <f t="shared" si="55"/>
        <v>322419.54266442021</v>
      </c>
      <c r="I56" s="8">
        <f t="shared" si="56"/>
        <v>-6387.3346618458727</v>
      </c>
      <c r="J56" s="8">
        <f t="shared" si="57"/>
        <v>0.84700437306939458</v>
      </c>
      <c r="K56" s="8">
        <f t="shared" si="47"/>
        <v>320002.03581753938</v>
      </c>
      <c r="L56" s="8">
        <f t="shared" si="53"/>
        <v>366693.85966710915</v>
      </c>
      <c r="M56" s="9">
        <f t="shared" si="33"/>
        <v>4900285018.6000662</v>
      </c>
      <c r="N56" s="9">
        <f t="shared" si="34"/>
        <v>13617456884.006964</v>
      </c>
      <c r="P56" s="50"/>
      <c r="Q56" s="8" t="s">
        <v>54</v>
      </c>
      <c r="R56" s="8">
        <v>23</v>
      </c>
      <c r="S56" s="8">
        <v>60000</v>
      </c>
      <c r="T56" s="8">
        <f t="shared" si="48"/>
        <v>137433.40674977723</v>
      </c>
      <c r="U56" s="8">
        <f t="shared" si="49"/>
        <v>1654.6534478942881</v>
      </c>
      <c r="V56" s="8">
        <f t="shared" si="50"/>
        <v>0.50736935086906099</v>
      </c>
      <c r="W56" s="8">
        <f t="shared" si="58"/>
        <v>72910.942142111729</v>
      </c>
      <c r="X56" s="8">
        <f t="shared" si="59"/>
        <v>852.34532708762765</v>
      </c>
      <c r="Y56" s="8">
        <f t="shared" si="60"/>
        <v>1.0437165072046799</v>
      </c>
      <c r="Z56" s="8">
        <f t="shared" si="51"/>
        <v>69633.535483899308</v>
      </c>
      <c r="AA56" s="8">
        <f t="shared" si="54"/>
        <v>78797.577118432557</v>
      </c>
      <c r="AB56" s="9">
        <f t="shared" si="43"/>
        <v>92805005.919547081</v>
      </c>
      <c r="AC56" s="9">
        <f t="shared" si="52"/>
        <v>353348905.5234192</v>
      </c>
    </row>
    <row r="57" spans="1:29" x14ac:dyDescent="0.3">
      <c r="A57" s="50"/>
      <c r="B57" s="8" t="s">
        <v>55</v>
      </c>
      <c r="C57" s="8">
        <v>24</v>
      </c>
      <c r="D57" s="8">
        <v>350000</v>
      </c>
      <c r="E57" s="8">
        <f t="shared" si="44"/>
        <v>101933.7034423544</v>
      </c>
      <c r="F57" s="8">
        <f t="shared" si="45"/>
        <v>-7293.7920711582365</v>
      </c>
      <c r="G57" s="8">
        <f t="shared" si="46"/>
        <v>3.2482022273653031</v>
      </c>
      <c r="H57" s="8">
        <f t="shared" si="55"/>
        <v>311715.96665443364</v>
      </c>
      <c r="I57" s="8">
        <f t="shared" si="56"/>
        <v>-6818.9587966599429</v>
      </c>
      <c r="J57" s="8">
        <f t="shared" si="57"/>
        <v>1.1565565134812161</v>
      </c>
      <c r="K57" s="8">
        <f t="shared" si="47"/>
        <v>178923.80935286856</v>
      </c>
      <c r="L57" s="8">
        <f t="shared" si="53"/>
        <v>186303.17072050989</v>
      </c>
      <c r="M57" s="9">
        <f t="shared" si="33"/>
        <v>29267063006.333664</v>
      </c>
      <c r="N57" s="9">
        <f t="shared" si="34"/>
        <v>26796651916.158531</v>
      </c>
      <c r="P57" s="50"/>
      <c r="Q57" s="8" t="s">
        <v>55</v>
      </c>
      <c r="R57" s="8">
        <v>24</v>
      </c>
      <c r="S57" s="8">
        <v>80000</v>
      </c>
      <c r="T57" s="8">
        <f t="shared" si="48"/>
        <v>145299.94401471177</v>
      </c>
      <c r="U57" s="8">
        <f t="shared" si="49"/>
        <v>2275.8418295983129</v>
      </c>
      <c r="V57" s="8">
        <f t="shared" si="50"/>
        <v>0.50563768522455688</v>
      </c>
      <c r="W57" s="8">
        <f t="shared" si="58"/>
        <v>74100.967895106223</v>
      </c>
      <c r="X57" s="8">
        <f t="shared" si="59"/>
        <v>886.11336967831426</v>
      </c>
      <c r="Y57" s="8">
        <f t="shared" si="60"/>
        <v>1.0693851353842552</v>
      </c>
      <c r="Z57" s="8">
        <f t="shared" si="51"/>
        <v>67979.08272744983</v>
      </c>
      <c r="AA57" s="8">
        <f t="shared" si="54"/>
        <v>66676.419314356724</v>
      </c>
      <c r="AB57" s="9">
        <f t="shared" si="43"/>
        <v>144502452.07349503</v>
      </c>
      <c r="AC57" s="9">
        <f t="shared" si="52"/>
        <v>177517802.28684655</v>
      </c>
    </row>
    <row r="58" spans="1:29" x14ac:dyDescent="0.3">
      <c r="A58" s="8" t="s">
        <v>36</v>
      </c>
      <c r="B58" s="8"/>
      <c r="C58" s="8"/>
      <c r="D58" s="9">
        <f>SUM(D34:D57)</f>
        <v>8210000</v>
      </c>
      <c r="E58" s="9"/>
      <c r="F58" s="9"/>
      <c r="G58" s="9"/>
      <c r="H58" s="9"/>
      <c r="I58" s="9"/>
      <c r="J58" s="9"/>
      <c r="K58" s="9">
        <f t="shared" ref="K58:N58" si="61">SUM(K34:K57)</f>
        <v>8317791.5562057123</v>
      </c>
      <c r="L58" s="9">
        <f t="shared" si="61"/>
        <v>5438024.2780455444</v>
      </c>
      <c r="M58" s="9">
        <f t="shared" si="61"/>
        <v>1227984598094.7109</v>
      </c>
      <c r="N58" s="9">
        <f t="shared" si="61"/>
        <v>1675413118032.2051</v>
      </c>
      <c r="P58" s="8" t="s">
        <v>36</v>
      </c>
      <c r="Q58" s="8"/>
      <c r="R58" s="8"/>
      <c r="S58" s="9">
        <f>SUM(S34:S57)</f>
        <v>1484000</v>
      </c>
      <c r="T58" s="9"/>
      <c r="U58" s="9"/>
      <c r="V58" s="9"/>
      <c r="W58" s="9"/>
      <c r="X58" s="9"/>
      <c r="Y58" s="9"/>
      <c r="Z58" s="9">
        <f t="shared" ref="Z58:AC58" si="62">SUM(Z34:Z57)</f>
        <v>1265720.3226954709</v>
      </c>
      <c r="AA58" s="9">
        <f t="shared" si="62"/>
        <v>927421.69577787863</v>
      </c>
      <c r="AB58" s="9">
        <f t="shared" si="62"/>
        <v>13067225878.253988</v>
      </c>
      <c r="AC58" s="9">
        <f t="shared" si="62"/>
        <v>41018107245.019569</v>
      </c>
    </row>
    <row r="59" spans="1:29" x14ac:dyDescent="0.3">
      <c r="A59" s="8" t="s">
        <v>37</v>
      </c>
      <c r="B59" s="8"/>
      <c r="C59" s="8"/>
      <c r="D59" s="8">
        <f>D58/COUNT(D34:D57)</f>
        <v>342083.33333333331</v>
      </c>
      <c r="E59" s="8"/>
      <c r="F59" s="8"/>
      <c r="G59" s="8"/>
      <c r="H59" s="8"/>
      <c r="I59" s="8"/>
      <c r="J59" s="8"/>
      <c r="K59" s="8">
        <f t="shared" ref="K59:N59" si="63">K58/COUNT(K34:K57)</f>
        <v>361643.1111393788</v>
      </c>
      <c r="L59" s="8">
        <f t="shared" si="63"/>
        <v>226584.34491856434</v>
      </c>
      <c r="M59" s="8">
        <f t="shared" si="63"/>
        <v>51166024920.612953</v>
      </c>
      <c r="N59" s="8">
        <f t="shared" si="63"/>
        <v>69808879918.008545</v>
      </c>
      <c r="P59" s="8" t="s">
        <v>37</v>
      </c>
      <c r="Q59" s="8"/>
      <c r="R59" s="8"/>
      <c r="S59" s="8">
        <f>S58/COUNT(S34:S57)</f>
        <v>61833.333333333336</v>
      </c>
      <c r="T59" s="8"/>
      <c r="U59" s="8"/>
      <c r="V59" s="8"/>
      <c r="W59" s="8"/>
      <c r="X59" s="8"/>
      <c r="Y59" s="8"/>
      <c r="Z59" s="8">
        <f t="shared" ref="Z59:AC59" si="64">Z58/COUNT(Z34:Z57)</f>
        <v>55031.318378063952</v>
      </c>
      <c r="AA59" s="8">
        <f t="shared" si="64"/>
        <v>38642.570657411612</v>
      </c>
      <c r="AB59" s="8">
        <f t="shared" si="64"/>
        <v>544467744.92724955</v>
      </c>
      <c r="AC59" s="8">
        <f t="shared" si="64"/>
        <v>1709087801.8758154</v>
      </c>
    </row>
    <row r="60" spans="1:29" x14ac:dyDescent="0.3">
      <c r="A60" s="25" t="s">
        <v>58</v>
      </c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>
        <f>SQRT(M59)/COUNT(M34:M57)</f>
        <v>9424.9617705359506</v>
      </c>
      <c r="N60" s="25">
        <f>SQRT(N59)/COUNT(N34:N57)</f>
        <v>11008.904217944488</v>
      </c>
      <c r="P60" s="25" t="s">
        <v>58</v>
      </c>
      <c r="Q60" s="25"/>
      <c r="R60" s="25"/>
      <c r="S60" s="25"/>
      <c r="T60" s="25"/>
      <c r="U60" s="25"/>
      <c r="V60" s="25"/>
      <c r="W60" s="25"/>
      <c r="X60" s="25"/>
      <c r="Y60" s="25"/>
      <c r="Z60" s="25"/>
      <c r="AA60" s="25"/>
      <c r="AB60" s="25">
        <f>SQRT(AB59)/COUNT(AB34:AB57)</f>
        <v>972.24302600214526</v>
      </c>
      <c r="AC60" s="25">
        <f>SQRT(AC59)/COUNT(AC34:AC57)</f>
        <v>1722.5464645985803</v>
      </c>
    </row>
    <row r="65" spans="1:30" x14ac:dyDescent="0.3">
      <c r="A65" s="51" t="s">
        <v>174</v>
      </c>
      <c r="B65" s="51"/>
      <c r="C65" s="51"/>
      <c r="D65" s="51"/>
      <c r="E65" s="51"/>
      <c r="F65" s="51"/>
      <c r="G65" s="51"/>
      <c r="H65" s="51"/>
      <c r="I65" s="51"/>
      <c r="J65" s="51"/>
      <c r="K65" s="51"/>
      <c r="L65" s="51"/>
      <c r="M65" s="51"/>
      <c r="N65" s="51"/>
      <c r="P65" s="8"/>
      <c r="Q65" s="8"/>
      <c r="R65" s="11" t="s">
        <v>56</v>
      </c>
      <c r="S65" s="11" t="s">
        <v>57</v>
      </c>
      <c r="T65" s="11" t="s">
        <v>58</v>
      </c>
      <c r="U65" s="8" t="s">
        <v>59</v>
      </c>
      <c r="V65" s="8" t="s">
        <v>60</v>
      </c>
      <c r="W65" s="8" t="s">
        <v>181</v>
      </c>
      <c r="AD65" t="e" vm="1">
        <v>#VALUE!</v>
      </c>
    </row>
    <row r="66" spans="1:30" x14ac:dyDescent="0.3">
      <c r="A66" s="8" t="s">
        <v>38</v>
      </c>
      <c r="B66" s="8" t="s">
        <v>39</v>
      </c>
      <c r="C66" s="8" t="s">
        <v>40</v>
      </c>
      <c r="D66" s="8" t="s">
        <v>129</v>
      </c>
      <c r="E66" s="8" t="s">
        <v>65</v>
      </c>
      <c r="F66" s="8" t="s">
        <v>188</v>
      </c>
      <c r="G66" s="8" t="s">
        <v>189</v>
      </c>
      <c r="H66" s="8" t="s">
        <v>65</v>
      </c>
      <c r="I66" s="8" t="s">
        <v>188</v>
      </c>
      <c r="J66" s="8" t="s">
        <v>189</v>
      </c>
      <c r="K66" s="8" t="s">
        <v>186</v>
      </c>
      <c r="L66" s="8" t="s">
        <v>187</v>
      </c>
      <c r="M66" s="8" t="s">
        <v>177</v>
      </c>
      <c r="N66" s="8" t="s">
        <v>178</v>
      </c>
      <c r="P66" s="56" t="s">
        <v>184</v>
      </c>
      <c r="Q66" s="8" t="s">
        <v>3</v>
      </c>
      <c r="R66" s="11" cm="1">
        <f t="array" ref="R66">(1/24)*SUM(ABS(_xlfn.ANCHORARRAY(D3)-K3:K26))</f>
        <v>41365.533930568017</v>
      </c>
      <c r="S66" s="11" cm="1">
        <f t="array" ref="S66">(1/21)*SUM((_xlfn.ANCHORARRAY(D3)-K3:K26)^2)</f>
        <v>4067285135.8011303</v>
      </c>
      <c r="T66" s="11">
        <f t="shared" ref="T66:T75" si="65">SQRT(S66)</f>
        <v>63775.270566271458</v>
      </c>
      <c r="U66" s="29" cm="1">
        <f t="array" ref="U66">(1/21)*SUM((ABS(_xlfn.ANCHORARRAY(D3)-K3:K26))/ABS(D3:D26))</f>
        <v>1.4777098732711273</v>
      </c>
      <c r="V66" s="11" cm="1">
        <f t="array" ref="V66">(1/21)*SUM((_xlfn.ANCHORARRAY(D3)-K3:K26)/(_xlfn.ANCHORARRAY(D3)))</f>
        <v>1.3102851013502119</v>
      </c>
      <c r="W66" s="11">
        <f t="shared" ref="W66:W75" si="66">2*T66</f>
        <v>127550.54113254292</v>
      </c>
      <c r="Y66" s="30"/>
    </row>
    <row r="67" spans="1:30" x14ac:dyDescent="0.3">
      <c r="A67" s="50">
        <v>2021</v>
      </c>
      <c r="B67" s="8" t="s">
        <v>44</v>
      </c>
      <c r="C67" s="8">
        <v>1</v>
      </c>
      <c r="D67" s="9" cm="1">
        <f t="array" ref="D67:D90">TRANSPOSE('Historical Sale'!C17:Z17)</f>
        <v>30000</v>
      </c>
      <c r="E67" s="9"/>
      <c r="F67" s="9"/>
      <c r="G67" s="9">
        <f>D67/$E$6</f>
        <v>0.25531914893617019</v>
      </c>
      <c r="H67" s="9"/>
      <c r="I67" s="9"/>
      <c r="J67" s="9" cm="1">
        <f t="array" ref="J67:J78">D67:D78/H78</f>
        <v>0.81818181818181823</v>
      </c>
      <c r="K67" s="8"/>
      <c r="L67" s="8">
        <f>H67+1*I67</f>
        <v>0</v>
      </c>
      <c r="M67" s="8">
        <f t="shared" ref="M67:M90" si="67">(D67-K67)^2</f>
        <v>900000000</v>
      </c>
      <c r="N67" s="8">
        <f t="shared" ref="N67:N90" si="68">(D67-L67)^2</f>
        <v>900000000</v>
      </c>
      <c r="P67" s="56"/>
      <c r="Q67" s="8" t="s">
        <v>173</v>
      </c>
      <c r="R67" s="11" cm="1">
        <f t="array" ref="R67">(1/24)*SUM(ABS(_xlfn.ANCHORARRAY(S3)-Z3:Z26))</f>
        <v>66644.728739349608</v>
      </c>
      <c r="S67" s="11" cm="1">
        <f t="array" ref="S67">(1/21)*SUM((_xlfn.ANCHORARRAY(S3)-Z3:Z26)^2)</f>
        <v>11934208657.020231</v>
      </c>
      <c r="T67" s="11">
        <f t="shared" si="65"/>
        <v>109243.80374657517</v>
      </c>
      <c r="U67" s="29" cm="1">
        <f t="array" ref="U67">(1/21)*SUM((ABS(_xlfn.ANCHORARRAY(S3)-Z3:Z26))/ABS(_xlfn.ANCHORARRAY(S3)))</f>
        <v>0.34745878039501615</v>
      </c>
      <c r="V67" s="11" cm="1">
        <f t="array" ref="V67">(1/21)*SUM((_xlfn.ANCHORARRAY(S3)-Z3:Z26)/(_xlfn.ANCHORARRAY(S3)))</f>
        <v>3.5007696487475037E-2</v>
      </c>
      <c r="W67" s="11">
        <f t="shared" si="66"/>
        <v>218487.60749315034</v>
      </c>
      <c r="Y67" s="30"/>
    </row>
    <row r="68" spans="1:30" x14ac:dyDescent="0.3">
      <c r="A68" s="50"/>
      <c r="B68" s="8" t="s">
        <v>45</v>
      </c>
      <c r="C68" s="8">
        <v>2</v>
      </c>
      <c r="D68" s="9">
        <v>20000</v>
      </c>
      <c r="E68" s="9"/>
      <c r="F68" s="9"/>
      <c r="G68" s="9">
        <f t="shared" ref="G68:G70" si="69">D68/$E$6</f>
        <v>0.1702127659574468</v>
      </c>
      <c r="H68" s="9"/>
      <c r="I68" s="9"/>
      <c r="J68" s="9">
        <v>0.54545454545454553</v>
      </c>
      <c r="K68" s="8">
        <f t="shared" ref="K68:K69" si="70">E68+1*F68</f>
        <v>0</v>
      </c>
      <c r="L68" s="8">
        <f t="shared" ref="L68:L77" si="71">H68+1*I68</f>
        <v>0</v>
      </c>
      <c r="M68" s="8">
        <f t="shared" si="67"/>
        <v>400000000</v>
      </c>
      <c r="N68" s="8">
        <f t="shared" si="68"/>
        <v>400000000</v>
      </c>
      <c r="P68" s="56"/>
      <c r="Q68" s="8" t="s">
        <v>6</v>
      </c>
      <c r="R68" s="11" cm="1">
        <f t="array" ref="R68">(1/24)*SUM(ABS(_xlfn.ANCHORARRAY(D34)-K34:K57))</f>
        <v>177235.8254007097</v>
      </c>
      <c r="S68" s="11" cm="1">
        <f t="array" ref="S68">(1/21)*SUM((_xlfn.ANCHORARRAY(D34)-K34:K57)^2)</f>
        <v>58475457052.129089</v>
      </c>
      <c r="T68" s="11">
        <f t="shared" si="65"/>
        <v>241816.99082597377</v>
      </c>
      <c r="U68" s="29" cm="1">
        <f t="array" ref="U68">(1/21)*SUM((ABS(_xlfn.ANCHORARRAY(D34)-K34:K57))/ABS(_xlfn.ANCHORARRAY(D34)))</f>
        <v>0.67015742477963725</v>
      </c>
      <c r="V68" s="11" cm="1">
        <f t="array" ref="V68">(1/21)*SUM((_xlfn.ANCHORARRAY(D34)-K34:K57)/(_xlfn.ANCHORARRAY(D34)))</f>
        <v>-5.9872267595774922E-2</v>
      </c>
      <c r="W68" s="11">
        <f t="shared" si="66"/>
        <v>483633.98165194754</v>
      </c>
      <c r="Y68" s="30"/>
    </row>
    <row r="69" spans="1:30" x14ac:dyDescent="0.3">
      <c r="A69" s="50"/>
      <c r="B69" s="8" t="s">
        <v>46</v>
      </c>
      <c r="C69" s="8">
        <v>3</v>
      </c>
      <c r="D69" s="9">
        <v>40000</v>
      </c>
      <c r="E69" s="9"/>
      <c r="F69" s="9"/>
      <c r="G69" s="9">
        <f t="shared" si="69"/>
        <v>0.34042553191489361</v>
      </c>
      <c r="H69" s="9"/>
      <c r="I69" s="9"/>
      <c r="J69" s="9">
        <v>1.0909090909090911</v>
      </c>
      <c r="K69" s="8">
        <f t="shared" si="70"/>
        <v>0</v>
      </c>
      <c r="L69" s="8">
        <f t="shared" si="71"/>
        <v>0</v>
      </c>
      <c r="M69" s="8">
        <f t="shared" si="67"/>
        <v>1600000000</v>
      </c>
      <c r="N69" s="8">
        <f t="shared" si="68"/>
        <v>1600000000</v>
      </c>
      <c r="P69" s="56"/>
      <c r="Q69" s="8" t="s">
        <v>8</v>
      </c>
      <c r="R69" s="11" cm="1">
        <f t="array" ref="R69">(1/24)*SUM(ABS(_xlfn.ANCHORARRAY(S34)-Z34:Z57))</f>
        <v>15612.703875573676</v>
      </c>
      <c r="S69" s="11" cm="1">
        <f t="array" ref="S69">(1/21)*SUM((_xlfn.ANCHORARRAY(S34)-Z34:Z57)^2)</f>
        <v>622248851.34542799</v>
      </c>
      <c r="T69" s="11">
        <f t="shared" si="65"/>
        <v>24944.916342722579</v>
      </c>
      <c r="U69" s="29" cm="1">
        <f t="array" ref="U69">(1/21)*SUM((ABS(_xlfn.ANCHORARRAY(S34)-Z34:Z57))/ABS(_xlfn.ANCHORARRAY(S34)))</f>
        <v>0.30194025040683431</v>
      </c>
      <c r="V69" s="11" cm="1">
        <f t="array" ref="V69">(1/21)*SUM((_xlfn.ANCHORARRAY(S34)-Z34:Z57)/(_xlfn.ANCHORARRAY(S34)))</f>
        <v>0.16515073151118634</v>
      </c>
      <c r="W69" s="11">
        <f t="shared" si="66"/>
        <v>49889.832685445159</v>
      </c>
      <c r="Y69" s="30"/>
    </row>
    <row r="70" spans="1:30" x14ac:dyDescent="0.3">
      <c r="A70" s="50"/>
      <c r="B70" s="8" t="s">
        <v>47</v>
      </c>
      <c r="C70" s="8">
        <v>4</v>
      </c>
      <c r="D70" s="9">
        <v>20000</v>
      </c>
      <c r="E70" s="9">
        <f>(1/4)*(SUM(D67:D70))</f>
        <v>27500</v>
      </c>
      <c r="F70" s="9">
        <f>(1/16)*(D71-D67+D72-D68+D73-D69+D74-D70)</f>
        <v>1875</v>
      </c>
      <c r="G70" s="9">
        <f t="shared" si="69"/>
        <v>0.1702127659574468</v>
      </c>
      <c r="H70" s="9"/>
      <c r="I70" s="9"/>
      <c r="J70" s="9">
        <v>0.54545454545454553</v>
      </c>
      <c r="K70" s="8">
        <f>(E70+1*F70)*G67</f>
        <v>7499.9999999999991</v>
      </c>
      <c r="L70" s="8">
        <f t="shared" si="71"/>
        <v>0</v>
      </c>
      <c r="M70" s="9">
        <f t="shared" si="67"/>
        <v>156250000</v>
      </c>
      <c r="N70" s="8">
        <f t="shared" si="68"/>
        <v>400000000</v>
      </c>
      <c r="P70" s="56"/>
      <c r="Q70" s="8" t="s">
        <v>15</v>
      </c>
      <c r="R70" s="11" cm="1">
        <f t="array" ref="R70">(1/24)*SUM(ABS(_xlfn.ANCHORARRAY(D67)-K67:K90))</f>
        <v>15762.145023040615</v>
      </c>
      <c r="S70" s="11" cm="1">
        <f t="array" ref="S70">(1/21)*SUM((_xlfn.ANCHORARRAY(D67)-K67:K90)^2)</f>
        <v>428107552.96899021</v>
      </c>
      <c r="T70" s="11">
        <f t="shared" si="65"/>
        <v>20690.760086787297</v>
      </c>
      <c r="U70" s="29" cm="1">
        <f t="array" ref="U70">(1/21)*SUM((ABS(_xlfn.ANCHORARRAY(D67)-K67:K90))/ABS(_xlfn.ANCHORARRAY(D67)))</f>
        <v>0.56076316748807475</v>
      </c>
      <c r="V70" s="11" cm="1">
        <f t="array" ref="V70">(1/21)*SUM((_xlfn.ANCHORARRAY(D67)-K67:K90)/(_xlfn.ANCHORARRAY(D67)))</f>
        <v>-1.6286467211860825E-3</v>
      </c>
      <c r="W70" s="11">
        <f t="shared" si="66"/>
        <v>41381.520173574594</v>
      </c>
      <c r="Y70" s="30"/>
    </row>
    <row r="71" spans="1:30" x14ac:dyDescent="0.3">
      <c r="A71" s="50"/>
      <c r="B71" s="8" t="s">
        <v>48</v>
      </c>
      <c r="C71" s="8">
        <v>5</v>
      </c>
      <c r="D71" s="9">
        <v>30000</v>
      </c>
      <c r="E71" s="9">
        <f>0.3*(D71/G67)+(1-0.3)*(E70+F70)</f>
        <v>55812.5</v>
      </c>
      <c r="F71" s="9">
        <f>0.1*(E71-E70)+(1-0.1)*F70</f>
        <v>4518.75</v>
      </c>
      <c r="G71" s="9">
        <f>0.1*(D71/E71)+(1-0.1)*(G67)</f>
        <v>0.28353863381858901</v>
      </c>
      <c r="H71" s="9"/>
      <c r="I71" s="9"/>
      <c r="J71" s="9">
        <v>0.81818181818181823</v>
      </c>
      <c r="K71" s="8">
        <f>(E71+1*F71)*G68</f>
        <v>10269.148936170213</v>
      </c>
      <c r="L71" s="8">
        <f t="shared" si="71"/>
        <v>0</v>
      </c>
      <c r="M71" s="9">
        <f t="shared" si="67"/>
        <v>389306483.70303309</v>
      </c>
      <c r="N71" s="8">
        <f t="shared" si="68"/>
        <v>900000000</v>
      </c>
      <c r="P71" s="56" t="s">
        <v>185</v>
      </c>
      <c r="Q71" s="8" t="s">
        <v>3</v>
      </c>
      <c r="R71" s="11" cm="1">
        <f t="array" ref="R71">(1/24)*SUM(ABS(_xlfn.ANCHORARRAY(D3)-L3:L26))</f>
        <v>50491.732438633087</v>
      </c>
      <c r="S71" s="11" cm="1">
        <f t="array" ref="S71">(1/21)*SUM((_xlfn.ANCHORARRAY(D3)-L3:L26)^2)</f>
        <v>5566788379.8379765</v>
      </c>
      <c r="T71" s="11">
        <f t="shared" si="65"/>
        <v>74610.913275726474</v>
      </c>
      <c r="U71" s="29" cm="1">
        <f t="array" ref="U71">(1/21)*SUM((ABS(_xlfn.ANCHORARRAY(D3)-L3:L26))/ABS(_xlfn.ANCHORARRAY(D3)))</f>
        <v>1.3102079810697713</v>
      </c>
      <c r="V71" s="11" cm="1">
        <f t="array" ref="V71">(1/21)*SUM((_xlfn.ANCHORARRAY(D3)-L3:L26)/(_xlfn.ANCHORARRAY(D3)))</f>
        <v>0.23439667857610019</v>
      </c>
      <c r="W71" s="11">
        <f t="shared" si="66"/>
        <v>149221.82655145295</v>
      </c>
      <c r="Y71" s="30"/>
    </row>
    <row r="72" spans="1:30" x14ac:dyDescent="0.3">
      <c r="A72" s="50"/>
      <c r="B72" s="8" t="s">
        <v>49</v>
      </c>
      <c r="C72" s="8">
        <v>6</v>
      </c>
      <c r="D72" s="9">
        <v>40000</v>
      </c>
      <c r="E72" s="9">
        <f t="shared" ref="E72:E90" si="72">0.3*(D72/G68)+(1-0.3)*(E71+F71)</f>
        <v>112731.875</v>
      </c>
      <c r="F72" s="9">
        <f t="shared" ref="F72:F90" si="73">0.1*(E72-E71)+(1-0.1)*F71</f>
        <v>9758.8125</v>
      </c>
      <c r="G72" s="9">
        <f t="shared" ref="G72:G90" si="74">0.1*(D72/E72)+(1-0.1)*(G68)</f>
        <v>0.18867391170232228</v>
      </c>
      <c r="H72" s="9"/>
      <c r="I72" s="9"/>
      <c r="J72" s="9">
        <v>1.0909090909090911</v>
      </c>
      <c r="K72" s="8">
        <f t="shared" ref="K72:K90" si="75">(E72+1*F72)*G69</f>
        <v>41698.957446808512</v>
      </c>
      <c r="L72" s="8">
        <f t="shared" si="71"/>
        <v>0</v>
      </c>
      <c r="M72" s="9">
        <f t="shared" si="67"/>
        <v>2886456.4060660978</v>
      </c>
      <c r="N72" s="9">
        <f t="shared" si="68"/>
        <v>1600000000</v>
      </c>
      <c r="P72" s="56"/>
      <c r="Q72" s="8" t="s">
        <v>173</v>
      </c>
      <c r="R72" s="11" cm="1">
        <f t="array" ref="R72">(1/24)*SUM(ABS(_xlfn.ANCHORARRAY(S3)-AA3:AA26))</f>
        <v>121491.33296053641</v>
      </c>
      <c r="S72" s="11" cm="1">
        <f t="array" ref="S72">(1/21)*SUM((_xlfn.ANCHORARRAY(S3)-AA3:AA26)^2)</f>
        <v>27149442981.073147</v>
      </c>
      <c r="T72" s="11">
        <f t="shared" si="65"/>
        <v>164770.88025823358</v>
      </c>
      <c r="U72" s="29" cm="1">
        <f t="array" ref="U72">(1/21)*SUM((ABS(_xlfn.ANCHORARRAY(S3)-AA3:AA26))/ABS(_xlfn.ANCHORARRAY(S3)))</f>
        <v>0.63783304868135648</v>
      </c>
      <c r="V72" s="11" cm="1">
        <f t="array" ref="V72">(1/21)*SUM((_xlfn.ANCHORARRAY(S3)-AA3:AA26)/(_xlfn.ANCHORARRAY(S3)))</f>
        <v>0.48495951057744563</v>
      </c>
      <c r="W72" s="11">
        <f t="shared" si="66"/>
        <v>329541.76051646715</v>
      </c>
      <c r="Y72" s="30"/>
    </row>
    <row r="73" spans="1:30" x14ac:dyDescent="0.3">
      <c r="A73" s="50"/>
      <c r="B73" s="8" t="s">
        <v>50</v>
      </c>
      <c r="C73" s="8">
        <v>7</v>
      </c>
      <c r="D73" s="8">
        <v>40000</v>
      </c>
      <c r="E73" s="8">
        <f t="shared" si="72"/>
        <v>120993.48125</v>
      </c>
      <c r="F73" s="8">
        <f t="shared" si="73"/>
        <v>9609.0918750000001</v>
      </c>
      <c r="G73" s="8">
        <f t="shared" si="74"/>
        <v>0.33944261101661094</v>
      </c>
      <c r="H73" s="8"/>
      <c r="I73" s="8"/>
      <c r="J73" s="8">
        <v>1.0909090909090911</v>
      </c>
      <c r="K73" s="8">
        <f t="shared" si="75"/>
        <v>22230.225212765956</v>
      </c>
      <c r="L73" s="8">
        <f t="shared" si="71"/>
        <v>0</v>
      </c>
      <c r="M73" s="9">
        <f t="shared" si="67"/>
        <v>315764895.98901874</v>
      </c>
      <c r="N73" s="9">
        <f t="shared" si="68"/>
        <v>1600000000</v>
      </c>
      <c r="P73" s="56"/>
      <c r="Q73" s="8" t="s">
        <v>6</v>
      </c>
      <c r="R73" s="11" cm="1">
        <f t="array" ref="R73">(1/24)*SUM(ABS(_xlfn.ANCHORARRAY(D34)-L34:L57))</f>
        <v>236191.33780669287</v>
      </c>
      <c r="S73" s="11" cm="1">
        <f t="array" ref="S73">(1/21)*SUM((_xlfn.ANCHORARRAY(D34)-L34:L57)^2)</f>
        <v>79781577049.152618</v>
      </c>
      <c r="T73" s="11">
        <f t="shared" si="65"/>
        <v>282456.32768474601</v>
      </c>
      <c r="U73" s="29" cm="1">
        <f t="array" ref="U73">(1/21)*SUM((ABS(_xlfn.ANCHORARRAY(D34)-L34:L57))/ABS(_xlfn.ANCHORARRAY(D34)))</f>
        <v>0.80729516135718249</v>
      </c>
      <c r="V73" s="11" cm="1">
        <f t="array" ref="V73">(1/21)*SUM((_xlfn.ANCHORARRAY(D34)-L34:L57)/(_xlfn.ANCHORARRAY(D34)))</f>
        <v>0.41112790634293561</v>
      </c>
      <c r="W73" s="11">
        <f t="shared" si="66"/>
        <v>564912.65536949201</v>
      </c>
      <c r="Y73" s="30"/>
    </row>
    <row r="74" spans="1:30" x14ac:dyDescent="0.3">
      <c r="A74" s="50"/>
      <c r="B74" s="8" t="s">
        <v>51</v>
      </c>
      <c r="C74" s="8">
        <v>8</v>
      </c>
      <c r="D74" s="8">
        <v>30000</v>
      </c>
      <c r="E74" s="8">
        <f t="shared" si="72"/>
        <v>144296.80118750001</v>
      </c>
      <c r="F74" s="8">
        <f t="shared" si="73"/>
        <v>10978.514681250002</v>
      </c>
      <c r="G74" s="8">
        <f t="shared" si="74"/>
        <v>0.17398197103081262</v>
      </c>
      <c r="H74" s="8"/>
      <c r="I74" s="8"/>
      <c r="J74" s="8">
        <v>0.81818181818181823</v>
      </c>
      <c r="K74" s="8">
        <f t="shared" si="75"/>
        <v>44026.550927175253</v>
      </c>
      <c r="L74" s="8">
        <f t="shared" si="71"/>
        <v>0</v>
      </c>
      <c r="M74" s="9">
        <f t="shared" si="67"/>
        <v>196744130.91264093</v>
      </c>
      <c r="N74" s="9">
        <f t="shared" si="68"/>
        <v>900000000</v>
      </c>
      <c r="P74" s="56"/>
      <c r="Q74" s="8" t="s">
        <v>8</v>
      </c>
      <c r="R74" s="11" cm="1">
        <f t="array" ref="R74">(1/24)*SUM(ABS(_xlfn.ANCHORARRAY(S34)-AA34:AA57))</f>
        <v>34171.793783970301</v>
      </c>
      <c r="S74" s="11" cm="1">
        <f t="array" ref="S74">(1/21)*SUM((_xlfn.ANCHORARRAY(S34)-AA34:AA57)^2)</f>
        <v>1953243202.1437888</v>
      </c>
      <c r="T74" s="11">
        <f t="shared" si="65"/>
        <v>44195.511108525367</v>
      </c>
      <c r="U74" s="29" cm="1">
        <f t="array" ref="U74">(1/21)*SUM((ABS(_xlfn.ANCHORARRAY(S34)-AA34:AA57))/ABS(_xlfn.ANCHORARRAY(S34)))</f>
        <v>0.67303991345074743</v>
      </c>
      <c r="V74" s="11" cm="1">
        <f t="array" ref="V74">(1/21)*SUM((_xlfn.ANCHORARRAY(S34)-AA34:AA57)/(_xlfn.ANCHORARRAY(S34)))</f>
        <v>0.47577407353953854</v>
      </c>
      <c r="W74" s="11">
        <f t="shared" si="66"/>
        <v>88391.022217050733</v>
      </c>
      <c r="Y74" s="30"/>
    </row>
    <row r="75" spans="1:30" x14ac:dyDescent="0.3">
      <c r="A75" s="50"/>
      <c r="B75" s="8" t="s">
        <v>52</v>
      </c>
      <c r="C75" s="8">
        <v>9</v>
      </c>
      <c r="D75" s="8">
        <v>60000</v>
      </c>
      <c r="E75" s="8">
        <f t="shared" si="72"/>
        <v>172176.13343039987</v>
      </c>
      <c r="F75" s="8">
        <f t="shared" si="73"/>
        <v>12668.59643741499</v>
      </c>
      <c r="G75" s="8">
        <f t="shared" si="74"/>
        <v>0.29003280587844493</v>
      </c>
      <c r="H75" s="8"/>
      <c r="I75" s="8"/>
      <c r="J75" s="8">
        <v>1.6363636363636365</v>
      </c>
      <c r="K75" s="8">
        <f t="shared" si="75"/>
        <v>34875.378241719714</v>
      </c>
      <c r="L75" s="8">
        <f t="shared" si="71"/>
        <v>0</v>
      </c>
      <c r="M75" s="9">
        <f t="shared" si="67"/>
        <v>631246618.49665117</v>
      </c>
      <c r="N75" s="9">
        <f t="shared" si="68"/>
        <v>3600000000</v>
      </c>
      <c r="P75" s="56"/>
      <c r="Q75" s="8" t="s">
        <v>15</v>
      </c>
      <c r="R75" s="11" cm="1">
        <f t="array" ref="R75">(1/24)*SUM(ABS(_xlfn.ANCHORARRAY(D67)-L67:L90))</f>
        <v>22113.030282310261</v>
      </c>
      <c r="S75" s="11" cm="1">
        <f t="array" ref="S75">(1/21)*SUM((_xlfn.ANCHORARRAY(D67)-L67:L90)^2)</f>
        <v>853769707.75614798</v>
      </c>
      <c r="T75" s="11">
        <f t="shared" si="65"/>
        <v>29219.337907559577</v>
      </c>
      <c r="U75" s="29" cm="1">
        <f t="array" ref="U75">(1/21)*SUM((ABS(_xlfn.ANCHORARRAY(D67)-L67:L90))/ABS(_xlfn.ANCHORARRAY(D67)))</f>
        <v>0.7389690339417303</v>
      </c>
      <c r="V75" s="11" cm="1">
        <f t="array" ref="V75">(1/21)*SUM((_xlfn.ANCHORARRAY(D67)-L67:L90)/(_xlfn.ANCHORARRAY(D67)))</f>
        <v>0.44273496849827904</v>
      </c>
      <c r="W75" s="11">
        <f t="shared" si="66"/>
        <v>58438.675815119153</v>
      </c>
      <c r="Y75" s="30"/>
    </row>
    <row r="76" spans="1:30" x14ac:dyDescent="0.3">
      <c r="A76" s="50"/>
      <c r="B76" s="8" t="s">
        <v>53</v>
      </c>
      <c r="C76" s="8">
        <v>10</v>
      </c>
      <c r="D76" s="8">
        <v>40000</v>
      </c>
      <c r="E76" s="8">
        <f t="shared" si="72"/>
        <v>192993.10880167445</v>
      </c>
      <c r="F76" s="8">
        <f t="shared" si="73"/>
        <v>13483.434330800948</v>
      </c>
      <c r="G76" s="8">
        <f t="shared" si="74"/>
        <v>0.19053264917386722</v>
      </c>
      <c r="H76" s="8"/>
      <c r="I76" s="8"/>
      <c r="J76" s="8">
        <v>1.0909090909090911</v>
      </c>
      <c r="K76" s="8">
        <f t="shared" si="75"/>
        <v>70086.936914571343</v>
      </c>
      <c r="L76" s="8">
        <f t="shared" si="71"/>
        <v>0</v>
      </c>
      <c r="M76" s="9">
        <f t="shared" si="67"/>
        <v>905223772.9013958</v>
      </c>
      <c r="N76" s="9">
        <f t="shared" si="68"/>
        <v>1600000000</v>
      </c>
    </row>
    <row r="77" spans="1:30" x14ac:dyDescent="0.3">
      <c r="A77" s="50"/>
      <c r="B77" s="8" t="s">
        <v>54</v>
      </c>
      <c r="C77" s="8">
        <v>11</v>
      </c>
      <c r="D77" s="8">
        <v>50000</v>
      </c>
      <c r="E77" s="8">
        <f t="shared" si="72"/>
        <v>188723.67157541413</v>
      </c>
      <c r="F77" s="8">
        <f t="shared" si="73"/>
        <v>11708.147175094824</v>
      </c>
      <c r="G77" s="8">
        <f t="shared" si="74"/>
        <v>0.33199211171102638</v>
      </c>
      <c r="H77" s="8"/>
      <c r="I77" s="8"/>
      <c r="J77" s="8">
        <v>1.3636363636363638</v>
      </c>
      <c r="K77" s="8">
        <f t="shared" si="75"/>
        <v>34871.522883504134</v>
      </c>
      <c r="L77" s="8">
        <f t="shared" si="71"/>
        <v>0</v>
      </c>
      <c r="M77" s="9">
        <f t="shared" si="67"/>
        <v>228870819.86433905</v>
      </c>
      <c r="N77" s="9">
        <f t="shared" si="68"/>
        <v>2500000000</v>
      </c>
    </row>
    <row r="78" spans="1:30" x14ac:dyDescent="0.3">
      <c r="A78" s="50"/>
      <c r="B78" s="8" t="s">
        <v>55</v>
      </c>
      <c r="C78" s="8">
        <v>12</v>
      </c>
      <c r="D78" s="8">
        <v>40000</v>
      </c>
      <c r="E78" s="8">
        <f t="shared" si="72"/>
        <v>209274.93695312017</v>
      </c>
      <c r="F78" s="8">
        <f t="shared" si="73"/>
        <v>12592.458995355946</v>
      </c>
      <c r="G78" s="8">
        <f t="shared" si="74"/>
        <v>0.17569738618458772</v>
      </c>
      <c r="H78" s="8">
        <f>(1/12)*SUM(D67:D78)</f>
        <v>36666.666666666664</v>
      </c>
      <c r="I78" s="8" cm="1">
        <f t="array" ref="I78">(1/(12*12))*(SUM(D79:D90-D67:D78))</f>
        <v>-451.38888888888886</v>
      </c>
      <c r="J78" s="8">
        <v>1.0909090909090911</v>
      </c>
      <c r="K78" s="8">
        <f t="shared" si="75"/>
        <v>64348.82337988045</v>
      </c>
      <c r="L78" s="8">
        <f>(H78+1*I78)*J67</f>
        <v>29630.681818181816</v>
      </c>
      <c r="M78" s="9">
        <f t="shared" si="67"/>
        <v>592865199.98461282</v>
      </c>
      <c r="N78" s="9">
        <f t="shared" si="68"/>
        <v>107522759.55578516</v>
      </c>
    </row>
    <row r="79" spans="1:30" x14ac:dyDescent="0.3">
      <c r="A79" s="50">
        <v>2022</v>
      </c>
      <c r="B79" s="8" t="s">
        <v>44</v>
      </c>
      <c r="C79" s="8">
        <v>13</v>
      </c>
      <c r="D79" s="8">
        <v>40000</v>
      </c>
      <c r="E79" s="8">
        <f t="shared" si="72"/>
        <v>196681.8070567644</v>
      </c>
      <c r="F79" s="8">
        <f t="shared" si="73"/>
        <v>10073.900106184776</v>
      </c>
      <c r="G79" s="8">
        <f t="shared" si="74"/>
        <v>0.28136694266467188</v>
      </c>
      <c r="H79" s="8">
        <f>0.3*(D79/J67)+(1-0.3)*(H78+I78)</f>
        <v>40017.361111111109</v>
      </c>
      <c r="I79" s="8">
        <f>0.1*(H79-H78)+(1-0.1)*(I78)</f>
        <v>-71.180555555555429</v>
      </c>
      <c r="J79" s="8">
        <f>0.1*(D79/H79)+(1-0.1)*(J67)</f>
        <v>0.83632025241569719</v>
      </c>
      <c r="K79" s="8">
        <f t="shared" si="75"/>
        <v>39393.712617573023</v>
      </c>
      <c r="L79" s="8">
        <f t="shared" ref="L79:L90" si="76">(H79+1*I79)*J68</f>
        <v>21788.82575757576</v>
      </c>
      <c r="M79" s="9">
        <f t="shared" si="67"/>
        <v>367584.39009015576</v>
      </c>
      <c r="N79" s="9">
        <f t="shared" si="68"/>
        <v>331646867.28793609</v>
      </c>
      <c r="Q79" s="28"/>
    </row>
    <row r="80" spans="1:30" x14ac:dyDescent="0.3">
      <c r="A80" s="50"/>
      <c r="B80" s="8" t="s">
        <v>45</v>
      </c>
      <c r="C80" s="8">
        <v>14</v>
      </c>
      <c r="D80" s="8">
        <v>35000</v>
      </c>
      <c r="E80" s="8">
        <f t="shared" si="72"/>
        <v>199837.66035581595</v>
      </c>
      <c r="F80" s="8">
        <f t="shared" si="73"/>
        <v>9382.0954254714543</v>
      </c>
      <c r="G80" s="8">
        <f t="shared" si="74"/>
        <v>0.18899360051465808</v>
      </c>
      <c r="H80" s="8">
        <f t="shared" ref="H80:H90" si="77">0.3*(D80/J68)+(1-0.3)*(H79+I79)</f>
        <v>47212.326388888883</v>
      </c>
      <c r="I80" s="8">
        <f t="shared" ref="I80:I90" si="78">0.1*(H80-H79)+(1-0.1)*(I79)</f>
        <v>655.43402777777749</v>
      </c>
      <c r="J80" s="8">
        <f t="shared" ref="J80:J90" si="79">0.1*(D80/H80)+(1-0.1)*(J68)</f>
        <v>0.56504227323038625</v>
      </c>
      <c r="K80" s="8">
        <f t="shared" si="75"/>
        <v>69459.308533494826</v>
      </c>
      <c r="L80" s="8">
        <f t="shared" si="76"/>
        <v>52219.375000000007</v>
      </c>
      <c r="M80" s="9">
        <f t="shared" si="67"/>
        <v>1187443944.6065893</v>
      </c>
      <c r="N80" s="9">
        <f t="shared" si="68"/>
        <v>296506875.39062524</v>
      </c>
    </row>
    <row r="81" spans="1:14" x14ac:dyDescent="0.3">
      <c r="A81" s="50"/>
      <c r="B81" s="8" t="s">
        <v>46</v>
      </c>
      <c r="C81" s="8">
        <v>15</v>
      </c>
      <c r="D81" s="8">
        <v>30000</v>
      </c>
      <c r="E81" s="8">
        <f t="shared" si="72"/>
        <v>173562.90689099708</v>
      </c>
      <c r="F81" s="8">
        <f t="shared" si="73"/>
        <v>5816.4105364424213</v>
      </c>
      <c r="G81" s="8">
        <f t="shared" si="74"/>
        <v>0.31607769977346095</v>
      </c>
      <c r="H81" s="8">
        <f t="shared" si="77"/>
        <v>41757.432291666664</v>
      </c>
      <c r="I81" s="8">
        <f t="shared" si="78"/>
        <v>44.401215277777851</v>
      </c>
      <c r="J81" s="8">
        <f t="shared" si="79"/>
        <v>1.0536616797384</v>
      </c>
      <c r="K81" s="8">
        <f t="shared" si="75"/>
        <v>31516.477207576583</v>
      </c>
      <c r="L81" s="8">
        <f t="shared" si="76"/>
        <v>22801.000094696974</v>
      </c>
      <c r="M81" s="9">
        <f t="shared" si="67"/>
        <v>2299703.1210992713</v>
      </c>
      <c r="N81" s="9">
        <f t="shared" si="68"/>
        <v>51825599.636552975</v>
      </c>
    </row>
    <row r="82" spans="1:14" x14ac:dyDescent="0.3">
      <c r="A82" s="50"/>
      <c r="B82" s="8" t="s">
        <v>47</v>
      </c>
      <c r="C82" s="8">
        <v>16</v>
      </c>
      <c r="D82" s="8">
        <v>30000</v>
      </c>
      <c r="E82" s="8">
        <f t="shared" si="72"/>
        <v>176789.96096544288</v>
      </c>
      <c r="F82" s="8">
        <f t="shared" si="73"/>
        <v>5557.4748902427591</v>
      </c>
      <c r="G82" s="8">
        <f t="shared" si="74"/>
        <v>0.17509693690595979</v>
      </c>
      <c r="H82" s="8">
        <f t="shared" si="77"/>
        <v>45761.283454861106</v>
      </c>
      <c r="I82" s="8">
        <f t="shared" si="78"/>
        <v>440.34621006944434</v>
      </c>
      <c r="J82" s="8">
        <f t="shared" si="79"/>
        <v>0.55646669273988747</v>
      </c>
      <c r="K82" s="8">
        <f t="shared" si="75"/>
        <v>51306.540529456637</v>
      </c>
      <c r="L82" s="8">
        <f t="shared" si="76"/>
        <v>37801.333362215912</v>
      </c>
      <c r="M82" s="9">
        <f t="shared" si="67"/>
        <v>453968669.33337831</v>
      </c>
      <c r="N82" s="9">
        <f t="shared" si="68"/>
        <v>60860802.228423022</v>
      </c>
    </row>
    <row r="83" spans="1:14" x14ac:dyDescent="0.3">
      <c r="A83" s="50"/>
      <c r="B83" s="8" t="s">
        <v>48</v>
      </c>
      <c r="C83" s="8">
        <v>17</v>
      </c>
      <c r="D83" s="8">
        <v>20000</v>
      </c>
      <c r="E83" s="8">
        <f t="shared" si="72"/>
        <v>148967.67180134836</v>
      </c>
      <c r="F83" s="8">
        <f t="shared" si="73"/>
        <v>2219.4984848090317</v>
      </c>
      <c r="G83" s="8">
        <f t="shared" si="74"/>
        <v>0.26665598014131098</v>
      </c>
      <c r="H83" s="8">
        <f t="shared" si="77"/>
        <v>39674.474098784718</v>
      </c>
      <c r="I83" s="8">
        <f t="shared" si="78"/>
        <v>-212.36934654513891</v>
      </c>
      <c r="J83" s="8">
        <f t="shared" si="79"/>
        <v>0.78677388238278312</v>
      </c>
      <c r="K83" s="8">
        <f t="shared" si="75"/>
        <v>28573.407664003615</v>
      </c>
      <c r="L83" s="8">
        <f t="shared" si="76"/>
        <v>43049.568820625005</v>
      </c>
      <c r="M83" s="9">
        <f t="shared" si="67"/>
        <v>73503318.97319591</v>
      </c>
      <c r="N83" s="9">
        <f t="shared" si="68"/>
        <v>531282622.81672841</v>
      </c>
    </row>
    <row r="84" spans="1:14" x14ac:dyDescent="0.3">
      <c r="A84" s="50"/>
      <c r="B84" s="8" t="s">
        <v>49</v>
      </c>
      <c r="C84" s="8">
        <v>18</v>
      </c>
      <c r="D84" s="8">
        <v>20000</v>
      </c>
      <c r="E84" s="8">
        <f t="shared" si="72"/>
        <v>137578.12589419342</v>
      </c>
      <c r="F84" s="8">
        <f t="shared" si="73"/>
        <v>858.59404561263455</v>
      </c>
      <c r="G84" s="8">
        <f t="shared" si="74"/>
        <v>0.18463143514440294</v>
      </c>
      <c r="H84" s="8">
        <f t="shared" si="77"/>
        <v>33123.473326567706</v>
      </c>
      <c r="I84" s="8">
        <f t="shared" si="78"/>
        <v>-846.23248911232622</v>
      </c>
      <c r="J84" s="8">
        <f t="shared" si="79"/>
        <v>1.0421983231240708</v>
      </c>
      <c r="K84" s="8">
        <f t="shared" si="75"/>
        <v>43756.760002756717</v>
      </c>
      <c r="L84" s="8">
        <f t="shared" si="76"/>
        <v>35211.535459042236</v>
      </c>
      <c r="M84" s="9">
        <f t="shared" si="67"/>
        <v>564383645.82858133</v>
      </c>
      <c r="N84" s="9">
        <f t="shared" si="68"/>
        <v>231390811.02169928</v>
      </c>
    </row>
    <row r="85" spans="1:14" x14ac:dyDescent="0.3">
      <c r="A85" s="50"/>
      <c r="B85" s="8" t="s">
        <v>50</v>
      </c>
      <c r="C85" s="8">
        <v>19</v>
      </c>
      <c r="D85" s="8">
        <v>20000</v>
      </c>
      <c r="E85" s="8">
        <f t="shared" si="72"/>
        <v>115888.37816835209</v>
      </c>
      <c r="F85" s="8">
        <f t="shared" si="73"/>
        <v>-1396.240131532762</v>
      </c>
      <c r="G85" s="8">
        <f t="shared" si="74"/>
        <v>0.30172791572715085</v>
      </c>
      <c r="H85" s="8">
        <f t="shared" si="77"/>
        <v>28094.068586218764</v>
      </c>
      <c r="I85" s="8">
        <f t="shared" si="78"/>
        <v>-1264.5497142359877</v>
      </c>
      <c r="J85" s="8">
        <f t="shared" si="79"/>
        <v>1.0530075858684405</v>
      </c>
      <c r="K85" s="8">
        <f t="shared" si="75"/>
        <v>20047.222670061394</v>
      </c>
      <c r="L85" s="8">
        <f t="shared" si="76"/>
        <v>21951.424531622273</v>
      </c>
      <c r="M85" s="9">
        <f t="shared" si="67"/>
        <v>2229.9805677272516</v>
      </c>
      <c r="N85" s="9">
        <f t="shared" si="68"/>
        <v>3808057.7026172085</v>
      </c>
    </row>
    <row r="86" spans="1:14" x14ac:dyDescent="0.3">
      <c r="A86" s="50"/>
      <c r="B86" s="8" t="s">
        <v>51</v>
      </c>
      <c r="C86" s="8">
        <v>20</v>
      </c>
      <c r="D86" s="8">
        <v>40000</v>
      </c>
      <c r="E86" s="8">
        <f t="shared" si="72"/>
        <v>148677.96278483549</v>
      </c>
      <c r="F86" s="8">
        <f t="shared" si="73"/>
        <v>2022.3423432688535</v>
      </c>
      <c r="G86" s="8">
        <f t="shared" si="74"/>
        <v>0.18449102858528271</v>
      </c>
      <c r="H86" s="8">
        <f t="shared" si="77"/>
        <v>33447.32987705461</v>
      </c>
      <c r="I86" s="8">
        <f t="shared" si="78"/>
        <v>-602.76861372880444</v>
      </c>
      <c r="J86" s="8">
        <f t="shared" si="79"/>
        <v>0.85595464750572647</v>
      </c>
      <c r="K86" s="8">
        <f t="shared" si="75"/>
        <v>40185.137571529296</v>
      </c>
      <c r="L86" s="8">
        <f t="shared" si="76"/>
        <v>53745.645703624046</v>
      </c>
      <c r="M86" s="9">
        <f t="shared" si="67"/>
        <v>34275.920391765234</v>
      </c>
      <c r="N86" s="9">
        <f t="shared" si="68"/>
        <v>188942775.80955821</v>
      </c>
    </row>
    <row r="87" spans="1:14" x14ac:dyDescent="0.3">
      <c r="A87" s="50"/>
      <c r="B87" s="8" t="s">
        <v>52</v>
      </c>
      <c r="C87" s="8">
        <v>21</v>
      </c>
      <c r="D87" s="8">
        <v>30000</v>
      </c>
      <c r="E87" s="8">
        <f t="shared" si="72"/>
        <v>139241.56615724179</v>
      </c>
      <c r="F87" s="8">
        <f t="shared" si="73"/>
        <v>876.4684461825982</v>
      </c>
      <c r="G87" s="8">
        <f t="shared" si="74"/>
        <v>0.26153567268080796</v>
      </c>
      <c r="H87" s="8">
        <f t="shared" si="77"/>
        <v>28491.192884328062</v>
      </c>
      <c r="I87" s="8">
        <f t="shared" si="78"/>
        <v>-1038.105451628579</v>
      </c>
      <c r="J87" s="8">
        <f t="shared" si="79"/>
        <v>1.5780229692668932</v>
      </c>
      <c r="K87" s="8">
        <f t="shared" si="75"/>
        <v>25870.19381844336</v>
      </c>
      <c r="L87" s="8">
        <f t="shared" si="76"/>
        <v>29948.822653853986</v>
      </c>
      <c r="M87" s="9">
        <f t="shared" si="67"/>
        <v>17055299.097223435</v>
      </c>
      <c r="N87" s="9">
        <f t="shared" si="68"/>
        <v>2619.1207585489665</v>
      </c>
    </row>
    <row r="88" spans="1:14" x14ac:dyDescent="0.3">
      <c r="A88" s="50"/>
      <c r="B88" s="8" t="s">
        <v>53</v>
      </c>
      <c r="C88" s="8">
        <v>22</v>
      </c>
      <c r="D88" s="8">
        <v>40000</v>
      </c>
      <c r="E88" s="8">
        <f t="shared" si="72"/>
        <v>163076.97358990659</v>
      </c>
      <c r="F88" s="8">
        <f t="shared" si="73"/>
        <v>3172.3623448308181</v>
      </c>
      <c r="G88" s="8">
        <f t="shared" si="74"/>
        <v>0.19069658591913002</v>
      </c>
      <c r="H88" s="8">
        <f t="shared" si="77"/>
        <v>30217.161202889634</v>
      </c>
      <c r="I88" s="8">
        <f t="shared" si="78"/>
        <v>-761.69807460956383</v>
      </c>
      <c r="J88" s="8">
        <f t="shared" si="79"/>
        <v>1.114193290556639</v>
      </c>
      <c r="K88" s="8">
        <f t="shared" si="75"/>
        <v>50162.065622611241</v>
      </c>
      <c r="L88" s="8">
        <f t="shared" si="76"/>
        <v>40166.540629472824</v>
      </c>
      <c r="M88" s="9">
        <f t="shared" si="67"/>
        <v>103267577.71825717</v>
      </c>
      <c r="N88" s="9">
        <f t="shared" si="68"/>
        <v>27735.781265204332</v>
      </c>
    </row>
    <row r="89" spans="1:14" x14ac:dyDescent="0.3">
      <c r="A89" s="50"/>
      <c r="B89" s="8" t="s">
        <v>54</v>
      </c>
      <c r="C89" s="8">
        <v>23</v>
      </c>
      <c r="D89" s="8">
        <v>40000</v>
      </c>
      <c r="E89" s="8">
        <f t="shared" si="72"/>
        <v>156145.46576602486</v>
      </c>
      <c r="F89" s="8">
        <f t="shared" si="73"/>
        <v>2161.9753279595643</v>
      </c>
      <c r="G89" s="8">
        <f t="shared" si="74"/>
        <v>0.29717226250921691</v>
      </c>
      <c r="H89" s="8">
        <f t="shared" si="77"/>
        <v>29418.824189796047</v>
      </c>
      <c r="I89" s="8">
        <f t="shared" si="78"/>
        <v>-765.36196845796621</v>
      </c>
      <c r="J89" s="8">
        <f t="shared" si="79"/>
        <v>1.3632400920522962</v>
      </c>
      <c r="K89" s="8">
        <f t="shared" si="75"/>
        <v>29206.302640133243</v>
      </c>
      <c r="L89" s="8">
        <f t="shared" si="76"/>
        <v>31258.322423277907</v>
      </c>
      <c r="M89" s="9">
        <f t="shared" si="67"/>
        <v>116503902.69639461</v>
      </c>
      <c r="N89" s="9">
        <f t="shared" si="68"/>
        <v>76416926.855365857</v>
      </c>
    </row>
    <row r="90" spans="1:14" x14ac:dyDescent="0.3">
      <c r="A90" s="50"/>
      <c r="B90" s="8" t="s">
        <v>55</v>
      </c>
      <c r="C90" s="8">
        <v>24</v>
      </c>
      <c r="D90" s="8">
        <v>30000</v>
      </c>
      <c r="E90" s="8">
        <f t="shared" si="72"/>
        <v>159598.06866425654</v>
      </c>
      <c r="F90" s="8">
        <f t="shared" si="73"/>
        <v>2291.0380849867756</v>
      </c>
      <c r="G90" s="8">
        <f t="shared" si="74"/>
        <v>0.18483914567501736</v>
      </c>
      <c r="H90" s="8">
        <f t="shared" si="77"/>
        <v>28307.423554936649</v>
      </c>
      <c r="I90" s="8">
        <f t="shared" si="78"/>
        <v>-799.96583509810944</v>
      </c>
      <c r="J90" s="8">
        <f t="shared" si="79"/>
        <v>1.0877974488531297</v>
      </c>
      <c r="K90" s="8">
        <f t="shared" si="75"/>
        <v>42339.776433358478</v>
      </c>
      <c r="L90" s="8">
        <f t="shared" si="76"/>
        <v>23005.043983569489</v>
      </c>
      <c r="M90" s="9">
        <f t="shared" si="67"/>
        <v>152270082.42526928</v>
      </c>
      <c r="N90" s="9">
        <f t="shared" si="68"/>
        <v>48929409.67179741</v>
      </c>
    </row>
    <row r="91" spans="1:14" x14ac:dyDescent="0.3">
      <c r="A91" s="8" t="s">
        <v>36</v>
      </c>
      <c r="B91" s="8"/>
      <c r="C91" s="8"/>
      <c r="D91" s="9">
        <f>SUM(D67:D90)</f>
        <v>815000</v>
      </c>
      <c r="E91" s="9"/>
      <c r="F91" s="9"/>
      <c r="G91" s="9"/>
      <c r="H91" s="9"/>
      <c r="I91" s="9"/>
      <c r="J91" s="9"/>
      <c r="K91" s="9">
        <f t="shared" ref="K91:N91" si="80">SUM(K67:K90)</f>
        <v>801724.4492535938</v>
      </c>
      <c r="L91" s="9">
        <f t="shared" si="80"/>
        <v>442578.12023775821</v>
      </c>
      <c r="M91" s="9">
        <f t="shared" si="80"/>
        <v>8990258612.3487949</v>
      </c>
      <c r="N91" s="9">
        <f t="shared" si="80"/>
        <v>17929163862.879108</v>
      </c>
    </row>
    <row r="92" spans="1:14" x14ac:dyDescent="0.3">
      <c r="A92" s="8" t="s">
        <v>37</v>
      </c>
      <c r="B92" s="8"/>
      <c r="C92" s="8"/>
      <c r="D92" s="8">
        <f>D91/COUNT(D67:D90)</f>
        <v>33958.333333333336</v>
      </c>
      <c r="E92" s="8"/>
      <c r="F92" s="8"/>
      <c r="G92" s="8"/>
      <c r="H92" s="8"/>
      <c r="I92" s="8"/>
      <c r="J92" s="8"/>
      <c r="K92" s="8">
        <f t="shared" ref="K92:N92" si="81">K91/COUNT(K67:K90)</f>
        <v>34857.584750156253</v>
      </c>
      <c r="L92" s="8">
        <f t="shared" si="81"/>
        <v>18440.755009906592</v>
      </c>
      <c r="M92" s="8">
        <f t="shared" si="81"/>
        <v>374594108.84786648</v>
      </c>
      <c r="N92" s="8">
        <f t="shared" si="81"/>
        <v>747048494.28662956</v>
      </c>
    </row>
    <row r="93" spans="1:14" x14ac:dyDescent="0.3">
      <c r="A93" s="25" t="s">
        <v>58</v>
      </c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M93" s="25">
        <f>SQRT(M92)/COUNT(M67:M90)</f>
        <v>806.43474288224081</v>
      </c>
      <c r="N93" s="25">
        <f>SQRT(N92)/COUNT(N67:N90)</f>
        <v>1138.841161650668</v>
      </c>
    </row>
  </sheetData>
  <mergeCells count="17">
    <mergeCell ref="A65:N65"/>
    <mergeCell ref="P66:P70"/>
    <mergeCell ref="A67:A78"/>
    <mergeCell ref="P71:P75"/>
    <mergeCell ref="A79:A90"/>
    <mergeCell ref="A32:N32"/>
    <mergeCell ref="P32:AC32"/>
    <mergeCell ref="A34:A45"/>
    <mergeCell ref="P34:P45"/>
    <mergeCell ref="A46:A57"/>
    <mergeCell ref="P46:P57"/>
    <mergeCell ref="A1:N1"/>
    <mergeCell ref="P1:AC1"/>
    <mergeCell ref="A3:A14"/>
    <mergeCell ref="P3:P14"/>
    <mergeCell ref="A15:A26"/>
    <mergeCell ref="P15:P26"/>
  </mergeCells>
  <phoneticPr fontId="4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596A8-3271-46A4-BF74-0A309687222B}">
  <dimension ref="A1:P44"/>
  <sheetViews>
    <sheetView workbookViewId="0">
      <selection activeCell="L24" sqref="L24"/>
    </sheetView>
  </sheetViews>
  <sheetFormatPr defaultRowHeight="14.4" x14ac:dyDescent="0.3"/>
  <cols>
    <col min="5" max="5" width="12.6640625" bestFit="1" customWidth="1"/>
    <col min="8" max="8" width="12" bestFit="1" customWidth="1"/>
    <col min="10" max="10" width="14.77734375" bestFit="1" customWidth="1"/>
    <col min="13" max="13" width="12.88671875" customWidth="1"/>
  </cols>
  <sheetData>
    <row r="1" spans="1:16" x14ac:dyDescent="0.3">
      <c r="A1" s="57" t="s">
        <v>190</v>
      </c>
      <c r="B1" s="7"/>
      <c r="C1" s="7"/>
      <c r="D1" s="7" t="s">
        <v>56</v>
      </c>
      <c r="E1" s="7" t="s">
        <v>57</v>
      </c>
      <c r="F1" s="7" t="s">
        <v>58</v>
      </c>
      <c r="G1" s="7" t="s">
        <v>59</v>
      </c>
      <c r="H1" s="7" t="s">
        <v>60</v>
      </c>
      <c r="K1" s="31" t="s">
        <v>194</v>
      </c>
      <c r="L1" s="32" t="s">
        <v>56</v>
      </c>
      <c r="M1" s="32" t="s">
        <v>57</v>
      </c>
      <c r="N1" s="32" t="s">
        <v>58</v>
      </c>
      <c r="O1" s="32" t="s">
        <v>59</v>
      </c>
      <c r="P1" s="32" t="s">
        <v>60</v>
      </c>
    </row>
    <row r="2" spans="1:16" x14ac:dyDescent="0.3">
      <c r="A2" s="57"/>
      <c r="B2" s="7" t="s">
        <v>61</v>
      </c>
      <c r="C2" s="7" t="s">
        <v>3</v>
      </c>
      <c r="D2" s="7">
        <v>32444.444444444453</v>
      </c>
      <c r="E2" s="7">
        <v>1895111111.1111112</v>
      </c>
      <c r="F2" s="7">
        <v>43532.873912838688</v>
      </c>
      <c r="G2">
        <v>1.5562003968253963</v>
      </c>
      <c r="H2">
        <v>-1.1955522486772487</v>
      </c>
      <c r="K2" s="31" t="s">
        <v>3</v>
      </c>
      <c r="L2" s="33">
        <f t="shared" ref="L2:M4" si="0">MIN(D2,D13,D7,D18,D24,D35,D40,D29)</f>
        <v>11293.518926946008</v>
      </c>
      <c r="M2" s="33">
        <f t="shared" si="0"/>
        <v>189940246.64496186</v>
      </c>
      <c r="N2" s="33">
        <f t="shared" ref="M2:P6" si="1">MIN(F2,F13,F7,F18,F24,F35,F40,F29)</f>
        <v>13781.881099652612</v>
      </c>
      <c r="O2" s="35">
        <f t="shared" si="1"/>
        <v>0.40371898203575668</v>
      </c>
      <c r="P2" s="34">
        <f>MIN(H2,H13,H7,H18,H24,H35,H40,H29)</f>
        <v>-2.8100882264427312</v>
      </c>
    </row>
    <row r="3" spans="1:16" x14ac:dyDescent="0.3">
      <c r="A3" s="57"/>
      <c r="B3" s="7"/>
      <c r="C3" s="7" t="s">
        <v>173</v>
      </c>
      <c r="D3" s="7">
        <v>30277.777777777781</v>
      </c>
      <c r="E3" s="7">
        <v>1539814814.8148146</v>
      </c>
      <c r="F3" s="7">
        <v>39240.474192022892</v>
      </c>
      <c r="G3">
        <v>0.13553157524172016</v>
      </c>
      <c r="H3">
        <v>-3.0451669908191654E-2</v>
      </c>
      <c r="K3" s="31" t="s">
        <v>173</v>
      </c>
      <c r="L3" s="33">
        <f t="shared" si="0"/>
        <v>9002.6118272485601</v>
      </c>
      <c r="M3" s="33">
        <f t="shared" si="0"/>
        <v>126712647.52386597</v>
      </c>
      <c r="N3" s="33">
        <f t="shared" si="1"/>
        <v>11256.671245260117</v>
      </c>
      <c r="O3" s="35">
        <f t="shared" si="1"/>
        <v>3.9866946115293282E-2</v>
      </c>
      <c r="P3" s="34">
        <f t="shared" si="1"/>
        <v>-4.0252155868663882E-2</v>
      </c>
    </row>
    <row r="4" spans="1:16" x14ac:dyDescent="0.3">
      <c r="A4" s="57"/>
      <c r="B4" s="7"/>
      <c r="C4" s="7" t="s">
        <v>6</v>
      </c>
      <c r="D4" s="7">
        <v>67083.333333333314</v>
      </c>
      <c r="E4" s="7">
        <v>7468055555.5555544</v>
      </c>
      <c r="F4" s="7">
        <v>86417.912237889395</v>
      </c>
      <c r="G4">
        <v>0.2174584562067175</v>
      </c>
      <c r="H4">
        <v>-6.3208724170607772E-2</v>
      </c>
      <c r="I4" s="7"/>
      <c r="J4" s="7"/>
      <c r="K4" s="31" t="s">
        <v>6</v>
      </c>
      <c r="L4" s="33">
        <f t="shared" si="0"/>
        <v>23983.650851253271</v>
      </c>
      <c r="M4" s="33">
        <f t="shared" si="0"/>
        <v>983726432.73804343</v>
      </c>
      <c r="N4" s="33">
        <f t="shared" si="1"/>
        <v>31364.413476710248</v>
      </c>
      <c r="O4" s="35">
        <f t="shared" si="1"/>
        <v>7.7830726831710384E-2</v>
      </c>
      <c r="P4" s="34">
        <f t="shared" si="1"/>
        <v>-7.6598506102851904E-2</v>
      </c>
    </row>
    <row r="5" spans="1:16" x14ac:dyDescent="0.3">
      <c r="A5" s="57"/>
      <c r="B5" s="7"/>
      <c r="C5" s="7" t="s">
        <v>8</v>
      </c>
      <c r="D5" s="7">
        <v>9083.3333333333303</v>
      </c>
      <c r="E5" s="7">
        <v>158574074.07407409</v>
      </c>
      <c r="F5" s="7">
        <v>12592.619825678614</v>
      </c>
      <c r="G5">
        <v>0.14829530423280424</v>
      </c>
      <c r="H5">
        <v>-1.7260251322751323E-2</v>
      </c>
      <c r="I5" s="7"/>
      <c r="J5" s="7"/>
      <c r="K5" s="31" t="s">
        <v>8</v>
      </c>
      <c r="L5" s="33">
        <f>MIN(D5,D16,D10,D21,D27,D38,D43,D32)</f>
        <v>3269.0191092092095</v>
      </c>
      <c r="M5" s="33">
        <f t="shared" si="1"/>
        <v>16614824.945557673</v>
      </c>
      <c r="N5" s="33">
        <f t="shared" si="1"/>
        <v>4076.1286713691547</v>
      </c>
      <c r="O5" s="35">
        <f t="shared" si="1"/>
        <v>5.3857815516845431E-2</v>
      </c>
      <c r="P5" s="34">
        <f t="shared" si="1"/>
        <v>-1.9547206270269679E-2</v>
      </c>
    </row>
    <row r="6" spans="1:16" x14ac:dyDescent="0.3">
      <c r="A6" s="57"/>
      <c r="B6" s="7"/>
      <c r="C6" s="7" t="s">
        <v>15</v>
      </c>
      <c r="D6" s="7">
        <v>7222.2222222222226</v>
      </c>
      <c r="E6" s="7">
        <v>82870370.370370373</v>
      </c>
      <c r="F6" s="7">
        <v>9103.3164489855226</v>
      </c>
      <c r="G6">
        <v>0.21686507936507937</v>
      </c>
      <c r="H6">
        <v>-4.3716931216931224E-2</v>
      </c>
      <c r="I6" s="7"/>
      <c r="J6" s="7"/>
      <c r="K6" s="31" t="s">
        <v>15</v>
      </c>
      <c r="L6" s="33">
        <f t="shared" ref="L6" si="2">MIN(D6,D17,D11,D22,D28,D39,D44,D33)</f>
        <v>2555.6731398791121</v>
      </c>
      <c r="M6" s="33">
        <f t="shared" si="1"/>
        <v>9729174.4047883507</v>
      </c>
      <c r="N6" s="33">
        <f t="shared" si="1"/>
        <v>3119.1624524523168</v>
      </c>
      <c r="O6" s="35">
        <f t="shared" si="1"/>
        <v>7.8049766861244388E-2</v>
      </c>
      <c r="P6" s="34">
        <f t="shared" si="1"/>
        <v>-6.4234218826340464E-2</v>
      </c>
    </row>
    <row r="7" spans="1:16" x14ac:dyDescent="0.3">
      <c r="A7" s="57"/>
      <c r="B7" s="7" t="s">
        <v>62</v>
      </c>
      <c r="C7" s="7" t="s">
        <v>3</v>
      </c>
      <c r="D7" s="7">
        <v>28566.666666666664</v>
      </c>
      <c r="E7" s="7">
        <v>1695463333.3333333</v>
      </c>
      <c r="F7" s="7">
        <v>41176.00433909698</v>
      </c>
      <c r="G7">
        <v>1.5885340007215007</v>
      </c>
      <c r="H7">
        <v>-1.3636286976911975</v>
      </c>
      <c r="I7" s="7"/>
      <c r="J7" s="7"/>
    </row>
    <row r="8" spans="1:16" x14ac:dyDescent="0.3">
      <c r="A8" s="57"/>
      <c r="B8" s="7"/>
      <c r="C8" s="7" t="s">
        <v>173</v>
      </c>
      <c r="D8" s="7">
        <v>26250</v>
      </c>
      <c r="E8" s="7">
        <v>1331166666.6666665</v>
      </c>
      <c r="F8" s="7">
        <v>36485.156799261073</v>
      </c>
      <c r="G8">
        <v>0.11589891060362074</v>
      </c>
      <c r="H8">
        <v>-2.2712200507490361E-2</v>
      </c>
      <c r="I8" s="7"/>
      <c r="J8" s="7"/>
      <c r="K8" s="36" t="s">
        <v>195</v>
      </c>
      <c r="L8" s="37" t="s">
        <v>56</v>
      </c>
      <c r="M8" s="37" t="s">
        <v>57</v>
      </c>
      <c r="N8" s="37" t="s">
        <v>58</v>
      </c>
      <c r="O8" s="37" t="s">
        <v>59</v>
      </c>
      <c r="P8" s="37" t="s">
        <v>60</v>
      </c>
    </row>
    <row r="9" spans="1:16" x14ac:dyDescent="0.3">
      <c r="A9" s="57"/>
      <c r="B9" s="7"/>
      <c r="C9" s="7" t="s">
        <v>6</v>
      </c>
      <c r="D9" s="7">
        <v>54666.666666666664</v>
      </c>
      <c r="E9" s="7">
        <v>5328333333.333333</v>
      </c>
      <c r="F9" s="7">
        <v>72995.433647135302</v>
      </c>
      <c r="G9">
        <v>0.18089885693384228</v>
      </c>
      <c r="H9">
        <v>-7.3147443114317021E-2</v>
      </c>
      <c r="I9" s="7"/>
      <c r="J9" s="7"/>
      <c r="K9" s="36" t="s">
        <v>3</v>
      </c>
      <c r="L9" s="8" t="s">
        <v>196</v>
      </c>
      <c r="M9" s="8" t="s">
        <v>196</v>
      </c>
      <c r="N9" s="8" t="s">
        <v>196</v>
      </c>
      <c r="O9" s="8" t="s">
        <v>196</v>
      </c>
      <c r="P9" s="8" t="s">
        <v>196</v>
      </c>
    </row>
    <row r="10" spans="1:16" x14ac:dyDescent="0.3">
      <c r="A10" s="57"/>
      <c r="B10" s="7"/>
      <c r="C10" s="7" t="s">
        <v>8</v>
      </c>
      <c r="D10" s="7">
        <v>8766.6666666666661</v>
      </c>
      <c r="E10" s="7">
        <v>140666666.66666666</v>
      </c>
      <c r="F10" s="7">
        <v>11860.29791643813</v>
      </c>
      <c r="G10">
        <v>0.14388293650793649</v>
      </c>
      <c r="H10">
        <v>-1.4061507936507942E-2</v>
      </c>
      <c r="I10" s="7"/>
      <c r="J10" s="7"/>
      <c r="K10" s="36" t="s">
        <v>173</v>
      </c>
      <c r="L10" s="8" t="s">
        <v>196</v>
      </c>
      <c r="M10" s="8" t="s">
        <v>196</v>
      </c>
      <c r="N10" s="8" t="s">
        <v>196</v>
      </c>
      <c r="O10" s="8" t="s">
        <v>196</v>
      </c>
      <c r="P10" s="8" t="s">
        <v>196</v>
      </c>
    </row>
    <row r="11" spans="1:16" x14ac:dyDescent="0.3">
      <c r="A11" s="57"/>
      <c r="B11" s="7"/>
      <c r="C11" s="7" t="s">
        <v>15</v>
      </c>
      <c r="D11" s="7">
        <v>7583.333333333333</v>
      </c>
      <c r="E11" s="7">
        <v>101750000</v>
      </c>
      <c r="F11" s="7">
        <v>10087.120500916008</v>
      </c>
      <c r="G11">
        <v>0.22531746031746031</v>
      </c>
      <c r="H11">
        <v>-3.2817460317460322E-2</v>
      </c>
      <c r="I11" s="7"/>
      <c r="J11" s="7"/>
      <c r="K11" s="36" t="s">
        <v>6</v>
      </c>
      <c r="L11" s="8" t="s">
        <v>196</v>
      </c>
      <c r="M11" s="8" t="s">
        <v>196</v>
      </c>
      <c r="N11" s="8" t="s">
        <v>196</v>
      </c>
      <c r="O11" s="8" t="s">
        <v>196</v>
      </c>
      <c r="P11" s="8" t="s">
        <v>196</v>
      </c>
    </row>
    <row r="12" spans="1:16" x14ac:dyDescent="0.3">
      <c r="A12" s="49" t="s">
        <v>191</v>
      </c>
      <c r="D12" t="s">
        <v>56</v>
      </c>
      <c r="E12" t="s">
        <v>57</v>
      </c>
      <c r="F12" t="s">
        <v>58</v>
      </c>
      <c r="G12" t="s">
        <v>59</v>
      </c>
      <c r="H12" t="s">
        <v>60</v>
      </c>
      <c r="I12" s="7"/>
      <c r="J12" s="7"/>
      <c r="K12" s="36" t="s">
        <v>8</v>
      </c>
      <c r="L12" s="8" t="s">
        <v>196</v>
      </c>
      <c r="M12" s="8" t="s">
        <v>196</v>
      </c>
      <c r="N12" s="8" t="s">
        <v>196</v>
      </c>
      <c r="O12" s="8" t="s">
        <v>196</v>
      </c>
      <c r="P12" s="8" t="s">
        <v>196</v>
      </c>
    </row>
    <row r="13" spans="1:16" x14ac:dyDescent="0.3">
      <c r="A13" s="49"/>
      <c r="B13" t="s">
        <v>179</v>
      </c>
      <c r="C13" t="s">
        <v>3</v>
      </c>
      <c r="D13">
        <v>46504.539109992511</v>
      </c>
      <c r="E13">
        <v>2738255078.2664351</v>
      </c>
      <c r="F13">
        <v>52328.33915065942</v>
      </c>
      <c r="G13">
        <v>2.9441919940543744</v>
      </c>
      <c r="H13">
        <v>-2.8100882264427312</v>
      </c>
      <c r="I13" s="7"/>
      <c r="J13" s="7"/>
      <c r="K13" s="36" t="s">
        <v>15</v>
      </c>
      <c r="L13" s="8" t="s">
        <v>196</v>
      </c>
      <c r="M13" s="8" t="s">
        <v>196</v>
      </c>
      <c r="N13" s="8" t="s">
        <v>196</v>
      </c>
      <c r="O13" s="8" t="s">
        <v>196</v>
      </c>
      <c r="P13" s="8" t="s">
        <v>196</v>
      </c>
    </row>
    <row r="14" spans="1:16" x14ac:dyDescent="0.3">
      <c r="A14" s="49"/>
      <c r="C14" t="s">
        <v>173</v>
      </c>
      <c r="D14">
        <v>29226.810807430171</v>
      </c>
      <c r="E14">
        <v>1200313934.3476539</v>
      </c>
      <c r="F14">
        <v>34645.547107062026</v>
      </c>
      <c r="G14">
        <v>0.13080347169322923</v>
      </c>
      <c r="H14">
        <v>-4.0252155868663882E-2</v>
      </c>
      <c r="I14" s="7"/>
      <c r="J14" s="7"/>
    </row>
    <row r="15" spans="1:16" x14ac:dyDescent="0.3">
      <c r="A15" s="49"/>
      <c r="C15" t="s">
        <v>6</v>
      </c>
      <c r="D15">
        <v>89936.697059485174</v>
      </c>
      <c r="E15">
        <v>13408485049.551645</v>
      </c>
      <c r="F15">
        <v>115795.01305993987</v>
      </c>
      <c r="G15">
        <v>0.24250534087463999</v>
      </c>
      <c r="H15">
        <v>0.1133706119182261</v>
      </c>
      <c r="I15" s="7"/>
      <c r="J15" s="7"/>
    </row>
    <row r="16" spans="1:16" x14ac:dyDescent="0.3">
      <c r="A16" s="49"/>
      <c r="C16" t="s">
        <v>8</v>
      </c>
      <c r="D16">
        <v>10780.619740150638</v>
      </c>
      <c r="E16">
        <v>169258115.12635475</v>
      </c>
      <c r="F16">
        <v>13009.923717161248</v>
      </c>
      <c r="G16">
        <v>0.1674410603244815</v>
      </c>
      <c r="H16">
        <v>7.0173996282985332E-2</v>
      </c>
      <c r="I16" s="7"/>
      <c r="J16" s="7"/>
    </row>
    <row r="17" spans="1:10" x14ac:dyDescent="0.3">
      <c r="A17" s="49"/>
      <c r="C17" t="s">
        <v>15</v>
      </c>
      <c r="D17">
        <v>8586.0084409547526</v>
      </c>
      <c r="E17">
        <v>111045045.51734824</v>
      </c>
      <c r="F17">
        <v>10537.791301660336</v>
      </c>
      <c r="G17">
        <v>0.27578127817051845</v>
      </c>
      <c r="H17">
        <v>-5.4430844864005387E-2</v>
      </c>
      <c r="I17" s="7"/>
      <c r="J17" s="7"/>
    </row>
    <row r="18" spans="1:10" x14ac:dyDescent="0.3">
      <c r="A18" s="49"/>
      <c r="B18" t="s">
        <v>180</v>
      </c>
      <c r="C18" t="s">
        <v>3</v>
      </c>
      <c r="D18">
        <v>36699.087731042018</v>
      </c>
      <c r="E18">
        <v>2151165733.5230608</v>
      </c>
      <c r="F18">
        <v>46380.661201874434</v>
      </c>
      <c r="G18">
        <v>1.6347151870940175</v>
      </c>
      <c r="H18">
        <v>-1.3797726968511286</v>
      </c>
      <c r="I18" s="7"/>
      <c r="J18" s="7"/>
    </row>
    <row r="19" spans="1:10" x14ac:dyDescent="0.3">
      <c r="A19" s="49"/>
      <c r="C19" t="s">
        <v>173</v>
      </c>
      <c r="D19">
        <v>30565.53990252224</v>
      </c>
      <c r="E19">
        <v>1366508747.825124</v>
      </c>
      <c r="F19">
        <v>36966.319100298912</v>
      </c>
      <c r="G19">
        <v>0.13686456604550137</v>
      </c>
      <c r="H19">
        <v>-3.4723907399106031E-2</v>
      </c>
      <c r="I19" s="7"/>
      <c r="J19" s="7"/>
    </row>
    <row r="20" spans="1:10" x14ac:dyDescent="0.3">
      <c r="A20" s="49"/>
      <c r="C20" t="s">
        <v>6</v>
      </c>
      <c r="D20">
        <v>79363.112639378305</v>
      </c>
      <c r="E20">
        <v>10291654827.388628</v>
      </c>
      <c r="F20">
        <v>101447.79360532505</v>
      </c>
      <c r="G20">
        <v>0.23872333019084205</v>
      </c>
      <c r="H20">
        <v>-1.9222423931227958E-2</v>
      </c>
      <c r="I20" s="7"/>
      <c r="J20" s="7"/>
    </row>
    <row r="21" spans="1:10" x14ac:dyDescent="0.3">
      <c r="A21" s="49"/>
      <c r="C21" t="s">
        <v>8</v>
      </c>
      <c r="D21">
        <v>9756.7067787944125</v>
      </c>
      <c r="E21">
        <v>161799913.4694601</v>
      </c>
      <c r="F21">
        <v>12720.05949158494</v>
      </c>
      <c r="G21">
        <v>0.15836857638400681</v>
      </c>
      <c r="H21">
        <v>7.0870058235886586E-3</v>
      </c>
      <c r="I21" s="7"/>
      <c r="J21" s="7"/>
    </row>
    <row r="22" spans="1:10" x14ac:dyDescent="0.3">
      <c r="A22" s="49"/>
      <c r="C22" t="s">
        <v>15</v>
      </c>
      <c r="D22">
        <v>8614.7708201854566</v>
      </c>
      <c r="E22">
        <v>104091184.85988374</v>
      </c>
      <c r="F22">
        <v>10202.5087532373</v>
      </c>
      <c r="G22">
        <v>0.27033061503425881</v>
      </c>
      <c r="H22">
        <v>-6.4234218826340464E-2</v>
      </c>
      <c r="I22" s="7"/>
      <c r="J22" s="7"/>
    </row>
    <row r="23" spans="1:10" x14ac:dyDescent="0.3">
      <c r="A23" s="49" t="s">
        <v>192</v>
      </c>
      <c r="D23" t="s">
        <v>56</v>
      </c>
      <c r="E23" t="s">
        <v>57</v>
      </c>
      <c r="F23" t="s">
        <v>58</v>
      </c>
      <c r="G23" t="s">
        <v>59</v>
      </c>
      <c r="H23" t="s">
        <v>60</v>
      </c>
      <c r="I23" s="7" t="s">
        <v>181</v>
      </c>
      <c r="J23" s="7"/>
    </row>
    <row r="24" spans="1:10" x14ac:dyDescent="0.3">
      <c r="A24" s="49"/>
      <c r="B24" t="s">
        <v>184</v>
      </c>
      <c r="C24" t="s">
        <v>3</v>
      </c>
      <c r="D24">
        <v>27386.903076902672</v>
      </c>
      <c r="E24">
        <v>1114180930.6777749</v>
      </c>
      <c r="F24">
        <v>33379.348865395426</v>
      </c>
      <c r="G24">
        <v>1.0433315957735088</v>
      </c>
      <c r="H24">
        <v>-0.41180865458002885</v>
      </c>
      <c r="I24" s="7">
        <v>66758.697730790853</v>
      </c>
      <c r="J24" s="7"/>
    </row>
    <row r="25" spans="1:10" x14ac:dyDescent="0.3">
      <c r="A25" s="49"/>
      <c r="C25" t="s">
        <v>173</v>
      </c>
      <c r="D25">
        <v>240887.1021142744</v>
      </c>
      <c r="E25">
        <v>692281571.10800314</v>
      </c>
      <c r="F25">
        <v>26311.244195362618</v>
      </c>
      <c r="G25">
        <v>9.7893325467060546E-2</v>
      </c>
      <c r="H25">
        <v>-2.2804394246565694E-2</v>
      </c>
      <c r="I25" s="7">
        <v>52622.488390725237</v>
      </c>
      <c r="J25" s="7"/>
    </row>
    <row r="26" spans="1:10" x14ac:dyDescent="0.3">
      <c r="A26" s="49"/>
      <c r="C26" t="s">
        <v>6</v>
      </c>
      <c r="D26">
        <v>57161.373779962349</v>
      </c>
      <c r="E26">
        <v>5400833924.643652</v>
      </c>
      <c r="F26">
        <v>73490.366202949706</v>
      </c>
      <c r="G26">
        <v>0.18185941670891373</v>
      </c>
      <c r="H26">
        <v>-7.6598506102851904E-2</v>
      </c>
      <c r="I26" s="7">
        <v>146980.73240589941</v>
      </c>
      <c r="J26" s="7"/>
    </row>
    <row r="27" spans="1:10" x14ac:dyDescent="0.3">
      <c r="A27" s="49"/>
      <c r="C27" t="s">
        <v>8</v>
      </c>
      <c r="D27">
        <v>6921.1454361511069</v>
      </c>
      <c r="E27">
        <v>77562439.779922202</v>
      </c>
      <c r="F27">
        <v>8806.954058011328</v>
      </c>
      <c r="G27">
        <v>0.11601792670447589</v>
      </c>
      <c r="H27">
        <v>-1.9547206270269679E-2</v>
      </c>
      <c r="I27">
        <v>17613.908116022656</v>
      </c>
    </row>
    <row r="28" spans="1:10" x14ac:dyDescent="0.3">
      <c r="A28" s="49"/>
      <c r="C28" t="s">
        <v>15</v>
      </c>
      <c r="D28">
        <v>6875.7290680423348</v>
      </c>
      <c r="E28">
        <v>58196525.538929217</v>
      </c>
      <c r="F28">
        <v>7628.6647284389956</v>
      </c>
      <c r="G28">
        <v>0.2153879350510701</v>
      </c>
      <c r="H28">
        <v>-5.9179539060615662E-2</v>
      </c>
      <c r="I28">
        <v>15257.329456877991</v>
      </c>
    </row>
    <row r="29" spans="1:10" x14ac:dyDescent="0.3">
      <c r="A29" s="49"/>
      <c r="B29" t="s">
        <v>185</v>
      </c>
      <c r="C29" t="s">
        <v>3</v>
      </c>
      <c r="D29">
        <v>11293.518926946008</v>
      </c>
      <c r="E29">
        <v>189940246.64496186</v>
      </c>
      <c r="F29">
        <v>13781.881099652612</v>
      </c>
      <c r="G29">
        <v>0.40371898203575668</v>
      </c>
      <c r="H29">
        <v>0.1273641004153378</v>
      </c>
      <c r="I29">
        <v>27563.762199305223</v>
      </c>
    </row>
    <row r="30" spans="1:10" x14ac:dyDescent="0.3">
      <c r="A30" s="49"/>
      <c r="C30" t="s">
        <v>173</v>
      </c>
      <c r="D30">
        <v>9002.6118272485601</v>
      </c>
      <c r="E30">
        <v>126712647.52386597</v>
      </c>
      <c r="F30">
        <v>11256.671245260117</v>
      </c>
      <c r="G30">
        <v>3.9866946115293282E-2</v>
      </c>
      <c r="H30">
        <v>-5.9387907925036757E-3</v>
      </c>
      <c r="I30">
        <v>22513.342490520234</v>
      </c>
    </row>
    <row r="31" spans="1:10" x14ac:dyDescent="0.3">
      <c r="A31" s="49"/>
      <c r="C31" t="s">
        <v>6</v>
      </c>
      <c r="D31">
        <v>23983.650851253271</v>
      </c>
      <c r="E31">
        <v>983726432.73804343</v>
      </c>
      <c r="F31">
        <v>31364.413476710248</v>
      </c>
      <c r="G31">
        <v>7.7830726831710384E-2</v>
      </c>
      <c r="H31">
        <v>-3.3634042560690788E-2</v>
      </c>
      <c r="I31">
        <v>62728.826953420496</v>
      </c>
    </row>
    <row r="32" spans="1:10" x14ac:dyDescent="0.3">
      <c r="A32" s="49"/>
      <c r="C32" t="s">
        <v>8</v>
      </c>
      <c r="D32">
        <v>3269.0191092092095</v>
      </c>
      <c r="E32">
        <v>16614824.945557673</v>
      </c>
      <c r="F32">
        <v>4076.1286713691547</v>
      </c>
      <c r="G32">
        <v>5.3857815516845431E-2</v>
      </c>
      <c r="H32">
        <v>-1.5852066109174719E-2</v>
      </c>
      <c r="I32">
        <v>8152.2573427383095</v>
      </c>
    </row>
    <row r="33" spans="1:9" x14ac:dyDescent="0.3">
      <c r="A33" s="49"/>
      <c r="C33" t="s">
        <v>15</v>
      </c>
      <c r="D33">
        <v>2555.6731398791121</v>
      </c>
      <c r="E33">
        <v>9729174.4047883507</v>
      </c>
      <c r="F33">
        <v>3119.1624524523168</v>
      </c>
      <c r="G33">
        <v>7.8049766861244388E-2</v>
      </c>
      <c r="H33">
        <v>-1.5013891271121935E-2</v>
      </c>
      <c r="I33">
        <v>6238.3249049046335</v>
      </c>
    </row>
    <row r="34" spans="1:9" x14ac:dyDescent="0.3">
      <c r="A34" s="49" t="s">
        <v>193</v>
      </c>
      <c r="D34" t="s">
        <v>56</v>
      </c>
      <c r="E34" t="s">
        <v>57</v>
      </c>
      <c r="F34" t="s">
        <v>58</v>
      </c>
      <c r="G34" t="s">
        <v>59</v>
      </c>
      <c r="H34" t="s">
        <v>60</v>
      </c>
      <c r="I34" t="s">
        <v>181</v>
      </c>
    </row>
    <row r="35" spans="1:9" x14ac:dyDescent="0.3">
      <c r="A35" s="49"/>
      <c r="B35" t="s">
        <v>184</v>
      </c>
      <c r="C35" t="s">
        <v>3</v>
      </c>
      <c r="D35">
        <v>41365.533930568017</v>
      </c>
      <c r="E35">
        <v>4067285135.8011303</v>
      </c>
      <c r="F35">
        <v>63775.270566271458</v>
      </c>
      <c r="G35">
        <v>1.4777098732711273</v>
      </c>
      <c r="H35">
        <v>1.3102851013502119</v>
      </c>
      <c r="I35">
        <v>127550.54113254292</v>
      </c>
    </row>
    <row r="36" spans="1:9" x14ac:dyDescent="0.3">
      <c r="A36" s="49"/>
      <c r="C36" t="s">
        <v>173</v>
      </c>
      <c r="D36">
        <v>66644.728739349608</v>
      </c>
      <c r="E36">
        <v>11934208657.020231</v>
      </c>
      <c r="F36">
        <v>109243.80374657517</v>
      </c>
      <c r="G36">
        <v>0.34745878039501615</v>
      </c>
      <c r="H36">
        <v>3.5007696487475037E-2</v>
      </c>
      <c r="I36">
        <v>218487.60749315034</v>
      </c>
    </row>
    <row r="37" spans="1:9" x14ac:dyDescent="0.3">
      <c r="A37" s="49"/>
      <c r="C37" t="s">
        <v>6</v>
      </c>
      <c r="D37">
        <v>177235.8254007097</v>
      </c>
      <c r="E37">
        <v>58475457052.129089</v>
      </c>
      <c r="F37">
        <v>241816.99082597377</v>
      </c>
      <c r="G37">
        <v>0.67015742477963725</v>
      </c>
      <c r="H37">
        <v>-5.9872267595774922E-2</v>
      </c>
      <c r="I37">
        <v>483633.98165194754</v>
      </c>
    </row>
    <row r="38" spans="1:9" x14ac:dyDescent="0.3">
      <c r="A38" s="49"/>
      <c r="C38" t="s">
        <v>8</v>
      </c>
      <c r="D38">
        <v>15612.703875573676</v>
      </c>
      <c r="E38">
        <v>622248851.34542799</v>
      </c>
      <c r="F38">
        <v>24944.916342722579</v>
      </c>
      <c r="G38">
        <v>0.30194025040683431</v>
      </c>
      <c r="H38">
        <v>0.16515073151118634</v>
      </c>
      <c r="I38">
        <v>49889.832685445159</v>
      </c>
    </row>
    <row r="39" spans="1:9" x14ac:dyDescent="0.3">
      <c r="A39" s="49"/>
      <c r="C39" t="s">
        <v>15</v>
      </c>
      <c r="D39">
        <v>15762.145023040615</v>
      </c>
      <c r="E39">
        <v>428107552.96899021</v>
      </c>
      <c r="F39">
        <v>20690.760086787297</v>
      </c>
      <c r="G39">
        <v>0.56076316748807475</v>
      </c>
      <c r="H39">
        <v>-1.6286467211860825E-3</v>
      </c>
      <c r="I39">
        <v>41381.520173574594</v>
      </c>
    </row>
    <row r="40" spans="1:9" x14ac:dyDescent="0.3">
      <c r="A40" s="49"/>
      <c r="B40" t="s">
        <v>185</v>
      </c>
      <c r="C40" t="s">
        <v>3</v>
      </c>
      <c r="D40">
        <v>50491.732438633087</v>
      </c>
      <c r="E40">
        <v>5566788379.8379765</v>
      </c>
      <c r="F40">
        <v>74610.913275726474</v>
      </c>
      <c r="G40">
        <v>1.3102079810697713</v>
      </c>
      <c r="H40">
        <v>0.23439667857610019</v>
      </c>
      <c r="I40">
        <v>149221.82655145295</v>
      </c>
    </row>
    <row r="41" spans="1:9" x14ac:dyDescent="0.3">
      <c r="A41" s="49"/>
      <c r="C41" t="s">
        <v>173</v>
      </c>
      <c r="D41">
        <v>121491.33296053641</v>
      </c>
      <c r="E41">
        <v>27149442981.073147</v>
      </c>
      <c r="F41">
        <v>164770.88025823358</v>
      </c>
      <c r="G41">
        <v>0.63783304868135648</v>
      </c>
      <c r="H41">
        <v>0.48495951057744563</v>
      </c>
      <c r="I41">
        <v>329541.76051646715</v>
      </c>
    </row>
    <row r="42" spans="1:9" x14ac:dyDescent="0.3">
      <c r="A42" s="49"/>
      <c r="C42" t="s">
        <v>6</v>
      </c>
      <c r="D42">
        <v>236191.33780669287</v>
      </c>
      <c r="E42">
        <v>79781577049.152618</v>
      </c>
      <c r="F42">
        <v>282456.32768474601</v>
      </c>
      <c r="G42">
        <v>0.80729516135718249</v>
      </c>
      <c r="H42">
        <v>0.41112790634293561</v>
      </c>
      <c r="I42">
        <v>564912.65536949201</v>
      </c>
    </row>
    <row r="43" spans="1:9" x14ac:dyDescent="0.3">
      <c r="A43" s="49"/>
      <c r="C43" t="s">
        <v>8</v>
      </c>
      <c r="D43">
        <v>34171.793783970301</v>
      </c>
      <c r="E43">
        <v>1953243202.1437888</v>
      </c>
      <c r="F43">
        <v>44195.511108525367</v>
      </c>
      <c r="G43">
        <v>0.67303991345074743</v>
      </c>
      <c r="H43">
        <v>0.47577407353953854</v>
      </c>
      <c r="I43">
        <v>88391.022217050733</v>
      </c>
    </row>
    <row r="44" spans="1:9" x14ac:dyDescent="0.3">
      <c r="A44" s="49"/>
      <c r="C44" t="s">
        <v>15</v>
      </c>
      <c r="D44">
        <v>22113.030282310261</v>
      </c>
      <c r="E44">
        <v>853769707.75614798</v>
      </c>
      <c r="F44">
        <v>29219.337907559577</v>
      </c>
      <c r="G44">
        <v>0.7389690339417303</v>
      </c>
      <c r="H44">
        <v>0.44273496849827904</v>
      </c>
      <c r="I44">
        <v>58438.675815119153</v>
      </c>
    </row>
  </sheetData>
  <mergeCells count="4">
    <mergeCell ref="A34:A44"/>
    <mergeCell ref="A1:A11"/>
    <mergeCell ref="A12:A22"/>
    <mergeCell ref="A23:A33"/>
  </mergeCells>
  <phoneticPr fontId="4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469DA-E613-4BBB-9806-202F98FFA5AC}">
  <dimension ref="A2:F12"/>
  <sheetViews>
    <sheetView workbookViewId="0">
      <selection activeCell="D15" sqref="D15"/>
    </sheetView>
  </sheetViews>
  <sheetFormatPr defaultRowHeight="14.4" x14ac:dyDescent="0.3"/>
  <cols>
    <col min="1" max="1" width="25" bestFit="1" customWidth="1"/>
    <col min="6" max="6" width="14.6640625" bestFit="1" customWidth="1"/>
  </cols>
  <sheetData>
    <row r="2" spans="1:6" x14ac:dyDescent="0.3">
      <c r="A2" t="s">
        <v>30</v>
      </c>
      <c r="C2">
        <v>2021</v>
      </c>
      <c r="D2">
        <v>2020</v>
      </c>
    </row>
    <row r="3" spans="1:6" x14ac:dyDescent="0.3">
      <c r="A3" t="s">
        <v>34</v>
      </c>
      <c r="B3" t="s">
        <v>23</v>
      </c>
      <c r="C3">
        <v>3500000000000000</v>
      </c>
    </row>
    <row r="4" spans="1:6" x14ac:dyDescent="0.3">
      <c r="A4" t="s">
        <v>35</v>
      </c>
      <c r="B4" t="s">
        <v>23</v>
      </c>
      <c r="C4">
        <v>4000000000000000</v>
      </c>
    </row>
    <row r="5" spans="1:6" x14ac:dyDescent="0.3">
      <c r="B5" t="s">
        <v>25</v>
      </c>
      <c r="C5" t="s">
        <v>26</v>
      </c>
      <c r="D5" t="s">
        <v>27</v>
      </c>
    </row>
    <row r="6" spans="1:6" x14ac:dyDescent="0.3">
      <c r="A6" t="s">
        <v>29</v>
      </c>
      <c r="B6">
        <v>80000</v>
      </c>
      <c r="C6" t="s">
        <v>28</v>
      </c>
      <c r="F6" s="7">
        <f>C3/B6</f>
        <v>43750000000</v>
      </c>
    </row>
    <row r="7" spans="1:6" x14ac:dyDescent="0.3">
      <c r="A7" t="s">
        <v>33</v>
      </c>
    </row>
    <row r="9" spans="1:6" x14ac:dyDescent="0.3">
      <c r="A9" t="s">
        <v>31</v>
      </c>
      <c r="C9">
        <v>2021</v>
      </c>
      <c r="D9">
        <v>2020</v>
      </c>
      <c r="F9" t="s">
        <v>24</v>
      </c>
    </row>
    <row r="10" spans="1:6" x14ac:dyDescent="0.3">
      <c r="A10" t="s">
        <v>2</v>
      </c>
      <c r="C10">
        <v>914000</v>
      </c>
      <c r="D10">
        <f>C10-(C10*90%)</f>
        <v>91400</v>
      </c>
    </row>
    <row r="12" spans="1:6" x14ac:dyDescent="0.3">
      <c r="A12" t="s">
        <v>32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2BA96CC-79F5-45EA-8DBA-91D7380B9B5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Biểu giá</vt:lpstr>
      <vt:lpstr>Historical Sale</vt:lpstr>
      <vt:lpstr>Biểu đồ</vt:lpstr>
      <vt:lpstr>observed data</vt:lpstr>
      <vt:lpstr>Overall</vt:lpstr>
      <vt:lpstr>Moving Average</vt:lpstr>
      <vt:lpstr>Simple Exponential Smoothing</vt:lpstr>
      <vt:lpstr>Holt's Method</vt:lpstr>
      <vt:lpstr>Winter's Method</vt:lpstr>
      <vt:lpstr>Summary</vt:lpstr>
      <vt:lpstr>Market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VAN PHONG</dc:creator>
  <cp:lastModifiedBy>NGUYEN VAN PHONG</cp:lastModifiedBy>
  <dcterms:created xsi:type="dcterms:W3CDTF">2024-02-13T01:22:56Z</dcterms:created>
  <dcterms:modified xsi:type="dcterms:W3CDTF">2024-06-08T07:17:40Z</dcterms:modified>
</cp:coreProperties>
</file>