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STICS AND SUPPLY CHAIN\Project\"/>
    </mc:Choice>
  </mc:AlternateContent>
  <xr:revisionPtr revIDLastSave="0" documentId="13_ncr:1_{D9F00E5F-6FA7-4DA5-AE99-E74CAFF55F76}" xr6:coauthVersionLast="47" xr6:coauthVersionMax="47" xr10:uidLastSave="{00000000-0000-0000-0000-000000000000}"/>
  <bookViews>
    <workbookView xWindow="-108" yWindow="-108" windowWidth="23256" windowHeight="12456" xr2:uid="{8BDEE04F-A727-42A2-A7F7-01CD2113311A}"/>
  </bookViews>
  <sheets>
    <sheet name="Final Decision" sheetId="8" r:id="rId1"/>
    <sheet name="Reorder point" sheetId="4" r:id="rId2"/>
    <sheet name="Sheet1" sheetId="9" r:id="rId3"/>
    <sheet name="Sheet2" sheetId="10" r:id="rId4"/>
    <sheet name="ABC Class" sheetId="7" r:id="rId5"/>
    <sheet name="Biểu giá" sheetId="5" r:id="rId6"/>
    <sheet name="Origin forecast" sheetId="3" r:id="rId7"/>
    <sheet name="Test 1" sheetId="1" r:id="rId8"/>
    <sheet name="Test 2" sheetId="2" r:id="rId9"/>
    <sheet name="Previous Sale" sheetId="6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L47" i="2"/>
  <c r="C29" i="3"/>
  <c r="E30" i="3"/>
  <c r="F29" i="3"/>
  <c r="E29" i="3"/>
  <c r="E28" i="3"/>
  <c r="C21" i="9"/>
  <c r="D21" i="9"/>
  <c r="E21" i="9"/>
  <c r="F21" i="9"/>
  <c r="B21" i="9"/>
  <c r="C20" i="9"/>
  <c r="D20" i="9"/>
  <c r="E20" i="9"/>
  <c r="F20" i="9"/>
  <c r="B20" i="9"/>
  <c r="C19" i="9"/>
  <c r="D19" i="9"/>
  <c r="E19" i="9"/>
  <c r="N9" i="2" s="1"/>
  <c r="F19" i="9"/>
  <c r="B19" i="9"/>
  <c r="K9" i="2" s="1"/>
  <c r="C18" i="9"/>
  <c r="D18" i="9"/>
  <c r="M8" i="2" s="1"/>
  <c r="E18" i="9"/>
  <c r="F18" i="9"/>
  <c r="O8" i="2" s="1"/>
  <c r="B18" i="9"/>
  <c r="K8" i="2" s="1"/>
  <c r="B105" i="9"/>
  <c r="B22" i="2"/>
  <c r="C91" i="9"/>
  <c r="C92" i="9" s="1"/>
  <c r="C74" i="9"/>
  <c r="D76" i="9" s="1"/>
  <c r="I36" i="9"/>
  <c r="J38" i="9" s="1"/>
  <c r="C15" i="9"/>
  <c r="C16" i="9" s="1"/>
  <c r="D15" i="9"/>
  <c r="D16" i="9" s="1"/>
  <c r="E15" i="9"/>
  <c r="E16" i="9" s="1"/>
  <c r="F15" i="9"/>
  <c r="F16" i="9" s="1"/>
  <c r="B15" i="9"/>
  <c r="B16" i="9" s="1"/>
  <c r="C14" i="10"/>
  <c r="E14" i="10"/>
  <c r="F14" i="10"/>
  <c r="G14" i="10"/>
  <c r="B14" i="10"/>
  <c r="F48" i="9"/>
  <c r="C53" i="9"/>
  <c r="B19" i="2" s="1"/>
  <c r="B20" i="2" s="1"/>
  <c r="N42" i="4"/>
  <c r="N41" i="4"/>
  <c r="N39" i="4"/>
  <c r="N38" i="4"/>
  <c r="N40" i="4"/>
  <c r="N37" i="4"/>
  <c r="O3" i="4"/>
  <c r="O4" i="4"/>
  <c r="O5" i="4"/>
  <c r="O6" i="4"/>
  <c r="O7" i="4"/>
  <c r="O8" i="4"/>
  <c r="O9" i="4"/>
  <c r="O10" i="4"/>
  <c r="AA12" i="6"/>
  <c r="AA13" i="6"/>
  <c r="AA14" i="6"/>
  <c r="AA15" i="6"/>
  <c r="AA16" i="6"/>
  <c r="AA17" i="6"/>
  <c r="AA8" i="6"/>
  <c r="AA9" i="6"/>
  <c r="AA10" i="6"/>
  <c r="AA11" i="6"/>
  <c r="AA7" i="6"/>
  <c r="J22" i="4"/>
  <c r="J23" i="4" s="1"/>
  <c r="J20" i="4"/>
  <c r="D42" i="4" s="1"/>
  <c r="H42" i="4" s="1"/>
  <c r="N3" i="4"/>
  <c r="N4" i="4"/>
  <c r="N5" i="4"/>
  <c r="N6" i="4"/>
  <c r="N7" i="4"/>
  <c r="N8" i="4"/>
  <c r="N9" i="4"/>
  <c r="N10" i="4"/>
  <c r="N11" i="4"/>
  <c r="N2" i="4"/>
  <c r="O2" i="4" s="1"/>
  <c r="C14" i="4"/>
  <c r="F43" i="4"/>
  <c r="E16" i="4"/>
  <c r="E39" i="4" s="1"/>
  <c r="I39" i="4" s="1"/>
  <c r="E19" i="4"/>
  <c r="E42" i="4" s="1"/>
  <c r="I42" i="4" s="1"/>
  <c r="E18" i="4"/>
  <c r="E41" i="4" s="1"/>
  <c r="I41" i="4" s="1"/>
  <c r="E14" i="4"/>
  <c r="E37" i="4" s="1"/>
  <c r="I37" i="4" s="1"/>
  <c r="B19" i="4"/>
  <c r="H53" i="5"/>
  <c r="F53" i="5" s="1"/>
  <c r="H52" i="5"/>
  <c r="F52" i="5" s="1"/>
  <c r="H51" i="5"/>
  <c r="F51" i="5" s="1"/>
  <c r="H50" i="5"/>
  <c r="F50" i="5" s="1"/>
  <c r="H49" i="5"/>
  <c r="F49" i="5" s="1"/>
  <c r="H48" i="5"/>
  <c r="F48" i="5" s="1"/>
  <c r="H47" i="5"/>
  <c r="F47" i="5" s="1"/>
  <c r="H46" i="5"/>
  <c r="F46" i="5" s="1"/>
  <c r="H45" i="5"/>
  <c r="F45" i="5" s="1"/>
  <c r="H44" i="5"/>
  <c r="F44" i="5" s="1"/>
  <c r="H43" i="5"/>
  <c r="F43" i="5" s="1"/>
  <c r="H42" i="5"/>
  <c r="F42" i="5" s="1"/>
  <c r="H41" i="5"/>
  <c r="F41" i="5" s="1"/>
  <c r="H40" i="5"/>
  <c r="F40" i="5" s="1"/>
  <c r="H39" i="5"/>
  <c r="F39" i="5" s="1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F30" i="5" s="1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F22" i="5" s="1"/>
  <c r="H21" i="5"/>
  <c r="F21" i="5" s="1"/>
  <c r="H20" i="5"/>
  <c r="F20" i="5" s="1"/>
  <c r="H19" i="5"/>
  <c r="F19" i="5" s="1"/>
  <c r="H18" i="5"/>
  <c r="F18" i="5" s="1"/>
  <c r="H17" i="5"/>
  <c r="F17" i="5" s="1"/>
  <c r="H16" i="5"/>
  <c r="F16" i="5" s="1"/>
  <c r="H15" i="5"/>
  <c r="F15" i="5" s="1"/>
  <c r="H14" i="5"/>
  <c r="F14" i="5" s="1"/>
  <c r="H13" i="5"/>
  <c r="F13" i="5" s="1"/>
  <c r="H12" i="5"/>
  <c r="F12" i="5" s="1"/>
  <c r="H11" i="5"/>
  <c r="F11" i="5" s="1"/>
  <c r="H10" i="5"/>
  <c r="F10" i="5" s="1"/>
  <c r="H9" i="5"/>
  <c r="F9" i="5" s="1"/>
  <c r="H8" i="5"/>
  <c r="F8" i="5" s="1"/>
  <c r="F7" i="5"/>
  <c r="H6" i="5"/>
  <c r="F6" i="5"/>
  <c r="H5" i="5"/>
  <c r="F5" i="5"/>
  <c r="H4" i="5"/>
  <c r="F4" i="5"/>
  <c r="G3" i="5"/>
  <c r="H3" i="5" s="1"/>
  <c r="F3" i="5" s="1"/>
  <c r="L9" i="2" l="1"/>
  <c r="O9" i="2"/>
  <c r="M9" i="2"/>
  <c r="N8" i="2"/>
  <c r="C93" i="9"/>
  <c r="L8" i="2"/>
  <c r="C94" i="9"/>
  <c r="N4" i="2"/>
  <c r="N5" i="2" s="1"/>
  <c r="N6" i="2" s="1"/>
  <c r="M4" i="2"/>
  <c r="M5" i="2" s="1"/>
  <c r="M6" i="2" s="1"/>
  <c r="L4" i="2"/>
  <c r="L5" i="2" s="1"/>
  <c r="L6" i="2" s="1"/>
  <c r="B108" i="9"/>
  <c r="B23" i="2" s="1"/>
  <c r="K7" i="2" s="1"/>
  <c r="L7" i="2" s="1"/>
  <c r="M7" i="2" s="1"/>
  <c r="N7" i="2" s="1"/>
  <c r="O7" i="2" s="1"/>
  <c r="K4" i="2"/>
  <c r="K5" i="2" s="1"/>
  <c r="K6" i="2" s="1"/>
  <c r="G15" i="9"/>
  <c r="O4" i="2"/>
  <c r="O5" i="2" s="1"/>
  <c r="O6" i="2" s="1"/>
  <c r="B18" i="2"/>
  <c r="B7" i="7"/>
  <c r="E7" i="7" s="1"/>
  <c r="B5" i="7"/>
  <c r="E5" i="7" s="1"/>
  <c r="B6" i="7"/>
  <c r="E6" i="7" s="1"/>
  <c r="B3" i="7"/>
  <c r="E3" i="7" s="1"/>
  <c r="B4" i="7"/>
  <c r="E4" i="7" s="1"/>
  <c r="E17" i="9"/>
  <c r="F17" i="9"/>
  <c r="D17" i="9"/>
  <c r="C17" i="9"/>
  <c r="B17" i="9"/>
  <c r="B26" i="9"/>
  <c r="F26" i="9"/>
  <c r="E26" i="9"/>
  <c r="C26" i="9"/>
  <c r="D26" i="9"/>
  <c r="J37" i="9"/>
  <c r="D75" i="9"/>
  <c r="F42" i="4"/>
  <c r="C30" i="4"/>
  <c r="G43" i="4" s="1"/>
  <c r="C29" i="4"/>
  <c r="B29" i="4"/>
  <c r="C27" i="4"/>
  <c r="C25" i="4"/>
  <c r="D15" i="4"/>
  <c r="D16" i="4"/>
  <c r="D17" i="4"/>
  <c r="D18" i="4"/>
  <c r="D19" i="4"/>
  <c r="D21" i="4"/>
  <c r="D22" i="4"/>
  <c r="D14" i="4"/>
  <c r="C15" i="4"/>
  <c r="C16" i="4"/>
  <c r="C17" i="4"/>
  <c r="C18" i="4"/>
  <c r="C19" i="4"/>
  <c r="G42" i="4" s="1"/>
  <c r="C21" i="4"/>
  <c r="C22" i="4"/>
  <c r="B16" i="4"/>
  <c r="D39" i="4" s="1"/>
  <c r="H39" i="4" s="1"/>
  <c r="B15" i="4"/>
  <c r="B17" i="4"/>
  <c r="B18" i="4"/>
  <c r="B21" i="4"/>
  <c r="B22" i="4"/>
  <c r="B14" i="4"/>
  <c r="K1" i="2"/>
  <c r="B30" i="3"/>
  <c r="B28" i="3"/>
  <c r="C95" i="9" l="1"/>
  <c r="K10" i="2"/>
  <c r="L10" i="2" s="1"/>
  <c r="M10" i="2" s="1"/>
  <c r="L32" i="2"/>
  <c r="L38" i="2"/>
  <c r="K25" i="2"/>
  <c r="L34" i="2" s="1"/>
  <c r="B9" i="7"/>
  <c r="C3" i="7" s="1"/>
  <c r="D3" i="7" s="1"/>
  <c r="E31" i="9"/>
  <c r="E27" i="9"/>
  <c r="E29" i="9"/>
  <c r="F31" i="9"/>
  <c r="F27" i="9"/>
  <c r="F29" i="9"/>
  <c r="B31" i="9"/>
  <c r="B29" i="9"/>
  <c r="B27" i="9"/>
  <c r="D31" i="9"/>
  <c r="D27" i="9"/>
  <c r="D29" i="9"/>
  <c r="C31" i="9"/>
  <c r="C27" i="9"/>
  <c r="C29" i="9"/>
  <c r="G16" i="9"/>
  <c r="G17" i="9" s="1"/>
  <c r="B28" i="9"/>
  <c r="B30" i="9"/>
  <c r="E30" i="9"/>
  <c r="F30" i="9"/>
  <c r="F32" i="9" s="1"/>
  <c r="E28" i="9"/>
  <c r="F28" i="9"/>
  <c r="D30" i="9"/>
  <c r="C30" i="9"/>
  <c r="C28" i="9"/>
  <c r="D28" i="9"/>
  <c r="J42" i="4"/>
  <c r="G38" i="4"/>
  <c r="D38" i="4"/>
  <c r="F38" i="4"/>
  <c r="J38" i="4" s="1"/>
  <c r="G37" i="4"/>
  <c r="F37" i="4"/>
  <c r="J37" i="4" s="1"/>
  <c r="G39" i="4"/>
  <c r="F39" i="4"/>
  <c r="G45" i="4"/>
  <c r="F45" i="4"/>
  <c r="F40" i="4"/>
  <c r="J40" i="4" s="1"/>
  <c r="G40" i="4"/>
  <c r="F44" i="4"/>
  <c r="G44" i="4"/>
  <c r="D41" i="4"/>
  <c r="H41" i="4" s="1"/>
  <c r="G41" i="4"/>
  <c r="F41" i="4"/>
  <c r="D37" i="4"/>
  <c r="H37" i="4" s="1"/>
  <c r="E9" i="7"/>
  <c r="B31" i="3"/>
  <c r="L41" i="2"/>
  <c r="L51" i="2" s="1"/>
  <c r="T10" i="2"/>
  <c r="T11" i="2"/>
  <c r="T18" i="2"/>
  <c r="S14" i="2"/>
  <c r="T19" i="2"/>
  <c r="D32" i="9" l="1"/>
  <c r="L11" i="2"/>
  <c r="L13" i="2" s="1"/>
  <c r="K11" i="2"/>
  <c r="K12" i="2" s="1"/>
  <c r="K28" i="2"/>
  <c r="L36" i="2" s="1"/>
  <c r="N10" i="2"/>
  <c r="M11" i="2"/>
  <c r="C5" i="7"/>
  <c r="C4" i="7"/>
  <c r="D4" i="7" s="1"/>
  <c r="E32" i="9"/>
  <c r="C7" i="7"/>
  <c r="C6" i="7"/>
  <c r="C32" i="9"/>
  <c r="B32" i="9"/>
  <c r="J39" i="4"/>
  <c r="J41" i="4"/>
  <c r="F7" i="7"/>
  <c r="F6" i="7"/>
  <c r="F4" i="7"/>
  <c r="F5" i="7"/>
  <c r="F3" i="7"/>
  <c r="S15" i="2"/>
  <c r="S13" i="2"/>
  <c r="T17" i="2"/>
  <c r="S12" i="2"/>
  <c r="T16" i="2"/>
  <c r="S19" i="2"/>
  <c r="U19" i="2" s="1"/>
  <c r="S11" i="2"/>
  <c r="U11" i="2" s="1"/>
  <c r="T15" i="2"/>
  <c r="S18" i="2"/>
  <c r="U18" i="2" s="1"/>
  <c r="S10" i="2"/>
  <c r="U10" i="2" s="1"/>
  <c r="T14" i="2"/>
  <c r="U14" i="2" s="1"/>
  <c r="S17" i="2"/>
  <c r="U17" i="2" s="1"/>
  <c r="S9" i="2"/>
  <c r="T13" i="2"/>
  <c r="S16" i="2"/>
  <c r="T9" i="2"/>
  <c r="T12" i="2"/>
  <c r="U12" i="2" s="1"/>
  <c r="U15" i="2"/>
  <c r="L12" i="2" l="1"/>
  <c r="K13" i="2"/>
  <c r="M13" i="2"/>
  <c r="M12" i="2"/>
  <c r="O10" i="2"/>
  <c r="O11" i="2" s="1"/>
  <c r="N11" i="2"/>
  <c r="D5" i="7"/>
  <c r="D6" i="7" s="1"/>
  <c r="D7" i="7" s="1"/>
  <c r="U16" i="2"/>
  <c r="U13" i="2"/>
  <c r="L54" i="2"/>
  <c r="K51" i="2"/>
  <c r="U9" i="2"/>
  <c r="K54" i="2"/>
  <c r="N13" i="2" l="1"/>
  <c r="N12" i="2"/>
  <c r="O13" i="2"/>
  <c r="O12" i="2"/>
  <c r="L43" i="2"/>
  <c r="L45" i="2" s="1"/>
  <c r="L53" i="2" s="1"/>
  <c r="K53" i="2"/>
  <c r="K52" i="2"/>
  <c r="L52" i="2" l="1"/>
</calcChain>
</file>

<file path=xl/sharedStrings.xml><?xml version="1.0" encoding="utf-8"?>
<sst xmlns="http://schemas.openxmlformats.org/spreadsheetml/2006/main" count="619" uniqueCount="349">
  <si>
    <r>
      <t xml:space="preserve">Demand during lead time follows </t>
    </r>
    <r>
      <rPr>
        <b/>
        <sz val="11"/>
        <color rgb="FFFF0000"/>
        <rFont val="Calibri"/>
        <family val="2"/>
      </rPr>
      <t>normal distribution</t>
    </r>
    <r>
      <rPr>
        <sz val="11"/>
        <color theme="1"/>
        <rFont val="Calibri"/>
        <family val="2"/>
      </rPr>
      <t>.</t>
    </r>
  </si>
  <si>
    <t>units/year</t>
  </si>
  <si>
    <t>--&gt; expected demand during lead time</t>
  </si>
  <si>
    <t>a.</t>
  </si>
  <si>
    <t>EOQ</t>
  </si>
  <si>
    <t>b.</t>
  </si>
  <si>
    <t>r</t>
  </si>
  <si>
    <t>p(r)</t>
  </si>
  <si>
    <t>G(r)</t>
  </si>
  <si>
    <t>B(r)</t>
  </si>
  <si>
    <r>
      <t xml:space="preserve">Demand during lead time follows </t>
    </r>
    <r>
      <rPr>
        <b/>
        <sz val="11"/>
        <color rgb="FFFF0000"/>
        <rFont val="Calibri"/>
        <family val="2"/>
      </rPr>
      <t>Poisson distribution</t>
    </r>
    <r>
      <rPr>
        <sz val="11"/>
        <color theme="1"/>
        <rFont val="Calibri"/>
        <family val="2"/>
      </rPr>
      <t>.</t>
    </r>
  </si>
  <si>
    <t>p(r) = POISSON.DIST(r, θ, false)</t>
  </si>
  <si>
    <t>D =</t>
  </si>
  <si>
    <t>G(r) = POISSON.DIST(r, θ, true)</t>
  </si>
  <si>
    <t>c =</t>
  </si>
  <si>
    <t>/units</t>
  </si>
  <si>
    <t>B(r) = θp(r)+(θ-r)[1-G(r)]</t>
  </si>
  <si>
    <t>h =</t>
  </si>
  <si>
    <t>l =</t>
  </si>
  <si>
    <t>month = 1/12 year</t>
  </si>
  <si>
    <t>A =</t>
  </si>
  <si>
    <t>b =</t>
  </si>
  <si>
    <t>G(r*)</t>
  </si>
  <si>
    <t>c.</t>
  </si>
  <si>
    <t>B(Q*,r*)</t>
  </si>
  <si>
    <t>I(Q*,r*)</t>
  </si>
  <si>
    <t>d.</t>
  </si>
  <si>
    <t>For (Q*=6, r*=3) policy:</t>
  </si>
  <si>
    <t>F(Q*)</t>
  </si>
  <si>
    <t>S(Q*,r*)</t>
  </si>
  <si>
    <t>F(Q)</t>
  </si>
  <si>
    <t>B(Q,r)</t>
  </si>
  <si>
    <t>I(Q,r)</t>
  </si>
  <si>
    <t>S(Q,r)</t>
  </si>
  <si>
    <t>(Q,r)</t>
  </si>
  <si>
    <t>(6,3)</t>
  </si>
  <si>
    <t>For (Q=4, r=3) policy:</t>
  </si>
  <si>
    <t>The (Q=4, r=3) policy will lower the service level while reducing the inventory level.</t>
  </si>
  <si>
    <t>(4,3)</t>
  </si>
  <si>
    <t xml:space="preserve">However, the cost of achieving this is 2 additional replenishment orders per year. </t>
  </si>
  <si>
    <t>Estimate Demand from forecast</t>
  </si>
  <si>
    <t>Propotion</t>
  </si>
  <si>
    <t>Phôi thép</t>
  </si>
  <si>
    <t>Thép cuộn</t>
  </si>
  <si>
    <t>Thép cuộn cán nóng ( HRC )</t>
  </si>
  <si>
    <t>Thép đặc biệt</t>
  </si>
  <si>
    <t>Thép thanh</t>
  </si>
  <si>
    <t>Ống thép đen</t>
  </si>
  <si>
    <t>Ống thép mạ kẽm nhúng nóng</t>
  </si>
  <si>
    <t>Ống thép cỡ lớn</t>
  </si>
  <si>
    <t>Tôn cuộn mạ kẽm</t>
  </si>
  <si>
    <t>Estimate demand</t>
  </si>
  <si>
    <t>Total</t>
  </si>
  <si>
    <t>Mean</t>
  </si>
  <si>
    <t>A</t>
  </si>
  <si>
    <t>Inventory On Hand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</si>
  <si>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</si>
  <si>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</si>
  <si>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</si>
  <si>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</si>
  <si>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</si>
  <si>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</si>
  <si>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</si>
  <si>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</si>
  <si>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</si>
  <si>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</si>
  <si>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</si>
  <si>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</si>
  <si>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--&gt; expected demand per month E(D)</t>
  </si>
  <si>
    <t>Variance</t>
  </si>
  <si>
    <t>STD</t>
  </si>
  <si>
    <t>Leadtime</t>
  </si>
  <si>
    <t>v : purchaising cost</t>
  </si>
  <si>
    <t>h : holing cost</t>
  </si>
  <si>
    <t>G(r*) Prob{X ≤ x}, c.d.f  of demand during leadtime</t>
  </si>
  <si>
    <t>θ ( E(X) mean demand during leadtime )</t>
  </si>
  <si>
    <t>Var ( std dev of demand during leaditme.  )</t>
  </si>
  <si>
    <t>B(Q*,r*) ( average backorder level)</t>
  </si>
  <si>
    <t>average on-hand inventory level</t>
  </si>
  <si>
    <t>service level (average fill rate), fraction of orders filled from stock</t>
  </si>
  <si>
    <t>average backorder level</t>
  </si>
  <si>
    <t>Demand ( month )</t>
  </si>
  <si>
    <t>Randomness data for leadtime ( months )</t>
  </si>
  <si>
    <t>Demand Analysis</t>
  </si>
  <si>
    <t>Gr ( X &lt; x )</t>
  </si>
  <si>
    <t>E(D)</t>
  </si>
  <si>
    <t>Var(leadtime)</t>
  </si>
  <si>
    <t>Z</t>
  </si>
  <si>
    <t>Reorder point</t>
  </si>
  <si>
    <t>B(Q,s)</t>
  </si>
  <si>
    <t>I(Q,s)</t>
  </si>
  <si>
    <t>S(Q,s)</t>
  </si>
  <si>
    <t>Biểu giá bán ra Hòa Phát</t>
  </si>
  <si>
    <t>Group</t>
  </si>
  <si>
    <t>Products</t>
  </si>
  <si>
    <t>Nhóm</t>
  </si>
  <si>
    <t>Kg/Cây</t>
  </si>
  <si>
    <t>Đơn giá (VNĐ/Kg)</t>
  </si>
  <si>
    <t>Giá nguyên vật liệu ( 35% )</t>
  </si>
  <si>
    <t>Giá bán ra ( VAT + discount )</t>
  </si>
  <si>
    <t>Giá bán ra ( không discount ) - 15%</t>
  </si>
  <si>
    <t>Đơn vị</t>
  </si>
  <si>
    <t>Thép xây dựng</t>
  </si>
  <si>
    <t>tấn</t>
  </si>
  <si>
    <t xml:space="preserve">Thép cuộn phi 6,8 ( 250kg )/ cuộn </t>
  </si>
  <si>
    <t>kg</t>
  </si>
  <si>
    <t>Thép HP Dung Quất</t>
  </si>
  <si>
    <t>Kg</t>
  </si>
  <si>
    <t>Ống thép</t>
  </si>
  <si>
    <t>Ống phi 21 - dày 1.0mm</t>
  </si>
  <si>
    <t>cây</t>
  </si>
  <si>
    <t>Ống phi 21 - dày 1.2mm</t>
  </si>
  <si>
    <t>Ống phi 27 - dày 1.2mm</t>
  </si>
  <si>
    <t>Ống phi 27 - dày 1.4mm</t>
  </si>
  <si>
    <t>Ống phi 27 - dày 1.8mm</t>
  </si>
  <si>
    <t>Ống phi 34 - dày 1.0mm</t>
  </si>
  <si>
    <t>Ống phi 34 - dày 1.2mm</t>
  </si>
  <si>
    <t>Ống phi 34 - dày 2.0mm</t>
  </si>
  <si>
    <t>Ống phi 34 - dày 1.8mm</t>
  </si>
  <si>
    <t>Ống phi 34 - dày 1.4mm</t>
  </si>
  <si>
    <t>Ống phi 42 - dày 1.2mm</t>
  </si>
  <si>
    <t>Ống phi 42 - dày 1.4mm</t>
  </si>
  <si>
    <t>Ống phi 42 - dày 1.8mm</t>
  </si>
  <si>
    <t>Ống phi 42 - dày  2.0mm</t>
  </si>
  <si>
    <t>Ống phi 42 - dày  2.3mm</t>
  </si>
  <si>
    <t>Ống phi 49 - dày 1.2mm</t>
  </si>
  <si>
    <t>Ống phi 49 - dày 1.4mm</t>
  </si>
  <si>
    <t>Ống phi 49 - dày 1.8mm</t>
  </si>
  <si>
    <t>Ống phi 49 - dày  2.0mm</t>
  </si>
  <si>
    <t>Ống phi 49 - dày  2.3mm</t>
  </si>
  <si>
    <t>Ống phi 60- dày 1.2mm</t>
  </si>
  <si>
    <t>Ống phi 60- dày 1.4mm</t>
  </si>
  <si>
    <t>Ống phi 60- dày 1.8mm</t>
  </si>
  <si>
    <t>Ống phi 60- dày 2.0mm</t>
  </si>
  <si>
    <t>Ống phi 76 - dày 1.2mm</t>
  </si>
  <si>
    <t>Ống phi 76- dày 1.4mm</t>
  </si>
  <si>
    <t>Ống phi 76- dày 1.8mm</t>
  </si>
  <si>
    <t>Ống phi 76- dày 2.0mm</t>
  </si>
  <si>
    <t>Ống phi 90- dày 1.4mm</t>
  </si>
  <si>
    <t>Ống phi 90- dày 1.8mm</t>
  </si>
  <si>
    <t>Ống phi 90- dày 2.0mm</t>
  </si>
  <si>
    <t>Ống phi 114- dày 1.4mm</t>
  </si>
  <si>
    <t>Ống phi 114- dày 1.8mm</t>
  </si>
  <si>
    <t>Ống phi 114- dày 2.0mm</t>
  </si>
  <si>
    <t>Ống phi 114- dày 3.0mm</t>
  </si>
  <si>
    <t>Phi 21 - 1.6mm</t>
  </si>
  <si>
    <t>Phi 26.65 - 2.6mm</t>
  </si>
  <si>
    <t>Phi 33.5 2.5mm</t>
  </si>
  <si>
    <t>Phi 42.2 - 2.3mm</t>
  </si>
  <si>
    <t>Phi 48.1 - 2.5mm</t>
  </si>
  <si>
    <t>Ống đen cỡ lớn D141.3 x 3.96</t>
  </si>
  <si>
    <t>Ống đen cỡ lớn D168.3 x 6.35</t>
  </si>
  <si>
    <t>Ống đen cỡ lớn D273 x 6.35</t>
  </si>
  <si>
    <t>Tôn</t>
  </si>
  <si>
    <t>Loại tôn dày 2.0-5.0mm</t>
  </si>
  <si>
    <t>mét</t>
  </si>
  <si>
    <t>Tôn lợp mái HP</t>
  </si>
  <si>
    <t>tấm</t>
  </si>
  <si>
    <t>Điện máy gia dụng</t>
  </si>
  <si>
    <t>Nông nghiệp</t>
  </si>
  <si>
    <t>Tổng</t>
  </si>
  <si>
    <t xml:space="preserve">Back order cost </t>
  </si>
  <si>
    <t>No.Orders</t>
  </si>
  <si>
    <t>Tấn</t>
  </si>
  <si>
    <t>Sản lượng bán ra tập đoàn Hòa Phát</t>
  </si>
  <si>
    <t>Dữ liệu 2023</t>
  </si>
  <si>
    <t>Dữ liệu 2022</t>
  </si>
  <si>
    <t>Dữ liệu 2021</t>
  </si>
  <si>
    <t>`</t>
  </si>
  <si>
    <t>Sale</t>
  </si>
  <si>
    <t>% sale</t>
  </si>
  <si>
    <t>HRC</t>
  </si>
  <si>
    <t>Accumulative</t>
  </si>
  <si>
    <t>Value</t>
  </si>
  <si>
    <t>% value</t>
  </si>
  <si>
    <t>Class</t>
  </si>
  <si>
    <t>C</t>
  </si>
  <si>
    <t>B</t>
  </si>
  <si>
    <t>Safety Stock</t>
  </si>
  <si>
    <t>Expected demand during leadtime</t>
  </si>
  <si>
    <t>Assumpt leadtime is 1 month</t>
  </si>
  <si>
    <t>Name</t>
  </si>
  <si>
    <t>Final decision = Estimated demand + safety stock</t>
  </si>
  <si>
    <t>Unit : Tấn</t>
  </si>
  <si>
    <t>Quặng sắt</t>
  </si>
  <si>
    <t>Than cốc</t>
  </si>
  <si>
    <t>Phụ gia</t>
  </si>
  <si>
    <t>Vôi đá</t>
  </si>
  <si>
    <t>Khấu hao tài sản cố định</t>
  </si>
  <si>
    <t>Chi phí thuê nhà xưởng, kho bãi</t>
  </si>
  <si>
    <t>Chi phí quản lý</t>
  </si>
  <si>
    <t>Chi phí lãi vay</t>
  </si>
  <si>
    <t>Chi phí bảo hiểm</t>
  </si>
  <si>
    <t>Chi phí cố định / 1 tấn thép</t>
  </si>
  <si>
    <t>Nguyên vật liệu</t>
  </si>
  <si>
    <t>Nhân công</t>
  </si>
  <si>
    <t>Chi phí bao bì</t>
  </si>
  <si>
    <t>Chi phí vận chuyển</t>
  </si>
  <si>
    <t>Chi phí biến đổi / 1 tấn thép</t>
  </si>
  <si>
    <t>Phế liệu thép</t>
  </si>
  <si>
    <t>Khí đốt</t>
  </si>
  <si>
    <t>Điện năng</t>
  </si>
  <si>
    <t>Chi phí kho bãi</t>
  </si>
  <si>
    <t>Chi phí hao hụt</t>
  </si>
  <si>
    <t>Chi phí sửa chữa</t>
  </si>
  <si>
    <t>Carrying charge rate ( $/$/year )</t>
  </si>
  <si>
    <t>Tuyến đường</t>
  </si>
  <si>
    <t>Phương thức vận chuyển</t>
  </si>
  <si>
    <t>Khoảng cách (km)</t>
  </si>
  <si>
    <t>Chi phí ước tính (VNĐ/tấn)</t>
  </si>
  <si>
    <t>Úc - Việt Nam</t>
  </si>
  <si>
    <t>Tàu biển</t>
  </si>
  <si>
    <t>5.000 - 6.000</t>
  </si>
  <si>
    <t>1.500.000 - 2.000.000</t>
  </si>
  <si>
    <t>Ấn Độ - Việt Nam</t>
  </si>
  <si>
    <t>3.000 - 4.000</t>
  </si>
  <si>
    <t>1.000.000 - 1.500.000</t>
  </si>
  <si>
    <t>Trung Quốc - Việt Nam</t>
  </si>
  <si>
    <t>1.000 - 2.000</t>
  </si>
  <si>
    <t>500.000 - 1.000.000</t>
  </si>
  <si>
    <t>Ô tô</t>
  </si>
  <si>
    <t>200 - 300</t>
  </si>
  <si>
    <t>200.000 - 300.000</t>
  </si>
  <si>
    <t>Quảng Ninh - Hải Dương</t>
  </si>
  <si>
    <t>Thái Nguyên - Hải Dương</t>
  </si>
  <si>
    <t>TP. Hồ Chí Minh - Dung Quất</t>
  </si>
  <si>
    <t>300 - 400</t>
  </si>
  <si>
    <t>1.000 - 1.500</t>
  </si>
  <si>
    <t>300.000 - 400.000</t>
  </si>
  <si>
    <t>800.000 - 1.200.000</t>
  </si>
  <si>
    <t xml:space="preserve">Tổng chi phí vận chuyển </t>
  </si>
  <si>
    <t>Mua từ nước ngoài</t>
  </si>
  <si>
    <t>Mua từ trong nước</t>
  </si>
  <si>
    <t>Giá trị ( triệu VND )</t>
  </si>
  <si>
    <t>Khối lượng nguyên vật liệu đầu vào</t>
  </si>
  <si>
    <t>Mức tiêu hao nguyên vật liệu</t>
  </si>
  <si>
    <t>1,6 - 1,8 tấn/tấn thép</t>
  </si>
  <si>
    <t>0,6 - 0,7 tấn/tấn thép</t>
  </si>
  <si>
    <t>0,1 - 0,15 tấn/tấn thép</t>
  </si>
  <si>
    <t>0,3 - 0,5 tấn/tấn thép</t>
  </si>
  <si>
    <t>0,05 - 0,1 tấn/tấn thép</t>
  </si>
  <si>
    <t>Mật độ quặng sắt</t>
  </si>
  <si>
    <t>3 - 5 tấn/m^3</t>
  </si>
  <si>
    <t>Mật độ than cốc</t>
  </si>
  <si>
    <t>0,8 - 1,2 tấn/m^3</t>
  </si>
  <si>
    <t>Mật độ vôi đá</t>
  </si>
  <si>
    <t>1,8 - 2,2 tấn/m^3</t>
  </si>
  <si>
    <t>Loại nguyên vật liệu</t>
  </si>
  <si>
    <t>Khối lượng mỗi chuyến (tấn)</t>
  </si>
  <si>
    <t>Quặng sắt (nhập khẩu)</t>
  </si>
  <si>
    <t>Than cốc (nhập khẩu)</t>
  </si>
  <si>
    <t>Vôi đá (nhập khẩu)</t>
  </si>
  <si>
    <t>Phụ gia (nhập khẩu)</t>
  </si>
  <si>
    <t>Freight cost/trips</t>
  </si>
  <si>
    <t>Frequency</t>
  </si>
  <si>
    <t>Total Ordering cost</t>
  </si>
  <si>
    <t>Total Holding cost</t>
  </si>
  <si>
    <t>Total cost ($)</t>
  </si>
  <si>
    <t>Total relevent cost</t>
  </si>
  <si>
    <t>Inventory turnover</t>
  </si>
  <si>
    <t>Demand nước ngoài ( 32.5% )</t>
  </si>
  <si>
    <t>Demand trong nước ( 67.5%)</t>
  </si>
  <si>
    <t>Mức mua</t>
  </si>
  <si>
    <t>% Giảm giá</t>
  </si>
  <si>
    <t>Tiết kiệm chi phí</t>
  </si>
  <si>
    <t>EOQ hiện tại (96.414)</t>
  </si>
  <si>
    <t>2x EOQ (192.828)5</t>
  </si>
  <si>
    <t>3 x EOQ (289.242)</t>
  </si>
  <si>
    <t>Giá mua sau giảm ($/unit)</t>
  </si>
  <si>
    <t>Tình huống</t>
  </si>
  <si>
    <t>Tỷ lệ lạm phát</t>
  </si>
  <si>
    <t>Tỷ giá hối đoá</t>
  </si>
  <si>
    <t>Giá mua sau</t>
  </si>
  <si>
    <t>Chêch lệch</t>
  </si>
  <si>
    <t>Hiện tại</t>
  </si>
  <si>
    <t>$1.372,22</t>
  </si>
  <si>
    <t>+3,82%</t>
  </si>
  <si>
    <t>$1.443,11</t>
  </si>
  <si>
    <t>+10,15%</t>
  </si>
  <si>
    <t>$1.595,69</t>
  </si>
  <si>
    <t>+21,80%</t>
  </si>
  <si>
    <t>$1.282,98</t>
  </si>
  <si>
    <t>-2,10%</t>
  </si>
  <si>
    <t>$1.246,89</t>
  </si>
  <si>
    <t>-4,87%</t>
  </si>
  <si>
    <t>$1.191,58</t>
  </si>
  <si>
    <t>-9,00%</t>
  </si>
  <si>
    <t>$1.297,02</t>
  </si>
  <si>
    <t>-0,99%</t>
  </si>
  <si>
    <t>$1.273,93</t>
  </si>
  <si>
    <t>-2,74%</t>
  </si>
  <si>
    <t>$1.232,44</t>
  </si>
  <si>
    <t>-6,02%</t>
  </si>
  <si>
    <t>Tăng</t>
  </si>
  <si>
    <t>Tăng &amp; Giảm</t>
  </si>
  <si>
    <t>Giảm &amp; Tăng</t>
  </si>
  <si>
    <t>ABC Classification</t>
  </si>
  <si>
    <t>Chi phí mua</t>
  </si>
  <si>
    <t>Chi phí xử lý đơn hàng</t>
  </si>
  <si>
    <t>Chi phí lưu kho</t>
  </si>
  <si>
    <t>Chi phí bồi thường</t>
  </si>
  <si>
    <t>Chi phí mất doanh thu</t>
  </si>
  <si>
    <t>Chi phí mất uy tín thương hiệu</t>
  </si>
  <si>
    <t>Khó ước tính</t>
  </si>
  <si>
    <t>Chi phí vận chuyển( 1 tấn )</t>
  </si>
  <si>
    <t>Back - Ordering cost / unit ( tấn )</t>
  </si>
  <si>
    <t>Ước lượng S.L thiếu ( 10% )</t>
  </si>
  <si>
    <t>Ước lượng leadtime từ Úc - Việt Nam</t>
  </si>
  <si>
    <t>Thời gian sản xuất</t>
  </si>
  <si>
    <t>Thời gian vận chuyển</t>
  </si>
  <si>
    <t>Máy bay</t>
  </si>
  <si>
    <t>Xử lý hải quan</t>
  </si>
  <si>
    <t>1-2 tuần</t>
  </si>
  <si>
    <t>2-3 tuần</t>
  </si>
  <si>
    <t>20-30 ngày</t>
  </si>
  <si>
    <t>2-3 ngày</t>
  </si>
  <si>
    <t>3-5 ngày</t>
  </si>
  <si>
    <t>30-40 ngày</t>
  </si>
  <si>
    <t>5-8 ngày</t>
  </si>
  <si>
    <t>Leadtime ( trong nước )</t>
  </si>
  <si>
    <t xml:space="preserve">Leadtime ( month ) ( ngoài nước ) - tàu biển </t>
  </si>
  <si>
    <t>Leadtime ước tính nằm trong khoảng Normal Distribution N(30,10) ngày</t>
  </si>
  <si>
    <r>
      <t xml:space="preserve">Using the above table, G(r*) = 0.857 when </t>
    </r>
    <r>
      <rPr>
        <b/>
        <sz val="11"/>
        <color theme="1"/>
        <rFont val="Calibri"/>
        <family val="2"/>
      </rPr>
      <t>r*=112,286.55</t>
    </r>
  </si>
  <si>
    <t>z - statistics - Normal Distribution</t>
  </si>
  <si>
    <t>Annual Demand</t>
  </si>
  <si>
    <t>Safety stock ( monthly )</t>
  </si>
  <si>
    <t>Unit ( Tonne )</t>
  </si>
  <si>
    <t>Time per order ( month )</t>
  </si>
  <si>
    <t xml:space="preserve">Re - order point </t>
  </si>
  <si>
    <t>Chi phí vận chuyển(25$/tấn)</t>
  </si>
  <si>
    <t>Chi phí xếp dỡ hàng ( Cảng Melbourne : 3$/tấn )</t>
  </si>
  <si>
    <t>Chi phí xếp dỡ hàng ( Cảng Cát Lái : 3$/tấn )</t>
  </si>
  <si>
    <t xml:space="preserve">Tổng chi phí </t>
  </si>
  <si>
    <t>Capacity ( million tonne / year )</t>
  </si>
  <si>
    <t>Warehouse</t>
  </si>
  <si>
    <t>Square(m2)</t>
  </si>
  <si>
    <t>Capacity( tấn )</t>
  </si>
  <si>
    <t>Hoa Phat Dung Quat Steel Factory 1</t>
  </si>
  <si>
    <t>Hoa Phat Dung Quat Steel Factory 2</t>
  </si>
  <si>
    <t>Hoa Phat Hai Duong Steel Factory</t>
  </si>
  <si>
    <t>Hoa Phat Hung Yen Steel Factory</t>
  </si>
  <si>
    <t>Hoa Phat Long An Steel Factory</t>
  </si>
  <si>
    <t>Hoa Sen color coated steel factory</t>
  </si>
  <si>
    <t>Hot rolled steel coil</t>
  </si>
  <si>
    <t>Cold rolled steel coil</t>
  </si>
  <si>
    <t>Steel pipes</t>
  </si>
  <si>
    <t>Billet</t>
  </si>
  <si>
    <t>Construction steel</t>
  </si>
  <si>
    <t>Color coated corrugated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</si>
</sst>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_([$VND]\ * #,##0.00_);_([$VND]\ * \(#,##0.00\);_([$VND]\ * &quot;-&quot;??_);_(@_)"/>
    <numFmt numFmtId="168" formatCode="#,##0\ \&amp;\ &quot;kg&quot;"/>
    <numFmt numFmtId="169" formatCode="0.0000000"/>
    <numFmt numFmtId="170" formatCode="_(&quot;$&quot;* #,##0_);_(&quot;$&quot;* \(#,##0\);_(&quot;$&quot;* &quot;-&quot;??_);_(@_)"/>
    <numFmt numFmtId="171" formatCode="0.0%"/>
    <numFmt numFmtId="172" formatCode="_(* #,##0.000_);_(* \(#,##0.000\);_(* &quot;-&quot;???_);_(@_)"/>
    <numFmt numFmtId="173" formatCode="_(* #,##0.00000000_);_(* \(#,##0.00000000\);_(* &quot;-&quot;??_);_(@_)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ptos Narrow"/>
      <family val="2"/>
    </font>
    <font>
      <sz val="18"/>
      <color rgb="FF000000"/>
      <name val="Aptos Narrow"/>
      <family val="2"/>
    </font>
    <font>
      <u/>
      <sz val="11"/>
      <color theme="10"/>
      <name val="Calibri"/>
      <family val="2"/>
    </font>
    <font>
      <b/>
      <sz val="14"/>
      <color theme="1"/>
      <name val="Calibri"/>
      <family val="2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6">
    <xf numFmtId="0" fontId="0" fillId="0" borderId="0" xfId="0"/>
    <xf numFmtId="42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0" fillId="3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0" xfId="0" applyFill="1"/>
    <xf numFmtId="0" fontId="6" fillId="0" borderId="0" xfId="0" applyFont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4" borderId="0" xfId="0" applyFill="1" applyAlignment="1">
      <alignment horizontal="left"/>
    </xf>
    <xf numFmtId="0" fontId="5" fillId="0" borderId="0" xfId="0" applyFont="1"/>
    <xf numFmtId="0" fontId="2" fillId="0" borderId="1" xfId="0" applyFont="1" applyBorder="1"/>
    <xf numFmtId="166" fontId="2" fillId="0" borderId="1" xfId="2" applyNumberFormat="1" applyFont="1" applyBorder="1"/>
    <xf numFmtId="2" fontId="2" fillId="0" borderId="1" xfId="2" applyNumberFormat="1" applyFont="1" applyBorder="1"/>
    <xf numFmtId="0" fontId="0" fillId="0" borderId="1" xfId="0" applyBorder="1"/>
    <xf numFmtId="14" fontId="0" fillId="0" borderId="1" xfId="0" applyNumberFormat="1" applyBorder="1"/>
    <xf numFmtId="2" fontId="0" fillId="0" borderId="0" xfId="1" applyNumberFormat="1" applyFont="1"/>
    <xf numFmtId="0" fontId="1" fillId="0" borderId="1" xfId="0" applyFont="1" applyBorder="1"/>
    <xf numFmtId="0" fontId="11" fillId="0" borderId="1" xfId="0" applyFont="1" applyBorder="1" applyAlignment="1">
      <alignment vertical="center"/>
    </xf>
    <xf numFmtId="0" fontId="12" fillId="0" borderId="1" xfId="0" applyFont="1" applyBorder="1"/>
    <xf numFmtId="0" fontId="11" fillId="0" borderId="1" xfId="0" applyFont="1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1" xfId="0" applyNumberFormat="1" applyBorder="1"/>
    <xf numFmtId="0" fontId="13" fillId="0" borderId="1" xfId="0" applyFont="1" applyBorder="1"/>
    <xf numFmtId="3" fontId="13" fillId="0" borderId="1" xfId="0" applyNumberFormat="1" applyFont="1" applyBorder="1"/>
    <xf numFmtId="2" fontId="0" fillId="0" borderId="1" xfId="0" applyNumberFormat="1" applyBorder="1"/>
    <xf numFmtId="2" fontId="13" fillId="0" borderId="1" xfId="0" applyNumberFormat="1" applyFont="1" applyBorder="1"/>
    <xf numFmtId="0" fontId="8" fillId="0" borderId="1" xfId="0" applyFont="1" applyBorder="1" applyAlignment="1">
      <alignment vertical="center"/>
    </xf>
    <xf numFmtId="168" fontId="13" fillId="0" borderId="1" xfId="0" applyNumberFormat="1" applyFont="1" applyBorder="1"/>
    <xf numFmtId="166" fontId="0" fillId="0" borderId="1" xfId="2" applyNumberFormat="1" applyFont="1" applyBorder="1"/>
    <xf numFmtId="0" fontId="0" fillId="3" borderId="1" xfId="0" applyFill="1" applyBorder="1"/>
    <xf numFmtId="166" fontId="0" fillId="3" borderId="1" xfId="2" applyNumberFormat="1" applyFont="1" applyFill="1" applyBorder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3"/>
    <xf numFmtId="17" fontId="14" fillId="0" borderId="0" xfId="0" applyNumberFormat="1" applyFont="1"/>
    <xf numFmtId="0" fontId="14" fillId="0" borderId="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3" fontId="14" fillId="0" borderId="9" xfId="0" applyNumberFormat="1" applyFont="1" applyBorder="1" applyAlignment="1">
      <alignment vertical="center"/>
    </xf>
    <xf numFmtId="3" fontId="14" fillId="0" borderId="6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5" xfId="0" applyNumberFormat="1" applyFont="1" applyBorder="1" applyAlignment="1">
      <alignment vertical="center"/>
    </xf>
    <xf numFmtId="3" fontId="14" fillId="0" borderId="0" xfId="0" applyNumberFormat="1" applyFont="1"/>
    <xf numFmtId="3" fontId="14" fillId="0" borderId="13" xfId="0" applyNumberFormat="1" applyFont="1" applyBorder="1" applyAlignment="1">
      <alignment vertical="center"/>
    </xf>
    <xf numFmtId="166" fontId="0" fillId="0" borderId="0" xfId="2" applyNumberFormat="1" applyFont="1"/>
    <xf numFmtId="169" fontId="0" fillId="0" borderId="1" xfId="2" applyNumberFormat="1" applyFont="1" applyBorder="1"/>
    <xf numFmtId="10" fontId="0" fillId="0" borderId="1" xfId="2" applyNumberFormat="1" applyFont="1" applyBorder="1"/>
    <xf numFmtId="14" fontId="0" fillId="0" borderId="11" xfId="0" applyNumberFormat="1" applyBorder="1"/>
    <xf numFmtId="166" fontId="0" fillId="3" borderId="1" xfId="0" applyNumberFormat="1" applyFill="1" applyBorder="1"/>
    <xf numFmtId="166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/>
    <xf numFmtId="3" fontId="0" fillId="3" borderId="0" xfId="0" applyNumberFormat="1" applyFill="1"/>
    <xf numFmtId="10" fontId="0" fillId="0" borderId="1" xfId="0" applyNumberFormat="1" applyBorder="1"/>
    <xf numFmtId="0" fontId="0" fillId="3" borderId="1" xfId="0" applyFill="1" applyBorder="1" applyAlignment="1">
      <alignment horizontal="left" vertical="center"/>
    </xf>
    <xf numFmtId="166" fontId="0" fillId="3" borderId="1" xfId="2" applyNumberFormat="1" applyFont="1" applyFill="1" applyBorder="1" applyAlignment="1">
      <alignment horizontal="center" vertical="center"/>
    </xf>
    <xf numFmtId="170" fontId="0" fillId="0" borderId="1" xfId="1" applyNumberFormat="1" applyFont="1" applyBorder="1"/>
    <xf numFmtId="0" fontId="0" fillId="0" borderId="11" xfId="0" applyBorder="1"/>
    <xf numFmtId="170" fontId="0" fillId="0" borderId="0" xfId="0" applyNumberFormat="1"/>
    <xf numFmtId="9" fontId="0" fillId="0" borderId="1" xfId="0" applyNumberFormat="1" applyBorder="1"/>
    <xf numFmtId="166" fontId="0" fillId="0" borderId="0" xfId="0" applyNumberFormat="1"/>
    <xf numFmtId="43" fontId="0" fillId="0" borderId="0" xfId="0" applyNumberFormat="1"/>
    <xf numFmtId="0" fontId="0" fillId="0" borderId="1" xfId="0" applyBorder="1" applyAlignment="1">
      <alignment horizontal="center"/>
    </xf>
    <xf numFmtId="43" fontId="0" fillId="0" borderId="1" xfId="2" applyFont="1" applyBorder="1"/>
    <xf numFmtId="0" fontId="0" fillId="0" borderId="0" xfId="0" applyAlignment="1">
      <alignment horizontal="center"/>
    </xf>
    <xf numFmtId="166" fontId="0" fillId="0" borderId="1" xfId="2" applyNumberFormat="1" applyFont="1" applyBorder="1" applyAlignment="1">
      <alignment vertical="center" wrapText="1"/>
    </xf>
    <xf numFmtId="6" fontId="0" fillId="0" borderId="1" xfId="1" applyNumberFormat="1" applyFont="1" applyBorder="1"/>
    <xf numFmtId="44" fontId="0" fillId="0" borderId="1" xfId="1" applyFont="1" applyBorder="1"/>
    <xf numFmtId="171" fontId="0" fillId="0" borderId="1" xfId="4" applyNumberFormat="1" applyFon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43" fontId="0" fillId="3" borderId="1" xfId="2" applyFont="1" applyFill="1" applyBorder="1"/>
    <xf numFmtId="43" fontId="0" fillId="0" borderId="1" xfId="2" applyFont="1" applyFill="1" applyBorder="1"/>
    <xf numFmtId="172" fontId="0" fillId="0" borderId="0" xfId="0" applyNumberFormat="1"/>
    <xf numFmtId="172" fontId="0" fillId="4" borderId="0" xfId="0" applyNumberFormat="1" applyFill="1"/>
    <xf numFmtId="173" fontId="0" fillId="0" borderId="0" xfId="2" applyNumberFormat="1" applyFont="1"/>
    <xf numFmtId="43" fontId="0" fillId="0" borderId="0" xfId="2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70" fontId="0" fillId="3" borderId="1" xfId="1" applyNumberFormat="1" applyFont="1" applyFill="1" applyBorder="1"/>
    <xf numFmtId="0" fontId="18" fillId="0" borderId="15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7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5">
    <cellStyle name="Comma" xfId="2" builtinId="3"/>
    <cellStyle name="Currency" xfId="1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388101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7C1B5-1D3C-6440-2E6C-9F3216C3A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264900" cy="9144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0</xdr:rowOff>
    </xdr:from>
    <xdr:ext cx="2458494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8790B-6ACB-392A-9582-B5162E61A9EE}"/>
                </a:ext>
              </a:extLst>
            </xdr:cNvPr>
            <xdr:cNvSpPr txBox="1"/>
          </xdr:nvSpPr>
          <xdr:spPr>
            <a:xfrm>
              <a:off x="0" y="1473200"/>
              <a:ext cx="2458494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→0.9≤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≥$45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68790B-6ACB-392A-9582-B5162E61A9EE}"/>
                </a:ext>
              </a:extLst>
            </xdr:cNvPr>
            <xdr:cNvSpPr txBox="1"/>
          </xdr:nvSpPr>
          <xdr:spPr>
            <a:xfrm>
              <a:off x="0" y="1473200"/>
              <a:ext cx="2458494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𝐺(𝑅)=𝑏/(ℎ+𝑏)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→0.9≤𝑏/(5+𝑏 )→𝑏≥$45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120805</xdr:colOff>
      <xdr:row>0</xdr:row>
      <xdr:rowOff>0</xdr:rowOff>
    </xdr:from>
    <xdr:ext cx="852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A0BA7F-4A4E-E188-BBA6-E05605460787}"/>
                </a:ext>
              </a:extLst>
            </xdr:cNvPr>
            <xdr:cNvSpPr txBox="1"/>
          </xdr:nvSpPr>
          <xdr:spPr>
            <a:xfrm>
              <a:off x="12424317" y="0"/>
              <a:ext cx="852990" cy="17222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A0BA7F-4A4E-E188-BBA6-E05605460787}"/>
                </a:ext>
              </a:extLst>
            </xdr:cNvPr>
            <xdr:cNvSpPr txBox="1"/>
          </xdr:nvSpPr>
          <xdr:spPr>
            <a:xfrm>
              <a:off x="12424317" y="0"/>
              <a:ext cx="852990" cy="17222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=𝐸(𝐷)×𝑙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148684</xdr:colOff>
      <xdr:row>3</xdr:row>
      <xdr:rowOff>0</xdr:rowOff>
    </xdr:from>
    <xdr:ext cx="87568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37A039-9C2C-48F9-8BF9-4925798DACEF}"/>
                </a:ext>
              </a:extLst>
            </xdr:cNvPr>
            <xdr:cNvSpPr txBox="1"/>
          </xdr:nvSpPr>
          <xdr:spPr>
            <a:xfrm>
              <a:off x="14905464" y="557561"/>
              <a:ext cx="875689" cy="50013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𝐸𝑂𝑄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𝐴𝐷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37A039-9C2C-48F9-8BF9-4925798DACEF}"/>
                </a:ext>
              </a:extLst>
            </xdr:cNvPr>
            <xdr:cNvSpPr txBox="1"/>
          </xdr:nvSpPr>
          <xdr:spPr>
            <a:xfrm>
              <a:off x="14905464" y="557561"/>
              <a:ext cx="875689" cy="50013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𝐸𝑂𝑄=√(2𝐴𝐷/ℎ)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167269</xdr:colOff>
      <xdr:row>0</xdr:row>
      <xdr:rowOff>167268</xdr:rowOff>
    </xdr:from>
    <xdr:ext cx="885242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8F788B-D589-48DF-918A-0225D02272FF}"/>
                </a:ext>
              </a:extLst>
            </xdr:cNvPr>
            <xdr:cNvSpPr txBox="1"/>
          </xdr:nvSpPr>
          <xdr:spPr>
            <a:xfrm>
              <a:off x="14924049" y="167268"/>
              <a:ext cx="885242" cy="324191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8F788B-D589-48DF-918A-0225D02272FF}"/>
                </a:ext>
              </a:extLst>
            </xdr:cNvPr>
            <xdr:cNvSpPr txBox="1"/>
          </xdr:nvSpPr>
          <xdr:spPr>
            <a:xfrm>
              <a:off x="14924049" y="167268"/>
              <a:ext cx="885242" cy="324191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𝐺(𝑟^∗ )=𝑏/(ℎ+𝑏)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321310</xdr:colOff>
      <xdr:row>23</xdr:row>
      <xdr:rowOff>153670</xdr:rowOff>
    </xdr:from>
    <xdr:ext cx="4689553" cy="4881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E1D154-4379-1C3D-A6B0-F1927C68F300}"/>
                </a:ext>
              </a:extLst>
            </xdr:cNvPr>
            <xdr:cNvSpPr txBox="1"/>
          </xdr:nvSpPr>
          <xdr:spPr>
            <a:xfrm>
              <a:off x="7026910" y="4359910"/>
              <a:ext cx="4689553" cy="48814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E1D154-4379-1C3D-A6B0-F1927C68F300}"/>
                </a:ext>
              </a:extLst>
            </xdr:cNvPr>
            <xdr:cNvSpPr txBox="1"/>
          </xdr:nvSpPr>
          <xdr:spPr>
            <a:xfrm>
              <a:off x="7026910" y="4359910"/>
              <a:ext cx="4689553" cy="488147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𝐵(𝑄^∗,𝑟^∗ )=1/𝑄^∗  ∑24_(𝑥=𝑟^∗+1)^(𝑟^∗+𝑄^∗)▒𝐵(𝑥) =1/𝑄^∗ [𝐵(4)+𝐵(5)+𝐵(6)+𝐵(7)+𝐵(8)+𝐵(9)]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326390</xdr:colOff>
      <xdr:row>27</xdr:row>
      <xdr:rowOff>76200</xdr:rowOff>
    </xdr:from>
    <xdr:ext cx="239616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8E37279-08C4-4247-8C35-1903F9EEB142}"/>
                </a:ext>
              </a:extLst>
            </xdr:cNvPr>
            <xdr:cNvSpPr txBox="1"/>
          </xdr:nvSpPr>
          <xdr:spPr>
            <a:xfrm>
              <a:off x="7031990" y="5013960"/>
              <a:ext cx="2396169" cy="321883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8E37279-08C4-4247-8C35-1903F9EEB142}"/>
                </a:ext>
              </a:extLst>
            </xdr:cNvPr>
            <xdr:cNvSpPr txBox="1"/>
          </xdr:nvSpPr>
          <xdr:spPr>
            <a:xfrm>
              <a:off x="7031990" y="5013960"/>
              <a:ext cx="2396169" cy="321883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𝐼(𝑄^∗,𝑟^∗ 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1)/2+𝑟^∗−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𝐵(𝑄^∗,𝑟^∗ )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335280</xdr:colOff>
      <xdr:row>32</xdr:row>
      <xdr:rowOff>149860</xdr:rowOff>
    </xdr:from>
    <xdr:ext cx="3870960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5AD310A-223C-4CAA-AB52-510A25C07D78}"/>
                </a:ext>
              </a:extLst>
            </xdr:cNvPr>
            <xdr:cNvSpPr txBox="1"/>
          </xdr:nvSpPr>
          <xdr:spPr>
            <a:xfrm>
              <a:off x="7650480" y="600202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e>
                        </m: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5AD310A-223C-4CAA-AB52-510A25C07D78}"/>
                </a:ext>
              </a:extLst>
            </xdr:cNvPr>
            <xdr:cNvSpPr txBox="1"/>
          </xdr:nvSpPr>
          <xdr:spPr>
            <a:xfrm>
              <a:off x="7650480" y="600202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𝑆(𝑄^∗,𝑟^∗ )=1−1/𝑄^∗ 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𝐵(𝑟^∗ )−𝐵(𝑟^∗+𝑄^∗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1−1/𝑄^∗  [𝐵(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)−𝐵(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328930</xdr:colOff>
      <xdr:row>30</xdr:row>
      <xdr:rowOff>101600</xdr:rowOff>
    </xdr:from>
    <xdr:ext cx="734625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01BDBF3-D737-480C-A2C8-F4250EE255B9}"/>
                </a:ext>
              </a:extLst>
            </xdr:cNvPr>
            <xdr:cNvSpPr txBox="1"/>
          </xdr:nvSpPr>
          <xdr:spPr>
            <a:xfrm>
              <a:off x="7644130" y="5588000"/>
              <a:ext cx="734625" cy="34214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01BDBF3-D737-480C-A2C8-F4250EE255B9}"/>
                </a:ext>
              </a:extLst>
            </xdr:cNvPr>
            <xdr:cNvSpPr txBox="1"/>
          </xdr:nvSpPr>
          <xdr:spPr>
            <a:xfrm>
              <a:off x="7644130" y="5588000"/>
              <a:ext cx="734625" cy="34214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𝐹(𝑄^∗ )=𝐷/𝑄^∗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172720</xdr:colOff>
      <xdr:row>41</xdr:row>
      <xdr:rowOff>99060</xdr:rowOff>
    </xdr:from>
    <xdr:ext cx="3496662" cy="476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1B9FEA8-8A7F-4975-9F61-034DCAFE5B92}"/>
                </a:ext>
              </a:extLst>
            </xdr:cNvPr>
            <xdr:cNvSpPr txBox="1"/>
          </xdr:nvSpPr>
          <xdr:spPr>
            <a:xfrm>
              <a:off x="7482058" y="7549075"/>
              <a:ext cx="3496662" cy="47692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  <m:sup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(7)]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1B9FEA8-8A7F-4975-9F61-034DCAFE5B92}"/>
                </a:ext>
              </a:extLst>
            </xdr:cNvPr>
            <xdr:cNvSpPr txBox="1"/>
          </xdr:nvSpPr>
          <xdr:spPr>
            <a:xfrm>
              <a:off x="7482058" y="7549075"/>
              <a:ext cx="3496662" cy="47692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𝐵(𝑄,𝑟)=1/𝑄 ∑_(𝑥=𝑟+1)^(𝑟+𝑄)▒𝐵(𝑥) =1/𝑄[𝐵(4)+𝐵(5)+𝐵(6)+𝐵(7)]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182880</xdr:colOff>
      <xdr:row>46</xdr:row>
      <xdr:rowOff>0</xdr:rowOff>
    </xdr:from>
    <xdr:ext cx="3870960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81D21F-8333-4414-A50E-12FDC28E4928}"/>
                </a:ext>
              </a:extLst>
            </xdr:cNvPr>
            <xdr:cNvSpPr txBox="1"/>
          </xdr:nvSpPr>
          <xdr:spPr>
            <a:xfrm>
              <a:off x="7498080" y="841248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81D21F-8333-4414-A50E-12FDC28E4928}"/>
                </a:ext>
              </a:extLst>
            </xdr:cNvPr>
            <xdr:cNvSpPr txBox="1"/>
          </xdr:nvSpPr>
          <xdr:spPr>
            <a:xfrm>
              <a:off x="7498080" y="8412480"/>
              <a:ext cx="3870960" cy="343235"/>
            </a:xfrm>
            <a:prstGeom prst="rect">
              <a:avLst/>
            </a:prstGeom>
            <a:solidFill>
              <a:schemeClr val="bg2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𝑆(𝑄,𝑟)=1−1/𝑄 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𝐵(𝑟)−𝐵(𝑟+𝑄)]=1−1/𝑄 [𝐵(3)−𝐵(7)]</a:t>
              </a:r>
              <a:endParaRPr 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7</xdr:col>
      <xdr:colOff>185776</xdr:colOff>
      <xdr:row>13</xdr:row>
      <xdr:rowOff>146537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8A5C8-7269-D31D-59D2-905B8333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906" cy="25087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OGISTICS%20AND%20SUPPLY%20CHAIN\Project\Forecast.xlsx" TargetMode="External"/><Relationship Id="rId1" Type="http://schemas.openxmlformats.org/officeDocument/2006/relationships/externalLinkPath" Target="Fore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ểu giá"/>
      <sheetName val="Historical Sale"/>
      <sheetName val="Biểu đồ"/>
      <sheetName val="observed data"/>
      <sheetName val="Overall"/>
      <sheetName val="Moving Average"/>
      <sheetName val="Simple Exponential Smoothing"/>
      <sheetName val="Holt's Method"/>
      <sheetName val="Winter's Method"/>
      <sheetName val="Summary"/>
      <sheetName val="Market"/>
    </sheetNames>
    <sheetDataSet>
      <sheetData sheetId="0">
        <row r="3">
          <cell r="F3">
            <v>5107725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aphat.com.vn/tin-tuc/nam-2021-hoa-phat-dat-san-luong-ban-hang-8-8-trieu-tan-thep-cac-loai-tang-35-so-voi-cung-ky-xuat-khau-2-6-trieu-tan.html" TargetMode="External"/><Relationship Id="rId2" Type="http://schemas.openxmlformats.org/officeDocument/2006/relationships/hyperlink" Target="https://www.hoaphat.com.vn/tin-tuc/hoa-phat-ban-hon-7-2-trieu-tan-thep-nam-2022.html" TargetMode="External"/><Relationship Id="rId1" Type="http://schemas.openxmlformats.org/officeDocument/2006/relationships/hyperlink" Target="https://viettimes.vn/hoa-phat-ban-67-trieu-tan-thep-trong-nam-2023-post1725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5F7B-4205-46A6-984F-3139ADE18325}">
  <dimension ref="A1:N16"/>
  <sheetViews>
    <sheetView tabSelected="1" workbookViewId="0">
      <selection activeCell="K27" sqref="K27"/>
    </sheetView>
  </sheetViews>
  <sheetFormatPr defaultRowHeight="14.4" x14ac:dyDescent="0.3"/>
  <cols>
    <col min="1" max="1" width="25.44140625" bestFit="1" customWidth="1"/>
    <col min="2" max="13" width="11.109375" style="61" bestFit="1" customWidth="1"/>
    <col min="14" max="14" width="12.5546875" style="61" bestFit="1" customWidth="1"/>
  </cols>
  <sheetData>
    <row r="1" spans="1:14" x14ac:dyDescent="0.3">
      <c r="A1" s="71" t="s">
        <v>81</v>
      </c>
      <c r="B1" s="72" t="s">
        <v>56</v>
      </c>
      <c r="C1" s="72" t="s">
        <v>57</v>
      </c>
      <c r="D1" s="72" t="s">
        <v>58</v>
      </c>
      <c r="E1" s="72" t="s">
        <v>59</v>
      </c>
      <c r="F1" s="72" t="s">
        <v>60</v>
      </c>
      <c r="G1" s="72" t="s">
        <v>61</v>
      </c>
      <c r="H1" s="72" t="s">
        <v>62</v>
      </c>
      <c r="I1" s="72" t="s">
        <v>63</v>
      </c>
      <c r="J1" s="72" t="s">
        <v>64</v>
      </c>
      <c r="K1" s="72" t="s">
        <v>65</v>
      </c>
      <c r="L1" s="72" t="s">
        <v>66</v>
      </c>
      <c r="M1" s="72" t="s">
        <v>67</v>
      </c>
      <c r="N1" s="72" t="s">
        <v>52</v>
      </c>
    </row>
    <row r="2" spans="1:14" x14ac:dyDescent="0.3">
      <c r="A2" s="67" t="s">
        <v>42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x14ac:dyDescent="0.3">
      <c r="A3" s="67" t="s">
        <v>43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x14ac:dyDescent="0.3">
      <c r="A4" s="67" t="s">
        <v>44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4" x14ac:dyDescent="0.3">
      <c r="A5" s="67" t="s">
        <v>45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x14ac:dyDescent="0.3">
      <c r="A6" s="67" t="s">
        <v>46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x14ac:dyDescent="0.3">
      <c r="A7" s="67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</row>
    <row r="8" spans="1:14" x14ac:dyDescent="0.3">
      <c r="A8" s="67" t="s">
        <v>47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</row>
    <row r="9" spans="1:14" x14ac:dyDescent="0.3">
      <c r="A9" s="67" t="s">
        <v>48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</row>
    <row r="10" spans="1:14" x14ac:dyDescent="0.3">
      <c r="A10" s="67" t="s">
        <v>49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</row>
    <row r="11" spans="1:14" x14ac:dyDescent="0.3">
      <c r="A11" s="67" t="s">
        <v>50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4" spans="1:14" x14ac:dyDescent="0.3">
      <c r="A14" s="99" t="s">
        <v>182</v>
      </c>
      <c r="B14" s="99"/>
      <c r="C14" s="99"/>
      <c r="D14" s="99"/>
      <c r="E14" s="99"/>
    </row>
    <row r="15" spans="1:14" x14ac:dyDescent="0.3">
      <c r="A15" s="99"/>
      <c r="B15" s="99"/>
      <c r="C15" s="99"/>
      <c r="D15" s="99"/>
      <c r="E15" s="99"/>
    </row>
    <row r="16" spans="1:14" x14ac:dyDescent="0.3">
      <c r="A16" s="99"/>
      <c r="B16" s="99"/>
      <c r="C16" s="99"/>
      <c r="D16" s="99"/>
      <c r="E16" s="99"/>
    </row>
  </sheetData>
  <mergeCells count="1">
    <mergeCell ref="A14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EA7-FC07-4A6D-A0FB-AF304ACC7E80}">
  <dimension ref="A1:AA21"/>
  <sheetViews>
    <sheetView zoomScale="68" workbookViewId="0">
      <selection activeCell="O29" sqref="O29"/>
    </sheetView>
  </sheetViews>
  <sheetFormatPr defaultRowHeight="14.4" x14ac:dyDescent="0.3"/>
  <cols>
    <col min="1" max="1" width="16.44140625" bestFit="1" customWidth="1"/>
    <col min="2" max="2" width="26.88671875" bestFit="1" customWidth="1"/>
  </cols>
  <sheetData>
    <row r="1" spans="1:27" x14ac:dyDescent="0.3">
      <c r="A1" s="47" t="s">
        <v>101</v>
      </c>
      <c r="B1" s="47" t="s">
        <v>163</v>
      </c>
      <c r="C1" s="122" t="s">
        <v>164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7" x14ac:dyDescent="0.3">
      <c r="A2" s="47"/>
      <c r="B2" s="49" t="s">
        <v>165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7" x14ac:dyDescent="0.3">
      <c r="A3" s="47"/>
      <c r="B3" s="49" t="s">
        <v>166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7" ht="23.4" x14ac:dyDescent="0.3">
      <c r="A4" s="47"/>
      <c r="B4" s="49" t="s">
        <v>167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7" x14ac:dyDescent="0.3">
      <c r="A5" s="47"/>
      <c r="B5" s="47"/>
      <c r="C5" s="50">
        <v>45312</v>
      </c>
      <c r="D5" s="50">
        <v>45343</v>
      </c>
      <c r="E5" s="50">
        <v>45372</v>
      </c>
      <c r="F5" s="50">
        <v>45403</v>
      </c>
      <c r="G5" s="50">
        <v>45433</v>
      </c>
      <c r="H5" s="50">
        <v>45464</v>
      </c>
      <c r="I5" s="50">
        <v>45494</v>
      </c>
      <c r="J5" s="50">
        <v>45525</v>
      </c>
      <c r="K5" s="50">
        <v>45556</v>
      </c>
      <c r="L5" s="50">
        <v>45586</v>
      </c>
      <c r="M5" s="50">
        <v>45617</v>
      </c>
      <c r="N5" s="50">
        <v>45647</v>
      </c>
      <c r="O5" s="50">
        <v>45313</v>
      </c>
      <c r="P5" s="50">
        <v>45344</v>
      </c>
      <c r="Q5" s="50">
        <v>45373</v>
      </c>
      <c r="R5" s="50">
        <v>45404</v>
      </c>
      <c r="S5" s="50">
        <v>45434</v>
      </c>
      <c r="T5" s="50">
        <v>45465</v>
      </c>
      <c r="U5" s="50">
        <v>45495</v>
      </c>
      <c r="V5" s="50">
        <v>45526</v>
      </c>
      <c r="W5" s="50">
        <v>45557</v>
      </c>
      <c r="X5" s="50">
        <v>45587</v>
      </c>
      <c r="Y5" s="50">
        <v>45618</v>
      </c>
      <c r="Z5" s="50">
        <v>45648</v>
      </c>
      <c r="AA5" s="68" t="s">
        <v>52</v>
      </c>
    </row>
    <row r="6" spans="1:27" x14ac:dyDescent="0.3">
      <c r="A6" s="51" t="s">
        <v>93</v>
      </c>
      <c r="B6" s="52" t="s">
        <v>94</v>
      </c>
      <c r="C6" s="52"/>
      <c r="D6" s="52"/>
      <c r="E6" s="52"/>
      <c r="F6" s="52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68"/>
    </row>
    <row r="7" spans="1:27" x14ac:dyDescent="0.3">
      <c r="A7" s="123" t="s">
        <v>102</v>
      </c>
      <c r="B7" s="54" t="s">
        <v>42</v>
      </c>
      <c r="C7" s="55">
        <v>110000</v>
      </c>
      <c r="D7" s="55">
        <v>60000</v>
      </c>
      <c r="E7" s="55">
        <v>200000</v>
      </c>
      <c r="F7" s="55">
        <v>100000</v>
      </c>
      <c r="G7" s="56">
        <v>40000</v>
      </c>
      <c r="H7" s="56">
        <v>20000</v>
      </c>
      <c r="I7" s="56">
        <v>10000</v>
      </c>
      <c r="J7" s="57">
        <v>60000</v>
      </c>
      <c r="K7" s="58">
        <v>100000</v>
      </c>
      <c r="L7" s="58">
        <v>110000</v>
      </c>
      <c r="M7" s="58">
        <v>110000</v>
      </c>
      <c r="N7" s="58">
        <v>70000</v>
      </c>
      <c r="O7" s="59">
        <v>10000</v>
      </c>
      <c r="P7" s="59">
        <v>15000</v>
      </c>
      <c r="Q7" s="59">
        <v>20000</v>
      </c>
      <c r="R7" s="59">
        <v>40000</v>
      </c>
      <c r="S7" s="59">
        <v>40000</v>
      </c>
      <c r="T7" s="59">
        <v>10000</v>
      </c>
      <c r="U7" s="59">
        <v>5000</v>
      </c>
      <c r="V7" s="59">
        <v>8000</v>
      </c>
      <c r="W7" s="59">
        <v>10000</v>
      </c>
      <c r="X7" s="59">
        <v>10000</v>
      </c>
      <c r="Y7" s="59">
        <v>8000</v>
      </c>
      <c r="Z7" s="59">
        <v>80000</v>
      </c>
      <c r="AA7" s="69">
        <f>SUM(C7:Z7)</f>
        <v>1246000</v>
      </c>
    </row>
    <row r="8" spans="1:27" x14ac:dyDescent="0.3">
      <c r="A8" s="124"/>
      <c r="B8" s="54" t="s">
        <v>43</v>
      </c>
      <c r="C8" s="55"/>
      <c r="D8" s="55"/>
      <c r="E8" s="55"/>
      <c r="F8" s="55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69">
        <f t="shared" ref="AA8:AA17" si="0">SUM(C8:Z8)</f>
        <v>0</v>
      </c>
    </row>
    <row r="9" spans="1:27" x14ac:dyDescent="0.3">
      <c r="A9" s="124"/>
      <c r="B9" s="54" t="s">
        <v>44</v>
      </c>
      <c r="C9" s="55">
        <v>230000</v>
      </c>
      <c r="D9" s="55">
        <v>200000</v>
      </c>
      <c r="E9" s="55">
        <v>240000</v>
      </c>
      <c r="F9" s="55">
        <v>200000</v>
      </c>
      <c r="G9" s="56">
        <v>210000</v>
      </c>
      <c r="H9" s="56">
        <v>220000</v>
      </c>
      <c r="I9" s="56">
        <v>200000</v>
      </c>
      <c r="J9" s="56">
        <v>300000</v>
      </c>
      <c r="K9" s="56">
        <v>200000</v>
      </c>
      <c r="L9" s="56">
        <v>200000</v>
      </c>
      <c r="M9" s="56">
        <v>210000</v>
      </c>
      <c r="N9" s="56">
        <v>200000</v>
      </c>
      <c r="O9" s="59">
        <v>230000</v>
      </c>
      <c r="P9" s="59">
        <v>250000</v>
      </c>
      <c r="Q9" s="59">
        <v>300000</v>
      </c>
      <c r="R9" s="59">
        <v>270000</v>
      </c>
      <c r="S9" s="59">
        <v>200000</v>
      </c>
      <c r="T9" s="59">
        <v>200000</v>
      </c>
      <c r="U9" s="59">
        <v>180000</v>
      </c>
      <c r="V9" s="59">
        <v>240000</v>
      </c>
      <c r="W9" s="59">
        <v>220000</v>
      </c>
      <c r="X9" s="59">
        <v>250000</v>
      </c>
      <c r="Y9" s="59">
        <v>200000</v>
      </c>
      <c r="Z9" s="59">
        <v>180000</v>
      </c>
      <c r="AA9" s="69">
        <f t="shared" si="0"/>
        <v>5330000</v>
      </c>
    </row>
    <row r="10" spans="1:27" x14ac:dyDescent="0.3">
      <c r="A10" s="124"/>
      <c r="B10" s="54" t="s">
        <v>45</v>
      </c>
      <c r="C10" s="55"/>
      <c r="D10" s="55"/>
      <c r="E10" s="55"/>
      <c r="F10" s="55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9">
        <f t="shared" si="0"/>
        <v>0</v>
      </c>
    </row>
    <row r="11" spans="1:27" x14ac:dyDescent="0.3">
      <c r="A11" s="125"/>
      <c r="B11" s="54" t="s">
        <v>46</v>
      </c>
      <c r="C11" s="55">
        <v>190000</v>
      </c>
      <c r="D11" s="55">
        <v>190000</v>
      </c>
      <c r="E11" s="55">
        <v>480000</v>
      </c>
      <c r="F11" s="55">
        <v>420000</v>
      </c>
      <c r="G11" s="56">
        <v>360000</v>
      </c>
      <c r="H11" s="56">
        <v>220000</v>
      </c>
      <c r="I11" s="56">
        <v>380000</v>
      </c>
      <c r="J11" s="56">
        <v>230000</v>
      </c>
      <c r="K11" s="56">
        <v>360000</v>
      </c>
      <c r="L11" s="56">
        <v>440000</v>
      </c>
      <c r="M11" s="56">
        <v>280000</v>
      </c>
      <c r="N11" s="56">
        <v>380000</v>
      </c>
      <c r="O11" s="59">
        <v>380000</v>
      </c>
      <c r="P11" s="59">
        <v>450000</v>
      </c>
      <c r="Q11" s="59">
        <v>510000</v>
      </c>
      <c r="R11" s="59">
        <v>300000</v>
      </c>
      <c r="S11" s="59">
        <v>390000</v>
      </c>
      <c r="T11" s="59">
        <v>350000</v>
      </c>
      <c r="U11" s="59">
        <v>380000</v>
      </c>
      <c r="V11" s="59">
        <v>390000</v>
      </c>
      <c r="W11" s="59">
        <v>320000</v>
      </c>
      <c r="X11" s="59">
        <v>210000</v>
      </c>
      <c r="Y11" s="59">
        <v>250000</v>
      </c>
      <c r="Z11" s="59">
        <v>350000</v>
      </c>
      <c r="AA11" s="69">
        <f t="shared" si="0"/>
        <v>8210000</v>
      </c>
    </row>
    <row r="12" spans="1:27" x14ac:dyDescent="0.3">
      <c r="A12" s="53"/>
      <c r="B12" s="54"/>
      <c r="C12" s="55"/>
      <c r="D12" s="55"/>
      <c r="E12" s="55"/>
      <c r="F12" s="55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9">
        <f t="shared" si="0"/>
        <v>0</v>
      </c>
    </row>
    <row r="13" spans="1:27" x14ac:dyDescent="0.3">
      <c r="A13" s="123" t="s">
        <v>108</v>
      </c>
      <c r="B13" s="54" t="s">
        <v>47</v>
      </c>
      <c r="C13" s="55">
        <v>50000</v>
      </c>
      <c r="D13" s="55">
        <v>60000</v>
      </c>
      <c r="E13" s="55">
        <v>60000</v>
      </c>
      <c r="F13" s="55">
        <v>60000</v>
      </c>
      <c r="G13" s="56">
        <v>64000</v>
      </c>
      <c r="H13" s="56">
        <v>40000</v>
      </c>
      <c r="I13" s="56">
        <v>50000</v>
      </c>
      <c r="J13" s="56">
        <v>50000</v>
      </c>
      <c r="K13" s="56">
        <v>40000</v>
      </c>
      <c r="L13" s="56">
        <v>80000</v>
      </c>
      <c r="M13" s="56">
        <v>60000</v>
      </c>
      <c r="N13" s="56">
        <v>60000</v>
      </c>
      <c r="O13" s="59">
        <v>50000</v>
      </c>
      <c r="P13" s="59">
        <v>80000</v>
      </c>
      <c r="Q13" s="59">
        <v>70000</v>
      </c>
      <c r="R13" s="59">
        <v>50000</v>
      </c>
      <c r="S13" s="59">
        <v>60000</v>
      </c>
      <c r="T13" s="59">
        <v>80000</v>
      </c>
      <c r="U13" s="59">
        <v>70000</v>
      </c>
      <c r="V13" s="59">
        <v>70000</v>
      </c>
      <c r="W13" s="59">
        <v>80000</v>
      </c>
      <c r="X13" s="59">
        <v>60000</v>
      </c>
      <c r="Y13" s="59">
        <v>60000</v>
      </c>
      <c r="Z13" s="59">
        <v>80000</v>
      </c>
      <c r="AA13" s="69">
        <f t="shared" si="0"/>
        <v>1484000</v>
      </c>
    </row>
    <row r="14" spans="1:27" x14ac:dyDescent="0.3">
      <c r="A14" s="124"/>
      <c r="B14" s="54" t="s">
        <v>48</v>
      </c>
      <c r="C14" s="55"/>
      <c r="D14" s="55"/>
      <c r="E14" s="55"/>
      <c r="F14" s="55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9">
        <f t="shared" si="0"/>
        <v>0</v>
      </c>
    </row>
    <row r="15" spans="1:27" x14ac:dyDescent="0.3">
      <c r="A15" s="125"/>
      <c r="B15" s="54" t="s">
        <v>49</v>
      </c>
      <c r="C15" s="55"/>
      <c r="D15" s="55"/>
      <c r="E15" s="55"/>
      <c r="F15" s="55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9">
        <f t="shared" si="0"/>
        <v>0</v>
      </c>
    </row>
    <row r="16" spans="1:27" x14ac:dyDescent="0.3">
      <c r="A16" s="123" t="s">
        <v>153</v>
      </c>
      <c r="B16" s="54" t="s">
        <v>50</v>
      </c>
      <c r="C16" s="55"/>
      <c r="D16" s="55"/>
      <c r="E16" s="55"/>
      <c r="F16" s="55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69">
        <f t="shared" si="0"/>
        <v>0</v>
      </c>
    </row>
    <row r="17" spans="1:27" x14ac:dyDescent="0.3">
      <c r="A17" s="125"/>
      <c r="B17" s="54"/>
      <c r="C17" s="55">
        <v>30000</v>
      </c>
      <c r="D17" s="55">
        <v>20000</v>
      </c>
      <c r="E17" s="55">
        <v>40000</v>
      </c>
      <c r="F17" s="55">
        <v>20000</v>
      </c>
      <c r="G17" s="56">
        <v>30000</v>
      </c>
      <c r="H17" s="56">
        <v>40000</v>
      </c>
      <c r="I17" s="56">
        <v>40000</v>
      </c>
      <c r="J17" s="56">
        <v>30000</v>
      </c>
      <c r="K17" s="56">
        <v>60000</v>
      </c>
      <c r="L17" s="56">
        <v>40000</v>
      </c>
      <c r="M17" s="56">
        <v>50000</v>
      </c>
      <c r="N17" s="56">
        <v>40000</v>
      </c>
      <c r="O17" s="59">
        <v>40000</v>
      </c>
      <c r="P17" s="59">
        <v>35000</v>
      </c>
      <c r="Q17" s="59">
        <v>30000</v>
      </c>
      <c r="R17" s="59">
        <v>30000</v>
      </c>
      <c r="S17" s="59">
        <v>20000</v>
      </c>
      <c r="T17" s="59">
        <v>20000</v>
      </c>
      <c r="U17" s="59">
        <v>20000</v>
      </c>
      <c r="V17" s="59">
        <v>40000</v>
      </c>
      <c r="W17" s="59">
        <v>30000</v>
      </c>
      <c r="X17" s="59">
        <v>40000</v>
      </c>
      <c r="Y17" s="59">
        <v>40000</v>
      </c>
      <c r="Z17" s="59">
        <v>30000</v>
      </c>
      <c r="AA17" s="69">
        <f t="shared" si="0"/>
        <v>815000</v>
      </c>
    </row>
    <row r="18" spans="1:27" x14ac:dyDescent="0.3">
      <c r="A18" s="53" t="s">
        <v>158</v>
      </c>
      <c r="B18" s="54"/>
      <c r="C18" s="55"/>
      <c r="D18" s="55"/>
      <c r="E18" s="55"/>
      <c r="F18" s="55"/>
      <c r="G18" s="59"/>
      <c r="H18" s="59"/>
      <c r="I18" s="59"/>
      <c r="J18" s="59" t="s">
        <v>168</v>
      </c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68"/>
    </row>
    <row r="19" spans="1:27" x14ac:dyDescent="0.3">
      <c r="A19" s="53" t="s">
        <v>159</v>
      </c>
      <c r="B19" s="54"/>
      <c r="C19" s="55"/>
      <c r="D19" s="55"/>
      <c r="E19" s="55"/>
      <c r="F19" s="55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8"/>
    </row>
    <row r="20" spans="1:27" x14ac:dyDescent="0.3">
      <c r="A20" s="53"/>
      <c r="B20" s="54" t="s">
        <v>160</v>
      </c>
      <c r="C20" s="55">
        <v>610000</v>
      </c>
      <c r="D20" s="55">
        <v>530000</v>
      </c>
      <c r="E20" s="55">
        <v>1020000</v>
      </c>
      <c r="F20" s="55">
        <v>800000</v>
      </c>
      <c r="G20" s="60">
        <v>704000</v>
      </c>
      <c r="H20" s="60">
        <v>540000</v>
      </c>
      <c r="I20" s="60">
        <v>680000</v>
      </c>
      <c r="J20" s="60">
        <v>670000</v>
      </c>
      <c r="K20" s="60">
        <v>760000</v>
      </c>
      <c r="L20" s="60">
        <v>870000</v>
      </c>
      <c r="M20" s="60">
        <v>710000</v>
      </c>
      <c r="N20" s="60">
        <v>750000</v>
      </c>
      <c r="O20" s="60">
        <v>710000</v>
      </c>
      <c r="P20" s="60">
        <v>830000</v>
      </c>
      <c r="Q20" s="60">
        <v>930000</v>
      </c>
      <c r="R20" s="60">
        <v>690000</v>
      </c>
      <c r="S20" s="60">
        <v>710000</v>
      </c>
      <c r="T20" s="60">
        <v>660000</v>
      </c>
      <c r="U20" s="60">
        <v>655000</v>
      </c>
      <c r="V20" s="60">
        <v>748000</v>
      </c>
      <c r="W20" s="60">
        <v>660000</v>
      </c>
      <c r="X20" s="60">
        <v>570000</v>
      </c>
      <c r="Y20" s="60">
        <v>558000</v>
      </c>
      <c r="Z20" s="60">
        <v>720000</v>
      </c>
    </row>
    <row r="21" spans="1:27" x14ac:dyDescent="0.3">
      <c r="A21" s="53"/>
      <c r="B21" s="54" t="s">
        <v>53</v>
      </c>
      <c r="C21" s="55">
        <v>122000</v>
      </c>
      <c r="D21" s="55">
        <v>106000</v>
      </c>
      <c r="E21" s="55">
        <v>204000</v>
      </c>
      <c r="F21" s="55">
        <v>160000</v>
      </c>
      <c r="G21" s="55">
        <v>140800</v>
      </c>
      <c r="H21" s="55">
        <v>108000</v>
      </c>
      <c r="I21" s="55">
        <v>136000</v>
      </c>
      <c r="J21" s="55">
        <v>134000</v>
      </c>
      <c r="K21" s="55">
        <v>152000</v>
      </c>
      <c r="L21" s="55">
        <v>174000</v>
      </c>
      <c r="M21" s="55">
        <v>142000</v>
      </c>
      <c r="N21" s="55">
        <v>150000</v>
      </c>
      <c r="O21" s="55">
        <v>142000</v>
      </c>
      <c r="P21" s="55">
        <v>166000</v>
      </c>
      <c r="Q21" s="55">
        <v>186000</v>
      </c>
      <c r="R21" s="55">
        <v>138000</v>
      </c>
      <c r="S21" s="55">
        <v>142000</v>
      </c>
      <c r="T21" s="55">
        <v>132000</v>
      </c>
      <c r="U21" s="55">
        <v>131000</v>
      </c>
      <c r="V21" s="55">
        <v>149600</v>
      </c>
      <c r="W21" s="55">
        <v>132000</v>
      </c>
      <c r="X21" s="55">
        <v>114000</v>
      </c>
      <c r="Y21" s="55">
        <v>111600</v>
      </c>
      <c r="Z21" s="55">
        <v>144000</v>
      </c>
    </row>
  </sheetData>
  <mergeCells count="4">
    <mergeCell ref="C1:Z3"/>
    <mergeCell ref="A7:A11"/>
    <mergeCell ref="A13:A15"/>
    <mergeCell ref="A16:A17"/>
  </mergeCells>
  <hyperlinks>
    <hyperlink ref="B2" r:id="rId1" display="https://viettimes.vn/hoa-phat-ban-67-trieu-tan-thep-trong-nam-2023-post172585.html" xr:uid="{248CCCA0-BC36-45FE-94FC-B75C360B8C83}"/>
    <hyperlink ref="B3" r:id="rId2" display="https://www.hoaphat.com.vn/tin-tuc/hoa-phat-ban-hon-7-2-trieu-tan-thep-nam-2022.html" xr:uid="{7F003579-78E8-47F3-928A-D096A107CCC7}"/>
    <hyperlink ref="B4" r:id="rId3" display="https://www.hoaphat.com.vn/tin-tuc/nam-2021-hoa-phat-dat-san-luong-ban-hang-8-8-trieu-tan-thep-cac-loai-tang-35-so-voi-cung-ky-xuat-khau-2-6-trieu-tan.html" xr:uid="{48098E2F-519F-4207-AB42-FBBB103996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68B5-42DF-4922-A36E-CF8489041294}">
  <sheetPr>
    <pageSetUpPr fitToPage="1"/>
  </sheetPr>
  <dimension ref="A1:O45"/>
  <sheetViews>
    <sheetView zoomScale="98" workbookViewId="0">
      <selection activeCell="G19" sqref="G19"/>
    </sheetView>
  </sheetViews>
  <sheetFormatPr defaultRowHeight="14.4" x14ac:dyDescent="0.3"/>
  <cols>
    <col min="1" max="1" width="25.44140625" bestFit="1" customWidth="1"/>
    <col min="2" max="3" width="12" bestFit="1" customWidth="1"/>
    <col min="5" max="5" width="12.5546875" bestFit="1" customWidth="1"/>
    <col min="7" max="7" width="12" bestFit="1" customWidth="1"/>
    <col min="9" max="9" width="17.21875" bestFit="1" customWidth="1"/>
    <col min="10" max="10" width="12.21875" bestFit="1" customWidth="1"/>
    <col min="13" max="13" width="11" bestFit="1" customWidth="1"/>
    <col min="14" max="14" width="12" bestFit="1" customWidth="1"/>
    <col min="15" max="15" width="13.5546875" customWidth="1"/>
    <col min="16" max="16" width="16.44140625" bestFit="1" customWidth="1"/>
    <col min="17" max="17" width="12" bestFit="1" customWidth="1"/>
    <col min="18" max="18" width="12.21875" bestFit="1" customWidth="1"/>
  </cols>
  <sheetData>
    <row r="1" spans="1:15" x14ac:dyDescent="0.3">
      <c r="A1" t="s">
        <v>81</v>
      </c>
      <c r="B1" s="28" t="s">
        <v>56</v>
      </c>
      <c r="C1" s="28" t="s">
        <v>57</v>
      </c>
      <c r="D1" s="28" t="s">
        <v>58</v>
      </c>
      <c r="E1" s="28" t="s">
        <v>59</v>
      </c>
      <c r="F1" s="28" t="s">
        <v>60</v>
      </c>
      <c r="G1" s="28" t="s">
        <v>61</v>
      </c>
      <c r="H1" s="28" t="s">
        <v>62</v>
      </c>
      <c r="I1" s="28" t="s">
        <v>63</v>
      </c>
      <c r="J1" s="28" t="s">
        <v>64</v>
      </c>
      <c r="K1" s="28" t="s">
        <v>65</v>
      </c>
      <c r="L1" s="28" t="s">
        <v>66</v>
      </c>
      <c r="M1" s="28" t="s">
        <v>67</v>
      </c>
      <c r="N1" s="28" t="s">
        <v>52</v>
      </c>
      <c r="O1" s="64" t="s">
        <v>179</v>
      </c>
    </row>
    <row r="2" spans="1:15" x14ac:dyDescent="0.3">
      <c r="A2" s="27" t="s">
        <v>42</v>
      </c>
      <c r="B2" s="27">
        <v>73099.053336411918</v>
      </c>
      <c r="C2" s="27">
        <v>49886.337804046379</v>
      </c>
      <c r="D2" s="27">
        <v>84204.933586337764</v>
      </c>
      <c r="E2" s="27">
        <v>71907.608695652176</v>
      </c>
      <c r="F2" s="27">
        <v>44244.078104993598</v>
      </c>
      <c r="G2" s="27">
        <v>20196.969696969696</v>
      </c>
      <c r="H2" s="27">
        <v>8533.6775931746743</v>
      </c>
      <c r="I2" s="27">
        <v>36540.186766701248</v>
      </c>
      <c r="J2" s="27">
        <v>50812.75917065391</v>
      </c>
      <c r="K2" s="27">
        <v>49428.554143980647</v>
      </c>
      <c r="L2" s="27">
        <v>55739.45681255994</v>
      </c>
      <c r="M2" s="27">
        <v>65238.222222222219</v>
      </c>
      <c r="N2" s="27">
        <f>SUM(B2:M2)</f>
        <v>609831.83793370414</v>
      </c>
      <c r="O2">
        <f>N2/12</f>
        <v>50819.319827808678</v>
      </c>
    </row>
    <row r="3" spans="1:15" x14ac:dyDescent="0.3">
      <c r="A3" s="27" t="s">
        <v>43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f t="shared" ref="N3:N11" si="0">SUM(B3:M3)</f>
        <v>0</v>
      </c>
      <c r="O3">
        <f t="shared" ref="O3:O10" si="1">N3/12</f>
        <v>0</v>
      </c>
    </row>
    <row r="4" spans="1:15" x14ac:dyDescent="0.3">
      <c r="A4" s="27" t="s">
        <v>44</v>
      </c>
      <c r="B4" s="27">
        <v>263573.30870468711</v>
      </c>
      <c r="C4" s="27">
        <v>257854.0577403956</v>
      </c>
      <c r="D4" s="27">
        <v>215897.53320683111</v>
      </c>
      <c r="E4" s="27">
        <v>252032.60869565216</v>
      </c>
      <c r="F4" s="27">
        <v>226774.36779769527</v>
      </c>
      <c r="G4" s="27">
        <v>274939.39393939392</v>
      </c>
      <c r="H4" s="27">
        <v>217330.04041311183</v>
      </c>
      <c r="I4" s="27">
        <v>280160.8268816346</v>
      </c>
      <c r="J4" s="27">
        <v>206564.91228070174</v>
      </c>
      <c r="K4" s="27">
        <v>229489.71566848154</v>
      </c>
      <c r="L4" s="27">
        <v>215427.26538442122</v>
      </c>
      <c r="M4" s="27">
        <v>164868.33333333331</v>
      </c>
      <c r="N4" s="27">
        <f t="shared" si="0"/>
        <v>2804912.3640463399</v>
      </c>
      <c r="O4">
        <f t="shared" si="1"/>
        <v>233742.69700386166</v>
      </c>
    </row>
    <row r="5" spans="1:15" x14ac:dyDescent="0.3">
      <c r="A5" s="27" t="s">
        <v>45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f t="shared" si="0"/>
        <v>0</v>
      </c>
      <c r="O5">
        <f t="shared" si="1"/>
        <v>0</v>
      </c>
    </row>
    <row r="6" spans="1:15" x14ac:dyDescent="0.3">
      <c r="A6" s="27" t="s">
        <v>46</v>
      </c>
      <c r="B6" s="27">
        <v>318354.19071807893</v>
      </c>
      <c r="C6" s="27">
        <v>342250.51147988177</v>
      </c>
      <c r="D6" s="27">
        <v>394343.45351043646</v>
      </c>
      <c r="E6" s="27">
        <v>377194.56521739135</v>
      </c>
      <c r="F6" s="27">
        <v>414717.82970550575</v>
      </c>
      <c r="G6" s="27">
        <v>362893.93939393939</v>
      </c>
      <c r="H6" s="27">
        <v>435088.90884598112</v>
      </c>
      <c r="I6" s="27">
        <v>315173.65711549204</v>
      </c>
      <c r="J6" s="27">
        <v>331939.87240829342</v>
      </c>
      <c r="K6" s="27">
        <v>300101.93587416818</v>
      </c>
      <c r="L6" s="27">
        <v>277400.63102630118</v>
      </c>
      <c r="M6" s="27">
        <v>316795.38888888888</v>
      </c>
      <c r="N6" s="27">
        <f t="shared" si="0"/>
        <v>4186254.8841843586</v>
      </c>
      <c r="O6">
        <f t="shared" si="1"/>
        <v>348854.57368202991</v>
      </c>
    </row>
    <row r="7" spans="1:15" x14ac:dyDescent="0.3">
      <c r="A7" s="27"/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f t="shared" si="0"/>
        <v>0</v>
      </c>
      <c r="O7">
        <f t="shared" si="1"/>
        <v>0</v>
      </c>
    </row>
    <row r="8" spans="1:15" x14ac:dyDescent="0.3">
      <c r="A8" s="27" t="s">
        <v>47</v>
      </c>
      <c r="B8" s="27">
        <v>57298.545370584157</v>
      </c>
      <c r="C8" s="27">
        <v>79645.373948624692</v>
      </c>
      <c r="D8" s="27">
        <v>51893.738140417459</v>
      </c>
      <c r="E8" s="27">
        <v>57953.260869565216</v>
      </c>
      <c r="F8" s="27">
        <v>68587.708066581312</v>
      </c>
      <c r="G8" s="27">
        <v>75575.757575757569</v>
      </c>
      <c r="H8" s="27">
        <v>68912.662775033677</v>
      </c>
      <c r="I8" s="27">
        <v>61312.455104158347</v>
      </c>
      <c r="J8" s="27">
        <v>60202.073365231263</v>
      </c>
      <c r="K8" s="27">
        <v>67704.658197217184</v>
      </c>
      <c r="L8" s="27">
        <v>63236.771164622143</v>
      </c>
      <c r="M8" s="27">
        <v>60983.555555555562</v>
      </c>
      <c r="N8" s="27">
        <f t="shared" si="0"/>
        <v>773306.56013334868</v>
      </c>
      <c r="O8">
        <f t="shared" si="1"/>
        <v>64442.213344445721</v>
      </c>
    </row>
    <row r="9" spans="1:15" x14ac:dyDescent="0.3">
      <c r="A9" s="27" t="s">
        <v>48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f t="shared" si="0"/>
        <v>0</v>
      </c>
      <c r="O9">
        <f t="shared" si="1"/>
        <v>0</v>
      </c>
    </row>
    <row r="10" spans="1:15" x14ac:dyDescent="0.3">
      <c r="A10" s="27" t="s">
        <v>49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f t="shared" si="0"/>
        <v>0</v>
      </c>
      <c r="O10">
        <f t="shared" si="1"/>
        <v>0</v>
      </c>
    </row>
    <row r="11" spans="1:15" x14ac:dyDescent="0.3">
      <c r="A11" s="27" t="s">
        <v>50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f t="shared" si="0"/>
        <v>0</v>
      </c>
    </row>
    <row r="13" spans="1:15" x14ac:dyDescent="0.3">
      <c r="A13" s="27" t="s">
        <v>83</v>
      </c>
      <c r="B13" s="27" t="s">
        <v>53</v>
      </c>
      <c r="C13" s="27" t="s">
        <v>69</v>
      </c>
      <c r="D13" s="27" t="s">
        <v>70</v>
      </c>
      <c r="E13" s="44" t="s">
        <v>161</v>
      </c>
    </row>
    <row r="14" spans="1:15" x14ac:dyDescent="0.3">
      <c r="A14" s="27" t="s">
        <v>42</v>
      </c>
      <c r="B14" s="27">
        <f>AVERAGE(B2:M2)</f>
        <v>50819.319827808678</v>
      </c>
      <c r="C14" s="27">
        <f>VAR(B2:M2)</f>
        <v>478504562.90342158</v>
      </c>
      <c r="D14" s="27">
        <f>STDEV(B2:M2)</f>
        <v>21874.747150616888</v>
      </c>
      <c r="E14" s="44">
        <f>'Biểu giá'!F3*175%</f>
        <v>8938518.75</v>
      </c>
    </row>
    <row r="15" spans="1:15" x14ac:dyDescent="0.3">
      <c r="A15" s="27" t="s">
        <v>43</v>
      </c>
      <c r="B15" s="27">
        <f t="shared" ref="B15:B22" si="2">AVERAGE(B3:M3)</f>
        <v>0</v>
      </c>
      <c r="C15" s="27">
        <f t="shared" ref="C15:C22" si="3">VAR(B3:M3)</f>
        <v>0</v>
      </c>
      <c r="D15" s="27">
        <f t="shared" ref="D15:D22" si="4">STDEV(B3:M3)</f>
        <v>0</v>
      </c>
      <c r="E15" s="44"/>
    </row>
    <row r="16" spans="1:15" x14ac:dyDescent="0.3">
      <c r="A16" s="27" t="s">
        <v>44</v>
      </c>
      <c r="B16" s="27">
        <f>AVERAGE(B4:M4)</f>
        <v>233742.69700386166</v>
      </c>
      <c r="C16" s="27">
        <f t="shared" si="3"/>
        <v>1102708201.7102051</v>
      </c>
      <c r="D16" s="27">
        <f t="shared" si="4"/>
        <v>33207.050481941405</v>
      </c>
      <c r="E16" s="44">
        <f>'Biểu giá'!F5*175%</f>
        <v>14904.574999999999</v>
      </c>
    </row>
    <row r="17" spans="1:13" x14ac:dyDescent="0.3">
      <c r="A17" s="27" t="s">
        <v>45</v>
      </c>
      <c r="B17" s="27">
        <f t="shared" si="2"/>
        <v>0</v>
      </c>
      <c r="C17" s="27">
        <f t="shared" si="3"/>
        <v>0</v>
      </c>
      <c r="D17" s="27">
        <f t="shared" si="4"/>
        <v>0</v>
      </c>
      <c r="E17" s="44"/>
    </row>
    <row r="18" spans="1:13" x14ac:dyDescent="0.3">
      <c r="A18" s="27" t="s">
        <v>46</v>
      </c>
      <c r="B18" s="27">
        <f t="shared" si="2"/>
        <v>348854.57368202991</v>
      </c>
      <c r="C18" s="27">
        <f t="shared" si="3"/>
        <v>2340772850.4886808</v>
      </c>
      <c r="D18" s="27">
        <f t="shared" si="4"/>
        <v>48381.534189075493</v>
      </c>
      <c r="E18" s="44">
        <f>'Biểu giá'!F8*175%</f>
        <v>9959862.5</v>
      </c>
    </row>
    <row r="19" spans="1:13" x14ac:dyDescent="0.3">
      <c r="A19" s="27" t="s">
        <v>47</v>
      </c>
      <c r="B19" s="27">
        <f>AVERAGE(B8:M8)</f>
        <v>64442.213344445721</v>
      </c>
      <c r="C19" s="27">
        <f>VAR(B8:M8)</f>
        <v>63154345.004615091</v>
      </c>
      <c r="D19" s="27">
        <f>STDEV(B8:M8)</f>
        <v>7946.9708068304299</v>
      </c>
      <c r="E19" s="44">
        <f>'Biểu giá'!F25*175%</f>
        <v>94456.6875</v>
      </c>
    </row>
    <row r="20" spans="1:13" x14ac:dyDescent="0.3">
      <c r="A20" s="27" t="s">
        <v>48</v>
      </c>
      <c r="B20" s="27"/>
      <c r="C20" s="27"/>
      <c r="D20" s="27"/>
      <c r="E20" s="44"/>
      <c r="I20" s="24" t="s">
        <v>54</v>
      </c>
      <c r="J20" s="25">
        <f>10000*23500</f>
        <v>235000000</v>
      </c>
      <c r="K20" s="101" t="s">
        <v>180</v>
      </c>
      <c r="L20" s="102"/>
      <c r="M20" s="102"/>
    </row>
    <row r="21" spans="1:13" x14ac:dyDescent="0.3">
      <c r="A21" s="27" t="s">
        <v>49</v>
      </c>
      <c r="B21" s="27">
        <f t="shared" si="2"/>
        <v>0</v>
      </c>
      <c r="C21" s="27">
        <f t="shared" si="3"/>
        <v>0</v>
      </c>
      <c r="D21" s="27">
        <f t="shared" si="4"/>
        <v>0</v>
      </c>
      <c r="E21" s="44"/>
      <c r="I21" s="24" t="s">
        <v>6</v>
      </c>
      <c r="J21" s="26">
        <v>0.25</v>
      </c>
      <c r="K21" s="101"/>
      <c r="L21" s="102"/>
      <c r="M21" s="102"/>
    </row>
    <row r="22" spans="1:13" x14ac:dyDescent="0.3">
      <c r="A22" s="27" t="s">
        <v>50</v>
      </c>
      <c r="B22" s="27">
        <f t="shared" si="2"/>
        <v>0</v>
      </c>
      <c r="C22" s="27">
        <f t="shared" si="3"/>
        <v>0</v>
      </c>
      <c r="D22" s="27">
        <f t="shared" si="4"/>
        <v>0</v>
      </c>
      <c r="E22" s="27"/>
      <c r="I22" s="30" t="s">
        <v>72</v>
      </c>
      <c r="J22" s="25">
        <f>'[1]Biểu giá'!$F$3</f>
        <v>5107725</v>
      </c>
      <c r="K22" s="101"/>
      <c r="L22" s="102"/>
      <c r="M22" s="102"/>
    </row>
    <row r="23" spans="1:13" ht="15.6" x14ac:dyDescent="0.3">
      <c r="A23" s="100" t="s">
        <v>82</v>
      </c>
      <c r="B23" s="100"/>
      <c r="C23" s="100"/>
      <c r="D23" s="100"/>
      <c r="I23" s="30" t="s">
        <v>73</v>
      </c>
      <c r="J23" s="25">
        <f>J22*J21</f>
        <v>1276931.25</v>
      </c>
      <c r="K23" s="101"/>
      <c r="L23" s="102"/>
      <c r="M23" s="102"/>
    </row>
    <row r="24" spans="1:13" x14ac:dyDescent="0.3">
      <c r="A24" s="27" t="s">
        <v>71</v>
      </c>
      <c r="B24" s="27" t="s">
        <v>53</v>
      </c>
      <c r="C24" s="27" t="s">
        <v>69</v>
      </c>
      <c r="D24" s="27" t="s">
        <v>70</v>
      </c>
    </row>
    <row r="25" spans="1:13" x14ac:dyDescent="0.3">
      <c r="A25" s="27" t="s">
        <v>42</v>
      </c>
      <c r="B25" s="27">
        <v>1</v>
      </c>
      <c r="C25" s="27">
        <f>5/30</f>
        <v>0.16666666666666666</v>
      </c>
      <c r="D25" s="27"/>
    </row>
    <row r="26" spans="1:13" x14ac:dyDescent="0.3">
      <c r="A26" s="27" t="s">
        <v>43</v>
      </c>
      <c r="B26" s="27"/>
      <c r="C26" s="27"/>
      <c r="D26" s="27"/>
    </row>
    <row r="27" spans="1:13" x14ac:dyDescent="0.3">
      <c r="A27" s="27" t="s">
        <v>44</v>
      </c>
      <c r="B27" s="27">
        <v>1.5</v>
      </c>
      <c r="C27" s="40">
        <f>10/30</f>
        <v>0.33333333333333331</v>
      </c>
      <c r="D27" s="27"/>
    </row>
    <row r="28" spans="1:13" x14ac:dyDescent="0.3">
      <c r="A28" s="27" t="s">
        <v>45</v>
      </c>
      <c r="B28" s="27"/>
      <c r="C28" s="27"/>
      <c r="D28" s="27"/>
    </row>
    <row r="29" spans="1:13" x14ac:dyDescent="0.3">
      <c r="A29" s="27" t="s">
        <v>46</v>
      </c>
      <c r="B29" s="27">
        <f>20/30</f>
        <v>0.66666666666666663</v>
      </c>
      <c r="C29" s="27">
        <f>5/30</f>
        <v>0.16666666666666666</v>
      </c>
      <c r="D29" s="27"/>
    </row>
    <row r="30" spans="1:13" x14ac:dyDescent="0.3">
      <c r="A30" s="27" t="s">
        <v>47</v>
      </c>
      <c r="B30" s="27">
        <v>1.3</v>
      </c>
      <c r="C30" s="27">
        <f>15/30</f>
        <v>0.5</v>
      </c>
      <c r="D30" s="27"/>
    </row>
    <row r="31" spans="1:13" x14ac:dyDescent="0.3">
      <c r="A31" s="27" t="s">
        <v>48</v>
      </c>
      <c r="B31" s="27"/>
      <c r="C31" s="27"/>
      <c r="D31" s="27"/>
    </row>
    <row r="32" spans="1:13" x14ac:dyDescent="0.3">
      <c r="A32" s="27" t="s">
        <v>49</v>
      </c>
      <c r="B32" s="27"/>
      <c r="C32" s="27"/>
      <c r="D32" s="27"/>
    </row>
    <row r="33" spans="1:14" x14ac:dyDescent="0.3">
      <c r="A33" s="27" t="s">
        <v>50</v>
      </c>
      <c r="B33" s="27"/>
      <c r="C33" s="27"/>
      <c r="D33" s="27"/>
    </row>
    <row r="36" spans="1:14" x14ac:dyDescent="0.3">
      <c r="A36" s="27"/>
      <c r="B36" s="27"/>
      <c r="C36" s="27"/>
      <c r="D36" s="27" t="s">
        <v>4</v>
      </c>
      <c r="E36" s="27" t="s">
        <v>84</v>
      </c>
      <c r="F36" s="27" t="s">
        <v>85</v>
      </c>
      <c r="G36" s="27" t="s">
        <v>86</v>
      </c>
      <c r="H36" s="27" t="s">
        <v>162</v>
      </c>
      <c r="I36" s="27" t="s">
        <v>87</v>
      </c>
      <c r="J36" s="45" t="s">
        <v>88</v>
      </c>
      <c r="K36" s="27" t="s">
        <v>89</v>
      </c>
      <c r="L36" s="27" t="s">
        <v>90</v>
      </c>
      <c r="M36" s="27" t="s">
        <v>91</v>
      </c>
      <c r="N36" s="45" t="s">
        <v>178</v>
      </c>
    </row>
    <row r="37" spans="1:14" x14ac:dyDescent="0.3">
      <c r="A37" s="27" t="s">
        <v>42</v>
      </c>
      <c r="B37" s="27"/>
      <c r="C37" s="27"/>
      <c r="D37" s="44">
        <f>ROUNDUP(SQRT((2*J20*B14)/(J21*J22)),1)</f>
        <v>4325</v>
      </c>
      <c r="E37" s="44">
        <f>E14/(Q4+E14)</f>
        <v>1</v>
      </c>
      <c r="F37" s="44">
        <f t="shared" ref="F37:F45" si="5">B14</f>
        <v>50819.319827808678</v>
      </c>
      <c r="G37" s="44">
        <f t="shared" ref="G37:G42" si="6">SQRT(B14*C25+C14*B25)</f>
        <v>21874.940749406833</v>
      </c>
      <c r="H37" s="44">
        <f>N2/D37</f>
        <v>141.0015810251339</v>
      </c>
      <c r="I37" s="44">
        <f>_xlfn.NORM.S.DIST(E37,TRUE)</f>
        <v>0.84134474606854304</v>
      </c>
      <c r="J37" s="46">
        <f>F37+I37*G37</f>
        <v>69223.686297882799</v>
      </c>
      <c r="K37" s="44"/>
      <c r="L37" s="44"/>
      <c r="M37" s="44"/>
      <c r="N37" s="65">
        <f>J37-O2</f>
        <v>18404.366470074121</v>
      </c>
    </row>
    <row r="38" spans="1:14" x14ac:dyDescent="0.3">
      <c r="A38" s="27" t="s">
        <v>43</v>
      </c>
      <c r="B38" s="27"/>
      <c r="C38" s="27"/>
      <c r="D38" s="44">
        <f>ROUNDUP(SQRT((2*J20*B15)/4),0)</f>
        <v>0</v>
      </c>
      <c r="E38" s="44"/>
      <c r="F38" s="44">
        <f t="shared" si="5"/>
        <v>0</v>
      </c>
      <c r="G38" s="44">
        <f t="shared" si="6"/>
        <v>0</v>
      </c>
      <c r="H38" s="44"/>
      <c r="I38" s="44"/>
      <c r="J38" s="46">
        <f t="shared" ref="J38:J42" si="7">F38+I38*G38</f>
        <v>0</v>
      </c>
      <c r="K38" s="44"/>
      <c r="L38" s="44"/>
      <c r="M38" s="44"/>
      <c r="N38" s="65">
        <f t="shared" ref="N38:N40" si="8">J38-O3</f>
        <v>0</v>
      </c>
    </row>
    <row r="39" spans="1:14" x14ac:dyDescent="0.3">
      <c r="A39" s="27" t="s">
        <v>44</v>
      </c>
      <c r="B39" s="27"/>
      <c r="C39" s="27"/>
      <c r="D39" s="44">
        <f>ROUNDUP(SQRT((2*J20*B16)/(0.25*'Biểu giá'!F5)),0)</f>
        <v>227148</v>
      </c>
      <c r="E39" s="44">
        <f>E16/(E16+Q2*'Biểu giá'!F5)</f>
        <v>1</v>
      </c>
      <c r="F39" s="44">
        <f t="shared" si="5"/>
        <v>233742.69700386166</v>
      </c>
      <c r="G39" s="44">
        <f t="shared" si="6"/>
        <v>40671.122639996582</v>
      </c>
      <c r="H39" s="44">
        <f>N4/D39</f>
        <v>12.348391198893848</v>
      </c>
      <c r="I39" s="44">
        <f t="shared" ref="I39:I42" si="9">_xlfn.NORM.S.DIST(E39,TRUE)</f>
        <v>0.84134474606854304</v>
      </c>
      <c r="J39" s="46">
        <f t="shared" si="7"/>
        <v>267961.13235373213</v>
      </c>
      <c r="K39" s="44"/>
      <c r="L39" s="44"/>
      <c r="M39" s="44"/>
      <c r="N39" s="65">
        <f>J39-O4</f>
        <v>34218.435349870473</v>
      </c>
    </row>
    <row r="40" spans="1:14" x14ac:dyDescent="0.3">
      <c r="A40" s="27" t="s">
        <v>45</v>
      </c>
      <c r="B40" s="27"/>
      <c r="C40" s="27"/>
      <c r="D40" s="44"/>
      <c r="E40" s="44"/>
      <c r="F40" s="44">
        <f t="shared" si="5"/>
        <v>0</v>
      </c>
      <c r="G40" s="44">
        <f t="shared" si="6"/>
        <v>0</v>
      </c>
      <c r="H40" s="44"/>
      <c r="I40" s="44"/>
      <c r="J40" s="46">
        <f t="shared" si="7"/>
        <v>0</v>
      </c>
      <c r="K40" s="44"/>
      <c r="L40" s="44"/>
      <c r="M40" s="44"/>
      <c r="N40" s="65">
        <f t="shared" si="8"/>
        <v>0</v>
      </c>
    </row>
    <row r="41" spans="1:14" x14ac:dyDescent="0.3">
      <c r="A41" s="27" t="s">
        <v>46</v>
      </c>
      <c r="B41" s="27"/>
      <c r="C41" s="27"/>
      <c r="D41" s="44">
        <f>ROUNDUP(SQRT((2*J20*B18)/(0.25*'Biểu giá'!F8)),0)</f>
        <v>10735</v>
      </c>
      <c r="E41" s="44">
        <f>E18/(E18+Q2*'Biểu giá'!F8)</f>
        <v>1</v>
      </c>
      <c r="F41" s="44">
        <f t="shared" si="5"/>
        <v>348854.57368202991</v>
      </c>
      <c r="G41" s="44">
        <f t="shared" si="6"/>
        <v>39504.093156128358</v>
      </c>
      <c r="H41" s="44">
        <f>N6/D41</f>
        <v>389.96319368275346</v>
      </c>
      <c r="I41" s="44">
        <f t="shared" si="9"/>
        <v>0.84134474606854304</v>
      </c>
      <c r="J41" s="46">
        <f t="shared" si="7"/>
        <v>382091.1349071408</v>
      </c>
      <c r="K41" s="44"/>
      <c r="L41" s="44"/>
      <c r="M41" s="44"/>
      <c r="N41" s="65">
        <f>J41-O6</f>
        <v>33236.561225110898</v>
      </c>
    </row>
    <row r="42" spans="1:14" x14ac:dyDescent="0.3">
      <c r="A42" s="27" t="s">
        <v>47</v>
      </c>
      <c r="B42" s="27"/>
      <c r="C42" s="27"/>
      <c r="D42" s="44">
        <f>ROUNDUP(SQRT((2*J20*B19)/(0.25*'Biểu giá'!F21)),0)</f>
        <v>45863</v>
      </c>
      <c r="E42" s="44">
        <f>E19/(E19+Q2*'Biểu giá'!F25)</f>
        <v>1</v>
      </c>
      <c r="F42" s="44">
        <f t="shared" si="5"/>
        <v>64442.213344445721</v>
      </c>
      <c r="G42" s="44">
        <f t="shared" si="6"/>
        <v>9062.7186656472932</v>
      </c>
      <c r="H42" s="44">
        <f>N8/D42</f>
        <v>16.861229316297422</v>
      </c>
      <c r="I42" s="44">
        <f t="shared" si="9"/>
        <v>0.84134474606854304</v>
      </c>
      <c r="J42" s="46">
        <f t="shared" si="7"/>
        <v>72067.084078885382</v>
      </c>
      <c r="K42" s="44"/>
      <c r="L42" s="44"/>
      <c r="M42" s="44"/>
      <c r="N42" s="65">
        <f>J42-O8</f>
        <v>7624.8707344396607</v>
      </c>
    </row>
    <row r="43" spans="1:14" x14ac:dyDescent="0.3">
      <c r="A43" s="27" t="s">
        <v>48</v>
      </c>
      <c r="B43" s="27"/>
      <c r="C43" s="27"/>
      <c r="D43" s="44"/>
      <c r="E43" s="44"/>
      <c r="F43" s="44">
        <f t="shared" si="5"/>
        <v>0</v>
      </c>
      <c r="G43" s="44">
        <f>SQRT(B20*C30+C20*B30)</f>
        <v>0</v>
      </c>
      <c r="H43" s="44"/>
      <c r="I43" s="44"/>
      <c r="J43" s="46"/>
      <c r="K43" s="44"/>
      <c r="L43" s="44"/>
      <c r="M43" s="44"/>
      <c r="N43" s="65"/>
    </row>
    <row r="44" spans="1:14" x14ac:dyDescent="0.3">
      <c r="A44" s="27" t="s">
        <v>49</v>
      </c>
      <c r="B44" s="27"/>
      <c r="C44" s="27"/>
      <c r="D44" s="44"/>
      <c r="E44" s="44"/>
      <c r="F44" s="44">
        <f t="shared" si="5"/>
        <v>0</v>
      </c>
      <c r="G44" s="44">
        <f>SQRT(B21*C32+C21*B32)</f>
        <v>0</v>
      </c>
      <c r="H44" s="44"/>
      <c r="I44" s="44"/>
      <c r="J44" s="46"/>
      <c r="K44" s="44"/>
      <c r="L44" s="44"/>
      <c r="M44" s="44"/>
      <c r="N44" s="65"/>
    </row>
    <row r="45" spans="1:14" x14ac:dyDescent="0.3">
      <c r="A45" s="27" t="s">
        <v>50</v>
      </c>
      <c r="B45" s="27"/>
      <c r="C45" s="27"/>
      <c r="D45" s="44"/>
      <c r="E45" s="44"/>
      <c r="F45" s="44">
        <f t="shared" si="5"/>
        <v>0</v>
      </c>
      <c r="G45" s="44">
        <f>SQRT(B22*C33+C22*B33)</f>
        <v>0</v>
      </c>
      <c r="H45" s="44"/>
      <c r="I45" s="44"/>
      <c r="J45" s="46"/>
      <c r="K45" s="44"/>
      <c r="L45" s="44"/>
      <c r="M45" s="44"/>
      <c r="N45" s="65"/>
    </row>
  </sheetData>
  <mergeCells count="2">
    <mergeCell ref="A23:D23"/>
    <mergeCell ref="K20:M23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8788-BDF7-483A-9E1E-D643921F16A0}">
  <dimension ref="A2:M120"/>
  <sheetViews>
    <sheetView workbookViewId="0">
      <selection activeCell="H20" sqref="H20"/>
    </sheetView>
  </sheetViews>
  <sheetFormatPr defaultRowHeight="14.4" x14ac:dyDescent="0.3"/>
  <cols>
    <col min="1" max="1" width="34.5546875" customWidth="1"/>
    <col min="2" max="2" width="15.6640625" bestFit="1" customWidth="1"/>
    <col min="3" max="3" width="24.88671875" customWidth="1"/>
    <col min="4" max="4" width="13.6640625" bestFit="1" customWidth="1"/>
    <col min="5" max="5" width="18.44140625" customWidth="1"/>
    <col min="6" max="6" width="14.6640625" customWidth="1"/>
    <col min="7" max="7" width="13.21875" customWidth="1"/>
    <col min="8" max="8" width="18.44140625" bestFit="1" customWidth="1"/>
    <col min="9" max="9" width="17.77734375" customWidth="1"/>
    <col min="10" max="10" width="22" bestFit="1" customWidth="1"/>
    <col min="11" max="11" width="14.21875" bestFit="1" customWidth="1"/>
  </cols>
  <sheetData>
    <row r="2" spans="1:13" x14ac:dyDescent="0.3">
      <c r="A2" t="s">
        <v>183</v>
      </c>
    </row>
    <row r="3" spans="1:13" x14ac:dyDescent="0.3">
      <c r="A3" t="s">
        <v>56</v>
      </c>
      <c r="B3" s="61">
        <v>60862.796886037351</v>
      </c>
      <c r="C3" s="61">
        <v>182275.51606201142</v>
      </c>
      <c r="D3" s="61">
        <v>313596.52835764678</v>
      </c>
      <c r="E3" s="61">
        <v>76718.444663035916</v>
      </c>
      <c r="F3" s="61">
        <v>32993.250216461784</v>
      </c>
      <c r="G3" s="78">
        <f>SUM(B3:F3)*62.7%</f>
        <v>417861.97818811616</v>
      </c>
      <c r="I3" s="61"/>
      <c r="J3" s="61"/>
      <c r="K3" s="61"/>
      <c r="L3" s="61"/>
      <c r="M3" s="61"/>
    </row>
    <row r="4" spans="1:13" x14ac:dyDescent="0.3">
      <c r="A4" t="s">
        <v>57</v>
      </c>
      <c r="B4" s="61">
        <v>62778.606235201289</v>
      </c>
      <c r="C4" s="61">
        <v>178697.871825001</v>
      </c>
      <c r="D4" s="61">
        <v>312264.43831144273</v>
      </c>
      <c r="E4" s="61">
        <v>77833.621203622519</v>
      </c>
      <c r="F4" s="61">
        <v>32982.776729266407</v>
      </c>
      <c r="I4" s="61"/>
      <c r="J4" s="61"/>
      <c r="K4" s="61"/>
      <c r="L4" s="61"/>
      <c r="M4" s="61"/>
    </row>
    <row r="5" spans="1:13" x14ac:dyDescent="0.3">
      <c r="A5" t="s">
        <v>58</v>
      </c>
      <c r="B5" s="61">
        <v>64694.415584365226</v>
      </c>
      <c r="C5" s="61">
        <v>175120.22758799058</v>
      </c>
      <c r="D5" s="61">
        <v>310932.34826523869</v>
      </c>
      <c r="E5" s="61">
        <v>78948.797744209121</v>
      </c>
      <c r="F5" s="61">
        <v>32972.30324207103</v>
      </c>
      <c r="I5" s="61"/>
      <c r="J5" s="61"/>
      <c r="K5" s="61"/>
      <c r="L5" s="61"/>
      <c r="M5" s="61"/>
    </row>
    <row r="6" spans="1:13" x14ac:dyDescent="0.3">
      <c r="A6" t="s">
        <v>59</v>
      </c>
      <c r="B6" s="61">
        <v>66610.224933529171</v>
      </c>
      <c r="C6" s="61">
        <v>171542.58335098016</v>
      </c>
      <c r="D6" s="61">
        <v>309600.25821903464</v>
      </c>
      <c r="E6" s="61">
        <v>80063.974284795724</v>
      </c>
      <c r="F6" s="61">
        <v>32961.829754875653</v>
      </c>
      <c r="I6" s="61"/>
      <c r="J6" s="61"/>
      <c r="K6" s="61"/>
      <c r="L6" s="61"/>
      <c r="M6" s="61"/>
    </row>
    <row r="7" spans="1:13" x14ac:dyDescent="0.3">
      <c r="A7" t="s">
        <v>60</v>
      </c>
      <c r="B7" s="61">
        <v>68526.034282693116</v>
      </c>
      <c r="C7" s="61">
        <v>167964.93911396974</v>
      </c>
      <c r="D7" s="61">
        <v>308268.1681728306</v>
      </c>
      <c r="E7" s="61">
        <v>81179.150825382327</v>
      </c>
      <c r="F7" s="61">
        <v>32951.356267680276</v>
      </c>
      <c r="I7" s="61"/>
      <c r="J7" s="61"/>
      <c r="K7" s="61"/>
      <c r="L7" s="61"/>
      <c r="M7" s="61"/>
    </row>
    <row r="8" spans="1:13" x14ac:dyDescent="0.3">
      <c r="A8" t="s">
        <v>61</v>
      </c>
      <c r="B8" s="61">
        <v>70441.84363185706</v>
      </c>
      <c r="C8" s="61">
        <v>164387.29487695932</v>
      </c>
      <c r="D8" s="61">
        <v>306936.07812662655</v>
      </c>
      <c r="E8" s="61">
        <v>82294.327365968929</v>
      </c>
      <c r="F8" s="61">
        <v>32940.882780484899</v>
      </c>
      <c r="I8" s="61"/>
      <c r="J8" s="61"/>
      <c r="K8" s="61"/>
      <c r="L8" s="61"/>
      <c r="M8" s="61"/>
    </row>
    <row r="9" spans="1:13" x14ac:dyDescent="0.3">
      <c r="A9" t="s">
        <v>62</v>
      </c>
      <c r="B9" s="61">
        <v>72357.652981021005</v>
      </c>
      <c r="C9" s="61">
        <v>160809.6506399489</v>
      </c>
      <c r="D9" s="61">
        <v>305603.98808042251</v>
      </c>
      <c r="E9" s="61">
        <v>83409.503906555532</v>
      </c>
      <c r="F9" s="61">
        <v>32930.409293289522</v>
      </c>
      <c r="I9" s="61"/>
      <c r="J9" s="61"/>
      <c r="K9" s="61"/>
      <c r="L9" s="61"/>
      <c r="M9" s="61"/>
    </row>
    <row r="10" spans="1:13" x14ac:dyDescent="0.3">
      <c r="A10" t="s">
        <v>63</v>
      </c>
      <c r="B10" s="61">
        <v>74273.46233018495</v>
      </c>
      <c r="C10" s="61">
        <v>157232.00640293848</v>
      </c>
      <c r="D10" s="61">
        <v>304271.89803421847</v>
      </c>
      <c r="E10" s="61">
        <v>84524.680447142135</v>
      </c>
      <c r="F10" s="61">
        <v>32919.935806094145</v>
      </c>
      <c r="I10" s="61"/>
      <c r="J10" s="61"/>
      <c r="K10" s="61"/>
      <c r="L10" s="61"/>
      <c r="M10" s="61"/>
    </row>
    <row r="11" spans="1:13" x14ac:dyDescent="0.3">
      <c r="A11" t="s">
        <v>64</v>
      </c>
      <c r="B11" s="61">
        <v>76189.271679348894</v>
      </c>
      <c r="C11" s="61">
        <v>153654.36216592806</v>
      </c>
      <c r="D11" s="61">
        <v>302939.80798801442</v>
      </c>
      <c r="E11" s="61">
        <v>85639.856987728737</v>
      </c>
      <c r="F11" s="61">
        <v>32909.462318898768</v>
      </c>
      <c r="I11" s="61"/>
      <c r="J11" s="61"/>
      <c r="K11" s="61"/>
      <c r="L11" s="61"/>
      <c r="M11" s="61"/>
    </row>
    <row r="12" spans="1:13" x14ac:dyDescent="0.3">
      <c r="A12" t="s">
        <v>65</v>
      </c>
      <c r="B12" s="61">
        <v>78105.081028512839</v>
      </c>
      <c r="C12" s="61">
        <v>150076.71792891764</v>
      </c>
      <c r="D12" s="61">
        <v>301607.71794181038</v>
      </c>
      <c r="E12" s="61">
        <v>86755.03352831534</v>
      </c>
      <c r="F12" s="61">
        <v>32898.988831703391</v>
      </c>
      <c r="I12" s="61"/>
      <c r="J12" s="61"/>
      <c r="K12" s="61"/>
      <c r="L12" s="61"/>
      <c r="M12" s="61"/>
    </row>
    <row r="13" spans="1:13" x14ac:dyDescent="0.3">
      <c r="A13" t="s">
        <v>66</v>
      </c>
      <c r="B13" s="61">
        <v>80020.890377676784</v>
      </c>
      <c r="C13" s="61">
        <v>146499.07369190722</v>
      </c>
      <c r="D13" s="61">
        <v>300275.62789560633</v>
      </c>
      <c r="E13" s="61">
        <v>87870.210068901943</v>
      </c>
      <c r="F13" s="61">
        <v>32888.515344508014</v>
      </c>
      <c r="I13" s="61"/>
      <c r="J13" s="61"/>
      <c r="K13" s="61"/>
      <c r="L13" s="61"/>
      <c r="M13" s="61"/>
    </row>
    <row r="14" spans="1:13" x14ac:dyDescent="0.3">
      <c r="A14" t="s">
        <v>67</v>
      </c>
      <c r="B14" s="61">
        <v>81936.699726840729</v>
      </c>
      <c r="C14" s="61">
        <v>142921.4294548968</v>
      </c>
      <c r="D14" s="61">
        <v>298943.53784940229</v>
      </c>
      <c r="E14" s="61">
        <v>88985.386609488545</v>
      </c>
      <c r="F14" s="61">
        <v>32878.041857312637</v>
      </c>
      <c r="I14" s="61"/>
      <c r="J14" s="61"/>
      <c r="K14" s="61"/>
      <c r="L14" s="61"/>
      <c r="M14" s="61"/>
    </row>
    <row r="15" spans="1:13" x14ac:dyDescent="0.3">
      <c r="A15" t="s">
        <v>52</v>
      </c>
      <c r="B15" s="61">
        <f>SUM(B3:B14)</f>
        <v>856796.97967726842</v>
      </c>
      <c r="C15" s="61">
        <f t="shared" ref="C15:F15" si="0">SUM(C3:C14)</f>
        <v>1951181.6731014496</v>
      </c>
      <c r="D15" s="61">
        <f t="shared" si="0"/>
        <v>3675240.3972422937</v>
      </c>
      <c r="E15" s="61">
        <f t="shared" si="0"/>
        <v>994222.98763514671</v>
      </c>
      <c r="F15" s="61">
        <f t="shared" si="0"/>
        <v>395227.75244264654</v>
      </c>
      <c r="G15" s="77">
        <f>SUM(B15:F15)</f>
        <v>7872669.790098805</v>
      </c>
      <c r="I15" s="61"/>
      <c r="J15" s="61"/>
      <c r="K15" s="61"/>
      <c r="L15" s="61"/>
      <c r="M15" s="61"/>
    </row>
    <row r="16" spans="1:13" x14ac:dyDescent="0.3">
      <c r="A16" t="s">
        <v>260</v>
      </c>
      <c r="B16" s="78">
        <f>B15*32.5%</f>
        <v>278459.01839511225</v>
      </c>
      <c r="C16" s="78">
        <f t="shared" ref="C16:G16" si="1">C15*32.5%</f>
        <v>634134.04375797114</v>
      </c>
      <c r="D16" s="78">
        <f t="shared" si="1"/>
        <v>1194453.1291037456</v>
      </c>
      <c r="E16" s="78">
        <f t="shared" si="1"/>
        <v>323122.4709814227</v>
      </c>
      <c r="F16" s="78">
        <f t="shared" si="1"/>
        <v>128449.01954386014</v>
      </c>
      <c r="G16" s="78">
        <f t="shared" si="1"/>
        <v>2558617.6817821115</v>
      </c>
    </row>
    <row r="17" spans="1:7" x14ac:dyDescent="0.3">
      <c r="A17" t="s">
        <v>261</v>
      </c>
      <c r="B17" s="78">
        <f>B15-B16</f>
        <v>578337.96128215618</v>
      </c>
      <c r="C17" s="78">
        <f t="shared" ref="C17:G17" si="2">C15-C16</f>
        <v>1317047.6293434785</v>
      </c>
      <c r="D17" s="78">
        <f t="shared" si="2"/>
        <v>2480787.2681385484</v>
      </c>
      <c r="E17" s="78">
        <f t="shared" si="2"/>
        <v>671100.51665372401</v>
      </c>
      <c r="F17" s="78">
        <f t="shared" si="2"/>
        <v>266778.73289878643</v>
      </c>
      <c r="G17" s="78">
        <f t="shared" si="2"/>
        <v>5314052.1083166935</v>
      </c>
    </row>
    <row r="18" spans="1:7" x14ac:dyDescent="0.3">
      <c r="A18" t="s">
        <v>53</v>
      </c>
      <c r="B18" s="78">
        <f>AVERAGE(B3:B14)</f>
        <v>71399.74830643904</v>
      </c>
      <c r="C18" s="78">
        <f t="shared" ref="C18:F18" si="3">AVERAGE(C3:C14)</f>
        <v>162598.47275845413</v>
      </c>
      <c r="D18" s="78">
        <f t="shared" si="3"/>
        <v>306270.03310352447</v>
      </c>
      <c r="E18" s="78">
        <f t="shared" si="3"/>
        <v>82851.915636262231</v>
      </c>
      <c r="F18" s="78">
        <f t="shared" si="3"/>
        <v>32935.646036887214</v>
      </c>
      <c r="G18" s="78"/>
    </row>
    <row r="19" spans="1:7" x14ac:dyDescent="0.3">
      <c r="A19" t="s">
        <v>69</v>
      </c>
      <c r="B19" s="78">
        <f>VAR(B3:B14)</f>
        <v>47714231.010471672</v>
      </c>
      <c r="C19" s="78">
        <f t="shared" ref="C19:F19" si="4">VAR(C3:C14)</f>
        <v>166393997.72598025</v>
      </c>
      <c r="D19" s="78">
        <f t="shared" si="4"/>
        <v>23068030.585546613</v>
      </c>
      <c r="E19" s="78">
        <f t="shared" si="4"/>
        <v>16167043.316771133</v>
      </c>
      <c r="F19" s="78">
        <f t="shared" si="4"/>
        <v>1426.0211424124232</v>
      </c>
      <c r="G19" s="78"/>
    </row>
    <row r="20" spans="1:7" x14ac:dyDescent="0.3">
      <c r="A20" t="s">
        <v>70</v>
      </c>
      <c r="B20">
        <f>STDEV(B3:B14)</f>
        <v>6907.5488424238938</v>
      </c>
      <c r="C20">
        <f t="shared" ref="C20:F20" si="5">STDEV(C3:C14)</f>
        <v>12899.379741909308</v>
      </c>
      <c r="D20">
        <f t="shared" si="5"/>
        <v>4802.9189651238767</v>
      </c>
      <c r="E20">
        <f t="shared" si="5"/>
        <v>4020.8261982795443</v>
      </c>
      <c r="F20">
        <f t="shared" si="5"/>
        <v>37.762695115847109</v>
      </c>
    </row>
    <row r="21" spans="1:7" x14ac:dyDescent="0.3">
      <c r="A21" t="s">
        <v>320</v>
      </c>
      <c r="B21">
        <f>35/30</f>
        <v>1.1666666666666667</v>
      </c>
      <c r="C21">
        <f t="shared" ref="C21:F21" si="6">35/30</f>
        <v>1.1666666666666667</v>
      </c>
      <c r="D21">
        <f t="shared" si="6"/>
        <v>1.1666666666666667</v>
      </c>
      <c r="E21">
        <f t="shared" si="6"/>
        <v>1.1666666666666667</v>
      </c>
      <c r="F21">
        <f t="shared" si="6"/>
        <v>1.1666666666666667</v>
      </c>
    </row>
    <row r="22" spans="1:7" x14ac:dyDescent="0.3">
      <c r="A22" t="s">
        <v>319</v>
      </c>
    </row>
    <row r="25" spans="1:7" x14ac:dyDescent="0.3">
      <c r="A25" s="27" t="s">
        <v>183</v>
      </c>
      <c r="B25" s="27" t="s">
        <v>42</v>
      </c>
      <c r="C25" s="27" t="s">
        <v>171</v>
      </c>
      <c r="D25" s="27" t="s">
        <v>46</v>
      </c>
      <c r="E25" s="27" t="s">
        <v>47</v>
      </c>
      <c r="F25" s="27" t="s">
        <v>153</v>
      </c>
    </row>
    <row r="26" spans="1:7" x14ac:dyDescent="0.3">
      <c r="A26" s="27" t="s">
        <v>4</v>
      </c>
      <c r="B26" s="44">
        <f>SQRT((2*B16*$G$34)/($F$48*$C$53))</f>
        <v>96413.711552237597</v>
      </c>
      <c r="C26" s="44">
        <f>SQRT((2*C16*$G$34)/($F$48*$C$53))</f>
        <v>145495.2089122645</v>
      </c>
      <c r="D26" s="44">
        <f>SQRT((2*D16*$G$34)/($F$48*$C$53))</f>
        <v>199683.74547237574</v>
      </c>
      <c r="E26" s="44">
        <f>SQRT((2*E16*$G$34)/($F$48*$C$53))</f>
        <v>103858.42649847452</v>
      </c>
      <c r="F26" s="44">
        <f>SQRT((2*F16*$G$34)/($F$48*$C$53))</f>
        <v>65482.244143769989</v>
      </c>
    </row>
    <row r="27" spans="1:7" x14ac:dyDescent="0.3">
      <c r="A27" s="27" t="s">
        <v>259</v>
      </c>
      <c r="B27" s="80">
        <f>SQRT((2*B26*$C$53*$F$48)/($G$34))</f>
        <v>3.3989223159371482</v>
      </c>
      <c r="C27" s="80">
        <f>SQRT((2*C26*$C$53*$F$48)/($G$34))</f>
        <v>4.1753817052553801</v>
      </c>
      <c r="D27" s="80">
        <f>SQRT((2*D26*$C$53*$F$48)/($G$34))</f>
        <v>4.8915128059175066</v>
      </c>
      <c r="E27" s="80">
        <f>SQRT((2*E26*$C$53*$F$48)/($G$34))</f>
        <v>3.5277086260956829</v>
      </c>
      <c r="F27" s="80">
        <f>SQRT((2*F26*$C$53*$F$48)/($G$34))</f>
        <v>2.801132259332126</v>
      </c>
    </row>
    <row r="28" spans="1:7" x14ac:dyDescent="0.3">
      <c r="A28" s="27" t="s">
        <v>254</v>
      </c>
      <c r="B28" s="80">
        <f>B16/B26</f>
        <v>2.8881682274438867</v>
      </c>
      <c r="C28" s="80">
        <f>C16/C26</f>
        <v>4.3584530961453325</v>
      </c>
      <c r="D28" s="80">
        <f>D16/D26</f>
        <v>5.9817243826137378</v>
      </c>
      <c r="E28" s="80">
        <f>E16/E26</f>
        <v>3.1111820376574713</v>
      </c>
      <c r="F28" s="80">
        <f>F16/F26</f>
        <v>1.9615854835677746</v>
      </c>
      <c r="G28" s="78"/>
    </row>
    <row r="29" spans="1:7" x14ac:dyDescent="0.3">
      <c r="A29" s="27" t="s">
        <v>258</v>
      </c>
      <c r="B29" s="80">
        <f>SQRT(2*$G$34*B26*$C$53*$F$48)</f>
        <v>7803476.979645988</v>
      </c>
      <c r="C29" s="80">
        <f>SQRT(2*$G$34*C26*$C$53*$F$48)</f>
        <v>9586125.2448812593</v>
      </c>
      <c r="D29" s="80">
        <f>SQRT(2*$G$34*D26*$C$53*$F$48)</f>
        <v>11230267.722696213</v>
      </c>
      <c r="E29" s="80">
        <f>SQRT(2*$G$34*E26*$C$53*$F$48)</f>
        <v>8099153.3479770431</v>
      </c>
      <c r="F29" s="80">
        <f>SQRT(2*$G$34*F26*$C$53*$F$48)</f>
        <v>6431029.917968329</v>
      </c>
      <c r="G29" s="78"/>
    </row>
    <row r="30" spans="1:7" x14ac:dyDescent="0.3">
      <c r="A30" s="27" t="s">
        <v>255</v>
      </c>
      <c r="B30" s="80">
        <f>(2*$G$34*B16)/B26</f>
        <v>13261706.024010282</v>
      </c>
      <c r="C30" s="80">
        <f>(2*$G$34*C16)/C26</f>
        <v>20012865.985881984</v>
      </c>
      <c r="D30" s="80">
        <f>(2*$G$34*D16)/D26</f>
        <v>27466499.189725276</v>
      </c>
      <c r="E30" s="80">
        <f>(2*$G$34*E16)/E26</f>
        <v>14285726.564865168</v>
      </c>
      <c r="F30" s="80">
        <f>(2*$G$34*F16)/F26</f>
        <v>9007082.6819755603</v>
      </c>
    </row>
    <row r="31" spans="1:7" x14ac:dyDescent="0.3">
      <c r="A31" s="27" t="s">
        <v>256</v>
      </c>
      <c r="B31" s="80">
        <f>B26*$C$53*$F$48</f>
        <v>13261706.024010282</v>
      </c>
      <c r="C31" s="80">
        <f>C26*$C$53*$F$48</f>
        <v>20012865.985881981</v>
      </c>
      <c r="D31" s="80">
        <f>D26*$C$53*$F$48</f>
        <v>27466499.189725284</v>
      </c>
      <c r="E31" s="80">
        <f>E26*$C$53*$F$48</f>
        <v>14285726.564865172</v>
      </c>
      <c r="F31" s="80">
        <f>F26*$C$53*$F$48</f>
        <v>9007082.6819755621</v>
      </c>
    </row>
    <row r="32" spans="1:7" x14ac:dyDescent="0.3">
      <c r="A32" s="27" t="s">
        <v>257</v>
      </c>
      <c r="B32" s="80">
        <f>SUM(B30:B31)</f>
        <v>26523412.048020564</v>
      </c>
      <c r="C32" s="80">
        <f t="shared" ref="C32:F32" si="7">SUM(C30:C31)</f>
        <v>40025731.971763968</v>
      </c>
      <c r="D32" s="80">
        <f t="shared" si="7"/>
        <v>54932998.37945056</v>
      </c>
      <c r="E32" s="80">
        <f t="shared" si="7"/>
        <v>28571453.12973034</v>
      </c>
      <c r="F32" s="80">
        <f t="shared" si="7"/>
        <v>18014165.363951124</v>
      </c>
    </row>
    <row r="34" spans="1:12" x14ac:dyDescent="0.3">
      <c r="A34" s="79" t="s">
        <v>193</v>
      </c>
      <c r="B34" s="79"/>
      <c r="C34" s="79"/>
      <c r="D34" s="79"/>
      <c r="F34" s="27" t="s">
        <v>253</v>
      </c>
      <c r="G34" s="86">
        <v>2295868</v>
      </c>
    </row>
    <row r="35" spans="1:12" x14ac:dyDescent="0.3">
      <c r="A35" s="27" t="s">
        <v>188</v>
      </c>
      <c r="B35" s="27"/>
      <c r="C35" s="27"/>
      <c r="D35" s="73">
        <v>100</v>
      </c>
    </row>
    <row r="36" spans="1:12" x14ac:dyDescent="0.3">
      <c r="A36" s="27" t="s">
        <v>189</v>
      </c>
      <c r="B36" s="27"/>
      <c r="C36" s="27"/>
      <c r="D36" s="73">
        <v>50</v>
      </c>
      <c r="G36" s="27" t="s">
        <v>230</v>
      </c>
      <c r="H36" s="27"/>
      <c r="I36" s="27">
        <f>80514712 * 10^6</f>
        <v>80514712000000</v>
      </c>
      <c r="J36" s="27" t="s">
        <v>233</v>
      </c>
    </row>
    <row r="37" spans="1:12" x14ac:dyDescent="0.3">
      <c r="A37" s="27" t="s">
        <v>190</v>
      </c>
      <c r="B37" s="27"/>
      <c r="C37" s="27"/>
      <c r="D37" s="73">
        <v>150</v>
      </c>
      <c r="G37" s="27" t="s">
        <v>231</v>
      </c>
      <c r="H37" s="27"/>
      <c r="I37" s="85">
        <v>0.32500000000000001</v>
      </c>
      <c r="J37" s="27">
        <f>I37*I36</f>
        <v>26167281400000</v>
      </c>
    </row>
    <row r="38" spans="1:12" x14ac:dyDescent="0.3">
      <c r="A38" s="27" t="s">
        <v>191</v>
      </c>
      <c r="B38" s="27"/>
      <c r="C38" s="27"/>
      <c r="D38" s="73">
        <v>50</v>
      </c>
      <c r="G38" s="27" t="s">
        <v>232</v>
      </c>
      <c r="H38" s="27"/>
      <c r="I38" s="70">
        <v>0.67500000000000004</v>
      </c>
      <c r="J38" s="27">
        <f>I38*I36</f>
        <v>54347430600000</v>
      </c>
    </row>
    <row r="39" spans="1:12" x14ac:dyDescent="0.3">
      <c r="A39" s="27" t="s">
        <v>192</v>
      </c>
      <c r="B39" s="27"/>
      <c r="C39" s="27"/>
      <c r="D39" s="73">
        <v>8</v>
      </c>
    </row>
    <row r="40" spans="1:12" x14ac:dyDescent="0.3">
      <c r="A40" s="27" t="s">
        <v>160</v>
      </c>
      <c r="B40" s="27"/>
      <c r="C40" s="27"/>
      <c r="D40" s="73">
        <v>358</v>
      </c>
    </row>
    <row r="42" spans="1:12" x14ac:dyDescent="0.3">
      <c r="A42" s="79" t="s">
        <v>198</v>
      </c>
      <c r="B42" s="79"/>
      <c r="C42" s="79"/>
      <c r="E42" s="27" t="s">
        <v>205</v>
      </c>
      <c r="F42" s="27"/>
      <c r="H42" s="27" t="s">
        <v>262</v>
      </c>
      <c r="I42" s="27" t="s">
        <v>263</v>
      </c>
      <c r="J42" s="27" t="s">
        <v>268</v>
      </c>
      <c r="K42" s="27" t="s">
        <v>264</v>
      </c>
    </row>
    <row r="43" spans="1:12" x14ac:dyDescent="0.3">
      <c r="A43" s="27" t="s">
        <v>194</v>
      </c>
      <c r="B43" s="27"/>
      <c r="C43" s="27"/>
      <c r="E43" s="27" t="s">
        <v>202</v>
      </c>
      <c r="F43" s="76">
        <v>0.01</v>
      </c>
      <c r="H43" s="27" t="s">
        <v>265</v>
      </c>
      <c r="I43" s="76">
        <v>0</v>
      </c>
      <c r="J43" s="84">
        <v>1310</v>
      </c>
      <c r="K43" s="84">
        <v>0</v>
      </c>
    </row>
    <row r="44" spans="1:12" x14ac:dyDescent="0.3">
      <c r="A44" s="27"/>
      <c r="B44" s="27" t="s">
        <v>184</v>
      </c>
      <c r="C44" s="73">
        <v>600</v>
      </c>
      <c r="E44" s="27" t="s">
        <v>191</v>
      </c>
      <c r="F44" s="76">
        <v>0.06</v>
      </c>
      <c r="H44" s="27" t="s">
        <v>266</v>
      </c>
      <c r="I44" s="76">
        <v>0.05</v>
      </c>
      <c r="J44" s="84">
        <v>1244.5</v>
      </c>
      <c r="K44" s="84">
        <v>65.537000000000006</v>
      </c>
    </row>
    <row r="45" spans="1:12" x14ac:dyDescent="0.3">
      <c r="A45" s="27"/>
      <c r="B45" s="27" t="s">
        <v>185</v>
      </c>
      <c r="C45" s="73">
        <v>250</v>
      </c>
      <c r="E45" s="27" t="s">
        <v>192</v>
      </c>
      <c r="F45" s="70">
        <v>5.0000000000000001E-3</v>
      </c>
      <c r="H45" s="27" t="s">
        <v>267</v>
      </c>
      <c r="I45" s="76">
        <v>0.1</v>
      </c>
      <c r="J45" s="84">
        <v>1179.5</v>
      </c>
      <c r="K45" s="84">
        <v>131.042</v>
      </c>
    </row>
    <row r="46" spans="1:12" x14ac:dyDescent="0.3">
      <c r="A46" s="27"/>
      <c r="B46" s="27" t="s">
        <v>199</v>
      </c>
      <c r="C46" s="73">
        <v>200</v>
      </c>
      <c r="E46" s="27" t="s">
        <v>203</v>
      </c>
      <c r="F46" s="76">
        <v>0.01</v>
      </c>
    </row>
    <row r="47" spans="1:12" x14ac:dyDescent="0.3">
      <c r="A47" s="27"/>
      <c r="B47" s="27" t="s">
        <v>187</v>
      </c>
      <c r="C47" s="73">
        <v>50</v>
      </c>
      <c r="E47" s="27" t="s">
        <v>204</v>
      </c>
      <c r="F47" s="76">
        <v>0.02</v>
      </c>
      <c r="H47" s="27" t="s">
        <v>269</v>
      </c>
      <c r="I47" s="27" t="s">
        <v>270</v>
      </c>
      <c r="J47" s="27" t="s">
        <v>271</v>
      </c>
      <c r="K47" s="27" t="s">
        <v>272</v>
      </c>
      <c r="L47" s="27" t="s">
        <v>273</v>
      </c>
    </row>
    <row r="48" spans="1:12" x14ac:dyDescent="0.3">
      <c r="A48" s="27"/>
      <c r="B48" s="27" t="s">
        <v>200</v>
      </c>
      <c r="C48" s="73">
        <v>20</v>
      </c>
      <c r="E48" s="27" t="s">
        <v>160</v>
      </c>
      <c r="F48" s="76">
        <f>SUM(F43:F47)</f>
        <v>0.105</v>
      </c>
      <c r="H48" s="27" t="s">
        <v>274</v>
      </c>
      <c r="I48" s="76">
        <v>0</v>
      </c>
      <c r="J48" s="76">
        <v>0</v>
      </c>
      <c r="K48" s="83">
        <v>1310</v>
      </c>
      <c r="L48" s="27"/>
    </row>
    <row r="49" spans="1:12" x14ac:dyDescent="0.3">
      <c r="A49" s="27"/>
      <c r="B49" s="27" t="s">
        <v>201</v>
      </c>
      <c r="C49" s="73">
        <v>10</v>
      </c>
      <c r="H49" s="27" t="s">
        <v>293</v>
      </c>
      <c r="I49" s="76">
        <v>0.02</v>
      </c>
      <c r="J49" s="76">
        <v>0.02</v>
      </c>
      <c r="K49" s="27" t="s">
        <v>275</v>
      </c>
      <c r="L49" s="27" t="s">
        <v>276</v>
      </c>
    </row>
    <row r="50" spans="1:12" x14ac:dyDescent="0.3">
      <c r="A50" s="27" t="s">
        <v>195</v>
      </c>
      <c r="B50" s="27"/>
      <c r="C50" s="73">
        <v>100</v>
      </c>
      <c r="H50" s="27" t="s">
        <v>293</v>
      </c>
      <c r="I50" s="76">
        <v>0.05</v>
      </c>
      <c r="J50" s="76">
        <v>0.05</v>
      </c>
      <c r="K50" s="27" t="s">
        <v>277</v>
      </c>
      <c r="L50" s="27" t="s">
        <v>278</v>
      </c>
    </row>
    <row r="51" spans="1:12" x14ac:dyDescent="0.3">
      <c r="A51" s="27" t="s">
        <v>196</v>
      </c>
      <c r="B51" s="27"/>
      <c r="C51" s="73">
        <v>50</v>
      </c>
      <c r="H51" s="27" t="s">
        <v>293</v>
      </c>
      <c r="I51" s="76">
        <v>0.1</v>
      </c>
      <c r="J51" s="76">
        <v>0.1</v>
      </c>
      <c r="K51" s="27" t="s">
        <v>279</v>
      </c>
      <c r="L51" s="27" t="s">
        <v>280</v>
      </c>
    </row>
    <row r="52" spans="1:12" x14ac:dyDescent="0.3">
      <c r="A52" s="27" t="s">
        <v>197</v>
      </c>
      <c r="B52" s="27"/>
      <c r="C52" s="73">
        <v>30</v>
      </c>
      <c r="H52" s="27" t="s">
        <v>294</v>
      </c>
      <c r="I52" s="76">
        <v>0.02</v>
      </c>
      <c r="J52" s="76">
        <v>-0.02</v>
      </c>
      <c r="K52" s="27" t="s">
        <v>281</v>
      </c>
      <c r="L52" s="27" t="s">
        <v>282</v>
      </c>
    </row>
    <row r="53" spans="1:12" x14ac:dyDescent="0.3">
      <c r="A53" s="74" t="s">
        <v>160</v>
      </c>
      <c r="C53" s="75">
        <f>SUM(C44:C52)</f>
        <v>1310</v>
      </c>
      <c r="H53" s="27" t="s">
        <v>294</v>
      </c>
      <c r="I53" s="76">
        <v>0.05</v>
      </c>
      <c r="J53" s="76">
        <v>-0.05</v>
      </c>
      <c r="K53" s="27" t="s">
        <v>283</v>
      </c>
      <c r="L53" s="27" t="s">
        <v>284</v>
      </c>
    </row>
    <row r="54" spans="1:12" x14ac:dyDescent="0.3">
      <c r="C54" s="75"/>
      <c r="H54" s="27" t="s">
        <v>294</v>
      </c>
      <c r="I54" s="76">
        <v>0.1</v>
      </c>
      <c r="J54" s="76">
        <v>-0.1</v>
      </c>
      <c r="K54" s="27" t="s">
        <v>285</v>
      </c>
      <c r="L54" s="27" t="s">
        <v>286</v>
      </c>
    </row>
    <row r="55" spans="1:12" x14ac:dyDescent="0.3">
      <c r="A55" s="27" t="s">
        <v>206</v>
      </c>
      <c r="B55" s="27"/>
      <c r="C55" s="27" t="s">
        <v>207</v>
      </c>
      <c r="D55" s="27" t="s">
        <v>208</v>
      </c>
      <c r="E55" s="27" t="s">
        <v>209</v>
      </c>
      <c r="F55" s="27"/>
      <c r="H55" s="27" t="s">
        <v>295</v>
      </c>
      <c r="I55" s="76">
        <v>-0.02</v>
      </c>
      <c r="J55" s="76">
        <v>0.02</v>
      </c>
      <c r="K55" s="27" t="s">
        <v>287</v>
      </c>
      <c r="L55" s="27" t="s">
        <v>288</v>
      </c>
    </row>
    <row r="56" spans="1:12" x14ac:dyDescent="0.3">
      <c r="A56" s="27" t="s">
        <v>210</v>
      </c>
      <c r="B56" s="27"/>
      <c r="C56" s="27" t="s">
        <v>211</v>
      </c>
      <c r="D56" s="27" t="s">
        <v>212</v>
      </c>
      <c r="E56" s="27" t="s">
        <v>213</v>
      </c>
      <c r="F56" s="27"/>
      <c r="H56" s="27" t="s">
        <v>295</v>
      </c>
      <c r="I56" s="76">
        <v>-0.05</v>
      </c>
      <c r="J56" s="76">
        <v>0.05</v>
      </c>
      <c r="K56" s="27" t="s">
        <v>289</v>
      </c>
      <c r="L56" s="27" t="s">
        <v>290</v>
      </c>
    </row>
    <row r="57" spans="1:12" x14ac:dyDescent="0.3">
      <c r="A57" s="27" t="s">
        <v>214</v>
      </c>
      <c r="B57" s="27"/>
      <c r="C57" s="27" t="s">
        <v>211</v>
      </c>
      <c r="D57" s="27" t="s">
        <v>215</v>
      </c>
      <c r="E57" s="27" t="s">
        <v>216</v>
      </c>
      <c r="F57" s="27"/>
      <c r="H57" s="27" t="s">
        <v>295</v>
      </c>
      <c r="I57" s="76">
        <v>-0.1</v>
      </c>
      <c r="J57" s="76">
        <v>0.1</v>
      </c>
      <c r="K57" s="27" t="s">
        <v>291</v>
      </c>
      <c r="L57" s="27" t="s">
        <v>292</v>
      </c>
    </row>
    <row r="58" spans="1:12" x14ac:dyDescent="0.3">
      <c r="A58" s="27" t="s">
        <v>217</v>
      </c>
      <c r="B58" s="27"/>
      <c r="C58" s="27" t="s">
        <v>211</v>
      </c>
      <c r="D58" s="27" t="s">
        <v>218</v>
      </c>
      <c r="E58" s="27" t="s">
        <v>219</v>
      </c>
      <c r="F58" s="27"/>
    </row>
    <row r="60" spans="1:12" x14ac:dyDescent="0.3">
      <c r="A60" s="27" t="s">
        <v>206</v>
      </c>
      <c r="B60" s="27"/>
      <c r="C60" s="27" t="s">
        <v>207</v>
      </c>
      <c r="D60" s="27" t="s">
        <v>208</v>
      </c>
      <c r="E60" s="27" t="s">
        <v>209</v>
      </c>
      <c r="F60" s="27"/>
    </row>
    <row r="61" spans="1:12" x14ac:dyDescent="0.3">
      <c r="A61" s="27" t="s">
        <v>223</v>
      </c>
      <c r="B61" s="27"/>
      <c r="C61" s="27" t="s">
        <v>220</v>
      </c>
      <c r="D61" s="27" t="s">
        <v>221</v>
      </c>
      <c r="E61" s="27" t="s">
        <v>222</v>
      </c>
      <c r="F61" s="27"/>
    </row>
    <row r="62" spans="1:12" x14ac:dyDescent="0.3">
      <c r="A62" s="27" t="s">
        <v>224</v>
      </c>
      <c r="B62" s="27"/>
      <c r="C62" s="27" t="s">
        <v>220</v>
      </c>
      <c r="D62" s="27" t="s">
        <v>226</v>
      </c>
      <c r="E62" s="27" t="s">
        <v>228</v>
      </c>
      <c r="F62" s="27"/>
    </row>
    <row r="63" spans="1:12" x14ac:dyDescent="0.3">
      <c r="A63" s="27" t="s">
        <v>225</v>
      </c>
      <c r="B63" s="27"/>
      <c r="C63" s="27" t="s">
        <v>211</v>
      </c>
      <c r="D63" s="27" t="s">
        <v>227</v>
      </c>
      <c r="E63" s="27" t="s">
        <v>229</v>
      </c>
      <c r="F63" s="27"/>
    </row>
    <row r="66" spans="1:5" x14ac:dyDescent="0.3">
      <c r="A66" s="27" t="s">
        <v>234</v>
      </c>
      <c r="B66" s="27"/>
      <c r="C66" s="27"/>
    </row>
    <row r="67" spans="1:5" x14ac:dyDescent="0.3">
      <c r="A67" s="27" t="s">
        <v>235</v>
      </c>
      <c r="B67" s="27"/>
      <c r="C67" s="27"/>
    </row>
    <row r="68" spans="1:5" x14ac:dyDescent="0.3">
      <c r="A68" s="27" t="s">
        <v>184</v>
      </c>
      <c r="B68" s="27" t="s">
        <v>236</v>
      </c>
      <c r="C68" s="27"/>
      <c r="E68" s="61"/>
    </row>
    <row r="69" spans="1:5" x14ac:dyDescent="0.3">
      <c r="A69" s="27" t="s">
        <v>185</v>
      </c>
      <c r="B69" s="27" t="s">
        <v>237</v>
      </c>
      <c r="C69" s="27"/>
    </row>
    <row r="70" spans="1:5" x14ac:dyDescent="0.3">
      <c r="A70" s="27" t="s">
        <v>187</v>
      </c>
      <c r="B70" s="27" t="s">
        <v>238</v>
      </c>
      <c r="C70" s="27"/>
    </row>
    <row r="71" spans="1:5" x14ac:dyDescent="0.3">
      <c r="A71" s="27" t="s">
        <v>199</v>
      </c>
      <c r="B71" s="27" t="s">
        <v>239</v>
      </c>
      <c r="C71" s="27"/>
    </row>
    <row r="72" spans="1:5" x14ac:dyDescent="0.3">
      <c r="A72" s="27" t="s">
        <v>186</v>
      </c>
      <c r="B72" s="27" t="s">
        <v>240</v>
      </c>
      <c r="C72" s="27"/>
    </row>
    <row r="74" spans="1:5" x14ac:dyDescent="0.3">
      <c r="A74" s="27" t="s">
        <v>230</v>
      </c>
      <c r="B74" s="27"/>
      <c r="C74" s="27">
        <f>80514712 * 10^6</f>
        <v>80514712000000</v>
      </c>
      <c r="D74" s="27" t="s">
        <v>233</v>
      </c>
    </row>
    <row r="75" spans="1:5" x14ac:dyDescent="0.3">
      <c r="A75" s="27" t="s">
        <v>231</v>
      </c>
      <c r="B75" s="27"/>
      <c r="C75" s="85">
        <v>0.32500000000000001</v>
      </c>
      <c r="D75" s="27">
        <f>C75*C74</f>
        <v>26167281400000</v>
      </c>
    </row>
    <row r="76" spans="1:5" x14ac:dyDescent="0.3">
      <c r="A76" s="27" t="s">
        <v>232</v>
      </c>
      <c r="B76" s="27"/>
      <c r="C76" s="70">
        <v>0.67500000000000004</v>
      </c>
      <c r="D76" s="27">
        <f>C76*C74</f>
        <v>54347430600000</v>
      </c>
    </row>
    <row r="80" spans="1:5" x14ac:dyDescent="0.3">
      <c r="A80" s="27" t="s">
        <v>241</v>
      </c>
      <c r="B80" s="27"/>
      <c r="C80" s="27" t="s">
        <v>242</v>
      </c>
    </row>
    <row r="81" spans="1:3" x14ac:dyDescent="0.3">
      <c r="A81" s="27" t="s">
        <v>243</v>
      </c>
      <c r="B81" s="27"/>
      <c r="C81" s="27" t="s">
        <v>244</v>
      </c>
    </row>
    <row r="82" spans="1:3" x14ac:dyDescent="0.3">
      <c r="A82" s="27" t="s">
        <v>245</v>
      </c>
      <c r="B82" s="27"/>
      <c r="C82" s="27" t="s">
        <v>246</v>
      </c>
    </row>
    <row r="85" spans="1:3" x14ac:dyDescent="0.3">
      <c r="A85" s="27" t="s">
        <v>247</v>
      </c>
      <c r="B85" s="27"/>
      <c r="C85" s="27" t="s">
        <v>248</v>
      </c>
    </row>
    <row r="86" spans="1:3" x14ac:dyDescent="0.3">
      <c r="A86" s="27" t="s">
        <v>249</v>
      </c>
      <c r="B86" s="27"/>
      <c r="C86" s="44">
        <v>60000</v>
      </c>
    </row>
    <row r="87" spans="1:3" x14ac:dyDescent="0.3">
      <c r="A87" s="27" t="s">
        <v>250</v>
      </c>
      <c r="B87" s="27"/>
      <c r="C87" s="44">
        <v>20000</v>
      </c>
    </row>
    <row r="88" spans="1:3" x14ac:dyDescent="0.3">
      <c r="A88" s="27" t="s">
        <v>251</v>
      </c>
      <c r="B88" s="27"/>
      <c r="C88" s="44">
        <v>13000</v>
      </c>
    </row>
    <row r="89" spans="1:3" x14ac:dyDescent="0.3">
      <c r="A89" s="27" t="s">
        <v>199</v>
      </c>
      <c r="B89" s="27"/>
      <c r="C89" s="44"/>
    </row>
    <row r="90" spans="1:3" x14ac:dyDescent="0.3">
      <c r="A90" s="27" t="s">
        <v>252</v>
      </c>
      <c r="B90" s="27"/>
      <c r="C90" s="44">
        <v>0</v>
      </c>
    </row>
    <row r="91" spans="1:3" x14ac:dyDescent="0.3">
      <c r="A91" s="27" t="s">
        <v>160</v>
      </c>
      <c r="B91" s="27"/>
      <c r="C91" s="44">
        <f>SUM(C86:C90)</f>
        <v>93000</v>
      </c>
    </row>
    <row r="92" spans="1:3" x14ac:dyDescent="0.3">
      <c r="A92" s="27" t="s">
        <v>329</v>
      </c>
      <c r="B92" s="27"/>
      <c r="C92" s="73">
        <f>C91*25</f>
        <v>2325000</v>
      </c>
    </row>
    <row r="93" spans="1:3" x14ac:dyDescent="0.3">
      <c r="A93" s="27" t="s">
        <v>330</v>
      </c>
      <c r="B93" s="27"/>
      <c r="C93" s="73">
        <f>C91*3</f>
        <v>279000</v>
      </c>
    </row>
    <row r="94" spans="1:3" x14ac:dyDescent="0.3">
      <c r="A94" s="27" t="s">
        <v>331</v>
      </c>
      <c r="B94" s="27"/>
      <c r="C94" s="73">
        <f>C91*3</f>
        <v>279000</v>
      </c>
    </row>
    <row r="95" spans="1:3" x14ac:dyDescent="0.3">
      <c r="A95" s="45" t="s">
        <v>332</v>
      </c>
      <c r="B95" s="45"/>
      <c r="C95" s="96">
        <f>SUM(C92:C94)</f>
        <v>2883000</v>
      </c>
    </row>
    <row r="96" spans="1:3" x14ac:dyDescent="0.3">
      <c r="A96" s="74"/>
    </row>
    <row r="97" spans="1:5" x14ac:dyDescent="0.3">
      <c r="A97" s="103" t="s">
        <v>305</v>
      </c>
      <c r="B97" s="103"/>
    </row>
    <row r="98" spans="1:5" x14ac:dyDescent="0.3">
      <c r="A98" s="27" t="s">
        <v>297</v>
      </c>
      <c r="B98" s="73">
        <v>1310</v>
      </c>
    </row>
    <row r="99" spans="1:5" x14ac:dyDescent="0.3">
      <c r="A99" s="27" t="s">
        <v>304</v>
      </c>
      <c r="B99" s="73">
        <v>100</v>
      </c>
    </row>
    <row r="100" spans="1:5" x14ac:dyDescent="0.3">
      <c r="A100" s="27" t="s">
        <v>298</v>
      </c>
      <c r="B100" s="73">
        <v>50</v>
      </c>
      <c r="E100" s="93"/>
    </row>
    <row r="101" spans="1:5" x14ac:dyDescent="0.3">
      <c r="A101" s="27" t="s">
        <v>299</v>
      </c>
      <c r="B101" s="73">
        <v>10</v>
      </c>
      <c r="E101" s="78"/>
    </row>
    <row r="102" spans="1:5" x14ac:dyDescent="0.3">
      <c r="A102" s="27" t="s">
        <v>300</v>
      </c>
      <c r="B102" s="73">
        <v>200</v>
      </c>
      <c r="E102" s="78"/>
    </row>
    <row r="103" spans="1:5" x14ac:dyDescent="0.3">
      <c r="A103" s="27" t="s">
        <v>301</v>
      </c>
      <c r="B103" s="73">
        <v>500</v>
      </c>
    </row>
    <row r="104" spans="1:5" x14ac:dyDescent="0.3">
      <c r="A104" s="27" t="s">
        <v>302</v>
      </c>
      <c r="B104" s="73" t="s">
        <v>303</v>
      </c>
    </row>
    <row r="105" spans="1:5" x14ac:dyDescent="0.3">
      <c r="A105" s="27" t="s">
        <v>160</v>
      </c>
      <c r="B105" s="73">
        <f>SUM(B98:B103)</f>
        <v>2170</v>
      </c>
    </row>
    <row r="107" spans="1:5" x14ac:dyDescent="0.3">
      <c r="A107" s="27" t="s">
        <v>305</v>
      </c>
      <c r="B107" s="27"/>
    </row>
    <row r="108" spans="1:5" x14ac:dyDescent="0.3">
      <c r="A108" s="27" t="s">
        <v>306</v>
      </c>
      <c r="B108" s="84">
        <f xml:space="preserve"> B18*5%*B105</f>
        <v>7746872.6912486358</v>
      </c>
    </row>
    <row r="110" spans="1:5" x14ac:dyDescent="0.3">
      <c r="A110" s="104" t="s">
        <v>307</v>
      </c>
      <c r="B110" s="104"/>
      <c r="C110" s="104"/>
    </row>
    <row r="111" spans="1:5" x14ac:dyDescent="0.3">
      <c r="A111" s="105" t="s">
        <v>308</v>
      </c>
      <c r="B111" s="34"/>
      <c r="C111" s="34"/>
    </row>
    <row r="112" spans="1:5" x14ac:dyDescent="0.3">
      <c r="A112" s="105"/>
      <c r="B112" s="34" t="s">
        <v>184</v>
      </c>
      <c r="C112" s="34" t="s">
        <v>312</v>
      </c>
    </row>
    <row r="113" spans="1:3" x14ac:dyDescent="0.3">
      <c r="A113" s="105"/>
      <c r="B113" s="34" t="s">
        <v>185</v>
      </c>
      <c r="C113" s="34" t="s">
        <v>313</v>
      </c>
    </row>
    <row r="114" spans="1:3" x14ac:dyDescent="0.3">
      <c r="A114" s="105" t="s">
        <v>309</v>
      </c>
      <c r="B114" s="34"/>
      <c r="C114" s="34"/>
    </row>
    <row r="115" spans="1:3" x14ac:dyDescent="0.3">
      <c r="A115" s="105"/>
      <c r="B115" s="34" t="s">
        <v>211</v>
      </c>
      <c r="C115" s="34" t="s">
        <v>314</v>
      </c>
    </row>
    <row r="116" spans="1:3" x14ac:dyDescent="0.3">
      <c r="A116" s="105"/>
      <c r="B116" s="34" t="s">
        <v>310</v>
      </c>
      <c r="C116" s="34" t="s">
        <v>315</v>
      </c>
    </row>
    <row r="117" spans="1:3" x14ac:dyDescent="0.3">
      <c r="A117" s="87" t="s">
        <v>311</v>
      </c>
      <c r="B117" s="34"/>
      <c r="C117" s="34" t="s">
        <v>316</v>
      </c>
    </row>
    <row r="118" spans="1:3" x14ac:dyDescent="0.3">
      <c r="A118" s="105" t="s">
        <v>160</v>
      </c>
      <c r="B118" s="34" t="s">
        <v>211</v>
      </c>
      <c r="C118" s="34" t="s">
        <v>317</v>
      </c>
    </row>
    <row r="119" spans="1:3" x14ac:dyDescent="0.3">
      <c r="A119" s="105"/>
      <c r="B119" s="34" t="s">
        <v>310</v>
      </c>
      <c r="C119" s="34" t="s">
        <v>318</v>
      </c>
    </row>
    <row r="120" spans="1:3" x14ac:dyDescent="0.3">
      <c r="A120" s="27" t="s">
        <v>321</v>
      </c>
      <c r="B120" s="27"/>
      <c r="C120" s="27"/>
    </row>
  </sheetData>
  <mergeCells count="5">
    <mergeCell ref="A97:B97"/>
    <mergeCell ref="A110:C110"/>
    <mergeCell ref="A111:A113"/>
    <mergeCell ref="A114:A116"/>
    <mergeCell ref="A118:A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18A4-F64C-4BF4-AE6E-272E614BD00C}">
  <dimension ref="A1:I23"/>
  <sheetViews>
    <sheetView topLeftCell="A24" workbookViewId="0">
      <selection activeCell="K24" sqref="K24"/>
    </sheetView>
  </sheetViews>
  <sheetFormatPr defaultRowHeight="14.4" x14ac:dyDescent="0.3"/>
  <cols>
    <col min="1" max="1" width="30.77734375" customWidth="1"/>
    <col min="8" max="8" width="12.21875" customWidth="1"/>
    <col min="9" max="9" width="13.33203125" customWidth="1"/>
  </cols>
  <sheetData>
    <row r="1" spans="1:9" x14ac:dyDescent="0.3">
      <c r="A1" t="s">
        <v>183</v>
      </c>
      <c r="B1" t="s">
        <v>42</v>
      </c>
      <c r="C1" t="s">
        <v>171</v>
      </c>
      <c r="E1" t="s">
        <v>46</v>
      </c>
      <c r="F1" t="s">
        <v>47</v>
      </c>
      <c r="G1" t="s">
        <v>153</v>
      </c>
    </row>
    <row r="2" spans="1:9" x14ac:dyDescent="0.3">
      <c r="A2" t="s">
        <v>56</v>
      </c>
      <c r="B2">
        <v>60862.796886037351</v>
      </c>
      <c r="C2">
        <v>182275.51606201142</v>
      </c>
      <c r="E2">
        <v>313596.52835764678</v>
      </c>
      <c r="F2">
        <v>76718.444663035916</v>
      </c>
      <c r="G2">
        <v>32993.250216461784</v>
      </c>
    </row>
    <row r="3" spans="1:9" x14ac:dyDescent="0.3">
      <c r="A3" t="s">
        <v>57</v>
      </c>
      <c r="B3">
        <v>62778.606235201289</v>
      </c>
      <c r="C3">
        <v>178697.871825001</v>
      </c>
      <c r="E3">
        <v>312264.43831144273</v>
      </c>
      <c r="F3">
        <v>77833.621203622519</v>
      </c>
      <c r="G3">
        <v>32982.776729266407</v>
      </c>
    </row>
    <row r="4" spans="1:9" x14ac:dyDescent="0.3">
      <c r="A4" t="s">
        <v>58</v>
      </c>
      <c r="B4">
        <v>64694.415584365226</v>
      </c>
      <c r="C4">
        <v>175120.22758799058</v>
      </c>
      <c r="E4">
        <v>310932.34826523869</v>
      </c>
      <c r="F4">
        <v>78948.797744209121</v>
      </c>
      <c r="G4">
        <v>32972.30324207103</v>
      </c>
    </row>
    <row r="5" spans="1:9" x14ac:dyDescent="0.3">
      <c r="A5" t="s">
        <v>59</v>
      </c>
      <c r="B5">
        <v>66610.224933529171</v>
      </c>
      <c r="C5">
        <v>171542.58335098016</v>
      </c>
      <c r="E5">
        <v>309600.25821903464</v>
      </c>
      <c r="F5">
        <v>80063.974284795724</v>
      </c>
      <c r="G5">
        <v>32961.829754875653</v>
      </c>
    </row>
    <row r="6" spans="1:9" x14ac:dyDescent="0.3">
      <c r="A6" t="s">
        <v>60</v>
      </c>
      <c r="B6">
        <v>68526.034282693116</v>
      </c>
      <c r="C6">
        <v>167964.93911396974</v>
      </c>
      <c r="E6">
        <v>308268.1681728306</v>
      </c>
      <c r="F6">
        <v>81179.150825382327</v>
      </c>
      <c r="G6">
        <v>32951.356267680276</v>
      </c>
    </row>
    <row r="7" spans="1:9" x14ac:dyDescent="0.3">
      <c r="A7" t="s">
        <v>61</v>
      </c>
      <c r="B7">
        <v>70441.84363185706</v>
      </c>
      <c r="C7">
        <v>164387.29487695932</v>
      </c>
      <c r="E7">
        <v>306936.07812662655</v>
      </c>
      <c r="F7">
        <v>82294.327365968929</v>
      </c>
      <c r="G7">
        <v>32940.882780484899</v>
      </c>
    </row>
    <row r="8" spans="1:9" x14ac:dyDescent="0.3">
      <c r="A8" t="s">
        <v>62</v>
      </c>
      <c r="B8">
        <v>72357.652981021005</v>
      </c>
      <c r="C8">
        <v>160809.6506399489</v>
      </c>
      <c r="E8">
        <v>305603.98808042251</v>
      </c>
      <c r="F8">
        <v>83409.503906555532</v>
      </c>
      <c r="G8">
        <v>32930.409293289522</v>
      </c>
    </row>
    <row r="9" spans="1:9" x14ac:dyDescent="0.3">
      <c r="A9" t="s">
        <v>63</v>
      </c>
      <c r="B9">
        <v>74273.46233018495</v>
      </c>
      <c r="C9">
        <v>157232.00640293848</v>
      </c>
      <c r="E9">
        <v>304271.89803421847</v>
      </c>
      <c r="F9">
        <v>84524.680447142135</v>
      </c>
      <c r="G9">
        <v>32919.935806094145</v>
      </c>
    </row>
    <row r="10" spans="1:9" x14ac:dyDescent="0.3">
      <c r="A10" t="s">
        <v>64</v>
      </c>
      <c r="B10">
        <v>76189.271679348894</v>
      </c>
      <c r="C10">
        <v>153654.36216592806</v>
      </c>
      <c r="E10">
        <v>302939.80798801442</v>
      </c>
      <c r="F10">
        <v>85639.856987728737</v>
      </c>
      <c r="G10">
        <v>32909.462318898768</v>
      </c>
    </row>
    <row r="11" spans="1:9" x14ac:dyDescent="0.3">
      <c r="A11" t="s">
        <v>65</v>
      </c>
      <c r="B11">
        <v>78105.081028512839</v>
      </c>
      <c r="C11">
        <v>150076.71792891764</v>
      </c>
      <c r="E11">
        <v>301607.71794181038</v>
      </c>
      <c r="F11">
        <v>86755.03352831534</v>
      </c>
      <c r="G11">
        <v>32898.988831703391</v>
      </c>
    </row>
    <row r="12" spans="1:9" x14ac:dyDescent="0.3">
      <c r="A12" t="s">
        <v>66</v>
      </c>
      <c r="B12">
        <v>80020.890377676784</v>
      </c>
      <c r="C12">
        <v>146499.07369190722</v>
      </c>
      <c r="E12">
        <v>300275.62789560633</v>
      </c>
      <c r="F12">
        <v>87870.210068901943</v>
      </c>
      <c r="G12">
        <v>32888.515344508014</v>
      </c>
    </row>
    <row r="13" spans="1:9" x14ac:dyDescent="0.3">
      <c r="A13" t="s">
        <v>67</v>
      </c>
      <c r="B13">
        <v>81936.699726840729</v>
      </c>
      <c r="C13">
        <v>142921.4294548968</v>
      </c>
      <c r="E13">
        <v>298943.53784940229</v>
      </c>
      <c r="F13">
        <v>88985.386609488545</v>
      </c>
      <c r="G13">
        <v>32878.041857312637</v>
      </c>
    </row>
    <row r="14" spans="1:9" x14ac:dyDescent="0.3">
      <c r="A14" t="s">
        <v>52</v>
      </c>
      <c r="B14">
        <f>SUM(B2:B13)</f>
        <v>856796.97967726842</v>
      </c>
      <c r="C14">
        <f t="shared" ref="C14:G14" si="0">SUM(C2:C13)</f>
        <v>1951181.6731014496</v>
      </c>
      <c r="E14">
        <f t="shared" si="0"/>
        <v>3675240.3972422937</v>
      </c>
      <c r="F14">
        <f t="shared" si="0"/>
        <v>994222.98763514671</v>
      </c>
      <c r="G14">
        <f t="shared" si="0"/>
        <v>395227.75244264654</v>
      </c>
    </row>
    <row r="16" spans="1:9" x14ac:dyDescent="0.3">
      <c r="A16" s="27"/>
      <c r="B16" s="103" t="s">
        <v>333</v>
      </c>
      <c r="C16" s="103"/>
      <c r="D16" s="103"/>
      <c r="E16" s="103"/>
      <c r="F16" s="103"/>
      <c r="G16" s="103"/>
      <c r="H16" s="103" t="s">
        <v>334</v>
      </c>
      <c r="I16" s="103"/>
    </row>
    <row r="17" spans="1:9" s="94" customFormat="1" ht="59.4" customHeight="1" thickBot="1" x14ac:dyDescent="0.35">
      <c r="A17" s="95"/>
      <c r="B17" s="95" t="s">
        <v>343</v>
      </c>
      <c r="C17" s="95" t="s">
        <v>344</v>
      </c>
      <c r="D17" s="95" t="s">
        <v>345</v>
      </c>
      <c r="E17" s="95" t="s">
        <v>346</v>
      </c>
      <c r="F17" s="95" t="s">
        <v>347</v>
      </c>
      <c r="G17" s="95" t="s">
        <v>348</v>
      </c>
      <c r="H17" s="95" t="s">
        <v>335</v>
      </c>
      <c r="I17" s="95" t="s">
        <v>336</v>
      </c>
    </row>
    <row r="18" spans="1:9" ht="15" thickBot="1" x14ac:dyDescent="0.35">
      <c r="A18" s="97" t="s">
        <v>337</v>
      </c>
      <c r="B18" s="27">
        <v>1.5</v>
      </c>
      <c r="C18" s="27"/>
      <c r="D18" s="27"/>
      <c r="E18" s="27">
        <v>2.5</v>
      </c>
      <c r="F18" s="27"/>
      <c r="G18" s="27"/>
      <c r="H18" s="27">
        <v>200000</v>
      </c>
      <c r="I18" s="27">
        <v>500000</v>
      </c>
    </row>
    <row r="19" spans="1:9" ht="15" thickBot="1" x14ac:dyDescent="0.35">
      <c r="A19" s="97" t="s">
        <v>338</v>
      </c>
      <c r="B19" s="27">
        <v>1.5</v>
      </c>
      <c r="C19" s="27"/>
      <c r="D19" s="27"/>
      <c r="E19" s="27">
        <v>2.5</v>
      </c>
      <c r="F19" s="27"/>
      <c r="G19" s="27"/>
      <c r="H19" s="27">
        <v>200000</v>
      </c>
      <c r="I19" s="27">
        <v>500000</v>
      </c>
    </row>
    <row r="20" spans="1:9" ht="15" thickBot="1" x14ac:dyDescent="0.35">
      <c r="A20" s="98" t="s">
        <v>339</v>
      </c>
      <c r="B20" s="27">
        <v>0.5</v>
      </c>
      <c r="C20" s="27">
        <v>0.5</v>
      </c>
      <c r="D20" s="27">
        <v>0.3</v>
      </c>
      <c r="E20" s="27"/>
      <c r="F20" s="27">
        <v>1</v>
      </c>
      <c r="G20" s="27">
        <v>0.5</v>
      </c>
      <c r="H20" s="27">
        <v>150000</v>
      </c>
      <c r="I20" s="27">
        <v>300000</v>
      </c>
    </row>
    <row r="21" spans="1:9" ht="15" thickBot="1" x14ac:dyDescent="0.35">
      <c r="A21" s="98" t="s">
        <v>340</v>
      </c>
      <c r="B21" s="27">
        <v>0.4</v>
      </c>
      <c r="C21" s="27">
        <v>0.4</v>
      </c>
      <c r="D21" s="27"/>
      <c r="E21" s="27"/>
      <c r="F21" s="27">
        <v>0.8</v>
      </c>
      <c r="G21" s="27">
        <v>0.4</v>
      </c>
      <c r="H21" s="27">
        <v>100000</v>
      </c>
      <c r="I21" s="27">
        <v>200000</v>
      </c>
    </row>
    <row r="22" spans="1:9" ht="15" thickBot="1" x14ac:dyDescent="0.35">
      <c r="A22" s="98" t="s">
        <v>341</v>
      </c>
      <c r="B22" s="27">
        <v>0.3</v>
      </c>
      <c r="C22" s="27">
        <v>0.3</v>
      </c>
      <c r="D22" s="27"/>
      <c r="E22" s="27"/>
      <c r="F22" s="27">
        <v>0.6</v>
      </c>
      <c r="G22" s="27">
        <v>0.3</v>
      </c>
      <c r="H22" s="27">
        <v>80000</v>
      </c>
      <c r="I22" s="27">
        <v>160000</v>
      </c>
    </row>
    <row r="23" spans="1:9" ht="15" thickBot="1" x14ac:dyDescent="0.35">
      <c r="A23" s="98" t="s">
        <v>342</v>
      </c>
      <c r="B23" s="27"/>
      <c r="C23" s="27"/>
      <c r="D23" s="27">
        <v>0.3</v>
      </c>
      <c r="E23" s="27"/>
      <c r="F23" s="27"/>
      <c r="G23" s="27">
        <v>0.4</v>
      </c>
      <c r="H23" s="27"/>
      <c r="I23" s="27"/>
    </row>
  </sheetData>
  <mergeCells count="2">
    <mergeCell ref="B16:G16"/>
    <mergeCell ref="H16:I16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CAE9-924A-4B24-B776-76E42E8A454A}">
  <dimension ref="A1:Q9"/>
  <sheetViews>
    <sheetView workbookViewId="0">
      <selection activeCell="O19" sqref="O19"/>
    </sheetView>
  </sheetViews>
  <sheetFormatPr defaultRowHeight="14.4" x14ac:dyDescent="0.3"/>
  <cols>
    <col min="1" max="1" width="11.21875" bestFit="1" customWidth="1"/>
    <col min="2" max="2" width="13.6640625" bestFit="1" customWidth="1"/>
    <col min="3" max="3" width="12.21875" bestFit="1" customWidth="1"/>
    <col min="4" max="4" width="13.109375" bestFit="1" customWidth="1"/>
    <col min="5" max="5" width="18.109375" bestFit="1" customWidth="1"/>
    <col min="6" max="6" width="9.5546875" bestFit="1" customWidth="1"/>
  </cols>
  <sheetData>
    <row r="1" spans="1:17" x14ac:dyDescent="0.3">
      <c r="A1" s="106" t="s">
        <v>296</v>
      </c>
      <c r="B1" s="106"/>
      <c r="C1" s="106"/>
      <c r="D1" s="106"/>
      <c r="E1" s="106"/>
      <c r="F1" s="106"/>
      <c r="G1" s="106"/>
    </row>
    <row r="2" spans="1:17" ht="14.4" customHeight="1" x14ac:dyDescent="0.3">
      <c r="A2" s="44" t="s">
        <v>181</v>
      </c>
      <c r="B2" s="44" t="s">
        <v>169</v>
      </c>
      <c r="C2" s="44" t="s">
        <v>170</v>
      </c>
      <c r="D2" s="44" t="s">
        <v>172</v>
      </c>
      <c r="E2" s="44" t="s">
        <v>173</v>
      </c>
      <c r="F2" s="62" t="s">
        <v>174</v>
      </c>
      <c r="G2" s="44" t="s">
        <v>175</v>
      </c>
      <c r="H2" s="82"/>
      <c r="I2" s="82"/>
      <c r="J2" s="82"/>
      <c r="K2" s="82"/>
      <c r="L2" s="61"/>
      <c r="M2" s="61"/>
      <c r="N2" s="61"/>
      <c r="O2" s="61"/>
      <c r="P2" s="61"/>
      <c r="Q2" s="61"/>
    </row>
    <row r="3" spans="1:17" x14ac:dyDescent="0.3">
      <c r="A3" s="44" t="s">
        <v>153</v>
      </c>
      <c r="B3" s="44">
        <f>Sheet1!F15</f>
        <v>395227.75244264654</v>
      </c>
      <c r="C3" s="63">
        <f>B3/$B$9</f>
        <v>5.0202506008788957E-2</v>
      </c>
      <c r="D3" s="63">
        <f>C3</f>
        <v>5.0202506008788957E-2</v>
      </c>
      <c r="E3" s="44">
        <f>B3*'Biểu giá'!F53</f>
        <v>22271083850.143131</v>
      </c>
      <c r="F3" s="63">
        <f>E3/$E$9</f>
        <v>8.7738793533132236E-4</v>
      </c>
      <c r="G3" s="44" t="s">
        <v>176</v>
      </c>
      <c r="H3" s="82"/>
      <c r="I3" s="82"/>
      <c r="J3" s="82"/>
      <c r="K3" s="82"/>
      <c r="L3" s="61"/>
      <c r="M3" s="61"/>
      <c r="N3" s="61"/>
      <c r="O3" s="61"/>
      <c r="P3" s="61"/>
      <c r="Q3" s="61"/>
    </row>
    <row r="4" spans="1:17" x14ac:dyDescent="0.3">
      <c r="A4" s="44" t="s">
        <v>42</v>
      </c>
      <c r="B4" s="44">
        <f>Sheet1!B15</f>
        <v>856796.97967726842</v>
      </c>
      <c r="C4" s="63">
        <f>B4/$B$9</f>
        <v>0.10883181976650837</v>
      </c>
      <c r="D4" s="63">
        <f>D3+C4</f>
        <v>0.15903432577529733</v>
      </c>
      <c r="E4" s="44">
        <f>B4*'Biểu giá'!F3</f>
        <v>4376283353022.0757</v>
      </c>
      <c r="F4" s="63">
        <f>E4/$E$9</f>
        <v>0.17240733506143208</v>
      </c>
      <c r="G4" s="44" t="s">
        <v>177</v>
      </c>
      <c r="H4" s="82"/>
      <c r="I4" s="82"/>
      <c r="J4" s="82"/>
      <c r="K4" s="82"/>
      <c r="L4" s="61"/>
      <c r="M4" s="61"/>
      <c r="N4" s="61"/>
      <c r="O4" s="61"/>
      <c r="P4" s="61"/>
      <c r="Q4" s="61"/>
    </row>
    <row r="5" spans="1:17" x14ac:dyDescent="0.3">
      <c r="A5" s="44" t="s">
        <v>46</v>
      </c>
      <c r="B5" s="44">
        <f>Sheet1!D15</f>
        <v>3675240.3972422937</v>
      </c>
      <c r="C5" s="63">
        <f>B5/$B$9</f>
        <v>0.46683532972061415</v>
      </c>
      <c r="D5" s="63">
        <f>D4+C5</f>
        <v>0.62586965549591145</v>
      </c>
      <c r="E5" s="44">
        <f>B5*'Biểu giá'!F8</f>
        <v>20917079434844.93</v>
      </c>
      <c r="F5" s="63">
        <f>E5/$E$9</f>
        <v>0.82404580136237549</v>
      </c>
      <c r="G5" s="44" t="s">
        <v>54</v>
      </c>
      <c r="H5" s="82"/>
      <c r="I5" s="82"/>
      <c r="J5" s="82"/>
      <c r="K5" s="82"/>
      <c r="L5" s="61"/>
      <c r="M5" s="61"/>
      <c r="N5" s="61"/>
      <c r="O5" s="61"/>
      <c r="P5" s="61"/>
      <c r="Q5" s="61"/>
    </row>
    <row r="6" spans="1:17" x14ac:dyDescent="0.3">
      <c r="A6" s="44" t="s">
        <v>171</v>
      </c>
      <c r="B6" s="44">
        <f>Sheet1!C15</f>
        <v>1951181.6731014496</v>
      </c>
      <c r="C6" s="63">
        <f>B6/$B$9</f>
        <v>0.24784243784178348</v>
      </c>
      <c r="D6" s="63">
        <f>D5+C6</f>
        <v>0.87371209333769495</v>
      </c>
      <c r="E6" s="44">
        <f>B6*'Biểu giá'!F5</f>
        <v>16618019191.637735</v>
      </c>
      <c r="F6" s="63">
        <f>E6/$E$9</f>
        <v>6.546807351611501E-4</v>
      </c>
      <c r="G6" s="44" t="s">
        <v>177</v>
      </c>
      <c r="H6" s="82"/>
      <c r="I6" s="82"/>
      <c r="J6" s="82"/>
      <c r="K6" s="82"/>
      <c r="L6" s="61"/>
      <c r="M6" s="61"/>
      <c r="N6" s="61"/>
      <c r="O6" s="61"/>
      <c r="P6" s="61"/>
      <c r="Q6" s="61"/>
    </row>
    <row r="7" spans="1:17" x14ac:dyDescent="0.3">
      <c r="A7" s="44" t="s">
        <v>108</v>
      </c>
      <c r="B7" s="44">
        <f>Sheet1!E15</f>
        <v>994222.98763514671</v>
      </c>
      <c r="C7" s="63">
        <f>B7/$B$9</f>
        <v>0.12628790666230508</v>
      </c>
      <c r="D7" s="63">
        <f>D6+C7</f>
        <v>1</v>
      </c>
      <c r="E7" s="44">
        <f>B7*'Biểu giá'!F29</f>
        <v>51142333372.45813</v>
      </c>
      <c r="F7" s="63">
        <f>E7/$E$9</f>
        <v>2.0147949057000582E-3</v>
      </c>
      <c r="G7" s="44" t="s">
        <v>176</v>
      </c>
      <c r="H7" s="82"/>
      <c r="I7" s="82"/>
      <c r="J7" s="82"/>
      <c r="K7" s="82"/>
      <c r="L7" s="61"/>
      <c r="M7" s="61"/>
      <c r="N7" s="61"/>
      <c r="O7" s="61"/>
      <c r="P7" s="61"/>
      <c r="Q7" s="61"/>
    </row>
    <row r="8" spans="1:17" x14ac:dyDescent="0.3">
      <c r="A8" s="44"/>
      <c r="B8" s="44"/>
      <c r="C8" s="63"/>
      <c r="D8" s="63"/>
      <c r="E8" s="44"/>
      <c r="F8" s="63"/>
      <c r="G8" s="44"/>
      <c r="H8" s="82"/>
      <c r="I8" s="82"/>
      <c r="J8" s="82"/>
      <c r="K8" s="82"/>
      <c r="L8" s="61"/>
      <c r="M8" s="61"/>
      <c r="N8" s="61"/>
      <c r="O8" s="61"/>
      <c r="P8" s="61"/>
      <c r="Q8" s="61"/>
    </row>
    <row r="9" spans="1:17" x14ac:dyDescent="0.3">
      <c r="A9" s="44" t="s">
        <v>52</v>
      </c>
      <c r="B9" s="44">
        <f>SUM(B3:B7)</f>
        <v>7872669.790098805</v>
      </c>
      <c r="C9" s="44"/>
      <c r="D9" s="44"/>
      <c r="E9" s="44">
        <f>SUM(E3:E7)</f>
        <v>25383394224281.242</v>
      </c>
      <c r="F9" s="62"/>
      <c r="G9" s="44"/>
      <c r="H9" s="82"/>
      <c r="I9" s="82"/>
      <c r="J9" s="82"/>
      <c r="K9" s="82"/>
      <c r="L9" s="61"/>
      <c r="M9" s="61"/>
      <c r="N9" s="61"/>
      <c r="O9" s="61"/>
      <c r="P9" s="61"/>
      <c r="Q9" s="61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A579-37F6-4CED-A6DD-099F9D875325}">
  <dimension ref="A1:I57"/>
  <sheetViews>
    <sheetView topLeftCell="A18" zoomScale="53" workbookViewId="0">
      <selection activeCell="F35" sqref="F35"/>
    </sheetView>
  </sheetViews>
  <sheetFormatPr defaultRowHeight="14.4" x14ac:dyDescent="0.3"/>
  <cols>
    <col min="1" max="1" width="21.6640625" bestFit="1" customWidth="1"/>
    <col min="2" max="2" width="35.5546875" bestFit="1" customWidth="1"/>
    <col min="3" max="3" width="34.33203125" bestFit="1" customWidth="1"/>
    <col min="4" max="4" width="10.5546875" bestFit="1" customWidth="1"/>
    <col min="5" max="5" width="23.77734375" bestFit="1" customWidth="1"/>
    <col min="6" max="6" width="36.77734375" bestFit="1" customWidth="1"/>
    <col min="7" max="7" width="40.77734375" bestFit="1" customWidth="1"/>
    <col min="8" max="8" width="48.5546875" bestFit="1" customWidth="1"/>
    <col min="9" max="9" width="9.109375" bestFit="1" customWidth="1"/>
  </cols>
  <sheetData>
    <row r="1" spans="1:9" ht="28.8" x14ac:dyDescent="0.55000000000000004">
      <c r="A1" s="109" t="s">
        <v>92</v>
      </c>
      <c r="B1" s="109"/>
      <c r="C1" s="109"/>
      <c r="D1" s="109"/>
      <c r="E1" s="109"/>
      <c r="F1" s="109"/>
      <c r="G1" s="109"/>
      <c r="H1" s="109"/>
      <c r="I1" s="109"/>
    </row>
    <row r="2" spans="1:9" ht="15.6" x14ac:dyDescent="0.3">
      <c r="A2" s="31" t="s">
        <v>93</v>
      </c>
      <c r="B2" s="31" t="s">
        <v>94</v>
      </c>
      <c r="C2" s="31" t="s">
        <v>95</v>
      </c>
      <c r="D2" s="32" t="s">
        <v>96</v>
      </c>
      <c r="E2" s="32" t="s">
        <v>97</v>
      </c>
      <c r="F2" s="32" t="s">
        <v>98</v>
      </c>
      <c r="G2" s="33" t="s">
        <v>99</v>
      </c>
      <c r="H2" s="33" t="s">
        <v>100</v>
      </c>
      <c r="I2" s="33" t="s">
        <v>101</v>
      </c>
    </row>
    <row r="3" spans="1:9" x14ac:dyDescent="0.3">
      <c r="A3" s="110" t="s">
        <v>102</v>
      </c>
      <c r="B3" s="34" t="s">
        <v>42</v>
      </c>
      <c r="C3" s="34"/>
      <c r="D3" s="35"/>
      <c r="E3" s="34"/>
      <c r="F3" s="36">
        <f>35%*H3</f>
        <v>5107725</v>
      </c>
      <c r="G3" s="37">
        <f>540*23500</f>
        <v>12690000</v>
      </c>
      <c r="H3" s="37">
        <f>G3+(G3*15%)</f>
        <v>14593500</v>
      </c>
      <c r="I3" s="27" t="s">
        <v>103</v>
      </c>
    </row>
    <row r="4" spans="1:9" x14ac:dyDescent="0.3">
      <c r="A4" s="111"/>
      <c r="B4" s="34" t="s">
        <v>43</v>
      </c>
      <c r="C4" s="34" t="s">
        <v>104</v>
      </c>
      <c r="D4" s="35"/>
      <c r="E4" s="34"/>
      <c r="F4" s="36">
        <f t="shared" ref="F4:F53" si="0">35%*H4</f>
        <v>5232.5</v>
      </c>
      <c r="G4" s="37">
        <v>13000</v>
      </c>
      <c r="H4" s="37">
        <f>G4+(G4*15%)</f>
        <v>14950</v>
      </c>
      <c r="I4" s="27" t="s">
        <v>105</v>
      </c>
    </row>
    <row r="5" spans="1:9" x14ac:dyDescent="0.3">
      <c r="A5" s="111"/>
      <c r="B5" s="34" t="s">
        <v>44</v>
      </c>
      <c r="C5" s="34" t="s">
        <v>106</v>
      </c>
      <c r="D5" s="35"/>
      <c r="E5" s="34"/>
      <c r="F5" s="36">
        <f t="shared" si="0"/>
        <v>8516.9</v>
      </c>
      <c r="G5" s="37">
        <v>21160</v>
      </c>
      <c r="H5" s="37">
        <f t="shared" ref="H5:H53" si="1">G5+(G5*15%)</f>
        <v>24334</v>
      </c>
      <c r="I5" s="27" t="s">
        <v>105</v>
      </c>
    </row>
    <row r="6" spans="1:9" x14ac:dyDescent="0.3">
      <c r="A6" s="111"/>
      <c r="B6" s="34" t="s">
        <v>45</v>
      </c>
      <c r="C6" s="34"/>
      <c r="D6" s="35"/>
      <c r="E6" s="34"/>
      <c r="F6" s="36">
        <f t="shared" si="0"/>
        <v>8049.9999999999991</v>
      </c>
      <c r="G6" s="37">
        <v>20000</v>
      </c>
      <c r="H6" s="37">
        <f t="shared" si="1"/>
        <v>23000</v>
      </c>
      <c r="I6" s="27" t="s">
        <v>107</v>
      </c>
    </row>
    <row r="7" spans="1:9" x14ac:dyDescent="0.3">
      <c r="A7" s="111"/>
      <c r="B7" s="34"/>
      <c r="C7" s="34"/>
      <c r="D7" s="35"/>
      <c r="E7" s="34"/>
      <c r="F7" s="36">
        <f t="shared" si="0"/>
        <v>0</v>
      </c>
      <c r="G7" s="37"/>
      <c r="H7" s="37"/>
      <c r="I7" s="27"/>
    </row>
    <row r="8" spans="1:9" x14ac:dyDescent="0.3">
      <c r="A8" s="112"/>
      <c r="B8" s="34" t="s">
        <v>46</v>
      </c>
      <c r="C8" s="34"/>
      <c r="D8" s="35"/>
      <c r="E8" s="34"/>
      <c r="F8" s="36">
        <f t="shared" si="0"/>
        <v>5691350</v>
      </c>
      <c r="G8" s="37">
        <v>14140000</v>
      </c>
      <c r="H8" s="37">
        <f t="shared" si="1"/>
        <v>16261000</v>
      </c>
      <c r="I8" s="27" t="s">
        <v>103</v>
      </c>
    </row>
    <row r="9" spans="1:9" x14ac:dyDescent="0.3">
      <c r="A9" s="110" t="s">
        <v>108</v>
      </c>
      <c r="B9" s="113" t="s">
        <v>47</v>
      </c>
      <c r="C9" s="34" t="s">
        <v>109</v>
      </c>
      <c r="D9" s="35"/>
      <c r="E9" s="34"/>
      <c r="F9" s="36">
        <f t="shared" si="0"/>
        <v>14852.249999999998</v>
      </c>
      <c r="G9" s="37">
        <v>36900</v>
      </c>
      <c r="H9" s="37">
        <f t="shared" si="1"/>
        <v>42435</v>
      </c>
      <c r="I9" s="34" t="s">
        <v>110</v>
      </c>
    </row>
    <row r="10" spans="1:9" x14ac:dyDescent="0.3">
      <c r="A10" s="111"/>
      <c r="B10" s="113"/>
      <c r="C10" s="34" t="s">
        <v>111</v>
      </c>
      <c r="D10" s="35"/>
      <c r="E10" s="34"/>
      <c r="F10" s="36">
        <f t="shared" si="0"/>
        <v>18112.5</v>
      </c>
      <c r="G10" s="37">
        <v>45000</v>
      </c>
      <c r="H10" s="37">
        <f t="shared" si="1"/>
        <v>51750</v>
      </c>
      <c r="I10" s="34" t="s">
        <v>110</v>
      </c>
    </row>
    <row r="11" spans="1:9" x14ac:dyDescent="0.3">
      <c r="A11" s="111"/>
      <c r="B11" s="113"/>
      <c r="C11" s="34" t="s">
        <v>112</v>
      </c>
      <c r="D11" s="35"/>
      <c r="E11" s="34"/>
      <c r="F11" s="36">
        <f t="shared" si="0"/>
        <v>19199.25</v>
      </c>
      <c r="G11" s="37">
        <v>47700</v>
      </c>
      <c r="H11" s="37">
        <f t="shared" si="1"/>
        <v>54855</v>
      </c>
      <c r="I11" s="34" t="s">
        <v>110</v>
      </c>
    </row>
    <row r="12" spans="1:9" x14ac:dyDescent="0.3">
      <c r="A12" s="111"/>
      <c r="B12" s="113"/>
      <c r="C12" s="34" t="s">
        <v>113</v>
      </c>
      <c r="D12" s="35"/>
      <c r="E12" s="34"/>
      <c r="F12" s="36">
        <f t="shared" si="0"/>
        <v>22459.5</v>
      </c>
      <c r="G12" s="37">
        <v>55800</v>
      </c>
      <c r="H12" s="37">
        <f t="shared" si="1"/>
        <v>64170</v>
      </c>
      <c r="I12" s="34" t="s">
        <v>110</v>
      </c>
    </row>
    <row r="13" spans="1:9" x14ac:dyDescent="0.3">
      <c r="A13" s="111"/>
      <c r="B13" s="113"/>
      <c r="C13" s="34" t="s">
        <v>114</v>
      </c>
      <c r="D13" s="35"/>
      <c r="E13" s="34"/>
      <c r="F13" s="36">
        <f t="shared" si="0"/>
        <v>35862.75</v>
      </c>
      <c r="G13" s="37">
        <v>89100</v>
      </c>
      <c r="H13" s="37">
        <f t="shared" si="1"/>
        <v>102465</v>
      </c>
      <c r="I13" s="34" t="s">
        <v>110</v>
      </c>
    </row>
    <row r="14" spans="1:9" x14ac:dyDescent="0.3">
      <c r="A14" s="111"/>
      <c r="B14" s="113"/>
      <c r="C14" s="34" t="s">
        <v>115</v>
      </c>
      <c r="D14" s="35"/>
      <c r="E14" s="34"/>
      <c r="F14" s="36">
        <f t="shared" si="0"/>
        <v>24633</v>
      </c>
      <c r="G14" s="37">
        <v>61200</v>
      </c>
      <c r="H14" s="37">
        <f t="shared" si="1"/>
        <v>70380</v>
      </c>
      <c r="I14" s="34" t="s">
        <v>110</v>
      </c>
    </row>
    <row r="15" spans="1:9" x14ac:dyDescent="0.3">
      <c r="A15" s="111"/>
      <c r="B15" s="113"/>
      <c r="C15" s="34" t="s">
        <v>116</v>
      </c>
      <c r="D15" s="35"/>
      <c r="E15" s="34"/>
      <c r="F15" s="36">
        <f t="shared" si="0"/>
        <v>29704.499999999996</v>
      </c>
      <c r="G15" s="37">
        <v>73800</v>
      </c>
      <c r="H15" s="37">
        <f t="shared" si="1"/>
        <v>84870</v>
      </c>
      <c r="I15" s="34" t="s">
        <v>110</v>
      </c>
    </row>
    <row r="16" spans="1:9" x14ac:dyDescent="0.3">
      <c r="A16" s="111"/>
      <c r="B16" s="113"/>
      <c r="C16" s="34" t="s">
        <v>117</v>
      </c>
      <c r="D16" s="35"/>
      <c r="E16" s="34"/>
      <c r="F16" s="36">
        <f t="shared" si="0"/>
        <v>36949.5</v>
      </c>
      <c r="G16" s="37">
        <v>91800</v>
      </c>
      <c r="H16" s="37">
        <f t="shared" si="1"/>
        <v>105570</v>
      </c>
      <c r="I16" s="34" t="s">
        <v>110</v>
      </c>
    </row>
    <row r="17" spans="1:9" x14ac:dyDescent="0.3">
      <c r="A17" s="111"/>
      <c r="B17" s="113"/>
      <c r="C17" s="34" t="s">
        <v>118</v>
      </c>
      <c r="D17" s="35"/>
      <c r="E17" s="34"/>
      <c r="F17" s="36">
        <f t="shared" si="0"/>
        <v>46730.25</v>
      </c>
      <c r="G17" s="37">
        <v>116100</v>
      </c>
      <c r="H17" s="37">
        <f t="shared" si="1"/>
        <v>133515</v>
      </c>
      <c r="I17" s="34" t="s">
        <v>110</v>
      </c>
    </row>
    <row r="18" spans="1:9" x14ac:dyDescent="0.3">
      <c r="A18" s="111"/>
      <c r="B18" s="113"/>
      <c r="C18" s="34" t="s">
        <v>119</v>
      </c>
      <c r="D18" s="35"/>
      <c r="E18" s="34"/>
      <c r="F18" s="36">
        <f t="shared" si="0"/>
        <v>61220.249999999993</v>
      </c>
      <c r="G18" s="37">
        <v>152100</v>
      </c>
      <c r="H18" s="37">
        <f t="shared" si="1"/>
        <v>174915</v>
      </c>
      <c r="I18" s="34" t="s">
        <v>110</v>
      </c>
    </row>
    <row r="19" spans="1:9" x14ac:dyDescent="0.3">
      <c r="A19" s="111"/>
      <c r="B19" s="113"/>
      <c r="C19" s="34" t="s">
        <v>120</v>
      </c>
      <c r="D19" s="35"/>
      <c r="E19" s="34"/>
      <c r="F19" s="36">
        <f t="shared" si="0"/>
        <v>43470</v>
      </c>
      <c r="G19" s="37">
        <v>108000</v>
      </c>
      <c r="H19" s="37">
        <f t="shared" si="1"/>
        <v>124200</v>
      </c>
      <c r="I19" s="34" t="s">
        <v>110</v>
      </c>
    </row>
    <row r="20" spans="1:9" x14ac:dyDescent="0.3">
      <c r="A20" s="111"/>
      <c r="B20" s="113"/>
      <c r="C20" s="34" t="s">
        <v>121</v>
      </c>
      <c r="D20" s="35"/>
      <c r="E20" s="34"/>
      <c r="F20" s="36">
        <f t="shared" si="0"/>
        <v>47092.5</v>
      </c>
      <c r="G20" s="37">
        <v>117000</v>
      </c>
      <c r="H20" s="37">
        <f t="shared" si="1"/>
        <v>134550</v>
      </c>
      <c r="I20" s="34" t="s">
        <v>110</v>
      </c>
    </row>
    <row r="21" spans="1:9" x14ac:dyDescent="0.3">
      <c r="A21" s="111"/>
      <c r="B21" s="113"/>
      <c r="C21" s="34" t="s">
        <v>122</v>
      </c>
      <c r="D21" s="35"/>
      <c r="E21" s="34"/>
      <c r="F21" s="36">
        <f t="shared" si="0"/>
        <v>57597.749999999993</v>
      </c>
      <c r="G21" s="37">
        <v>143100</v>
      </c>
      <c r="H21" s="37">
        <f t="shared" si="1"/>
        <v>164565</v>
      </c>
      <c r="I21" s="34" t="s">
        <v>110</v>
      </c>
    </row>
    <row r="22" spans="1:9" x14ac:dyDescent="0.3">
      <c r="A22" s="111"/>
      <c r="B22" s="113"/>
      <c r="C22" s="34" t="s">
        <v>123</v>
      </c>
      <c r="D22" s="35"/>
      <c r="E22" s="34"/>
      <c r="F22" s="36">
        <f t="shared" si="0"/>
        <v>70638.75</v>
      </c>
      <c r="G22" s="37">
        <v>175500</v>
      </c>
      <c r="H22" s="37">
        <f t="shared" si="1"/>
        <v>201825</v>
      </c>
      <c r="I22" s="34" t="s">
        <v>110</v>
      </c>
    </row>
    <row r="23" spans="1:9" x14ac:dyDescent="0.3">
      <c r="A23" s="111"/>
      <c r="B23" s="113"/>
      <c r="C23" s="34" t="s">
        <v>124</v>
      </c>
      <c r="D23" s="35"/>
      <c r="E23" s="34"/>
      <c r="F23" s="36">
        <f t="shared" si="0"/>
        <v>80419.5</v>
      </c>
      <c r="G23" s="37">
        <v>199800</v>
      </c>
      <c r="H23" s="37">
        <f t="shared" si="1"/>
        <v>229770</v>
      </c>
      <c r="I23" s="34" t="s">
        <v>110</v>
      </c>
    </row>
    <row r="24" spans="1:9" x14ac:dyDescent="0.3">
      <c r="A24" s="111"/>
      <c r="B24" s="113"/>
      <c r="C24" s="34" t="s">
        <v>125</v>
      </c>
      <c r="D24" s="35"/>
      <c r="E24" s="34"/>
      <c r="F24" s="36">
        <f t="shared" si="0"/>
        <v>43470</v>
      </c>
      <c r="G24" s="37">
        <v>108000</v>
      </c>
      <c r="H24" s="37">
        <f t="shared" si="1"/>
        <v>124200</v>
      </c>
      <c r="I24" s="34" t="s">
        <v>110</v>
      </c>
    </row>
    <row r="25" spans="1:9" x14ac:dyDescent="0.3">
      <c r="A25" s="111"/>
      <c r="B25" s="113"/>
      <c r="C25" s="34" t="s">
        <v>126</v>
      </c>
      <c r="D25" s="35"/>
      <c r="E25" s="34"/>
      <c r="F25" s="36">
        <f t="shared" si="0"/>
        <v>53975.25</v>
      </c>
      <c r="G25" s="37">
        <v>134100</v>
      </c>
      <c r="H25" s="37">
        <f t="shared" si="1"/>
        <v>154215</v>
      </c>
      <c r="I25" s="34" t="s">
        <v>110</v>
      </c>
    </row>
    <row r="26" spans="1:9" x14ac:dyDescent="0.3">
      <c r="A26" s="111"/>
      <c r="B26" s="113"/>
      <c r="C26" s="34" t="s">
        <v>127</v>
      </c>
      <c r="D26" s="35"/>
      <c r="E26" s="34"/>
      <c r="F26" s="36">
        <f t="shared" si="0"/>
        <v>69552</v>
      </c>
      <c r="G26" s="37">
        <v>172800</v>
      </c>
      <c r="H26" s="37">
        <f t="shared" si="1"/>
        <v>198720</v>
      </c>
      <c r="I26" s="34" t="s">
        <v>110</v>
      </c>
    </row>
    <row r="27" spans="1:9" x14ac:dyDescent="0.3">
      <c r="A27" s="111"/>
      <c r="B27" s="113"/>
      <c r="C27" s="34" t="s">
        <v>128</v>
      </c>
      <c r="D27" s="35"/>
      <c r="E27" s="34"/>
      <c r="F27" s="36">
        <f t="shared" si="0"/>
        <v>82230.75</v>
      </c>
      <c r="G27" s="37">
        <v>204300</v>
      </c>
      <c r="H27" s="37">
        <f t="shared" si="1"/>
        <v>234945</v>
      </c>
      <c r="I27" s="34" t="s">
        <v>110</v>
      </c>
    </row>
    <row r="28" spans="1:9" x14ac:dyDescent="0.3">
      <c r="A28" s="111"/>
      <c r="B28" s="113"/>
      <c r="C28" s="34" t="s">
        <v>129</v>
      </c>
      <c r="D28" s="35"/>
      <c r="E28" s="34"/>
      <c r="F28" s="36">
        <f t="shared" si="0"/>
        <v>93460.5</v>
      </c>
      <c r="G28" s="37">
        <v>232200</v>
      </c>
      <c r="H28" s="37">
        <f t="shared" si="1"/>
        <v>267030</v>
      </c>
      <c r="I28" s="34" t="s">
        <v>110</v>
      </c>
    </row>
    <row r="29" spans="1:9" x14ac:dyDescent="0.3">
      <c r="A29" s="111"/>
      <c r="B29" s="113"/>
      <c r="C29" s="34" t="s">
        <v>130</v>
      </c>
      <c r="D29" s="35"/>
      <c r="E29" s="34"/>
      <c r="F29" s="36">
        <f t="shared" si="0"/>
        <v>51439.5</v>
      </c>
      <c r="G29" s="37">
        <v>127800</v>
      </c>
      <c r="H29" s="37">
        <f t="shared" si="1"/>
        <v>146970</v>
      </c>
      <c r="I29" s="34" t="s">
        <v>110</v>
      </c>
    </row>
    <row r="30" spans="1:9" x14ac:dyDescent="0.3">
      <c r="A30" s="111"/>
      <c r="B30" s="113"/>
      <c r="C30" s="34" t="s">
        <v>131</v>
      </c>
      <c r="D30" s="35"/>
      <c r="E30" s="34"/>
      <c r="F30" s="36">
        <f t="shared" si="0"/>
        <v>67016.25</v>
      </c>
      <c r="G30" s="37">
        <v>166500</v>
      </c>
      <c r="H30" s="37">
        <f t="shared" si="1"/>
        <v>191475</v>
      </c>
      <c r="I30" s="34" t="s">
        <v>110</v>
      </c>
    </row>
    <row r="31" spans="1:9" x14ac:dyDescent="0.3">
      <c r="A31" s="111"/>
      <c r="B31" s="113"/>
      <c r="C31" s="34" t="s">
        <v>132</v>
      </c>
      <c r="D31" s="35"/>
      <c r="E31" s="34"/>
      <c r="F31" s="36">
        <f t="shared" si="0"/>
        <v>80781.75</v>
      </c>
      <c r="G31" s="37">
        <v>200700</v>
      </c>
      <c r="H31" s="37">
        <f t="shared" si="1"/>
        <v>230805</v>
      </c>
      <c r="I31" s="34" t="s">
        <v>110</v>
      </c>
    </row>
    <row r="32" spans="1:9" x14ac:dyDescent="0.3">
      <c r="A32" s="111"/>
      <c r="B32" s="113"/>
      <c r="C32" s="34" t="s">
        <v>133</v>
      </c>
      <c r="D32" s="35"/>
      <c r="E32" s="34"/>
      <c r="F32" s="36">
        <f t="shared" si="0"/>
        <v>101067.75</v>
      </c>
      <c r="G32" s="37">
        <v>251100</v>
      </c>
      <c r="H32" s="37">
        <f t="shared" si="1"/>
        <v>288765</v>
      </c>
      <c r="I32" s="34" t="s">
        <v>110</v>
      </c>
    </row>
    <row r="33" spans="1:9" x14ac:dyDescent="0.3">
      <c r="A33" s="111"/>
      <c r="B33" s="113"/>
      <c r="C33" s="34" t="s">
        <v>134</v>
      </c>
      <c r="D33" s="35"/>
      <c r="E33" s="34"/>
      <c r="F33" s="36">
        <f t="shared" si="0"/>
        <v>68827.5</v>
      </c>
      <c r="G33" s="37">
        <v>171000</v>
      </c>
      <c r="H33" s="37">
        <f t="shared" si="1"/>
        <v>196650</v>
      </c>
      <c r="I33" s="34" t="s">
        <v>110</v>
      </c>
    </row>
    <row r="34" spans="1:9" x14ac:dyDescent="0.3">
      <c r="A34" s="111"/>
      <c r="B34" s="113"/>
      <c r="C34" s="34" t="s">
        <v>135</v>
      </c>
      <c r="D34" s="35"/>
      <c r="E34" s="34"/>
      <c r="F34" s="36">
        <f t="shared" si="0"/>
        <v>84766.5</v>
      </c>
      <c r="G34" s="37">
        <v>210600</v>
      </c>
      <c r="H34" s="37">
        <f t="shared" si="1"/>
        <v>242190</v>
      </c>
      <c r="I34" s="34" t="s">
        <v>110</v>
      </c>
    </row>
    <row r="35" spans="1:9" x14ac:dyDescent="0.3">
      <c r="A35" s="111"/>
      <c r="B35" s="113"/>
      <c r="C35" s="34" t="s">
        <v>136</v>
      </c>
      <c r="D35" s="35"/>
      <c r="E35" s="34"/>
      <c r="F35" s="36">
        <f t="shared" si="0"/>
        <v>105777</v>
      </c>
      <c r="G35" s="37">
        <v>262800</v>
      </c>
      <c r="H35" s="37">
        <f t="shared" si="1"/>
        <v>302220</v>
      </c>
      <c r="I35" s="34" t="s">
        <v>110</v>
      </c>
    </row>
    <row r="36" spans="1:9" x14ac:dyDescent="0.3">
      <c r="A36" s="111"/>
      <c r="B36" s="113"/>
      <c r="C36" s="34" t="s">
        <v>137</v>
      </c>
      <c r="D36" s="35"/>
      <c r="E36" s="34"/>
      <c r="F36" s="36">
        <f t="shared" si="0"/>
        <v>131134.5</v>
      </c>
      <c r="G36" s="37">
        <v>325800</v>
      </c>
      <c r="H36" s="37">
        <f t="shared" si="1"/>
        <v>374670</v>
      </c>
      <c r="I36" s="34" t="s">
        <v>110</v>
      </c>
    </row>
    <row r="37" spans="1:9" x14ac:dyDescent="0.3">
      <c r="A37" s="111"/>
      <c r="B37" s="113"/>
      <c r="C37" s="34" t="s">
        <v>138</v>
      </c>
      <c r="D37" s="35"/>
      <c r="E37" s="34"/>
      <c r="F37" s="36">
        <f t="shared" si="0"/>
        <v>99618.75</v>
      </c>
      <c r="G37" s="37">
        <v>247500</v>
      </c>
      <c r="H37" s="37">
        <f t="shared" si="1"/>
        <v>284625</v>
      </c>
      <c r="I37" s="34" t="s">
        <v>110</v>
      </c>
    </row>
    <row r="38" spans="1:9" x14ac:dyDescent="0.3">
      <c r="A38" s="111"/>
      <c r="B38" s="113"/>
      <c r="C38" s="34" t="s">
        <v>139</v>
      </c>
      <c r="D38" s="35"/>
      <c r="E38" s="34"/>
      <c r="F38" s="36">
        <f t="shared" si="0"/>
        <v>126425.24999999999</v>
      </c>
      <c r="G38" s="37">
        <v>314100</v>
      </c>
      <c r="H38" s="37">
        <f t="shared" si="1"/>
        <v>361215</v>
      </c>
      <c r="I38" s="34" t="s">
        <v>110</v>
      </c>
    </row>
    <row r="39" spans="1:9" x14ac:dyDescent="0.3">
      <c r="A39" s="111"/>
      <c r="B39" s="113"/>
      <c r="C39" s="34" t="s">
        <v>140</v>
      </c>
      <c r="D39" s="35"/>
      <c r="E39" s="34"/>
      <c r="F39" s="36">
        <f t="shared" si="0"/>
        <v>163374.75</v>
      </c>
      <c r="G39" s="37">
        <v>405900</v>
      </c>
      <c r="H39" s="37">
        <f t="shared" si="1"/>
        <v>466785</v>
      </c>
      <c r="I39" s="34" t="s">
        <v>110</v>
      </c>
    </row>
    <row r="40" spans="1:9" x14ac:dyDescent="0.3">
      <c r="A40" s="111"/>
      <c r="B40" s="113"/>
      <c r="C40" s="34" t="s">
        <v>141</v>
      </c>
      <c r="D40" s="35"/>
      <c r="E40" s="34"/>
      <c r="F40" s="36">
        <f t="shared" si="0"/>
        <v>127874.24999999999</v>
      </c>
      <c r="G40" s="37">
        <v>317700</v>
      </c>
      <c r="H40" s="37">
        <f t="shared" si="1"/>
        <v>365355</v>
      </c>
      <c r="I40" s="34" t="s">
        <v>110</v>
      </c>
    </row>
    <row r="41" spans="1:9" x14ac:dyDescent="0.3">
      <c r="A41" s="111"/>
      <c r="B41" s="113"/>
      <c r="C41" s="34" t="s">
        <v>142</v>
      </c>
      <c r="D41" s="35"/>
      <c r="E41" s="34"/>
      <c r="F41" s="36">
        <f t="shared" si="0"/>
        <v>156492</v>
      </c>
      <c r="G41" s="37">
        <v>388800</v>
      </c>
      <c r="H41" s="37">
        <f t="shared" si="1"/>
        <v>447120</v>
      </c>
      <c r="I41" s="34" t="s">
        <v>110</v>
      </c>
    </row>
    <row r="42" spans="1:9" x14ac:dyDescent="0.3">
      <c r="A42" s="111"/>
      <c r="B42" s="113"/>
      <c r="C42" s="34" t="s">
        <v>143</v>
      </c>
      <c r="D42" s="35"/>
      <c r="E42" s="34"/>
      <c r="F42" s="36">
        <f t="shared" si="0"/>
        <v>200686.5</v>
      </c>
      <c r="G42" s="37">
        <v>498600</v>
      </c>
      <c r="H42" s="37">
        <f t="shared" si="1"/>
        <v>573390</v>
      </c>
      <c r="I42" s="34" t="s">
        <v>110</v>
      </c>
    </row>
    <row r="43" spans="1:9" x14ac:dyDescent="0.3">
      <c r="A43" s="111"/>
      <c r="B43" s="113"/>
      <c r="C43" s="34" t="s">
        <v>144</v>
      </c>
      <c r="D43" s="35"/>
      <c r="E43" s="34"/>
      <c r="F43" s="36">
        <f t="shared" si="0"/>
        <v>280743.75</v>
      </c>
      <c r="G43" s="37">
        <v>697500</v>
      </c>
      <c r="H43" s="37">
        <f t="shared" si="1"/>
        <v>802125</v>
      </c>
      <c r="I43" s="34" t="s">
        <v>110</v>
      </c>
    </row>
    <row r="44" spans="1:9" ht="15.6" x14ac:dyDescent="0.3">
      <c r="A44" s="111"/>
      <c r="B44" s="114" t="s">
        <v>48</v>
      </c>
      <c r="C44" s="38" t="s">
        <v>145</v>
      </c>
      <c r="D44" s="39">
        <v>4642</v>
      </c>
      <c r="E44" s="37">
        <v>19000</v>
      </c>
      <c r="F44" s="36">
        <f t="shared" si="0"/>
        <v>35499.695</v>
      </c>
      <c r="G44" s="37">
        <v>88198</v>
      </c>
      <c r="H44" s="37">
        <f t="shared" si="1"/>
        <v>101427.7</v>
      </c>
      <c r="I44" s="34" t="s">
        <v>110</v>
      </c>
    </row>
    <row r="45" spans="1:9" ht="15.6" x14ac:dyDescent="0.3">
      <c r="A45" s="111"/>
      <c r="B45" s="115"/>
      <c r="C45" s="38" t="s">
        <v>146</v>
      </c>
      <c r="D45" s="38">
        <v>9.36</v>
      </c>
      <c r="E45" s="37">
        <v>19000</v>
      </c>
      <c r="F45" s="36">
        <f t="shared" si="0"/>
        <v>71580.599999999991</v>
      </c>
      <c r="G45" s="37">
        <v>177840</v>
      </c>
      <c r="H45" s="37">
        <f t="shared" si="1"/>
        <v>204516</v>
      </c>
      <c r="I45" s="34" t="s">
        <v>110</v>
      </c>
    </row>
    <row r="46" spans="1:9" ht="15.6" x14ac:dyDescent="0.3">
      <c r="A46" s="111"/>
      <c r="B46" s="115"/>
      <c r="C46" s="38" t="s">
        <v>147</v>
      </c>
      <c r="D46" s="38">
        <v>11.46</v>
      </c>
      <c r="E46" s="37">
        <v>19000</v>
      </c>
      <c r="F46" s="36">
        <f t="shared" si="0"/>
        <v>87640.349999999991</v>
      </c>
      <c r="G46" s="37">
        <v>217740</v>
      </c>
      <c r="H46" s="37">
        <f t="shared" si="1"/>
        <v>250401</v>
      </c>
      <c r="I46" s="34" t="s">
        <v>110</v>
      </c>
    </row>
    <row r="47" spans="1:9" ht="15.6" x14ac:dyDescent="0.3">
      <c r="A47" s="111"/>
      <c r="B47" s="115"/>
      <c r="C47" s="38" t="s">
        <v>148</v>
      </c>
      <c r="D47" s="38">
        <v>13.56</v>
      </c>
      <c r="E47" s="37">
        <v>19000</v>
      </c>
      <c r="F47" s="36">
        <f t="shared" si="0"/>
        <v>103700.09999999999</v>
      </c>
      <c r="G47" s="37">
        <v>257640</v>
      </c>
      <c r="H47" s="37">
        <f t="shared" si="1"/>
        <v>296286</v>
      </c>
      <c r="I47" s="34" t="s">
        <v>110</v>
      </c>
    </row>
    <row r="48" spans="1:9" ht="15.6" x14ac:dyDescent="0.3">
      <c r="A48" s="111"/>
      <c r="B48" s="116"/>
      <c r="C48" s="38" t="s">
        <v>149</v>
      </c>
      <c r="D48" s="38">
        <v>16.98</v>
      </c>
      <c r="E48" s="37">
        <v>19000</v>
      </c>
      <c r="F48" s="36">
        <f t="shared" si="0"/>
        <v>129854.54999999999</v>
      </c>
      <c r="G48" s="37">
        <v>322620</v>
      </c>
      <c r="H48" s="37">
        <f t="shared" si="1"/>
        <v>371013</v>
      </c>
      <c r="I48" s="34" t="s">
        <v>110</v>
      </c>
    </row>
    <row r="49" spans="1:9" ht="15.6" x14ac:dyDescent="0.3">
      <c r="A49" s="111"/>
      <c r="B49" s="114" t="s">
        <v>49</v>
      </c>
      <c r="C49" s="38" t="s">
        <v>150</v>
      </c>
      <c r="D49" s="40">
        <v>80.459999999999994</v>
      </c>
      <c r="E49" s="37">
        <v>14591</v>
      </c>
      <c r="F49" s="36">
        <f t="shared" si="0"/>
        <v>472531.77999999997</v>
      </c>
      <c r="G49" s="37">
        <v>1173992</v>
      </c>
      <c r="H49" s="37">
        <f t="shared" si="1"/>
        <v>1350090.8</v>
      </c>
      <c r="I49" s="34" t="s">
        <v>110</v>
      </c>
    </row>
    <row r="50" spans="1:9" ht="15.6" x14ac:dyDescent="0.3">
      <c r="A50" s="111"/>
      <c r="B50" s="115"/>
      <c r="C50" s="38" t="s">
        <v>151</v>
      </c>
      <c r="D50" s="38">
        <v>130.62</v>
      </c>
      <c r="E50" s="37">
        <v>14591</v>
      </c>
      <c r="F50" s="36">
        <f t="shared" si="0"/>
        <v>767115.09</v>
      </c>
      <c r="G50" s="37">
        <v>1905876</v>
      </c>
      <c r="H50" s="37">
        <f t="shared" si="1"/>
        <v>2191757.4</v>
      </c>
      <c r="I50" s="34" t="s">
        <v>110</v>
      </c>
    </row>
    <row r="51" spans="1:9" ht="15.6" x14ac:dyDescent="0.3">
      <c r="A51" s="112"/>
      <c r="B51" s="116"/>
      <c r="C51" s="38" t="s">
        <v>152</v>
      </c>
      <c r="D51" s="41">
        <v>250.5</v>
      </c>
      <c r="E51" s="37">
        <v>14591</v>
      </c>
      <c r="F51" s="36">
        <f t="shared" si="0"/>
        <v>1471156.0150000001</v>
      </c>
      <c r="G51" s="37">
        <v>3655046</v>
      </c>
      <c r="H51" s="37">
        <f t="shared" si="1"/>
        <v>4203302.9000000004</v>
      </c>
      <c r="I51" s="34" t="s">
        <v>110</v>
      </c>
    </row>
    <row r="52" spans="1:9" ht="15.6" x14ac:dyDescent="0.3">
      <c r="A52" s="107" t="s">
        <v>153</v>
      </c>
      <c r="B52" s="42" t="s">
        <v>50</v>
      </c>
      <c r="C52" s="38" t="s">
        <v>154</v>
      </c>
      <c r="D52" s="43"/>
      <c r="E52" s="37"/>
      <c r="F52" s="36">
        <f t="shared" si="0"/>
        <v>28577.5</v>
      </c>
      <c r="G52" s="37">
        <v>71000</v>
      </c>
      <c r="H52" s="37">
        <f t="shared" si="1"/>
        <v>81650</v>
      </c>
      <c r="I52" s="34" t="s">
        <v>155</v>
      </c>
    </row>
    <row r="53" spans="1:9" ht="15.6" x14ac:dyDescent="0.3">
      <c r="A53" s="108"/>
      <c r="B53" s="42" t="s">
        <v>156</v>
      </c>
      <c r="D53" s="43"/>
      <c r="E53" s="27"/>
      <c r="F53" s="36">
        <f t="shared" si="0"/>
        <v>56350</v>
      </c>
      <c r="G53" s="37">
        <v>140000</v>
      </c>
      <c r="H53" s="37">
        <f t="shared" si="1"/>
        <v>161000</v>
      </c>
      <c r="I53" s="34" t="s">
        <v>157</v>
      </c>
    </row>
    <row r="54" spans="1:9" ht="15.6" x14ac:dyDescent="0.3">
      <c r="A54" s="42" t="s">
        <v>158</v>
      </c>
      <c r="B54" s="42"/>
      <c r="C54" s="27"/>
      <c r="D54" s="43"/>
      <c r="E54" s="27"/>
      <c r="F54" s="36"/>
      <c r="G54" s="27"/>
      <c r="H54" s="37"/>
      <c r="I54" s="27"/>
    </row>
    <row r="55" spans="1:9" x14ac:dyDescent="0.3">
      <c r="A55" s="42" t="s">
        <v>159</v>
      </c>
      <c r="B55" s="42"/>
      <c r="C55" s="27"/>
      <c r="D55" s="27"/>
      <c r="E55" s="27"/>
      <c r="F55" s="36"/>
      <c r="G55" s="27"/>
      <c r="H55" s="37"/>
      <c r="I55" s="27"/>
    </row>
    <row r="56" spans="1:9" x14ac:dyDescent="0.3">
      <c r="A56" s="34"/>
      <c r="B56" s="34" t="s">
        <v>160</v>
      </c>
      <c r="C56" s="27"/>
      <c r="D56" s="27"/>
      <c r="E56" s="27"/>
      <c r="F56" s="36"/>
      <c r="G56" s="27"/>
      <c r="H56" s="37"/>
      <c r="I56" s="27"/>
    </row>
    <row r="57" spans="1:9" x14ac:dyDescent="0.3">
      <c r="A57" s="34"/>
      <c r="B57" s="34" t="s">
        <v>53</v>
      </c>
      <c r="C57" s="27"/>
      <c r="D57" s="27"/>
      <c r="E57" s="27"/>
      <c r="F57" s="36"/>
      <c r="G57" s="27"/>
      <c r="H57" s="37"/>
      <c r="I57" s="27"/>
    </row>
  </sheetData>
  <mergeCells count="7">
    <mergeCell ref="A52:A53"/>
    <mergeCell ref="A1:I1"/>
    <mergeCell ref="A3:A8"/>
    <mergeCell ref="A9:A51"/>
    <mergeCell ref="B9:B43"/>
    <mergeCell ref="B44:B48"/>
    <mergeCell ref="B49:B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9AE3-EEFA-4B9B-97A5-D2B6FEFC068B}">
  <dimension ref="A1:O31"/>
  <sheetViews>
    <sheetView zoomScale="70" zoomScaleNormal="70" workbookViewId="0">
      <selection activeCell="M28" sqref="M28"/>
    </sheetView>
  </sheetViews>
  <sheetFormatPr defaultRowHeight="14.4" x14ac:dyDescent="0.3"/>
  <cols>
    <col min="1" max="1" width="29" bestFit="1" customWidth="1"/>
    <col min="2" max="2" width="25.44140625" bestFit="1" customWidth="1"/>
    <col min="3" max="15" width="13.33203125" bestFit="1" customWidth="1"/>
  </cols>
  <sheetData>
    <row r="1" spans="1:15" x14ac:dyDescent="0.3">
      <c r="A1" s="120" t="s">
        <v>40</v>
      </c>
      <c r="B1" s="121"/>
      <c r="C1" s="44">
        <v>752000</v>
      </c>
      <c r="D1" s="44">
        <v>760000</v>
      </c>
      <c r="E1" s="44">
        <v>774000</v>
      </c>
      <c r="F1" s="44">
        <v>786000</v>
      </c>
      <c r="G1" s="44">
        <v>782000</v>
      </c>
      <c r="H1" s="44">
        <v>774000</v>
      </c>
      <c r="I1" s="44">
        <v>764000</v>
      </c>
      <c r="J1" s="44">
        <v>729000</v>
      </c>
      <c r="K1" s="44">
        <v>692600</v>
      </c>
      <c r="L1" s="44">
        <v>686600</v>
      </c>
      <c r="M1" s="44">
        <v>658600</v>
      </c>
      <c r="N1" s="44">
        <v>638200</v>
      </c>
      <c r="O1" s="27"/>
    </row>
    <row r="2" spans="1:15" x14ac:dyDescent="0.3">
      <c r="A2" s="117" t="s">
        <v>41</v>
      </c>
      <c r="B2" s="34" t="s">
        <v>42</v>
      </c>
      <c r="C2" s="70">
        <v>9.7206187947356276E-2</v>
      </c>
      <c r="D2" s="70">
        <v>6.5639918163218916E-2</v>
      </c>
      <c r="E2" s="70">
        <v>0.10879190385831752</v>
      </c>
      <c r="F2" s="70">
        <v>9.1485507246376815E-2</v>
      </c>
      <c r="G2" s="70">
        <v>5.6578104993597951E-2</v>
      </c>
      <c r="H2" s="70">
        <v>2.6094276094276093E-2</v>
      </c>
      <c r="I2" s="70">
        <v>1.1169735069600359E-2</v>
      </c>
      <c r="J2" s="70">
        <v>5.0123712985872773E-2</v>
      </c>
      <c r="K2" s="70">
        <v>7.3365231259968106E-2</v>
      </c>
      <c r="L2" s="70">
        <v>7.199032062915911E-2</v>
      </c>
      <c r="M2" s="70">
        <v>8.4633247513756366E-2</v>
      </c>
      <c r="N2" s="70">
        <v>0.10222222222222221</v>
      </c>
      <c r="O2" s="27"/>
    </row>
    <row r="3" spans="1:15" x14ac:dyDescent="0.3">
      <c r="A3" s="118"/>
      <c r="B3" s="34" t="s">
        <v>43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27"/>
    </row>
    <row r="4" spans="1:15" x14ac:dyDescent="0.3">
      <c r="A4" s="118"/>
      <c r="B4" s="34" t="s">
        <v>44</v>
      </c>
      <c r="C4" s="70">
        <v>0.35049642114984991</v>
      </c>
      <c r="D4" s="70">
        <v>0.33928165492157314</v>
      </c>
      <c r="E4" s="70">
        <v>0.27893738140417457</v>
      </c>
      <c r="F4" s="70">
        <v>0.32065217391304346</v>
      </c>
      <c r="G4" s="70">
        <v>0.28999279769526248</v>
      </c>
      <c r="H4" s="70">
        <v>0.35521885521885521</v>
      </c>
      <c r="I4" s="70">
        <v>0.28446340368208356</v>
      </c>
      <c r="J4" s="70">
        <v>0.3843084045015564</v>
      </c>
      <c r="K4" s="70">
        <v>0.2982456140350877</v>
      </c>
      <c r="L4" s="70">
        <v>0.33424077434966726</v>
      </c>
      <c r="M4" s="70">
        <v>0.32709879347771215</v>
      </c>
      <c r="N4" s="70">
        <v>0.2583333333333333</v>
      </c>
      <c r="O4" s="27"/>
    </row>
    <row r="5" spans="1:15" x14ac:dyDescent="0.3">
      <c r="A5" s="118"/>
      <c r="B5" s="34" t="s">
        <v>45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27"/>
    </row>
    <row r="6" spans="1:15" x14ac:dyDescent="0.3">
      <c r="A6" s="118"/>
      <c r="B6" s="34" t="s">
        <v>46</v>
      </c>
      <c r="C6" s="70">
        <v>0.42334333872084967</v>
      </c>
      <c r="D6" s="70">
        <v>0.45032962036826552</v>
      </c>
      <c r="E6" s="70">
        <v>0.50948766603415563</v>
      </c>
      <c r="F6" s="70">
        <v>0.47989130434782612</v>
      </c>
      <c r="G6" s="70">
        <v>0.53032970550576186</v>
      </c>
      <c r="H6" s="70">
        <v>0.46885521885521886</v>
      </c>
      <c r="I6" s="70">
        <v>0.56948810058374488</v>
      </c>
      <c r="J6" s="70">
        <v>0.4323369782105515</v>
      </c>
      <c r="K6" s="70">
        <v>0.47926634768740028</v>
      </c>
      <c r="L6" s="70">
        <v>0.43708408953418032</v>
      </c>
      <c r="M6" s="70">
        <v>0.42119743550911204</v>
      </c>
      <c r="N6" s="70">
        <v>0.49638888888888888</v>
      </c>
      <c r="O6" s="27"/>
    </row>
    <row r="7" spans="1:15" x14ac:dyDescent="0.3">
      <c r="A7" s="118"/>
      <c r="B7" s="34"/>
      <c r="C7" s="70">
        <v>0</v>
      </c>
      <c r="D7" s="70">
        <v>0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27"/>
    </row>
    <row r="8" spans="1:15" x14ac:dyDescent="0.3">
      <c r="A8" s="118"/>
      <c r="B8" s="34" t="s">
        <v>47</v>
      </c>
      <c r="C8" s="70">
        <v>7.6194874163010851E-2</v>
      </c>
      <c r="D8" s="70">
        <v>0.10479654466924301</v>
      </c>
      <c r="E8" s="70">
        <v>6.7046173308032891E-2</v>
      </c>
      <c r="F8" s="70">
        <v>7.3731884057971014E-2</v>
      </c>
      <c r="G8" s="70">
        <v>8.7708066581306018E-2</v>
      </c>
      <c r="H8" s="70">
        <v>9.7643097643097643E-2</v>
      </c>
      <c r="I8" s="70">
        <v>9.0199820386169735E-2</v>
      </c>
      <c r="J8" s="70">
        <v>8.4104876686088265E-2</v>
      </c>
      <c r="K8" s="70">
        <v>8.6921850079744817E-2</v>
      </c>
      <c r="L8" s="70">
        <v>9.8608590441621291E-2</v>
      </c>
      <c r="M8" s="70">
        <v>9.6016961986975624E-2</v>
      </c>
      <c r="N8" s="70">
        <v>9.555555555555556E-2</v>
      </c>
      <c r="O8" s="27"/>
    </row>
    <row r="9" spans="1:15" x14ac:dyDescent="0.3">
      <c r="A9" s="118"/>
      <c r="B9" s="34" t="s">
        <v>48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27"/>
    </row>
    <row r="10" spans="1:15" x14ac:dyDescent="0.3">
      <c r="A10" s="118"/>
      <c r="B10" s="34" t="s">
        <v>49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27"/>
    </row>
    <row r="11" spans="1:15" x14ac:dyDescent="0.3">
      <c r="A11" s="119"/>
      <c r="B11" s="34" t="s">
        <v>50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27"/>
    </row>
    <row r="12" spans="1:15" x14ac:dyDescent="0.3">
      <c r="A12" s="34"/>
      <c r="B12" s="3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3">
      <c r="A13" s="117" t="s">
        <v>51</v>
      </c>
      <c r="B13" s="34"/>
      <c r="C13" s="28" t="s">
        <v>56</v>
      </c>
      <c r="D13" s="28" t="s">
        <v>57</v>
      </c>
      <c r="E13" s="28" t="s">
        <v>58</v>
      </c>
      <c r="F13" s="28" t="s">
        <v>59</v>
      </c>
      <c r="G13" s="28" t="s">
        <v>60</v>
      </c>
      <c r="H13" s="28" t="s">
        <v>61</v>
      </c>
      <c r="I13" s="28" t="s">
        <v>62</v>
      </c>
      <c r="J13" s="28" t="s">
        <v>63</v>
      </c>
      <c r="K13" s="28" t="s">
        <v>64</v>
      </c>
      <c r="L13" s="28" t="s">
        <v>65</v>
      </c>
      <c r="M13" s="28" t="s">
        <v>66</v>
      </c>
      <c r="N13" s="28" t="s">
        <v>67</v>
      </c>
      <c r="O13" s="27" t="s">
        <v>52</v>
      </c>
    </row>
    <row r="14" spans="1:15" x14ac:dyDescent="0.3">
      <c r="A14" s="118"/>
      <c r="B14" s="34" t="s">
        <v>42</v>
      </c>
      <c r="C14" s="44">
        <v>73099.053336411918</v>
      </c>
      <c r="D14" s="44">
        <v>49886.337804046379</v>
      </c>
      <c r="E14" s="44">
        <v>84204.933586337764</v>
      </c>
      <c r="F14" s="44">
        <v>71907.608695652176</v>
      </c>
      <c r="G14" s="44">
        <v>44244.078104993598</v>
      </c>
      <c r="H14" s="44">
        <v>20196.969696969696</v>
      </c>
      <c r="I14" s="44">
        <v>8533.6775931746743</v>
      </c>
      <c r="J14" s="44">
        <v>36540.186766701248</v>
      </c>
      <c r="K14" s="44">
        <v>50812.75917065391</v>
      </c>
      <c r="L14" s="44">
        <v>49428.554143980647</v>
      </c>
      <c r="M14" s="44">
        <v>55739.45681255994</v>
      </c>
      <c r="N14" s="44">
        <v>65238.222222222219</v>
      </c>
      <c r="O14" s="46">
        <v>609831.83793370414</v>
      </c>
    </row>
    <row r="15" spans="1:15" x14ac:dyDescent="0.3">
      <c r="A15" s="118"/>
      <c r="B15" s="34" t="s">
        <v>43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6">
        <v>0</v>
      </c>
    </row>
    <row r="16" spans="1:15" x14ac:dyDescent="0.3">
      <c r="A16" s="118"/>
      <c r="B16" s="34" t="s">
        <v>44</v>
      </c>
      <c r="C16" s="44">
        <v>263573.30870468711</v>
      </c>
      <c r="D16" s="44">
        <v>257854.0577403956</v>
      </c>
      <c r="E16" s="44">
        <v>215897.53320683111</v>
      </c>
      <c r="F16" s="44">
        <v>252032.60869565216</v>
      </c>
      <c r="G16" s="44">
        <v>226774.36779769527</v>
      </c>
      <c r="H16" s="44">
        <v>274939.39393939392</v>
      </c>
      <c r="I16" s="44">
        <v>217330.04041311183</v>
      </c>
      <c r="J16" s="44">
        <v>280160.8268816346</v>
      </c>
      <c r="K16" s="44">
        <v>206564.91228070174</v>
      </c>
      <c r="L16" s="44">
        <v>229489.71566848154</v>
      </c>
      <c r="M16" s="44">
        <v>215427.26538442122</v>
      </c>
      <c r="N16" s="44">
        <v>164868.33333333331</v>
      </c>
      <c r="O16" s="46">
        <v>2804912.3640463399</v>
      </c>
    </row>
    <row r="17" spans="1:15" x14ac:dyDescent="0.3">
      <c r="A17" s="118"/>
      <c r="B17" s="34" t="s">
        <v>45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v>0</v>
      </c>
    </row>
    <row r="18" spans="1:15" x14ac:dyDescent="0.3">
      <c r="A18" s="118"/>
      <c r="B18" s="34" t="s">
        <v>46</v>
      </c>
      <c r="C18" s="44">
        <v>318354.19071807893</v>
      </c>
      <c r="D18" s="44">
        <v>342250.51147988177</v>
      </c>
      <c r="E18" s="44">
        <v>394343.45351043646</v>
      </c>
      <c r="F18" s="44">
        <v>377194.56521739135</v>
      </c>
      <c r="G18" s="44">
        <v>414717.82970550575</v>
      </c>
      <c r="H18" s="44">
        <v>362893.93939393939</v>
      </c>
      <c r="I18" s="44">
        <v>435088.90884598112</v>
      </c>
      <c r="J18" s="44">
        <v>315173.65711549204</v>
      </c>
      <c r="K18" s="44">
        <v>331939.87240829342</v>
      </c>
      <c r="L18" s="44">
        <v>300101.93587416818</v>
      </c>
      <c r="M18" s="44">
        <v>277400.63102630118</v>
      </c>
      <c r="N18" s="44">
        <v>316795.38888888888</v>
      </c>
      <c r="O18" s="46">
        <v>4186254.8841843586</v>
      </c>
    </row>
    <row r="19" spans="1:15" x14ac:dyDescent="0.3">
      <c r="A19" s="118"/>
      <c r="B19" s="34"/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6">
        <v>0</v>
      </c>
    </row>
    <row r="20" spans="1:15" x14ac:dyDescent="0.3">
      <c r="A20" s="118"/>
      <c r="B20" s="34" t="s">
        <v>47</v>
      </c>
      <c r="C20" s="44">
        <v>57298.545370584157</v>
      </c>
      <c r="D20" s="44">
        <v>79645.373948624692</v>
      </c>
      <c r="E20" s="44">
        <v>51893.738140417459</v>
      </c>
      <c r="F20" s="44">
        <v>57953.260869565216</v>
      </c>
      <c r="G20" s="44">
        <v>68587.708066581312</v>
      </c>
      <c r="H20" s="44">
        <v>75575.757575757569</v>
      </c>
      <c r="I20" s="44">
        <v>68912.662775033677</v>
      </c>
      <c r="J20" s="44">
        <v>61312.455104158347</v>
      </c>
      <c r="K20" s="44">
        <v>60202.073365231263</v>
      </c>
      <c r="L20" s="44">
        <v>67704.658197217184</v>
      </c>
      <c r="M20" s="44">
        <v>63236.771164622143</v>
      </c>
      <c r="N20" s="44">
        <v>60983.555555555562</v>
      </c>
      <c r="O20" s="46">
        <v>773306.56013334868</v>
      </c>
    </row>
    <row r="21" spans="1:15" x14ac:dyDescent="0.3">
      <c r="A21" s="118"/>
      <c r="B21" s="34" t="s">
        <v>48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6">
        <v>0</v>
      </c>
    </row>
    <row r="22" spans="1:15" x14ac:dyDescent="0.3">
      <c r="A22" s="118"/>
      <c r="B22" s="34" t="s">
        <v>49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6">
        <v>0</v>
      </c>
    </row>
    <row r="23" spans="1:15" x14ac:dyDescent="0.3">
      <c r="A23" s="118"/>
      <c r="B23" s="34" t="s">
        <v>50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6">
        <v>0</v>
      </c>
    </row>
    <row r="24" spans="1:15" x14ac:dyDescent="0.3">
      <c r="A24" s="118"/>
      <c r="B24" s="34" t="s">
        <v>52</v>
      </c>
      <c r="C24" s="44">
        <v>712325.0981297621</v>
      </c>
      <c r="D24" s="44">
        <v>729636.28097294841</v>
      </c>
      <c r="E24" s="44">
        <v>746339.65844402276</v>
      </c>
      <c r="F24" s="44">
        <v>759088.04347826086</v>
      </c>
      <c r="G24" s="44">
        <v>754323.98367477593</v>
      </c>
      <c r="H24" s="44">
        <v>733606.06060606055</v>
      </c>
      <c r="I24" s="44">
        <v>729865.28962730127</v>
      </c>
      <c r="J24" s="44">
        <v>693187.12586798624</v>
      </c>
      <c r="K24" s="44">
        <v>649519.61722488038</v>
      </c>
      <c r="L24" s="44">
        <v>646724.8638838476</v>
      </c>
      <c r="M24" s="44">
        <v>611804.12438790454</v>
      </c>
      <c r="N24" s="44">
        <v>607885.5</v>
      </c>
      <c r="O24" s="44"/>
    </row>
    <row r="25" spans="1:15" x14ac:dyDescent="0.3">
      <c r="A25" s="119"/>
      <c r="B25" s="34" t="s">
        <v>53</v>
      </c>
      <c r="C25" s="44">
        <v>178081.27453244053</v>
      </c>
      <c r="D25" s="44">
        <v>182409.0702432371</v>
      </c>
      <c r="E25" s="44">
        <v>186584.91461100569</v>
      </c>
      <c r="F25" s="44">
        <v>189772.01086956522</v>
      </c>
      <c r="G25" s="44">
        <v>188580.99591869398</v>
      </c>
      <c r="H25" s="44">
        <v>183401.51515151514</v>
      </c>
      <c r="I25" s="44">
        <v>182466.32240682532</v>
      </c>
      <c r="J25" s="44">
        <v>173296.78146699656</v>
      </c>
      <c r="K25" s="44">
        <v>162379.90430622009</v>
      </c>
      <c r="L25" s="44">
        <v>161681.2159709619</v>
      </c>
      <c r="M25" s="44">
        <v>152951.03109697613</v>
      </c>
      <c r="N25" s="44">
        <v>151971.375</v>
      </c>
      <c r="O25" s="44"/>
    </row>
    <row r="27" spans="1:15" x14ac:dyDescent="0.3">
      <c r="E27" t="s">
        <v>42</v>
      </c>
      <c r="F27" t="s">
        <v>71</v>
      </c>
    </row>
    <row r="28" spans="1:15" x14ac:dyDescent="0.3">
      <c r="A28" s="24" t="s">
        <v>54</v>
      </c>
      <c r="B28" s="25">
        <f>10000*23500</f>
        <v>235000000</v>
      </c>
      <c r="D28" t="s">
        <v>53</v>
      </c>
      <c r="E28" s="77">
        <f>AVERAGE(C14:N14)</f>
        <v>50819.319827808678</v>
      </c>
      <c r="F28">
        <v>1</v>
      </c>
    </row>
    <row r="29" spans="1:15" x14ac:dyDescent="0.3">
      <c r="A29" s="24" t="s">
        <v>6</v>
      </c>
      <c r="B29" s="26">
        <v>0.25</v>
      </c>
      <c r="C29">
        <f>B29/12</f>
        <v>2.0833333333333332E-2</v>
      </c>
      <c r="D29" t="s">
        <v>69</v>
      </c>
      <c r="E29">
        <f>VAR(C14:N14)</f>
        <v>478504562.90342158</v>
      </c>
      <c r="F29">
        <f>10/30</f>
        <v>0.33333333333333331</v>
      </c>
    </row>
    <row r="30" spans="1:15" x14ac:dyDescent="0.3">
      <c r="A30" s="30" t="s">
        <v>72</v>
      </c>
      <c r="B30" s="25">
        <f>'[1]Biểu giá'!$F$3</f>
        <v>5107725</v>
      </c>
      <c r="D30" t="s">
        <v>70</v>
      </c>
      <c r="E30">
        <f>STDEV(C14:N14)</f>
        <v>21874.747150616888</v>
      </c>
    </row>
    <row r="31" spans="1:15" x14ac:dyDescent="0.3">
      <c r="A31" s="30" t="s">
        <v>73</v>
      </c>
      <c r="B31" s="25">
        <f>B30*B29</f>
        <v>1276931.25</v>
      </c>
    </row>
  </sheetData>
  <mergeCells count="3">
    <mergeCell ref="A2:A11"/>
    <mergeCell ref="A13:A25"/>
    <mergeCell ref="A1:B1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E76E-171E-4AC3-A41C-2287D1AE2F15}">
  <dimension ref="A7"/>
  <sheetViews>
    <sheetView zoomScale="160" zoomScaleNormal="160" workbookViewId="0">
      <selection activeCell="K8" sqref="K8"/>
    </sheetView>
  </sheetViews>
  <sheetFormatPr defaultRowHeight="14.4" x14ac:dyDescent="0.3"/>
  <sheetData>
    <row r="7" spans="1:1" x14ac:dyDescent="0.3">
      <c r="A7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C085-8B3C-40C2-AEFB-879D3843B9D6}">
  <dimension ref="A1:U57"/>
  <sheetViews>
    <sheetView zoomScale="82" zoomScaleNormal="115" workbookViewId="0">
      <selection activeCell="N18" sqref="N18"/>
    </sheetView>
  </sheetViews>
  <sheetFormatPr defaultRowHeight="14.4" x14ac:dyDescent="0.3"/>
  <cols>
    <col min="2" max="2" width="13.77734375" bestFit="1" customWidth="1"/>
    <col min="9" max="9" width="8.77734375" style="23"/>
    <col min="10" max="10" width="38.77734375" customWidth="1"/>
    <col min="11" max="11" width="13.109375" customWidth="1"/>
    <col min="12" max="12" width="12.5546875" bestFit="1" customWidth="1"/>
    <col min="13" max="13" width="12.88671875" customWidth="1"/>
    <col min="14" max="14" width="13.21875" customWidth="1"/>
    <col min="15" max="15" width="11.5546875" customWidth="1"/>
  </cols>
  <sheetData>
    <row r="1" spans="1:21" x14ac:dyDescent="0.3">
      <c r="K1">
        <f>24*(1/12)</f>
        <v>2</v>
      </c>
      <c r="L1" t="s">
        <v>1</v>
      </c>
      <c r="M1" s="2" t="s">
        <v>2</v>
      </c>
    </row>
    <row r="3" spans="1:21" x14ac:dyDescent="0.3">
      <c r="J3" s="27" t="s">
        <v>326</v>
      </c>
      <c r="K3" s="27" t="s">
        <v>42</v>
      </c>
      <c r="L3" s="27" t="s">
        <v>171</v>
      </c>
      <c r="M3" s="27" t="s">
        <v>46</v>
      </c>
      <c r="N3" s="27" t="s">
        <v>47</v>
      </c>
      <c r="O3" s="27" t="s">
        <v>153</v>
      </c>
      <c r="P3" s="81"/>
      <c r="Q3" s="81"/>
      <c r="R3" s="81"/>
    </row>
    <row r="4" spans="1:21" x14ac:dyDescent="0.3">
      <c r="J4" s="27" t="s">
        <v>324</v>
      </c>
      <c r="K4" s="80">
        <f>Sheet1!B15</f>
        <v>856796.97967726842</v>
      </c>
      <c r="L4" s="80">
        <f>Sheet1!C15</f>
        <v>1951181.6731014496</v>
      </c>
      <c r="M4" s="80">
        <f>Sheet1!D15</f>
        <v>3675240.3972422937</v>
      </c>
      <c r="N4" s="80">
        <f>Sheet1!E15</f>
        <v>994222.98763514671</v>
      </c>
      <c r="O4" s="80">
        <f>Sheet1!F15</f>
        <v>395227.75244264654</v>
      </c>
      <c r="P4" s="81"/>
      <c r="Q4" s="81"/>
      <c r="R4" s="81"/>
    </row>
    <row r="5" spans="1:21" x14ac:dyDescent="0.3">
      <c r="I5" s="23" t="s">
        <v>3</v>
      </c>
      <c r="J5" s="27" t="s">
        <v>4</v>
      </c>
      <c r="K5" s="89">
        <f>ROUNDUP(SQRT((2*$B$22*K4)/$B$20),0)</f>
        <v>165233</v>
      </c>
      <c r="L5" s="89">
        <f>ROUNDUP(SQRT((2*$B$22*L4)/$B$20),0)</f>
        <v>249348</v>
      </c>
      <c r="M5" s="89">
        <f t="shared" ref="M5:O5" si="0">ROUNDUP(SQRT((2*$B$22*M4)/$B$20),0)</f>
        <v>342216</v>
      </c>
      <c r="N5" s="89">
        <f t="shared" si="0"/>
        <v>177992</v>
      </c>
      <c r="O5" s="89">
        <f t="shared" si="0"/>
        <v>112223</v>
      </c>
      <c r="P5" s="81"/>
      <c r="Q5" s="81"/>
      <c r="R5" s="81"/>
    </row>
    <row r="6" spans="1:21" x14ac:dyDescent="0.3">
      <c r="J6" s="27" t="s">
        <v>327</v>
      </c>
      <c r="K6" s="80">
        <f>12/(K4/K5)</f>
        <v>2.3141958328878145</v>
      </c>
      <c r="L6" s="80">
        <f t="shared" ref="L6:O6" si="1">12/(L4/L5)</f>
        <v>1.5335199388398648</v>
      </c>
      <c r="M6" s="80">
        <f t="shared" si="1"/>
        <v>1.1173669083201661</v>
      </c>
      <c r="N6" s="80">
        <f t="shared" si="1"/>
        <v>2.1483148414023794</v>
      </c>
      <c r="O6" s="80">
        <f t="shared" si="1"/>
        <v>3.4073416952050266</v>
      </c>
    </row>
    <row r="7" spans="1:21" x14ac:dyDescent="0.3">
      <c r="I7" s="23" t="s">
        <v>5</v>
      </c>
      <c r="J7" s="27" t="s">
        <v>74</v>
      </c>
      <c r="K7" s="79">
        <f>B23/(B20+B23)</f>
        <v>0.99998139929163932</v>
      </c>
      <c r="L7" s="79">
        <f>K7</f>
        <v>0.99998139929163932</v>
      </c>
      <c r="M7" s="79">
        <f t="shared" ref="M7:O7" si="2">L7</f>
        <v>0.99998139929163932</v>
      </c>
      <c r="N7" s="79">
        <f t="shared" si="2"/>
        <v>0.99998139929163932</v>
      </c>
      <c r="O7" s="79">
        <f t="shared" si="2"/>
        <v>0.99998139929163932</v>
      </c>
    </row>
    <row r="8" spans="1:21" x14ac:dyDescent="0.3">
      <c r="J8" s="27" t="s">
        <v>75</v>
      </c>
      <c r="K8" s="80">
        <f>Sheet1!B18*SQRT(Sheet1!B21)</f>
        <v>77120.542450936206</v>
      </c>
      <c r="L8" s="80">
        <f>Sheet1!C18*SQRT(Sheet1!C21)</f>
        <v>175626.42331744591</v>
      </c>
      <c r="M8" s="80">
        <f>Sheet1!D18*SQRT(Sheet1!D21)</f>
        <v>330809.44470612233</v>
      </c>
      <c r="N8" s="80">
        <f>Sheet1!E18*SQRT(Sheet1!E21)</f>
        <v>89490.296934163212</v>
      </c>
      <c r="O8" s="80">
        <f>Sheet1!F18*SQRT(Sheet1!F21)</f>
        <v>35574.563616601758</v>
      </c>
      <c r="R8" s="16" t="s">
        <v>6</v>
      </c>
      <c r="S8" s="16" t="s">
        <v>7</v>
      </c>
      <c r="T8" s="16" t="s">
        <v>8</v>
      </c>
      <c r="U8" s="16" t="s">
        <v>9</v>
      </c>
    </row>
    <row r="9" spans="1:21" x14ac:dyDescent="0.3">
      <c r="J9" s="27" t="s">
        <v>76</v>
      </c>
      <c r="K9" s="80">
        <f>SQRT(1*Sheet1!B19+(Sheet1!B18^2)*10/30)</f>
        <v>41797.395258772842</v>
      </c>
      <c r="L9" s="80">
        <f>SQRT(1*Sheet1!C19+(Sheet1!C18^2)*10/30)</f>
        <v>94758.368736064134</v>
      </c>
      <c r="M9" s="80">
        <f>SQRT(1*Sheet1!D19+(Sheet1!D18^2)*10/30)</f>
        <v>176890.30241837323</v>
      </c>
      <c r="N9" s="80">
        <f>SQRT(1*Sheet1!E19+(Sheet1!E18^2)*10/30)</f>
        <v>48003.267439306066</v>
      </c>
      <c r="O9" s="80">
        <f>SQRT(1*Sheet1!F19+(Sheet1!F18^2)*10/30)</f>
        <v>19015.441601766284</v>
      </c>
      <c r="R9" s="4">
        <v>0</v>
      </c>
      <c r="S9" s="5">
        <f>_xlfn.POISSON.DIST(R9,$K$1,FALSE)</f>
        <v>0.1353352832366127</v>
      </c>
      <c r="T9" s="5">
        <f>_xlfn.POISSON.DIST(R9,$K$1,TRUE)</f>
        <v>0.1353352832366127</v>
      </c>
      <c r="U9" s="5">
        <f>$K$1*S9+($K$1-R9)*(1-T9)</f>
        <v>2</v>
      </c>
    </row>
    <row r="10" spans="1:21" x14ac:dyDescent="0.3">
      <c r="J10" s="27" t="s">
        <v>22</v>
      </c>
      <c r="K10" s="27">
        <f>B23/(B23+B20)</f>
        <v>0.99998139929163932</v>
      </c>
      <c r="L10" s="27">
        <f>K10</f>
        <v>0.99998139929163932</v>
      </c>
      <c r="M10" s="27">
        <f t="shared" ref="M10:O10" si="3">L10</f>
        <v>0.99998139929163932</v>
      </c>
      <c r="N10" s="27">
        <f t="shared" si="3"/>
        <v>0.99998139929163932</v>
      </c>
      <c r="O10" s="27">
        <f t="shared" si="3"/>
        <v>0.99998139929163932</v>
      </c>
      <c r="R10" s="4">
        <v>1</v>
      </c>
      <c r="S10" s="5">
        <f t="shared" ref="S10:S19" si="4">_xlfn.POISSON.DIST(R10,$K$1,FALSE)</f>
        <v>0.27067056647322535</v>
      </c>
      <c r="T10" s="5">
        <f t="shared" ref="T10:T19" si="5">_xlfn.POISSON.DIST(R10,$K$1,TRUE)</f>
        <v>0.40600584970983811</v>
      </c>
      <c r="U10" s="5">
        <f t="shared" ref="U10:U19" si="6">$K$1*S10+($K$1-R10)*(1-T10)</f>
        <v>1.1353352832366126</v>
      </c>
    </row>
    <row r="11" spans="1:21" x14ac:dyDescent="0.3">
      <c r="J11" s="27" t="s">
        <v>323</v>
      </c>
      <c r="K11" s="80">
        <f>_xlfn.NORM.S.DIST(K10,TRUE)</f>
        <v>0.84134024519980499</v>
      </c>
      <c r="L11" s="80">
        <f>_xlfn.NORM.S.DIST(L10,TRUE)</f>
        <v>0.84134024519980499</v>
      </c>
      <c r="M11" s="80">
        <f t="shared" ref="M11:O11" si="7">_xlfn.NORM.S.DIST(M10,TRUE)</f>
        <v>0.84134024519980499</v>
      </c>
      <c r="N11" s="80">
        <f t="shared" si="7"/>
        <v>0.84134024519980499</v>
      </c>
      <c r="O11" s="80">
        <f t="shared" si="7"/>
        <v>0.84134024519980499</v>
      </c>
      <c r="R11" s="4">
        <v>2</v>
      </c>
      <c r="S11" s="5">
        <f t="shared" si="4"/>
        <v>0.27067056647322546</v>
      </c>
      <c r="T11" s="5">
        <f t="shared" si="5"/>
        <v>0.6766764161830634</v>
      </c>
      <c r="U11" s="5">
        <f t="shared" si="6"/>
        <v>0.54134113294645092</v>
      </c>
    </row>
    <row r="12" spans="1:21" x14ac:dyDescent="0.3">
      <c r="J12" s="45" t="s">
        <v>328</v>
      </c>
      <c r="K12" s="88">
        <f>K8+K11*K9</f>
        <v>112286.37322666531</v>
      </c>
      <c r="L12" s="88">
        <f t="shared" ref="L12:O12" si="8">L8+L11*L9</f>
        <v>255350.45250457965</v>
      </c>
      <c r="M12" s="88">
        <f t="shared" si="8"/>
        <v>479634.3751162641</v>
      </c>
      <c r="N12" s="88">
        <f t="shared" si="8"/>
        <v>129877.3777319408</v>
      </c>
      <c r="O12" s="88">
        <f t="shared" si="8"/>
        <v>51573.019916414378</v>
      </c>
      <c r="R12" s="4">
        <v>3</v>
      </c>
      <c r="S12" s="5">
        <f t="shared" si="4"/>
        <v>0.18044704431548364</v>
      </c>
      <c r="T12" s="15">
        <f t="shared" si="5"/>
        <v>0.85712346049854693</v>
      </c>
      <c r="U12" s="5">
        <f t="shared" si="6"/>
        <v>0.21801754912951421</v>
      </c>
    </row>
    <row r="13" spans="1:21" x14ac:dyDescent="0.3">
      <c r="J13" s="45" t="s">
        <v>325</v>
      </c>
      <c r="K13" s="88">
        <f>K11*K9</f>
        <v>35165.830775729111</v>
      </c>
      <c r="L13" s="88">
        <f t="shared" ref="L13:O13" si="9">L11*L9</f>
        <v>79724.029187133739</v>
      </c>
      <c r="M13" s="88">
        <f t="shared" si="9"/>
        <v>148824.93041014179</v>
      </c>
      <c r="N13" s="88">
        <f t="shared" si="9"/>
        <v>40387.080797777584</v>
      </c>
      <c r="O13" s="88">
        <f t="shared" si="9"/>
        <v>15998.456299812618</v>
      </c>
      <c r="R13" s="4">
        <v>4</v>
      </c>
      <c r="S13" s="5">
        <f t="shared" si="4"/>
        <v>9.022352215774182E-2</v>
      </c>
      <c r="T13" s="5">
        <f t="shared" si="5"/>
        <v>0.94734698265628881</v>
      </c>
      <c r="U13" s="5">
        <f t="shared" si="6"/>
        <v>7.5141009628061251E-2</v>
      </c>
    </row>
    <row r="14" spans="1:21" x14ac:dyDescent="0.3">
      <c r="R14" s="4">
        <v>5</v>
      </c>
      <c r="S14" s="5">
        <f t="shared" si="4"/>
        <v>3.6089408863096716E-2</v>
      </c>
      <c r="T14" s="5">
        <f t="shared" si="5"/>
        <v>0.98343639151938556</v>
      </c>
      <c r="U14" s="5">
        <f t="shared" si="6"/>
        <v>2.2487992284350097E-2</v>
      </c>
    </row>
    <row r="15" spans="1:21" x14ac:dyDescent="0.3">
      <c r="R15" s="4">
        <v>6</v>
      </c>
      <c r="S15" s="5">
        <f t="shared" si="4"/>
        <v>1.2029802954365572E-2</v>
      </c>
      <c r="T15" s="5">
        <f t="shared" si="5"/>
        <v>0.99546619447375106</v>
      </c>
      <c r="U15" s="5">
        <f t="shared" si="6"/>
        <v>5.924383803735403E-3</v>
      </c>
    </row>
    <row r="16" spans="1:21" x14ac:dyDescent="0.3">
      <c r="A16" t="s">
        <v>10</v>
      </c>
      <c r="R16" s="4">
        <v>7</v>
      </c>
      <c r="S16" s="5">
        <f t="shared" si="4"/>
        <v>3.4370865583901629E-3</v>
      </c>
      <c r="T16" s="5">
        <f t="shared" si="5"/>
        <v>0.99890328103214132</v>
      </c>
      <c r="U16" s="5">
        <f t="shared" si="6"/>
        <v>1.3905782774869327E-3</v>
      </c>
    </row>
    <row r="17" spans="1:21" x14ac:dyDescent="0.3">
      <c r="R17" s="4">
        <v>8</v>
      </c>
      <c r="S17" s="5">
        <f t="shared" si="4"/>
        <v>8.5927163959754148E-4</v>
      </c>
      <c r="T17" s="5">
        <f t="shared" si="5"/>
        <v>0.99976255267173886</v>
      </c>
      <c r="U17" s="5">
        <f t="shared" si="6"/>
        <v>2.9385930962822957E-4</v>
      </c>
    </row>
    <row r="18" spans="1:21" x14ac:dyDescent="0.3">
      <c r="A18" s="3" t="s">
        <v>12</v>
      </c>
      <c r="B18">
        <f>Sheet1!B15</f>
        <v>856796.97967726842</v>
      </c>
      <c r="C18" t="s">
        <v>1</v>
      </c>
      <c r="D18" s="2" t="s">
        <v>68</v>
      </c>
      <c r="R18" s="4">
        <v>9</v>
      </c>
      <c r="S18" s="5">
        <f t="shared" si="4"/>
        <v>1.9094925324389769E-4</v>
      </c>
      <c r="T18" s="5">
        <f t="shared" si="5"/>
        <v>0.99995350192498278</v>
      </c>
      <c r="U18" s="5">
        <f t="shared" si="6"/>
        <v>5.6411981367251269E-5</v>
      </c>
    </row>
    <row r="19" spans="1:21" x14ac:dyDescent="0.3">
      <c r="A19" s="3" t="s">
        <v>14</v>
      </c>
      <c r="B19" s="29">
        <f>Sheet1!C53</f>
        <v>1310</v>
      </c>
      <c r="C19" t="s">
        <v>15</v>
      </c>
      <c r="R19" s="4">
        <v>10</v>
      </c>
      <c r="S19" s="5">
        <f t="shared" si="4"/>
        <v>3.8189850648779602E-5</v>
      </c>
      <c r="T19" s="5">
        <f t="shared" si="5"/>
        <v>0.99999169177563152</v>
      </c>
      <c r="U19" s="5">
        <f t="shared" si="6"/>
        <v>9.9139063497138795E-6</v>
      </c>
    </row>
    <row r="20" spans="1:21" x14ac:dyDescent="0.3">
      <c r="A20" s="3" t="s">
        <v>17</v>
      </c>
      <c r="B20" s="29">
        <f>0.11*B19</f>
        <v>144.1</v>
      </c>
      <c r="C20" t="s">
        <v>15</v>
      </c>
    </row>
    <row r="21" spans="1:21" x14ac:dyDescent="0.3">
      <c r="A21" s="3" t="s">
        <v>18</v>
      </c>
      <c r="B21">
        <v>1</v>
      </c>
      <c r="C21" t="s">
        <v>19</v>
      </c>
      <c r="D21" s="2"/>
      <c r="R21" s="6" t="s">
        <v>11</v>
      </c>
      <c r="S21" s="7"/>
      <c r="T21" s="8"/>
    </row>
    <row r="22" spans="1:21" x14ac:dyDescent="0.3">
      <c r="A22" s="3" t="s">
        <v>20</v>
      </c>
      <c r="B22" s="1">
        <f>Sheet1!G34</f>
        <v>2295868</v>
      </c>
      <c r="R22" s="9" t="s">
        <v>13</v>
      </c>
      <c r="S22" s="10"/>
      <c r="T22" s="11"/>
    </row>
    <row r="23" spans="1:21" x14ac:dyDescent="0.3">
      <c r="A23" s="3" t="s">
        <v>21</v>
      </c>
      <c r="B23" s="1">
        <f>Sheet1!B108</f>
        <v>7746872.6912486358</v>
      </c>
      <c r="J23" s="17" t="s">
        <v>322</v>
      </c>
      <c r="K23" s="17"/>
      <c r="L23" s="17"/>
      <c r="M23" s="17"/>
      <c r="N23" s="17"/>
      <c r="R23" s="12" t="s">
        <v>16</v>
      </c>
      <c r="S23" s="13"/>
      <c r="T23" s="14"/>
    </row>
    <row r="25" spans="1:21" x14ac:dyDescent="0.3">
      <c r="I25" s="23" t="s">
        <v>23</v>
      </c>
      <c r="J25" t="s">
        <v>77</v>
      </c>
      <c r="K25" s="92">
        <f>(1/K5)*SUM(U13:U18)</f>
        <v>6.3724701049202744E-7</v>
      </c>
    </row>
    <row r="28" spans="1:21" x14ac:dyDescent="0.3">
      <c r="H28" t="s">
        <v>55</v>
      </c>
      <c r="J28" t="s">
        <v>25</v>
      </c>
      <c r="K28" s="91">
        <f>(K5+1)/2+3-K1+K25</f>
        <v>82618.000000637243</v>
      </c>
    </row>
    <row r="31" spans="1:21" x14ac:dyDescent="0.3">
      <c r="I31" s="23" t="s">
        <v>26</v>
      </c>
      <c r="J31" s="18" t="s">
        <v>27</v>
      </c>
    </row>
    <row r="32" spans="1:21" x14ac:dyDescent="0.3">
      <c r="K32" t="s">
        <v>28</v>
      </c>
      <c r="L32" s="78">
        <f>B18/K5</f>
        <v>5.1853865733677198</v>
      </c>
    </row>
    <row r="34" spans="10:12" x14ac:dyDescent="0.3">
      <c r="J34" t="s">
        <v>80</v>
      </c>
      <c r="K34" t="s">
        <v>24</v>
      </c>
      <c r="L34" s="90">
        <f>K25</f>
        <v>6.3724701049202744E-7</v>
      </c>
    </row>
    <row r="36" spans="10:12" x14ac:dyDescent="0.3">
      <c r="J36" t="s">
        <v>78</v>
      </c>
      <c r="K36" t="s">
        <v>25</v>
      </c>
      <c r="L36" s="90">
        <f>K28</f>
        <v>82618.000000637243</v>
      </c>
    </row>
    <row r="38" spans="10:12" x14ac:dyDescent="0.3">
      <c r="J38" t="s">
        <v>79</v>
      </c>
      <c r="K38" t="s">
        <v>29</v>
      </c>
      <c r="L38" s="90">
        <f>1-(1/K5)*(U12-U18)</f>
        <v>0.99999868088615984</v>
      </c>
    </row>
    <row r="40" spans="10:12" x14ac:dyDescent="0.3">
      <c r="J40" s="18" t="s">
        <v>36</v>
      </c>
    </row>
    <row r="41" spans="10:12" x14ac:dyDescent="0.3">
      <c r="K41" t="s">
        <v>30</v>
      </c>
      <c r="L41">
        <f>B18/4</f>
        <v>214199.24491931711</v>
      </c>
    </row>
    <row r="43" spans="10:12" x14ac:dyDescent="0.3">
      <c r="K43" t="s">
        <v>31</v>
      </c>
      <c r="L43">
        <f>(1/3)*SUM(U13:U16)</f>
        <v>3.4981321331211221E-2</v>
      </c>
    </row>
    <row r="45" spans="10:12" x14ac:dyDescent="0.3">
      <c r="K45" t="s">
        <v>32</v>
      </c>
      <c r="L45">
        <f>(4+1)/2+3-K1+L43</f>
        <v>3.5349813213312111</v>
      </c>
    </row>
    <row r="47" spans="10:12" x14ac:dyDescent="0.3">
      <c r="K47" t="s">
        <v>33</v>
      </c>
      <c r="L47">
        <f>1-(1/3)*(U12-U16)</f>
        <v>0.92779100971599093</v>
      </c>
    </row>
    <row r="50" spans="10:17" x14ac:dyDescent="0.3">
      <c r="J50" s="19" t="s">
        <v>34</v>
      </c>
      <c r="K50" s="4" t="s">
        <v>35</v>
      </c>
      <c r="L50" s="4" t="s">
        <v>38</v>
      </c>
    </row>
    <row r="51" spans="10:17" x14ac:dyDescent="0.3">
      <c r="J51" s="19" t="s">
        <v>30</v>
      </c>
      <c r="K51" s="20">
        <f>L32</f>
        <v>5.1853865733677198</v>
      </c>
      <c r="L51" s="20">
        <f>L41</f>
        <v>214199.24491931711</v>
      </c>
    </row>
    <row r="52" spans="10:17" x14ac:dyDescent="0.3">
      <c r="J52" s="19" t="s">
        <v>31</v>
      </c>
      <c r="K52" s="21">
        <f>L34</f>
        <v>6.3724701049202744E-7</v>
      </c>
      <c r="L52" s="21">
        <f>L43</f>
        <v>3.4981321331211221E-2</v>
      </c>
    </row>
    <row r="53" spans="10:17" x14ac:dyDescent="0.3">
      <c r="J53" s="19" t="s">
        <v>32</v>
      </c>
      <c r="K53" s="21">
        <f>L36</f>
        <v>82618.000000637243</v>
      </c>
      <c r="L53" s="21">
        <f>L45</f>
        <v>3.5349813213312111</v>
      </c>
    </row>
    <row r="54" spans="10:17" x14ac:dyDescent="0.3">
      <c r="J54" s="19" t="s">
        <v>33</v>
      </c>
      <c r="K54" s="21">
        <f>L38</f>
        <v>0.99999868088615984</v>
      </c>
      <c r="L54" s="21">
        <f>L47</f>
        <v>0.92779100971599093</v>
      </c>
    </row>
    <row r="56" spans="10:17" x14ac:dyDescent="0.3">
      <c r="J56" s="22" t="s">
        <v>37</v>
      </c>
      <c r="K56" s="17"/>
      <c r="L56" s="17"/>
      <c r="M56" s="17"/>
      <c r="N56" s="17"/>
      <c r="O56" s="17"/>
      <c r="P56" s="17"/>
      <c r="Q56" s="17"/>
    </row>
    <row r="57" spans="10:17" x14ac:dyDescent="0.3">
      <c r="J57" s="17" t="s">
        <v>39</v>
      </c>
      <c r="K57" s="17"/>
      <c r="L57" s="17"/>
      <c r="M57" s="17"/>
      <c r="N57" s="17"/>
      <c r="O57" s="17"/>
      <c r="P57" s="17"/>
      <c r="Q5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Decision</vt:lpstr>
      <vt:lpstr>Reorder point</vt:lpstr>
      <vt:lpstr>Sheet1</vt:lpstr>
      <vt:lpstr>Sheet2</vt:lpstr>
      <vt:lpstr>ABC Class</vt:lpstr>
      <vt:lpstr>Biểu giá</vt:lpstr>
      <vt:lpstr>Origin forecast</vt:lpstr>
      <vt:lpstr>Test 1</vt:lpstr>
      <vt:lpstr>Test 2</vt:lpstr>
      <vt:lpstr>Previous Sale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NGUYEN VAN PHONG</cp:lastModifiedBy>
  <cp:revision/>
  <cp:lastPrinted>2024-03-18T10:13:05Z</cp:lastPrinted>
  <dcterms:created xsi:type="dcterms:W3CDTF">2022-10-22T04:08:23Z</dcterms:created>
  <dcterms:modified xsi:type="dcterms:W3CDTF">2024-05-13T16:15:32Z</dcterms:modified>
  <cp:category/>
  <cp:contentStatus/>
</cp:coreProperties>
</file>