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OGISTICS AND SUPPLY CHAIN\Project\"/>
    </mc:Choice>
  </mc:AlternateContent>
  <xr:revisionPtr revIDLastSave="0" documentId="13_ncr:1_{BD7D3C93-47B0-424F-BBF8-FB55DFFD0A37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Master BOM" sheetId="1" r:id="rId1"/>
    <sheet name="Sheet1" sheetId="6" r:id="rId2"/>
    <sheet name="COGS" sheetId="9" r:id="rId3"/>
    <sheet name="BOM 1" sheetId="5" r:id="rId4"/>
    <sheet name="Sheet3" sheetId="11" r:id="rId5"/>
    <sheet name="Mã hàng" sheetId="2" r:id="rId6"/>
    <sheet name="Produce" sheetId="3" r:id="rId7"/>
    <sheet name="Gross Q" sheetId="7" r:id="rId8"/>
    <sheet name="MRP" sheetId="4" r:id="rId9"/>
    <sheet name="Sheet2" sheetId="10" r:id="rId10"/>
    <sheet name="Demand forecast" sheetId="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1" l="1"/>
  <c r="E55" i="11"/>
  <c r="F55" i="11"/>
  <c r="G55" i="11"/>
  <c r="H55" i="11"/>
  <c r="I55" i="11"/>
  <c r="J55" i="11"/>
  <c r="K55" i="11"/>
  <c r="L55" i="11"/>
  <c r="M55" i="11"/>
  <c r="N55" i="11"/>
  <c r="D56" i="11"/>
  <c r="E56" i="11"/>
  <c r="F56" i="11"/>
  <c r="G56" i="11"/>
  <c r="H56" i="11"/>
  <c r="I56" i="11"/>
  <c r="J56" i="11"/>
  <c r="K56" i="11"/>
  <c r="L56" i="11"/>
  <c r="M56" i="11"/>
  <c r="N56" i="11"/>
  <c r="D57" i="11"/>
  <c r="E57" i="11"/>
  <c r="F57" i="11"/>
  <c r="G57" i="11"/>
  <c r="H57" i="11"/>
  <c r="I57" i="11"/>
  <c r="J57" i="11"/>
  <c r="K57" i="11"/>
  <c r="L57" i="11"/>
  <c r="M57" i="11"/>
  <c r="N57" i="11"/>
  <c r="D54" i="11"/>
  <c r="E54" i="11"/>
  <c r="F54" i="11"/>
  <c r="G54" i="11"/>
  <c r="H54" i="11"/>
  <c r="I54" i="11"/>
  <c r="J54" i="11"/>
  <c r="K54" i="11"/>
  <c r="L54" i="11"/>
  <c r="M54" i="11"/>
  <c r="N54" i="11"/>
  <c r="C57" i="11"/>
  <c r="C56" i="11"/>
  <c r="C53" i="11"/>
  <c r="C55" i="11" s="1"/>
  <c r="D53" i="11"/>
  <c r="E53" i="11"/>
  <c r="F53" i="11"/>
  <c r="G53" i="11"/>
  <c r="H53" i="11"/>
  <c r="I53" i="11"/>
  <c r="J53" i="11"/>
  <c r="K53" i="11"/>
  <c r="L53" i="11"/>
  <c r="M53" i="11"/>
  <c r="N53" i="11"/>
  <c r="D28" i="11" a="1"/>
  <c r="D28" i="11" s="1"/>
  <c r="C28" i="11"/>
  <c r="C39" i="11"/>
  <c r="C40" i="11"/>
  <c r="C41" i="11"/>
  <c r="C42" i="11"/>
  <c r="C43" i="11"/>
  <c r="C44" i="11"/>
  <c r="C45" i="11"/>
  <c r="C46" i="11"/>
  <c r="C47" i="11"/>
  <c r="C48" i="11"/>
  <c r="C49" i="11"/>
  <c r="C38" i="11"/>
  <c r="N14" i="11"/>
  <c r="N15" i="11" s="1"/>
  <c r="N17" i="11"/>
  <c r="N18" i="11"/>
  <c r="R20" i="11"/>
  <c r="Q20" i="11"/>
  <c r="P20" i="11"/>
  <c r="O20" i="11"/>
  <c r="N20" i="11"/>
  <c r="R19" i="11"/>
  <c r="Q19" i="11"/>
  <c r="P19" i="11"/>
  <c r="O19" i="11"/>
  <c r="N19" i="11"/>
  <c r="R18" i="11"/>
  <c r="Q18" i="11"/>
  <c r="P18" i="11"/>
  <c r="O18" i="11"/>
  <c r="R17" i="11"/>
  <c r="Q17" i="11"/>
  <c r="P17" i="11"/>
  <c r="O17" i="11"/>
  <c r="R14" i="11"/>
  <c r="R15" i="11" s="1"/>
  <c r="Q14" i="11"/>
  <c r="P14" i="11"/>
  <c r="P15" i="11" s="1"/>
  <c r="O14" i="11"/>
  <c r="O15" i="11" s="1"/>
  <c r="O16" i="11" s="1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3" i="10"/>
  <c r="R14" i="10" s="1"/>
  <c r="Q13" i="10"/>
  <c r="Q14" i="10" s="1"/>
  <c r="P13" i="10"/>
  <c r="P14" i="10" s="1"/>
  <c r="O13" i="10"/>
  <c r="O14" i="10" s="1"/>
  <c r="N13" i="10"/>
  <c r="C54" i="11" l="1"/>
  <c r="N16" i="11"/>
  <c r="Q16" i="11"/>
  <c r="R16" i="11"/>
  <c r="P16" i="11"/>
  <c r="Q15" i="11"/>
  <c r="N15" i="10"/>
  <c r="O15" i="10"/>
  <c r="P15" i="10"/>
  <c r="Q15" i="10"/>
  <c r="N14" i="10"/>
  <c r="R15" i="10"/>
  <c r="G20" i="10" l="1"/>
  <c r="B18" i="8"/>
  <c r="B17" i="8"/>
  <c r="L4" i="9"/>
  <c r="L3" i="9"/>
  <c r="L2" i="9"/>
  <c r="K3" i="9"/>
  <c r="K4" i="9"/>
  <c r="K2" i="9"/>
  <c r="G4" i="9"/>
  <c r="G2" i="9"/>
  <c r="G3" i="9"/>
  <c r="B37" i="4"/>
  <c r="B75" i="4" l="1"/>
  <c r="B57" i="4"/>
  <c r="B66" i="4"/>
  <c r="B28" i="4"/>
  <c r="B19" i="4"/>
  <c r="H53" i="6"/>
  <c r="F53" i="6"/>
  <c r="H52" i="6"/>
  <c r="F52" i="6"/>
  <c r="H51" i="6"/>
  <c r="F51" i="6"/>
  <c r="H50" i="6"/>
  <c r="F50" i="6"/>
  <c r="H49" i="6"/>
  <c r="F49" i="6"/>
  <c r="H48" i="6"/>
  <c r="F48" i="6"/>
  <c r="H47" i="6"/>
  <c r="F47" i="6"/>
  <c r="H46" i="6"/>
  <c r="F46" i="6"/>
  <c r="H45" i="6"/>
  <c r="F45" i="6"/>
  <c r="H44" i="6"/>
  <c r="F44" i="6"/>
  <c r="H43" i="6"/>
  <c r="F43" i="6"/>
  <c r="H42" i="6"/>
  <c r="F42" i="6"/>
  <c r="H41" i="6"/>
  <c r="F41" i="6"/>
  <c r="H40" i="6"/>
  <c r="F40" i="6"/>
  <c r="H39" i="6"/>
  <c r="F39" i="6"/>
  <c r="H38" i="6"/>
  <c r="F38" i="6"/>
  <c r="H37" i="6"/>
  <c r="F37" i="6"/>
  <c r="H36" i="6"/>
  <c r="F36" i="6"/>
  <c r="H35" i="6"/>
  <c r="F35" i="6"/>
  <c r="H34" i="6"/>
  <c r="F34" i="6"/>
  <c r="H33" i="6"/>
  <c r="F33" i="6"/>
  <c r="H32" i="6"/>
  <c r="F32" i="6"/>
  <c r="H31" i="6"/>
  <c r="F31" i="6"/>
  <c r="H30" i="6"/>
  <c r="F30" i="6"/>
  <c r="H29" i="6"/>
  <c r="F29" i="6"/>
  <c r="H28" i="6"/>
  <c r="F28" i="6"/>
  <c r="H27" i="6"/>
  <c r="F27" i="6"/>
  <c r="H26" i="6"/>
  <c r="F26" i="6"/>
  <c r="H25" i="6"/>
  <c r="F25" i="6"/>
  <c r="H24" i="6"/>
  <c r="F24" i="6"/>
  <c r="H23" i="6"/>
  <c r="F23" i="6"/>
  <c r="H22" i="6"/>
  <c r="F22" i="6"/>
  <c r="H21" i="6"/>
  <c r="F21" i="6"/>
  <c r="H20" i="6"/>
  <c r="F20" i="6"/>
  <c r="H19" i="6"/>
  <c r="F19" i="6"/>
  <c r="H18" i="6"/>
  <c r="F18" i="6"/>
  <c r="H17" i="6"/>
  <c r="F17" i="6"/>
  <c r="H16" i="6"/>
  <c r="F16" i="6"/>
  <c r="H15" i="6"/>
  <c r="F15" i="6"/>
  <c r="H14" i="6"/>
  <c r="F14" i="6"/>
  <c r="H13" i="6"/>
  <c r="F13" i="6"/>
  <c r="H12" i="6"/>
  <c r="F12" i="6"/>
  <c r="H11" i="6"/>
  <c r="F11" i="6"/>
  <c r="H10" i="6"/>
  <c r="F10" i="6"/>
  <c r="H9" i="6"/>
  <c r="F9" i="6"/>
  <c r="H8" i="6"/>
  <c r="F8" i="6"/>
  <c r="F7" i="6"/>
  <c r="H6" i="6"/>
  <c r="F6" i="6"/>
  <c r="H5" i="6"/>
  <c r="F5" i="6" s="1"/>
  <c r="H4" i="6"/>
  <c r="F4" i="6" s="1"/>
  <c r="G3" i="6"/>
  <c r="H3" i="6" s="1"/>
  <c r="F3" i="6" s="1"/>
  <c r="B48" i="4" l="1"/>
  <c r="N16" i="5"/>
  <c r="S16" i="5" s="1"/>
  <c r="N15" i="5"/>
  <c r="S15" i="5" s="1"/>
  <c r="N14" i="5"/>
  <c r="S14" i="5" s="1"/>
  <c r="Q26" i="5"/>
  <c r="P26" i="5"/>
  <c r="B9" i="4"/>
  <c r="B17" i="3"/>
  <c r="H13" i="3"/>
  <c r="F13" i="3"/>
  <c r="M10" i="3"/>
  <c r="M13" i="3" s="1"/>
  <c r="L10" i="3"/>
  <c r="L13" i="3" s="1"/>
  <c r="K10" i="3"/>
  <c r="K13" i="3" s="1"/>
  <c r="J10" i="3"/>
  <c r="J13" i="3" s="1"/>
  <c r="I10" i="3"/>
  <c r="I13" i="3" s="1"/>
  <c r="H10" i="3"/>
  <c r="G10" i="3"/>
  <c r="G13" i="3" s="1"/>
  <c r="F10" i="3"/>
  <c r="E10" i="3"/>
  <c r="E13" i="3" s="1"/>
  <c r="D10" i="3"/>
  <c r="D13" i="3" s="1"/>
  <c r="C10" i="3"/>
  <c r="C13" i="3" s="1"/>
  <c r="B10" i="3"/>
  <c r="B13" i="3" s="1"/>
  <c r="S26" i="5" l="1"/>
  <c r="E1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<sst xmlns="http://schemas.openxmlformats.org/spreadsheetml/2006/main" count="1049" uniqueCount="525">
  <si>
    <t>BOM of Xavier skateboard</t>
  </si>
  <si>
    <t>Level</t>
  </si>
  <si>
    <t>Item</t>
  </si>
  <si>
    <t>Qty</t>
  </si>
  <si>
    <t>Type</t>
  </si>
  <si>
    <t>Unit cost ($ )</t>
  </si>
  <si>
    <t>Lead time ( days )</t>
  </si>
  <si>
    <t>On hand - inventory</t>
  </si>
  <si>
    <t>Scheduled &amp; Recepits</t>
  </si>
  <si>
    <t>Skateboard</t>
  </si>
  <si>
    <t>In-house</t>
  </si>
  <si>
    <t>Deck</t>
  </si>
  <si>
    <t>Purchase</t>
  </si>
  <si>
    <t>Depend</t>
  </si>
  <si>
    <t>20 wooden &amp; 25 plastics ( 16/01 )</t>
  </si>
  <si>
    <t>Grip tape</t>
  </si>
  <si>
    <t>4.95</t>
  </si>
  <si>
    <t>25..(16/01)</t>
  </si>
  <si>
    <t>Wheel assembly</t>
  </si>
  <si>
    <t>-</t>
  </si>
  <si>
    <t>Wheel</t>
  </si>
  <si>
    <t>8.95</t>
  </si>
  <si>
    <t>Bearings</t>
  </si>
  <si>
    <t>Truck</t>
  </si>
  <si>
    <t>Outsoured</t>
  </si>
  <si>
    <t>33.90</t>
  </si>
  <si>
    <t>50..(18/01)</t>
  </si>
  <si>
    <t>Nuts and Bolts</t>
  </si>
  <si>
    <t>1.99</t>
  </si>
  <si>
    <t>Riser</t>
  </si>
  <si>
    <t>3.95</t>
  </si>
  <si>
    <t>Explode the BOM</t>
  </si>
  <si>
    <t>Level BOM</t>
  </si>
  <si>
    <t>Quantity</t>
  </si>
  <si>
    <t>End iterm</t>
  </si>
  <si>
    <t>End item</t>
  </si>
  <si>
    <t>Delivery schedule from 16-20</t>
  </si>
  <si>
    <t>Module 1</t>
  </si>
  <si>
    <t>Deli date</t>
  </si>
  <si>
    <t>Retailer</t>
  </si>
  <si>
    <t>Model</t>
  </si>
  <si>
    <t>Component 11</t>
  </si>
  <si>
    <t>Module 2</t>
  </si>
  <si>
    <t>A</t>
  </si>
  <si>
    <t>Downhill</t>
  </si>
  <si>
    <t>Material 1</t>
  </si>
  <si>
    <t>Mini-cruiser</t>
  </si>
  <si>
    <t>Component 12</t>
  </si>
  <si>
    <t>B</t>
  </si>
  <si>
    <t>material 2</t>
  </si>
  <si>
    <t>COmponent 13</t>
  </si>
  <si>
    <t>Component 13</t>
  </si>
  <si>
    <t>Component 21</t>
  </si>
  <si>
    <t>C</t>
  </si>
  <si>
    <t>Component 211</t>
  </si>
  <si>
    <t>D</t>
  </si>
  <si>
    <t>Component 212</t>
  </si>
  <si>
    <t>COmponent 212</t>
  </si>
  <si>
    <t>F</t>
  </si>
  <si>
    <t>Material 2</t>
  </si>
  <si>
    <t>Component 22</t>
  </si>
  <si>
    <t>Begining inventory</t>
  </si>
  <si>
    <t>Regular production cost</t>
  </si>
  <si>
    <t>$ per unit</t>
  </si>
  <si>
    <t>Begining workforce</t>
  </si>
  <si>
    <t>Overtime production cost</t>
  </si>
  <si>
    <t>Production rate</t>
  </si>
  <si>
    <t>unit per worker per month</t>
  </si>
  <si>
    <t>Subcontract cost</t>
  </si>
  <si>
    <t>Regular capacity</t>
  </si>
  <si>
    <t>maximum to 15 workers</t>
  </si>
  <si>
    <t>Inventory cost</t>
  </si>
  <si>
    <t>Overtime capacity</t>
  </si>
  <si>
    <t>Half of regular production</t>
  </si>
  <si>
    <t>Subcontract</t>
  </si>
  <si>
    <t>Unlimited</t>
  </si>
  <si>
    <t>Month</t>
  </si>
  <si>
    <t>Total</t>
  </si>
  <si>
    <t>Demand forecast</t>
  </si>
  <si>
    <t>Production</t>
  </si>
  <si>
    <t>Regular</t>
  </si>
  <si>
    <t>Overtime</t>
  </si>
  <si>
    <t>Sub contract</t>
  </si>
  <si>
    <t>Shortage / Overage</t>
  </si>
  <si>
    <t>Inventory</t>
  </si>
  <si>
    <t>Beginning</t>
  </si>
  <si>
    <t>Ending</t>
  </si>
  <si>
    <t>Average</t>
  </si>
  <si>
    <t>Backlog</t>
  </si>
  <si>
    <t>Costs</t>
  </si>
  <si>
    <t>Total cost</t>
  </si>
  <si>
    <t>Period</t>
  </si>
  <si>
    <t>Gross Requirement</t>
  </si>
  <si>
    <t>Scheduled Receipt</t>
  </si>
  <si>
    <t>Projected on hand</t>
  </si>
  <si>
    <t>Net Requirement</t>
  </si>
  <si>
    <t>Planned Order Receipt</t>
  </si>
  <si>
    <t>Planned Order Release</t>
  </si>
  <si>
    <t>Thép cuộn cán nóng HRC</t>
  </si>
  <si>
    <t>Thép cacbon - SAE J403</t>
  </si>
  <si>
    <t>SAE1006</t>
  </si>
  <si>
    <t>SAE1006B</t>
  </si>
  <si>
    <t>SAE1008</t>
  </si>
  <si>
    <t>SAE1008B</t>
  </si>
  <si>
    <t>SAE1010</t>
  </si>
  <si>
    <t>Si</t>
  </si>
  <si>
    <t>Mn</t>
  </si>
  <si>
    <t>P</t>
  </si>
  <si>
    <t>S</t>
  </si>
  <si>
    <t>Cu</t>
  </si>
  <si>
    <t>Cr</t>
  </si>
  <si>
    <t>Ni</t>
  </si>
  <si>
    <t>Mo</t>
  </si>
  <si>
    <t>≤0.08</t>
  </si>
  <si>
    <t>≤0.1</t>
  </si>
  <si>
    <t>≤0.45</t>
  </si>
  <si>
    <t>≤0.03</t>
  </si>
  <si>
    <t>≤0.2</t>
  </si>
  <si>
    <t>≤0.15</t>
  </si>
  <si>
    <t>≤0.06</t>
  </si>
  <si>
    <t>≥0.0008</t>
  </si>
  <si>
    <t>≤0.5</t>
  </si>
  <si>
    <t>0.08 ÷ 0.13</t>
  </si>
  <si>
    <t>0.3 ÷ 0.6</t>
  </si>
  <si>
    <t>Mác thép</t>
  </si>
  <si>
    <t>Loại thép</t>
  </si>
  <si>
    <t>Nhóm thép</t>
  </si>
  <si>
    <t>Thép lá cán nóng và cuộn cán nóng</t>
  </si>
  <si>
    <t>Type A</t>
  </si>
  <si>
    <t>Type B</t>
  </si>
  <si>
    <t>Type C</t>
  </si>
  <si>
    <t>Type D</t>
  </si>
  <si>
    <t>V</t>
  </si>
  <si>
    <t>Ch</t>
  </si>
  <si>
    <t>Ti</t>
  </si>
  <si>
    <t>Giới hạn đàn hồi (Mpa)</t>
  </si>
  <si>
    <t>Độ giãn dài (%)(cữ đo 50mm)</t>
  </si>
  <si>
    <t>205 ÷340</t>
  </si>
  <si>
    <t>Nhỏ nhất 25</t>
  </si>
  <si>
    <t>0.02 ÷ 0.15</t>
  </si>
  <si>
    <t>Thép cán cho kết cấu thông thường</t>
  </si>
  <si>
    <t>SS330</t>
  </si>
  <si>
    <t>SS400</t>
  </si>
  <si>
    <t>SS490</t>
  </si>
  <si>
    <t>SS540</t>
  </si>
  <si>
    <t>Giới hạn chảy MPa</t>
  </si>
  <si>
    <t>Giới hạn bền MPa</t>
  </si>
  <si>
    <t>Chiều dày</t>
  </si>
  <si>
    <t>Mẫu thử</t>
  </si>
  <si>
    <t>Độ giãn dài %</t>
  </si>
  <si>
    <t>Góc uốn</t>
  </si>
  <si>
    <t>Bán kính gối uốn</t>
  </si>
  <si>
    <t>≤0.05</t>
  </si>
  <si>
    <t>≥205</t>
  </si>
  <si>
    <t>330 ÷ 430</t>
  </si>
  <si>
    <t>T≤5</t>
  </si>
  <si>
    <t>Mẫu 5</t>
  </si>
  <si>
    <t>26 min</t>
  </si>
  <si>
    <t>0.5T</t>
  </si>
  <si>
    <t>Mẫu 1A</t>
  </si>
  <si>
    <t>5&lt;T≤16</t>
  </si>
  <si>
    <t>21 min</t>
  </si>
  <si>
    <t>≥245</t>
  </si>
  <si>
    <t>400 ÷ 510</t>
  </si>
  <si>
    <t>1.5T</t>
  </si>
  <si>
    <t>17 min</t>
  </si>
  <si>
    <t>≥385</t>
  </si>
  <si>
    <t>490 ÷ 610</t>
  </si>
  <si>
    <t>19 min</t>
  </si>
  <si>
    <t>2T</t>
  </si>
  <si>
    <t>15 min</t>
  </si>
  <si>
    <t>≤0.3</t>
  </si>
  <si>
    <t>≤1.6</t>
  </si>
  <si>
    <t>≤0.04</t>
  </si>
  <si>
    <t>≥400</t>
  </si>
  <si>
    <t>≥540</t>
  </si>
  <si>
    <t>16 min</t>
  </si>
  <si>
    <t>13 min</t>
  </si>
  <si>
    <t>Thép cán cho kết cấu hàn</t>
  </si>
  <si>
    <t>SM400A</t>
  </si>
  <si>
    <t>SM400B</t>
  </si>
  <si>
    <t>SM400C</t>
  </si>
  <si>
    <t>SM490A</t>
  </si>
  <si>
    <t>SM490B</t>
  </si>
  <si>
    <t>SM490C</t>
  </si>
  <si>
    <t>SM490YA</t>
  </si>
  <si>
    <t>SM490YB</t>
  </si>
  <si>
    <t>SM520B</t>
  </si>
  <si>
    <t>SM520C</t>
  </si>
  <si>
    <t>CEV</t>
  </si>
  <si>
    <t>Giới hạn chảy</t>
  </si>
  <si>
    <t>Giới hạn bền</t>
  </si>
  <si>
    <t>≤0.23</t>
  </si>
  <si>
    <t>≥2.5%C</t>
  </si>
  <si>
    <t>≤0.035</t>
  </si>
  <si>
    <t>-          </t>
  </si>
  <si>
    <t>400-510</t>
  </si>
  <si>
    <t>T≤ 5: Mẫu 5</t>
  </si>
  <si>
    <t>5&lt;T≤16: Mẫu 1A</t>
  </si>
  <si>
    <t>23 min</t>
  </si>
  <si>
    <t>18 min</t>
  </si>
  <si>
    <t>≤0.35</t>
  </si>
  <si>
    <t>0.60 – 1.5</t>
  </si>
  <si>
    <t>≤ 0.035</t>
  </si>
  <si>
    <t>≤0.18</t>
  </si>
  <si>
    <t>≤0.55</t>
  </si>
  <si>
    <t>≤1.65</t>
  </si>
  <si>
    <t>≤0.38</t>
  </si>
  <si>
    <t>≥345</t>
  </si>
  <si>
    <t>490 - 610</t>
  </si>
  <si>
    <t>22 min</t>
  </si>
  <si>
    <t>≥365</t>
  </si>
  <si>
    <t>15min</t>
  </si>
  <si>
    <t>≤0.4</t>
  </si>
  <si>
    <t>520 - 640</t>
  </si>
  <si>
    <t>Thép cuộn cán nóng chất lượng thương mại và gia công</t>
  </si>
  <si>
    <t>SPHC</t>
  </si>
  <si>
    <t>SPHD</t>
  </si>
  <si>
    <t>SPHE</t>
  </si>
  <si>
    <t>SPHF</t>
  </si>
  <si>
    <t>1.2≤T&lt;1,6</t>
  </si>
  <si>
    <t>1.6≤T&lt;2</t>
  </si>
  <si>
    <t>2≤T&lt;12.5</t>
  </si>
  <si>
    <t>2.5≤T&lt;3.2</t>
  </si>
  <si>
    <t>3.2≤T&lt;4</t>
  </si>
  <si>
    <t>4≤T</t>
  </si>
  <si>
    <t>T≤3.2</t>
  </si>
  <si>
    <t>T&gt;3,2</t>
  </si>
  <si>
    <t>≤1.2</t>
  </si>
  <si>
    <t>≤0.6</t>
  </si>
  <si>
    <t>≤0.045</t>
  </si>
  <si>
    <t>≥270</t>
  </si>
  <si>
    <t>≥27</t>
  </si>
  <si>
    <t>≥29</t>
  </si>
  <si>
    <t>≥31</t>
  </si>
  <si>
    <t>Gập trực tiếp</t>
  </si>
  <si>
    <t>Mẫu 3</t>
  </si>
  <si>
    <t>≤0.45≤</t>
  </si>
  <si>
    <t>≥30</t>
  </si>
  <si>
    <t>≥32</t>
  </si>
  <si>
    <t>≥33</t>
  </si>
  <si>
    <t>≥35</t>
  </si>
  <si>
    <t>≥39</t>
  </si>
  <si>
    <t>≤0.4≤</t>
  </si>
  <si>
    <t>≥34</t>
  </si>
  <si>
    <t>≥37</t>
  </si>
  <si>
    <t>≥41</t>
  </si>
  <si>
    <t>≤0,08</t>
  </si>
  <si>
    <t>≤0.025</t>
  </si>
  <si>
    <t>≥38</t>
  </si>
  <si>
    <t>≥40</t>
  </si>
  <si>
    <t>≥42</t>
  </si>
  <si>
    <t>Thép cacbon kết cấu</t>
  </si>
  <si>
    <t>Q195</t>
  </si>
  <si>
    <t>Q215A</t>
  </si>
  <si>
    <t>Q215B</t>
  </si>
  <si>
    <t>Q235A</t>
  </si>
  <si>
    <t>Q235B</t>
  </si>
  <si>
    <t>Q275A</t>
  </si>
  <si>
    <t>Q275B</t>
  </si>
  <si>
    <t>≤0.12</t>
  </si>
  <si>
    <t>≤80</t>
  </si>
  <si>
    <t>≥195</t>
  </si>
  <si>
    <t>315-430</t>
  </si>
  <si>
    <t>T≤: Mẫu P5</t>
  </si>
  <si>
    <t>3≤T&lt;16: Mẫu P14</t>
  </si>
  <si>
    <t>0.5 α</t>
  </si>
  <si>
    <t>GB/T</t>
  </si>
  <si>
    <t>≥215</t>
  </si>
  <si>
    <t>3335-450</t>
  </si>
  <si>
    <t>0.5α</t>
  </si>
  <si>
    <t>1 α</t>
  </si>
  <si>
    <t>≤0.22</t>
  </si>
  <si>
    <t>≤1.4</t>
  </si>
  <si>
    <t>≥235</t>
  </si>
  <si>
    <t>370-500</t>
  </si>
  <si>
    <t>≥26</t>
  </si>
  <si>
    <t>1.5 α</t>
  </si>
  <si>
    <t>≤0.20</t>
  </si>
  <si>
    <t>≤0.24</t>
  </si>
  <si>
    <t>≤0.34</t>
  </si>
  <si>
    <t>≤1.5</t>
  </si>
  <si>
    <t>≥275</t>
  </si>
  <si>
    <t>410-540</t>
  </si>
  <si>
    <t>≥22</t>
  </si>
  <si>
    <t>2 α</t>
  </si>
  <si>
    <t>≤0.21</t>
  </si>
  <si>
    <t>Bill of Materials</t>
  </si>
  <si>
    <t>Assembly Name</t>
  </si>
  <si>
    <t>Assembly Number</t>
  </si>
  <si>
    <t>Assembly Revision</t>
  </si>
  <si>
    <t>Date of Approval</t>
  </si>
  <si>
    <t>Total Piece</t>
  </si>
  <si>
    <t>Total Cost</t>
  </si>
  <si>
    <t>BOM Level</t>
  </si>
  <si>
    <t>Raw Materials</t>
  </si>
  <si>
    <t>Assemblies &amp; Subassemblies</t>
  </si>
  <si>
    <t>Part Number</t>
  </si>
  <si>
    <t>Part Name</t>
  </si>
  <si>
    <t>Part Description</t>
  </si>
  <si>
    <t>Unit Cost</t>
  </si>
  <si>
    <t>Procurement Details</t>
  </si>
  <si>
    <t xml:space="preserve">K Manufacturing           </t>
  </si>
  <si>
    <t>Limestone</t>
  </si>
  <si>
    <t>Iron Ore ( Pellet )</t>
  </si>
  <si>
    <t>Metallurgical Coke</t>
  </si>
  <si>
    <t>Thép cacbon - SAE 1006</t>
  </si>
  <si>
    <t>Quantity output</t>
  </si>
  <si>
    <t xml:space="preserve"> Thép cacbon - SAE 1006</t>
  </si>
  <si>
    <t>Biểu giá bán ra Hòa Phát</t>
  </si>
  <si>
    <t>Group</t>
  </si>
  <si>
    <t>Products</t>
  </si>
  <si>
    <t>Nhóm</t>
  </si>
  <si>
    <t>Kg/Cây</t>
  </si>
  <si>
    <t>Đơn giá (VNĐ/Kg)</t>
  </si>
  <si>
    <t>Giá nguyên vật liệu ( 35% )</t>
  </si>
  <si>
    <t>Giá bán ra ( VAT + discount )</t>
  </si>
  <si>
    <t>Giá bán ra ( không discount ) - 15%</t>
  </si>
  <si>
    <t>Đơn vị</t>
  </si>
  <si>
    <t>Thép xây dựng</t>
  </si>
  <si>
    <t>Phôi thép</t>
  </si>
  <si>
    <t>tấn</t>
  </si>
  <si>
    <t>Thép cuộn</t>
  </si>
  <si>
    <t xml:space="preserve">Thép cuộn phi 6,8 ( 250kg )/ cuộn </t>
  </si>
  <si>
    <t>kg</t>
  </si>
  <si>
    <t>Thép cuộn cán nóng ( HRC )</t>
  </si>
  <si>
    <t>Thép HP Dung Quất</t>
  </si>
  <si>
    <t>Thép đặc biệt</t>
  </si>
  <si>
    <t>Kg</t>
  </si>
  <si>
    <t>Thép thanh</t>
  </si>
  <si>
    <t>Ống thép</t>
  </si>
  <si>
    <t>Ống thép đen</t>
  </si>
  <si>
    <t>Ống phi 21 - dày 1.0mm</t>
  </si>
  <si>
    <t>cây</t>
  </si>
  <si>
    <t>Ống phi 21 - dày 1.2mm</t>
  </si>
  <si>
    <t>Ống phi 27 - dày 1.2mm</t>
  </si>
  <si>
    <t>Ống phi 27 - dày 1.4mm</t>
  </si>
  <si>
    <t>Ống phi 27 - dày 1.8mm</t>
  </si>
  <si>
    <t>Ống phi 34 - dày 1.0mm</t>
  </si>
  <si>
    <t>Ống phi 34 - dày 1.2mm</t>
  </si>
  <si>
    <t>Ống phi 34 - dày 2.0mm</t>
  </si>
  <si>
    <t>Ống phi 34 - dày 1.8mm</t>
  </si>
  <si>
    <t>Ống phi 34 - dày 1.4mm</t>
  </si>
  <si>
    <t>Ống phi 42 - dày 1.2mm</t>
  </si>
  <si>
    <t>Ống phi 42 - dày 1.4mm</t>
  </si>
  <si>
    <t>Ống phi 42 - dày 1.8mm</t>
  </si>
  <si>
    <t>Ống phi 42 - dày  2.0mm</t>
  </si>
  <si>
    <t>Ống phi 42 - dày  2.3mm</t>
  </si>
  <si>
    <t>Ống phi 49 - dày 1.2mm</t>
  </si>
  <si>
    <t>Ống phi 49 - dày 1.4mm</t>
  </si>
  <si>
    <t>Ống phi 49 - dày 1.8mm</t>
  </si>
  <si>
    <t>Ống phi 49 - dày  2.0mm</t>
  </si>
  <si>
    <t>Ống phi 49 - dày  2.3mm</t>
  </si>
  <si>
    <t>Ống phi 60- dày 1.2mm</t>
  </si>
  <si>
    <t>Ống phi 60- dày 1.4mm</t>
  </si>
  <si>
    <t>Ống phi 60- dày 1.8mm</t>
  </si>
  <si>
    <t>Ống phi 60- dày 2.0mm</t>
  </si>
  <si>
    <t>Ống phi 76 - dày 1.2mm</t>
  </si>
  <si>
    <t>Ống phi 76- dày 1.4mm</t>
  </si>
  <si>
    <t>Ống phi 76- dày 1.8mm</t>
  </si>
  <si>
    <t>Ống phi 76- dày 2.0mm</t>
  </si>
  <si>
    <t>Ống phi 90- dày 1.4mm</t>
  </si>
  <si>
    <t>Ống phi 90- dày 1.8mm</t>
  </si>
  <si>
    <t>Ống phi 90- dày 2.0mm</t>
  </si>
  <si>
    <t>Ống phi 114- dày 1.4mm</t>
  </si>
  <si>
    <t>Ống phi 114- dày 1.8mm</t>
  </si>
  <si>
    <t>Ống phi 114- dày 2.0mm</t>
  </si>
  <si>
    <t>Ống phi 114- dày 3.0mm</t>
  </si>
  <si>
    <t>Ống thép mạ kẽm nhúng nóng</t>
  </si>
  <si>
    <t>Phi 21 - 1.6mm</t>
  </si>
  <si>
    <t>Phi 26.65 - 2.6mm</t>
  </si>
  <si>
    <t>Phi 33.5 2.5mm</t>
  </si>
  <si>
    <t>Phi 42.2 - 2.3mm</t>
  </si>
  <si>
    <t>Phi 48.1 - 2.5mm</t>
  </si>
  <si>
    <t>Ống thép cỡ lớn</t>
  </si>
  <si>
    <t>Ống đen cỡ lớn D141.3 x 3.96</t>
  </si>
  <si>
    <t>Ống đen cỡ lớn D168.3 x 6.35</t>
  </si>
  <si>
    <t>Ống đen cỡ lớn D273 x 6.35</t>
  </si>
  <si>
    <t>Tôn</t>
  </si>
  <si>
    <t>Tôn cuộn mạ kẽm</t>
  </si>
  <si>
    <t>Loại tôn dày 2.0-5.0mm</t>
  </si>
  <si>
    <t>mét</t>
  </si>
  <si>
    <t>Tôn lợp mái HP</t>
  </si>
  <si>
    <t>tấm</t>
  </si>
  <si>
    <t>Điện máy gia dụng</t>
  </si>
  <si>
    <t>Nông nghiệp</t>
  </si>
  <si>
    <t>Tổng</t>
  </si>
  <si>
    <t>Mean</t>
  </si>
  <si>
    <t>Q.input ( kg ) / tonne</t>
  </si>
  <si>
    <t>Assume all prouduct require the raw material ratio : 750 - 150 -100 kg corresponding : Iron Ore - Limestone - Metallurgical Coke</t>
  </si>
  <si>
    <t>Product</t>
  </si>
  <si>
    <t>HRC</t>
  </si>
  <si>
    <t>Demand ( month 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</si>
  <si>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</si>
  <si>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</si>
  <si>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</si>
  <si>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</si>
  <si>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</si>
  <si>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</si>
  <si>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</si>
  <si>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</si>
  <si>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</si>
  <si>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</si>
  <si>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</si>
  <si>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</si>
  <si>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Final decision = Estimated demand + safety stock</t>
  </si>
  <si>
    <t>Item : Phôi thép
Lot size : Packing standardization</t>
  </si>
  <si>
    <t>LT: 1 month</t>
  </si>
  <si>
    <t>Item : Iron Ore</t>
  </si>
  <si>
    <t>Item : Limestone</t>
  </si>
  <si>
    <t>Item : Melltagurical Coke</t>
  </si>
  <si>
    <t>Lot size : Packing standardization</t>
  </si>
  <si>
    <t>Item : Thép thanh</t>
  </si>
  <si>
    <t>Item : Phôi thép</t>
  </si>
  <si>
    <t>Mã hàng</t>
  </si>
  <si>
    <t>Đợt mua</t>
  </si>
  <si>
    <t>Tên hàng</t>
  </si>
  <si>
    <t>Số lượng</t>
  </si>
  <si>
    <t>Đơn giá</t>
  </si>
  <si>
    <t>Lưu kho</t>
  </si>
  <si>
    <t>Tổng tiền</t>
  </si>
  <si>
    <t>Release</t>
  </si>
  <si>
    <t>Scheduled</t>
  </si>
  <si>
    <t>Leadtime</t>
  </si>
  <si>
    <t>1st Jan 2023</t>
  </si>
  <si>
    <t>1 months</t>
  </si>
  <si>
    <t>A1</t>
  </si>
  <si>
    <t>A2</t>
  </si>
  <si>
    <t>A3</t>
  </si>
  <si>
    <t>Iron Ore</t>
  </si>
  <si>
    <t>Mell Coke</t>
  </si>
  <si>
    <t>Tổng giá mua</t>
  </si>
  <si>
    <t>Phụ phí thêm ( tax, tariff, insurance, packaging, delivery ….)</t>
  </si>
  <si>
    <t>Route : sản xuất thép HRC</t>
  </si>
  <si>
    <t>Mã route</t>
  </si>
  <si>
    <t>Mô tả</t>
  </si>
  <si>
    <t>Bản đồ</t>
  </si>
  <si>
    <t>Nguyên liệu đầu vào</t>
  </si>
  <si>
    <t>Sản phẩm đầu ra</t>
  </si>
  <si>
    <t>Cycle time</t>
  </si>
  <si>
    <t>Năng suất</t>
  </si>
  <si>
    <t>Chi phí</t>
  </si>
  <si>
    <t>Work center</t>
  </si>
  <si>
    <t>Mã WC</t>
  </si>
  <si>
    <t>Tên WC</t>
  </si>
  <si>
    <t>Vị trí</t>
  </si>
  <si>
    <t>Sức chứa</t>
  </si>
  <si>
    <t>Nhân viên</t>
  </si>
  <si>
    <t>Kĩ năng</t>
  </si>
  <si>
    <t>Bảo trì</t>
  </si>
  <si>
    <t>Chất lượng</t>
  </si>
  <si>
    <t>HRC01</t>
  </si>
  <si>
    <t>HRC02</t>
  </si>
  <si>
    <t>HRC03</t>
  </si>
  <si>
    <t>HRC04</t>
  </si>
  <si>
    <t>HRC05</t>
  </si>
  <si>
    <t>HRC06</t>
  </si>
  <si>
    <t>HRC07</t>
  </si>
  <si>
    <t>HRC08</t>
  </si>
  <si>
    <t>HRC09</t>
  </si>
  <si>
    <t>HRC10</t>
  </si>
  <si>
    <t>Bộ xử lý nhiệt</t>
  </si>
  <si>
    <t>Sàn nguội</t>
  </si>
  <si>
    <t>Máy cán tĩnh</t>
  </si>
  <si>
    <t>Máy cán trung</t>
  </si>
  <si>
    <t>Lò nung</t>
  </si>
  <si>
    <t>Máy cán thô</t>
  </si>
  <si>
    <t>Máy chặt đầu</t>
  </si>
  <si>
    <t>Máy chặt phân đoạn</t>
  </si>
  <si>
    <t>Máy chặt nguội</t>
  </si>
  <si>
    <t>Máy nắn thép</t>
  </si>
  <si>
    <t>Sàn đóng bó</t>
  </si>
  <si>
    <t>Đóng hàng</t>
  </si>
  <si>
    <t>HRC11</t>
  </si>
  <si>
    <t>HRC12</t>
  </si>
  <si>
    <t>nung nóng quặng sắt, than cốc và đá vôi để tạo thành gang nóng.</t>
  </si>
  <si>
    <t>100-800 tấn/giờ</t>
  </si>
  <si>
    <t>100-1000 tấn / giờ</t>
  </si>
  <si>
    <t>cán gang nóng thành phôi thép</t>
  </si>
  <si>
    <t>50-200 tấn/giờ</t>
  </si>
  <si>
    <t>cắt bỏ phần đầu và đuôi của phôi thép.</t>
  </si>
  <si>
    <t>50-500 tấn/giờ</t>
  </si>
  <si>
    <t>cán phôi thép thành các sản phẩm thép khác nhau, chẳng hạn như thép xây dựng, thép HRC, tôn màu và ống thép.</t>
  </si>
  <si>
    <t>20-200 tấn/giờ</t>
  </si>
  <si>
    <t>cán các sản phẩm thép có độ dày lớn, chẳng hạn như thép tấm và thép hình</t>
  </si>
  <si>
    <t>nung nóng và làm nguội thép</t>
  </si>
  <si>
    <t>cắt các sản phẩm thép thành các đoạn có độ dài mong muốn.</t>
  </si>
  <si>
    <t>nắn thẳng các sản phẩm thép bị cong vênh.</t>
  </si>
  <si>
    <t>cắt tỉa và hoàn thiện các chi tiết của sản phẩm.</t>
  </si>
  <si>
    <t>làm nguội các sản phẩm thép sau khi cắt phân đoạn.</t>
  </si>
  <si>
    <t>đóng gói các sản phẩm thép thành bó trước khi giao hàng.</t>
  </si>
  <si>
    <t>Thép HRC</t>
  </si>
  <si>
    <t>Phôi thép 95%</t>
  </si>
  <si>
    <t>Hợp kim 5%</t>
  </si>
  <si>
    <t>HRC mã 1</t>
  </si>
  <si>
    <t>Chi phí( VND/tấn )</t>
  </si>
  <si>
    <t>Quặng sắt</t>
  </si>
  <si>
    <t>Than cốc</t>
  </si>
  <si>
    <t>Đá vôi</t>
  </si>
  <si>
    <t>Phụ gia</t>
  </si>
  <si>
    <t>BOM</t>
  </si>
  <si>
    <t>Tôn màu</t>
  </si>
  <si>
    <t>Chất bôi trơn</t>
  </si>
  <si>
    <t>Chất chống gỉ</t>
  </si>
  <si>
    <t>Chất khử Oxy</t>
  </si>
  <si>
    <t>Chất tạo màu</t>
  </si>
  <si>
    <t>60-70%</t>
  </si>
  <si>
    <t>25-30%</t>
  </si>
  <si>
    <t>5-10%</t>
  </si>
  <si>
    <t>1-2%</t>
  </si>
  <si>
    <t>95-98%</t>
  </si>
  <si>
    <t>Hợp kim</t>
  </si>
  <si>
    <t>2-5% ( mangan, silic, crom )</t>
  </si>
  <si>
    <t>90-95%</t>
  </si>
  <si>
    <t>5-10% ( mangan, silic, crom )</t>
  </si>
  <si>
    <t>80-90%</t>
  </si>
  <si>
    <t>1-5%( mạ kẽm, sơn màu )</t>
  </si>
  <si>
    <t>2-5%(mangan, silic, crom )</t>
  </si>
  <si>
    <t>Demand nước ngoài ( 32.5% )</t>
  </si>
  <si>
    <t>Demand trong nước ( 67.5%)</t>
  </si>
  <si>
    <t>Variance</t>
  </si>
  <si>
    <t>STD</t>
  </si>
  <si>
    <t xml:space="preserve">Leadtime ( month ) ( ngoài nước ) - tàu biển </t>
  </si>
  <si>
    <t>Vôi đá</t>
  </si>
  <si>
    <t>Unit : Tấn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</si>
</sst>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"/>
    <numFmt numFmtId="165" formatCode="_([$VND]\ * #,##0.00_);_([$VND]\ * \(#,##0.00\);_([$VND]\ * &quot;-&quot;??_);_(@_)"/>
    <numFmt numFmtId="166" formatCode="#,##0\ \&amp;\ &quot;kg&quot;"/>
    <numFmt numFmtId="167" formatCode="_(* #,##0_);_(* \(#,##0\);_(* &quot;-&quot;??_);_(@_)"/>
  </numFmts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3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6" fillId="4" borderId="0" xfId="0" applyFont="1" applyFill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6" fillId="4" borderId="2" xfId="0" applyFont="1" applyFill="1" applyBorder="1" applyAlignment="1">
      <alignment horizontal="justify" vertical="center" wrapText="1"/>
    </xf>
    <xf numFmtId="0" fontId="5" fillId="4" borderId="2" xfId="0" applyFont="1" applyFill="1" applyBorder="1" applyAlignment="1">
      <alignment horizontal="justify" vertical="center" wrapText="1"/>
    </xf>
    <xf numFmtId="0" fontId="7" fillId="0" borderId="2" xfId="0" applyFont="1" applyBorder="1"/>
    <xf numFmtId="0" fontId="6" fillId="4" borderId="2" xfId="0" applyFont="1" applyFill="1" applyBorder="1" applyAlignment="1">
      <alignment vertical="center" wrapText="1"/>
    </xf>
    <xf numFmtId="0" fontId="10" fillId="5" borderId="0" xfId="0" applyFont="1" applyFill="1"/>
    <xf numFmtId="0" fontId="4" fillId="7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7" fillId="5" borderId="2" xfId="0" applyFont="1" applyFill="1" applyBorder="1"/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0" fillId="6" borderId="11" xfId="0" applyFill="1" applyBorder="1"/>
    <xf numFmtId="0" fontId="0" fillId="0" borderId="2" xfId="0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4" fillId="0" borderId="2" xfId="0" applyFont="1" applyBorder="1"/>
    <xf numFmtId="0" fontId="13" fillId="0" borderId="2" xfId="0" applyFont="1" applyBorder="1"/>
    <xf numFmtId="1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2" xfId="0" applyNumberFormat="1" applyBorder="1"/>
    <xf numFmtId="0" fontId="15" fillId="0" borderId="2" xfId="0" applyFont="1" applyBorder="1"/>
    <xf numFmtId="3" fontId="15" fillId="0" borderId="2" xfId="0" applyNumberFormat="1" applyFont="1" applyBorder="1"/>
    <xf numFmtId="2" fontId="0" fillId="0" borderId="2" xfId="0" applyNumberFormat="1" applyBorder="1"/>
    <xf numFmtId="2" fontId="15" fillId="0" borderId="2" xfId="0" applyNumberFormat="1" applyFont="1" applyBorder="1"/>
    <xf numFmtId="0" fontId="3" fillId="0" borderId="2" xfId="0" applyFont="1" applyBorder="1" applyAlignment="1">
      <alignment vertical="center"/>
    </xf>
    <xf numFmtId="166" fontId="15" fillId="0" borderId="2" xfId="0" applyNumberFormat="1" applyFont="1" applyBorder="1"/>
    <xf numFmtId="167" fontId="0" fillId="0" borderId="0" xfId="2" applyNumberFormat="1" applyFont="1"/>
    <xf numFmtId="0" fontId="0" fillId="9" borderId="0" xfId="0" applyFill="1"/>
    <xf numFmtId="0" fontId="1" fillId="9" borderId="1" xfId="0" applyFont="1" applyFill="1" applyBorder="1"/>
    <xf numFmtId="0" fontId="1" fillId="9" borderId="1" xfId="0" applyFont="1" applyFill="1" applyBorder="1" applyAlignment="1">
      <alignment wrapText="1"/>
    </xf>
    <xf numFmtId="167" fontId="1" fillId="9" borderId="1" xfId="2" applyNumberFormat="1" applyFont="1" applyFill="1" applyBorder="1"/>
    <xf numFmtId="167" fontId="0" fillId="9" borderId="0" xfId="2" applyNumberFormat="1" applyFont="1" applyFill="1"/>
    <xf numFmtId="0" fontId="1" fillId="9" borderId="1" xfId="0" applyFont="1" applyFill="1" applyBorder="1" applyAlignment="1">
      <alignment horizontal="left" vertical="top" wrapText="1"/>
    </xf>
    <xf numFmtId="17" fontId="0" fillId="0" borderId="0" xfId="0" applyNumberFormat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/>
    <xf numFmtId="0" fontId="0" fillId="8" borderId="0" xfId="0" applyFill="1"/>
    <xf numFmtId="167" fontId="1" fillId="8" borderId="1" xfId="2" applyNumberFormat="1" applyFont="1" applyFill="1" applyBorder="1"/>
    <xf numFmtId="167" fontId="0" fillId="8" borderId="0" xfId="2" applyNumberFormat="1" applyFont="1" applyFill="1"/>
    <xf numFmtId="43" fontId="0" fillId="0" borderId="0" xfId="2" applyFont="1"/>
    <xf numFmtId="167" fontId="0" fillId="0" borderId="0" xfId="0" applyNumberFormat="1"/>
    <xf numFmtId="165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8" borderId="0" xfId="0" applyFont="1" applyFill="1" applyAlignment="1">
      <alignment horizontal="center" vertical="center" wrapText="1"/>
    </xf>
    <xf numFmtId="0" fontId="2" fillId="5" borderId="11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6" borderId="2" xfId="0" applyFont="1" applyFill="1" applyBorder="1" applyAlignment="1">
      <alignment horizontal="left"/>
    </xf>
    <xf numFmtId="44" fontId="0" fillId="5" borderId="2" xfId="0" applyNumberFormat="1" applyFill="1" applyBorder="1" applyAlignment="1">
      <alignment horizont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wrapText="1"/>
    </xf>
    <xf numFmtId="0" fontId="7" fillId="5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44" fontId="0" fillId="6" borderId="2" xfId="1" applyFont="1" applyFill="1" applyBorder="1" applyAlignment="1">
      <alignment horizontal="center"/>
    </xf>
    <xf numFmtId="44" fontId="0" fillId="5" borderId="2" xfId="1" applyFont="1" applyFill="1" applyBorder="1" applyAlignment="1">
      <alignment horizontal="center"/>
    </xf>
    <xf numFmtId="44" fontId="0" fillId="5" borderId="12" xfId="1" applyFont="1" applyFill="1" applyBorder="1" applyAlignment="1">
      <alignment horizontal="center"/>
    </xf>
    <xf numFmtId="44" fontId="0" fillId="5" borderId="13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44" fontId="0" fillId="6" borderId="12" xfId="1" applyFont="1" applyFill="1" applyBorder="1" applyAlignment="1">
      <alignment horizontal="center"/>
    </xf>
    <xf numFmtId="44" fontId="0" fillId="6" borderId="13" xfId="1" applyFont="1" applyFill="1" applyBorder="1" applyAlignment="1">
      <alignment horizontal="center"/>
    </xf>
    <xf numFmtId="0" fontId="4" fillId="7" borderId="4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justify" vertical="center" wrapText="1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2" xfId="0" applyFont="1" applyBorder="1"/>
    <xf numFmtId="0" fontId="17" fillId="0" borderId="12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67" fontId="0" fillId="0" borderId="2" xfId="2" applyNumberFormat="1" applyFont="1" applyBorder="1"/>
    <xf numFmtId="0" fontId="2" fillId="5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9" fontId="0" fillId="0" borderId="2" xfId="0" applyNumberFormat="1" applyBorder="1"/>
    <xf numFmtId="10" fontId="0" fillId="0" borderId="2" xfId="0" applyNumberFormat="1" applyBorder="1"/>
    <xf numFmtId="0" fontId="17" fillId="0" borderId="2" xfId="0" applyFont="1" applyBorder="1" applyAlignment="1">
      <alignment horizontal="center"/>
    </xf>
    <xf numFmtId="43" fontId="0" fillId="0" borderId="0" xfId="0" applyNumberFormat="1"/>
    <xf numFmtId="0" fontId="0" fillId="0" borderId="2" xfId="0" applyFill="1" applyBorder="1"/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left" vertical="top" wrapText="1"/>
    </xf>
    <xf numFmtId="167" fontId="1" fillId="0" borderId="2" xfId="2" applyNumberFormat="1" applyFont="1" applyFill="1" applyBorder="1"/>
    <xf numFmtId="167" fontId="0" fillId="0" borderId="2" xfId="2" applyNumberFormat="1" applyFont="1" applyFill="1" applyBorder="1"/>
    <xf numFmtId="0" fontId="2" fillId="0" borderId="2" xfId="0" applyFont="1" applyFill="1" applyBorder="1"/>
    <xf numFmtId="43" fontId="0" fillId="0" borderId="2" xfId="0" applyNumberFormat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0</xdr:row>
      <xdr:rowOff>76200</xdr:rowOff>
    </xdr:from>
    <xdr:ext cx="4352925" cy="2286000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R27"/>
  <sheetViews>
    <sheetView workbookViewId="0">
      <selection activeCell="P15" sqref="P15"/>
    </sheetView>
  </sheetViews>
  <sheetFormatPr defaultColWidth="12.6640625" defaultRowHeight="15.75" customHeight="1" x14ac:dyDescent="0.25"/>
  <cols>
    <col min="2" max="4" width="1.88671875" customWidth="1"/>
  </cols>
  <sheetData>
    <row r="2" spans="1:18" x14ac:dyDescent="0.25">
      <c r="J2" s="1" t="s">
        <v>0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/>
    </row>
    <row r="4" spans="1:18" x14ac:dyDescent="0.25">
      <c r="J4" s="1">
        <v>0</v>
      </c>
      <c r="K4" s="1" t="s">
        <v>9</v>
      </c>
      <c r="L4" s="1">
        <v>1</v>
      </c>
      <c r="M4" s="1" t="s">
        <v>10</v>
      </c>
      <c r="N4" s="1"/>
      <c r="O4" s="1">
        <v>1</v>
      </c>
      <c r="P4" s="1">
        <v>0</v>
      </c>
      <c r="Q4" s="1"/>
      <c r="R4" s="1"/>
    </row>
    <row r="5" spans="1:18" x14ac:dyDescent="0.25">
      <c r="J5" s="1">
        <v>-1</v>
      </c>
      <c r="K5" s="1" t="s">
        <v>11</v>
      </c>
      <c r="L5" s="1">
        <v>1</v>
      </c>
      <c r="M5" s="1" t="s">
        <v>12</v>
      </c>
      <c r="N5" s="1" t="s">
        <v>13</v>
      </c>
      <c r="O5" s="1">
        <v>5</v>
      </c>
      <c r="P5" s="1">
        <v>10</v>
      </c>
      <c r="Q5" s="1" t="s">
        <v>14</v>
      </c>
      <c r="R5" s="1"/>
    </row>
    <row r="6" spans="1:18" x14ac:dyDescent="0.25">
      <c r="J6" s="1">
        <v>-1</v>
      </c>
      <c r="K6" s="1" t="s">
        <v>15</v>
      </c>
      <c r="L6" s="1">
        <v>1</v>
      </c>
      <c r="M6" s="1" t="s">
        <v>12</v>
      </c>
      <c r="N6" s="1" t="s">
        <v>16</v>
      </c>
      <c r="O6" s="1">
        <v>2</v>
      </c>
      <c r="P6" s="1">
        <v>10</v>
      </c>
      <c r="Q6" s="1" t="s">
        <v>17</v>
      </c>
      <c r="R6" s="1"/>
    </row>
    <row r="7" spans="1:18" x14ac:dyDescent="0.25">
      <c r="J7" s="1">
        <v>-1</v>
      </c>
      <c r="K7" s="1" t="s">
        <v>18</v>
      </c>
      <c r="L7" s="1">
        <v>2</v>
      </c>
      <c r="M7" s="1" t="s">
        <v>10</v>
      </c>
      <c r="N7" s="1" t="s">
        <v>19</v>
      </c>
      <c r="O7" s="1">
        <v>1</v>
      </c>
      <c r="P7" s="1">
        <v>0</v>
      </c>
      <c r="Q7" s="1"/>
      <c r="R7" s="1"/>
    </row>
    <row r="8" spans="1:18" x14ac:dyDescent="0.25">
      <c r="J8" s="1">
        <v>-2</v>
      </c>
      <c r="K8" s="1" t="s">
        <v>20</v>
      </c>
      <c r="L8" s="1">
        <v>2</v>
      </c>
      <c r="M8" s="1" t="s">
        <v>12</v>
      </c>
      <c r="N8" s="1" t="s">
        <v>21</v>
      </c>
      <c r="O8" s="1">
        <v>3</v>
      </c>
      <c r="P8" s="1">
        <v>40</v>
      </c>
      <c r="Q8" s="1" t="s">
        <v>17</v>
      </c>
      <c r="R8" s="1"/>
    </row>
    <row r="9" spans="1:18" x14ac:dyDescent="0.25">
      <c r="J9" s="1">
        <v>-2</v>
      </c>
      <c r="K9" s="1" t="s">
        <v>22</v>
      </c>
      <c r="L9" s="1">
        <v>4</v>
      </c>
      <c r="M9" s="1" t="s">
        <v>12</v>
      </c>
      <c r="N9" s="1" t="s">
        <v>16</v>
      </c>
      <c r="O9" s="1">
        <v>3</v>
      </c>
      <c r="P9" s="1">
        <v>50</v>
      </c>
      <c r="Q9" s="1" t="s">
        <v>17</v>
      </c>
      <c r="R9" s="1"/>
    </row>
    <row r="10" spans="1:18" x14ac:dyDescent="0.25">
      <c r="J10" s="1">
        <v>-2</v>
      </c>
      <c r="K10" s="1" t="s">
        <v>23</v>
      </c>
      <c r="L10" s="1">
        <v>1</v>
      </c>
      <c r="M10" s="1" t="s">
        <v>24</v>
      </c>
      <c r="N10" s="1" t="s">
        <v>25</v>
      </c>
      <c r="O10" s="1">
        <v>5</v>
      </c>
      <c r="P10" s="1">
        <v>50</v>
      </c>
      <c r="Q10" s="1" t="s">
        <v>26</v>
      </c>
      <c r="R10" s="1"/>
    </row>
    <row r="11" spans="1:18" x14ac:dyDescent="0.25">
      <c r="J11" s="1">
        <v>-1</v>
      </c>
      <c r="K11" s="1" t="s">
        <v>27</v>
      </c>
      <c r="L11" s="1">
        <v>4</v>
      </c>
      <c r="M11" s="1" t="s">
        <v>12</v>
      </c>
      <c r="N11" s="1" t="s">
        <v>28</v>
      </c>
      <c r="O11" s="1">
        <v>2</v>
      </c>
      <c r="P11" s="1">
        <v>40</v>
      </c>
      <c r="Q11" s="1" t="s">
        <v>17</v>
      </c>
      <c r="R11" s="1"/>
    </row>
    <row r="12" spans="1:18" x14ac:dyDescent="0.25">
      <c r="J12" s="1">
        <v>-1</v>
      </c>
      <c r="K12" s="1" t="s">
        <v>29</v>
      </c>
      <c r="L12" s="1">
        <v>2</v>
      </c>
      <c r="M12" s="1" t="s">
        <v>12</v>
      </c>
      <c r="N12" s="1" t="s">
        <v>30</v>
      </c>
      <c r="O12" s="1">
        <v>2</v>
      </c>
      <c r="P12" s="1">
        <v>10</v>
      </c>
      <c r="Q12" s="1" t="s">
        <v>17</v>
      </c>
      <c r="R12" s="1"/>
    </row>
    <row r="13" spans="1:18" x14ac:dyDescent="0.25">
      <c r="H13" s="1" t="s">
        <v>31</v>
      </c>
      <c r="I13" s="1"/>
    </row>
    <row r="14" spans="1:18" x14ac:dyDescent="0.25">
      <c r="A14" s="1" t="s">
        <v>32</v>
      </c>
      <c r="B14" s="1"/>
      <c r="C14" s="1"/>
      <c r="D14" s="1"/>
      <c r="E14" s="1" t="s">
        <v>2</v>
      </c>
      <c r="F14" s="1" t="s">
        <v>33</v>
      </c>
      <c r="H14" s="1" t="s">
        <v>2</v>
      </c>
      <c r="I14" s="1" t="s">
        <v>33</v>
      </c>
    </row>
    <row r="15" spans="1:18" x14ac:dyDescent="0.25">
      <c r="A15" s="1">
        <v>0</v>
      </c>
      <c r="B15" s="1"/>
      <c r="C15" s="1"/>
      <c r="D15" s="1"/>
      <c r="E15" s="1" t="s">
        <v>34</v>
      </c>
      <c r="F15" s="1">
        <v>1</v>
      </c>
      <c r="H15" s="1" t="s">
        <v>35</v>
      </c>
      <c r="I15" s="1">
        <v>1</v>
      </c>
      <c r="K15" s="1" t="s">
        <v>36</v>
      </c>
      <c r="L15" s="1"/>
      <c r="M15" s="1"/>
      <c r="N15" s="1"/>
    </row>
    <row r="16" spans="1:18" x14ac:dyDescent="0.25">
      <c r="A16" s="1"/>
      <c r="B16" s="1">
        <v>1</v>
      </c>
      <c r="C16" s="1"/>
      <c r="D16" s="1"/>
      <c r="E16" s="1" t="s">
        <v>37</v>
      </c>
      <c r="F16" s="1">
        <v>1</v>
      </c>
      <c r="H16" s="1" t="s">
        <v>37</v>
      </c>
      <c r="I16" s="1">
        <v>1</v>
      </c>
      <c r="K16" s="1" t="s">
        <v>38</v>
      </c>
      <c r="L16" s="1" t="s">
        <v>39</v>
      </c>
      <c r="M16" s="1" t="s">
        <v>3</v>
      </c>
      <c r="N16" s="1" t="s">
        <v>40</v>
      </c>
    </row>
    <row r="17" spans="1:14" x14ac:dyDescent="0.25">
      <c r="A17" s="1"/>
      <c r="B17" s="1"/>
      <c r="C17" s="1">
        <v>2</v>
      </c>
      <c r="D17" s="1"/>
      <c r="E17" s="1" t="s">
        <v>41</v>
      </c>
      <c r="F17" s="1">
        <v>2</v>
      </c>
      <c r="H17" s="1" t="s">
        <v>42</v>
      </c>
      <c r="I17" s="1">
        <v>2</v>
      </c>
      <c r="K17" s="2">
        <v>45307</v>
      </c>
      <c r="L17" s="1" t="s">
        <v>43</v>
      </c>
      <c r="M17" s="1">
        <v>5</v>
      </c>
      <c r="N17" s="1" t="s">
        <v>44</v>
      </c>
    </row>
    <row r="18" spans="1:14" x14ac:dyDescent="0.25">
      <c r="A18" s="1"/>
      <c r="B18" s="1"/>
      <c r="C18" s="1"/>
      <c r="D18" s="1">
        <v>3</v>
      </c>
      <c r="E18" s="1" t="s">
        <v>45</v>
      </c>
      <c r="F18" s="1">
        <v>2</v>
      </c>
      <c r="H18" s="1" t="s">
        <v>41</v>
      </c>
      <c r="I18" s="1">
        <v>2</v>
      </c>
      <c r="K18" s="2">
        <v>45307</v>
      </c>
      <c r="L18" s="1" t="s">
        <v>43</v>
      </c>
      <c r="M18" s="1">
        <v>5</v>
      </c>
      <c r="N18" s="1" t="s">
        <v>46</v>
      </c>
    </row>
    <row r="19" spans="1:14" x14ac:dyDescent="0.25">
      <c r="A19" s="1"/>
      <c r="B19" s="1"/>
      <c r="C19" s="1">
        <v>2</v>
      </c>
      <c r="D19" s="1"/>
      <c r="E19" s="1" t="s">
        <v>47</v>
      </c>
      <c r="F19" s="1">
        <v>3</v>
      </c>
      <c r="H19" s="1" t="s">
        <v>47</v>
      </c>
      <c r="I19" s="1">
        <v>3</v>
      </c>
      <c r="K19" s="2">
        <v>45308</v>
      </c>
      <c r="L19" s="1" t="s">
        <v>48</v>
      </c>
      <c r="M19" s="1">
        <v>10</v>
      </c>
      <c r="N19" s="1" t="s">
        <v>44</v>
      </c>
    </row>
    <row r="20" spans="1:14" x14ac:dyDescent="0.25">
      <c r="A20" s="1"/>
      <c r="B20" s="1"/>
      <c r="C20" s="1"/>
      <c r="D20" s="1">
        <v>3</v>
      </c>
      <c r="E20" s="1" t="s">
        <v>49</v>
      </c>
      <c r="F20" s="1">
        <v>3</v>
      </c>
      <c r="H20" s="1" t="s">
        <v>50</v>
      </c>
      <c r="I20" s="1">
        <v>3</v>
      </c>
      <c r="K20" s="2">
        <v>45308</v>
      </c>
      <c r="L20" s="1" t="s">
        <v>48</v>
      </c>
      <c r="M20" s="1">
        <v>10</v>
      </c>
      <c r="N20" s="1" t="s">
        <v>46</v>
      </c>
    </row>
    <row r="21" spans="1:14" x14ac:dyDescent="0.25">
      <c r="A21" s="1"/>
      <c r="B21" s="1"/>
      <c r="C21" s="1">
        <v>2</v>
      </c>
      <c r="D21" s="1"/>
      <c r="E21" s="1" t="s">
        <v>51</v>
      </c>
      <c r="F21" s="1">
        <v>2</v>
      </c>
      <c r="H21" s="1" t="s">
        <v>52</v>
      </c>
      <c r="I21" s="1">
        <v>8</v>
      </c>
      <c r="K21" s="2">
        <v>45308</v>
      </c>
      <c r="L21" s="1" t="s">
        <v>53</v>
      </c>
      <c r="M21" s="1">
        <v>12</v>
      </c>
      <c r="N21" s="1" t="s">
        <v>44</v>
      </c>
    </row>
    <row r="22" spans="1:14" x14ac:dyDescent="0.25">
      <c r="A22" s="1"/>
      <c r="B22" s="1">
        <v>1</v>
      </c>
      <c r="C22" s="1"/>
      <c r="D22" s="1"/>
      <c r="E22" s="1" t="s">
        <v>42</v>
      </c>
      <c r="F22" s="1">
        <v>2</v>
      </c>
      <c r="H22" s="1" t="s">
        <v>52</v>
      </c>
      <c r="I22" s="1">
        <v>2</v>
      </c>
      <c r="K22" s="2">
        <v>45308</v>
      </c>
      <c r="L22" s="1" t="s">
        <v>53</v>
      </c>
      <c r="M22" s="1">
        <v>6</v>
      </c>
      <c r="N22" s="1" t="s">
        <v>46</v>
      </c>
    </row>
    <row r="23" spans="1:14" x14ac:dyDescent="0.25">
      <c r="A23" s="1"/>
      <c r="B23" s="1"/>
      <c r="C23" s="1">
        <v>2</v>
      </c>
      <c r="D23" s="1"/>
      <c r="E23" s="1" t="s">
        <v>52</v>
      </c>
      <c r="F23" s="1">
        <v>4</v>
      </c>
      <c r="H23" s="1" t="s">
        <v>54</v>
      </c>
      <c r="I23" s="1">
        <v>24</v>
      </c>
      <c r="K23" s="2">
        <v>45309</v>
      </c>
      <c r="L23" s="1" t="s">
        <v>55</v>
      </c>
      <c r="M23" s="1">
        <v>10</v>
      </c>
      <c r="N23" s="1" t="s">
        <v>44</v>
      </c>
    </row>
    <row r="24" spans="1:14" x14ac:dyDescent="0.25">
      <c r="A24" s="1"/>
      <c r="B24" s="1"/>
      <c r="C24" s="1"/>
      <c r="D24" s="1">
        <v>3</v>
      </c>
      <c r="E24" s="1" t="s">
        <v>56</v>
      </c>
      <c r="F24" s="1">
        <v>3</v>
      </c>
      <c r="H24" s="1" t="s">
        <v>57</v>
      </c>
      <c r="I24" s="1">
        <v>24</v>
      </c>
      <c r="K24" s="2">
        <v>45310</v>
      </c>
      <c r="L24" s="1" t="s">
        <v>58</v>
      </c>
      <c r="M24" s="1">
        <v>12</v>
      </c>
      <c r="N24" s="1" t="s">
        <v>44</v>
      </c>
    </row>
    <row r="25" spans="1:14" x14ac:dyDescent="0.25">
      <c r="A25" s="1"/>
      <c r="B25" s="1"/>
      <c r="C25" s="1"/>
      <c r="D25" s="1">
        <v>3</v>
      </c>
      <c r="E25" s="1" t="s">
        <v>54</v>
      </c>
      <c r="F25" s="1">
        <v>3</v>
      </c>
      <c r="H25" s="1" t="s">
        <v>45</v>
      </c>
      <c r="I25" s="1">
        <v>4</v>
      </c>
      <c r="K25" s="2">
        <v>45311</v>
      </c>
      <c r="L25" s="1" t="s">
        <v>58</v>
      </c>
      <c r="M25" s="1">
        <v>12</v>
      </c>
      <c r="N25" s="1" t="s">
        <v>46</v>
      </c>
    </row>
    <row r="26" spans="1:14" x14ac:dyDescent="0.25">
      <c r="A26" s="1"/>
      <c r="B26" s="1"/>
      <c r="C26" s="1"/>
      <c r="D26" s="1">
        <v>3</v>
      </c>
      <c r="E26" s="1" t="s">
        <v>59</v>
      </c>
      <c r="F26" s="1">
        <v>1</v>
      </c>
      <c r="H26" s="1" t="s">
        <v>49</v>
      </c>
      <c r="I26" s="1">
        <v>7</v>
      </c>
      <c r="K26" s="2">
        <v>45311</v>
      </c>
      <c r="L26" s="1" t="s">
        <v>55</v>
      </c>
      <c r="M26" s="1">
        <v>12</v>
      </c>
      <c r="N26" s="1" t="s">
        <v>46</v>
      </c>
    </row>
    <row r="27" spans="1:14" x14ac:dyDescent="0.25">
      <c r="A27" s="1"/>
      <c r="B27" s="1"/>
      <c r="C27" s="1">
        <v>2</v>
      </c>
      <c r="D27" s="1"/>
      <c r="E27" s="1" t="s">
        <v>60</v>
      </c>
      <c r="F27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10E-DE34-4F28-B7CA-3668209602D7}">
  <dimension ref="A1:L57"/>
  <sheetViews>
    <sheetView zoomScale="68" workbookViewId="0">
      <selection activeCell="L3" sqref="L3"/>
    </sheetView>
  </sheetViews>
  <sheetFormatPr defaultRowHeight="13.2" x14ac:dyDescent="0.25"/>
  <cols>
    <col min="1" max="1" width="19.33203125" bestFit="1" customWidth="1"/>
    <col min="2" max="2" width="30.77734375" bestFit="1" customWidth="1"/>
    <col min="3" max="3" width="29.77734375" bestFit="1" customWidth="1"/>
    <col min="4" max="4" width="7.6640625" bestFit="1" customWidth="1"/>
    <col min="5" max="5" width="17.88671875" bestFit="1" customWidth="1"/>
    <col min="6" max="6" width="26.21875" bestFit="1" customWidth="1"/>
    <col min="7" max="7" width="32.109375" bestFit="1" customWidth="1"/>
    <col min="8" max="8" width="39" bestFit="1" customWidth="1"/>
    <col min="9" max="9" width="7.88671875" bestFit="1" customWidth="1"/>
    <col min="12" max="12" width="25.88671875" bestFit="1" customWidth="1"/>
  </cols>
  <sheetData>
    <row r="1" spans="1:12" ht="28.2" x14ac:dyDescent="0.5">
      <c r="A1" s="61" t="s">
        <v>309</v>
      </c>
      <c r="B1" s="61"/>
      <c r="C1" s="61"/>
      <c r="D1" s="61"/>
      <c r="E1" s="61"/>
      <c r="F1" s="61"/>
      <c r="G1" s="61"/>
      <c r="H1" s="61"/>
      <c r="I1" s="61"/>
    </row>
    <row r="2" spans="1:12" ht="15.6" x14ac:dyDescent="0.3">
      <c r="A2" s="31" t="s">
        <v>310</v>
      </c>
      <c r="B2" s="31" t="s">
        <v>311</v>
      </c>
      <c r="C2" s="31" t="s">
        <v>312</v>
      </c>
      <c r="D2" s="32" t="s">
        <v>313</v>
      </c>
      <c r="E2" s="32" t="s">
        <v>314</v>
      </c>
      <c r="F2" s="32" t="s">
        <v>315</v>
      </c>
      <c r="G2" s="33" t="s">
        <v>316</v>
      </c>
      <c r="H2" s="33" t="s">
        <v>317</v>
      </c>
      <c r="I2" s="33" t="s">
        <v>318</v>
      </c>
    </row>
    <row r="3" spans="1:12" x14ac:dyDescent="0.25">
      <c r="A3" s="62" t="s">
        <v>319</v>
      </c>
      <c r="B3" s="12" t="s">
        <v>320</v>
      </c>
      <c r="C3" s="12"/>
      <c r="D3" s="34"/>
      <c r="E3" s="12"/>
      <c r="F3" s="35">
        <f>35%*H3</f>
        <v>5107725</v>
      </c>
      <c r="G3" s="36">
        <f>540*23500</f>
        <v>12690000</v>
      </c>
      <c r="H3" s="36">
        <f>G3+(G3*15%)</f>
        <v>14593500</v>
      </c>
      <c r="I3" s="11" t="s">
        <v>321</v>
      </c>
      <c r="L3" s="58"/>
    </row>
    <row r="4" spans="1:12" x14ac:dyDescent="0.25">
      <c r="A4" s="63"/>
      <c r="B4" s="12" t="s">
        <v>322</v>
      </c>
      <c r="C4" s="12" t="s">
        <v>323</v>
      </c>
      <c r="D4" s="34"/>
      <c r="E4" s="12"/>
      <c r="F4" s="35">
        <f t="shared" ref="F4:F53" si="0">35%*H4</f>
        <v>5232.5</v>
      </c>
      <c r="G4" s="36">
        <v>13000</v>
      </c>
      <c r="H4" s="36">
        <f>G4+(G4*15%)</f>
        <v>14950</v>
      </c>
      <c r="I4" s="11" t="s">
        <v>324</v>
      </c>
    </row>
    <row r="5" spans="1:12" x14ac:dyDescent="0.25">
      <c r="A5" s="63"/>
      <c r="B5" s="12" t="s">
        <v>325</v>
      </c>
      <c r="C5" s="12" t="s">
        <v>326</v>
      </c>
      <c r="D5" s="34"/>
      <c r="E5" s="12"/>
      <c r="F5" s="35">
        <f t="shared" si="0"/>
        <v>8516.9</v>
      </c>
      <c r="G5" s="36">
        <v>21160</v>
      </c>
      <c r="H5" s="36">
        <f t="shared" ref="H5:H53" si="1">G5+(G5*15%)</f>
        <v>24334</v>
      </c>
      <c r="I5" s="11" t="s">
        <v>324</v>
      </c>
    </row>
    <row r="6" spans="1:12" x14ac:dyDescent="0.25">
      <c r="A6" s="63"/>
      <c r="B6" s="12" t="s">
        <v>327</v>
      </c>
      <c r="C6" s="12"/>
      <c r="D6" s="34"/>
      <c r="E6" s="12"/>
      <c r="F6" s="35">
        <f t="shared" si="0"/>
        <v>8049.9999999999991</v>
      </c>
      <c r="G6" s="36">
        <v>20000</v>
      </c>
      <c r="H6" s="36">
        <f t="shared" si="1"/>
        <v>23000</v>
      </c>
      <c r="I6" s="11" t="s">
        <v>328</v>
      </c>
    </row>
    <row r="7" spans="1:12" x14ac:dyDescent="0.25">
      <c r="A7" s="63"/>
      <c r="B7" s="12"/>
      <c r="C7" s="12"/>
      <c r="D7" s="34"/>
      <c r="E7" s="12"/>
      <c r="F7" s="35">
        <f t="shared" si="0"/>
        <v>0</v>
      </c>
      <c r="G7" s="36"/>
      <c r="H7" s="36"/>
      <c r="I7" s="11"/>
    </row>
    <row r="8" spans="1:12" x14ac:dyDescent="0.25">
      <c r="A8" s="64"/>
      <c r="B8" s="12" t="s">
        <v>329</v>
      </c>
      <c r="C8" s="12"/>
      <c r="D8" s="34"/>
      <c r="E8" s="12"/>
      <c r="F8" s="35">
        <f t="shared" si="0"/>
        <v>5691350</v>
      </c>
      <c r="G8" s="36">
        <v>14140000</v>
      </c>
      <c r="H8" s="36">
        <f t="shared" si="1"/>
        <v>16261000</v>
      </c>
      <c r="I8" s="11" t="s">
        <v>321</v>
      </c>
    </row>
    <row r="9" spans="1:12" x14ac:dyDescent="0.25">
      <c r="A9" s="62" t="s">
        <v>330</v>
      </c>
      <c r="B9" s="65" t="s">
        <v>331</v>
      </c>
      <c r="C9" s="12" t="s">
        <v>332</v>
      </c>
      <c r="D9" s="34"/>
      <c r="E9" s="12"/>
      <c r="F9" s="35">
        <f t="shared" si="0"/>
        <v>14852.249999999998</v>
      </c>
      <c r="G9" s="36">
        <v>36900</v>
      </c>
      <c r="H9" s="36">
        <f t="shared" si="1"/>
        <v>42435</v>
      </c>
      <c r="I9" s="12" t="s">
        <v>333</v>
      </c>
    </row>
    <row r="10" spans="1:12" x14ac:dyDescent="0.25">
      <c r="A10" s="63"/>
      <c r="B10" s="65"/>
      <c r="C10" s="12" t="s">
        <v>334</v>
      </c>
      <c r="D10" s="34"/>
      <c r="E10" s="12"/>
      <c r="F10" s="35">
        <f t="shared" si="0"/>
        <v>18112.5</v>
      </c>
      <c r="G10" s="36">
        <v>45000</v>
      </c>
      <c r="H10" s="36">
        <f t="shared" si="1"/>
        <v>51750</v>
      </c>
      <c r="I10" s="12" t="s">
        <v>333</v>
      </c>
    </row>
    <row r="11" spans="1:12" x14ac:dyDescent="0.25">
      <c r="A11" s="63"/>
      <c r="B11" s="65"/>
      <c r="C11" s="12" t="s">
        <v>335</v>
      </c>
      <c r="D11" s="34"/>
      <c r="E11" s="12"/>
      <c r="F11" s="35">
        <f t="shared" si="0"/>
        <v>19199.25</v>
      </c>
      <c r="G11" s="36">
        <v>47700</v>
      </c>
      <c r="H11" s="36">
        <f t="shared" si="1"/>
        <v>54855</v>
      </c>
      <c r="I11" s="12" t="s">
        <v>333</v>
      </c>
    </row>
    <row r="12" spans="1:12" x14ac:dyDescent="0.25">
      <c r="A12" s="63"/>
      <c r="B12" s="65"/>
      <c r="C12" s="12" t="s">
        <v>336</v>
      </c>
      <c r="D12" s="34"/>
      <c r="E12" s="12"/>
      <c r="F12" s="35">
        <f t="shared" si="0"/>
        <v>22459.5</v>
      </c>
      <c r="G12" s="36">
        <v>55800</v>
      </c>
      <c r="H12" s="36">
        <f t="shared" si="1"/>
        <v>64170</v>
      </c>
      <c r="I12" s="12" t="s">
        <v>333</v>
      </c>
    </row>
    <row r="13" spans="1:12" x14ac:dyDescent="0.25">
      <c r="A13" s="63"/>
      <c r="B13" s="65"/>
      <c r="C13" s="12" t="s">
        <v>337</v>
      </c>
      <c r="D13" s="34"/>
      <c r="E13" s="12"/>
      <c r="F13" s="35">
        <f t="shared" si="0"/>
        <v>35862.75</v>
      </c>
      <c r="G13" s="36">
        <v>89100</v>
      </c>
      <c r="H13" s="36">
        <f t="shared" si="1"/>
        <v>102465</v>
      </c>
      <c r="I13" s="12" t="s">
        <v>333</v>
      </c>
    </row>
    <row r="14" spans="1:12" x14ac:dyDescent="0.25">
      <c r="A14" s="63"/>
      <c r="B14" s="65"/>
      <c r="C14" s="12" t="s">
        <v>338</v>
      </c>
      <c r="D14" s="34"/>
      <c r="E14" s="12"/>
      <c r="F14" s="35">
        <f t="shared" si="0"/>
        <v>24633</v>
      </c>
      <c r="G14" s="36">
        <v>61200</v>
      </c>
      <c r="H14" s="36">
        <f t="shared" si="1"/>
        <v>70380</v>
      </c>
      <c r="I14" s="12" t="s">
        <v>333</v>
      </c>
    </row>
    <row r="15" spans="1:12" x14ac:dyDescent="0.25">
      <c r="A15" s="63"/>
      <c r="B15" s="65"/>
      <c r="C15" s="12" t="s">
        <v>339</v>
      </c>
      <c r="D15" s="34"/>
      <c r="E15" s="12"/>
      <c r="F15" s="35">
        <f t="shared" si="0"/>
        <v>29704.499999999996</v>
      </c>
      <c r="G15" s="36">
        <v>73800</v>
      </c>
      <c r="H15" s="36">
        <f t="shared" si="1"/>
        <v>84870</v>
      </c>
      <c r="I15" s="12" t="s">
        <v>333</v>
      </c>
    </row>
    <row r="16" spans="1:12" x14ac:dyDescent="0.25">
      <c r="A16" s="63"/>
      <c r="B16" s="65"/>
      <c r="C16" s="12" t="s">
        <v>340</v>
      </c>
      <c r="D16" s="34"/>
      <c r="E16" s="12"/>
      <c r="F16" s="35">
        <f t="shared" si="0"/>
        <v>36949.5</v>
      </c>
      <c r="G16" s="36">
        <v>91800</v>
      </c>
      <c r="H16" s="36">
        <f t="shared" si="1"/>
        <v>105570</v>
      </c>
      <c r="I16" s="12" t="s">
        <v>333</v>
      </c>
    </row>
    <row r="17" spans="1:9" x14ac:dyDescent="0.25">
      <c r="A17" s="63"/>
      <c r="B17" s="65"/>
      <c r="C17" s="12" t="s">
        <v>341</v>
      </c>
      <c r="D17" s="34"/>
      <c r="E17" s="12"/>
      <c r="F17" s="35">
        <f t="shared" si="0"/>
        <v>46730.25</v>
      </c>
      <c r="G17" s="36">
        <v>116100</v>
      </c>
      <c r="H17" s="36">
        <f t="shared" si="1"/>
        <v>133515</v>
      </c>
      <c r="I17" s="12" t="s">
        <v>333</v>
      </c>
    </row>
    <row r="18" spans="1:9" x14ac:dyDescent="0.25">
      <c r="A18" s="63"/>
      <c r="B18" s="65"/>
      <c r="C18" s="12" t="s">
        <v>342</v>
      </c>
      <c r="D18" s="34"/>
      <c r="E18" s="12"/>
      <c r="F18" s="35">
        <f t="shared" si="0"/>
        <v>61220.249999999993</v>
      </c>
      <c r="G18" s="36">
        <v>152100</v>
      </c>
      <c r="H18" s="36">
        <f t="shared" si="1"/>
        <v>174915</v>
      </c>
      <c r="I18" s="12" t="s">
        <v>333</v>
      </c>
    </row>
    <row r="19" spans="1:9" x14ac:dyDescent="0.25">
      <c r="A19" s="63"/>
      <c r="B19" s="65"/>
      <c r="C19" s="12" t="s">
        <v>343</v>
      </c>
      <c r="D19" s="34"/>
      <c r="E19" s="12"/>
      <c r="F19" s="35">
        <f t="shared" si="0"/>
        <v>43470</v>
      </c>
      <c r="G19" s="36">
        <v>108000</v>
      </c>
      <c r="H19" s="36">
        <f t="shared" si="1"/>
        <v>124200</v>
      </c>
      <c r="I19" s="12" t="s">
        <v>333</v>
      </c>
    </row>
    <row r="20" spans="1:9" x14ac:dyDescent="0.25">
      <c r="A20" s="63"/>
      <c r="B20" s="65"/>
      <c r="C20" s="12" t="s">
        <v>344</v>
      </c>
      <c r="D20" s="34"/>
      <c r="E20" s="12"/>
      <c r="F20" s="35">
        <f t="shared" si="0"/>
        <v>47092.5</v>
      </c>
      <c r="G20" s="36">
        <v>117000</v>
      </c>
      <c r="H20" s="36">
        <f t="shared" si="1"/>
        <v>134550</v>
      </c>
      <c r="I20" s="12" t="s">
        <v>333</v>
      </c>
    </row>
    <row r="21" spans="1:9" x14ac:dyDescent="0.25">
      <c r="A21" s="63"/>
      <c r="B21" s="65"/>
      <c r="C21" s="12" t="s">
        <v>345</v>
      </c>
      <c r="D21" s="34"/>
      <c r="E21" s="12"/>
      <c r="F21" s="35">
        <f t="shared" si="0"/>
        <v>57597.749999999993</v>
      </c>
      <c r="G21" s="36">
        <v>143100</v>
      </c>
      <c r="H21" s="36">
        <f t="shared" si="1"/>
        <v>164565</v>
      </c>
      <c r="I21" s="12" t="s">
        <v>333</v>
      </c>
    </row>
    <row r="22" spans="1:9" x14ac:dyDescent="0.25">
      <c r="A22" s="63"/>
      <c r="B22" s="65"/>
      <c r="C22" s="12" t="s">
        <v>346</v>
      </c>
      <c r="D22" s="34"/>
      <c r="E22" s="12"/>
      <c r="F22" s="35">
        <f t="shared" si="0"/>
        <v>70638.75</v>
      </c>
      <c r="G22" s="36">
        <v>175500</v>
      </c>
      <c r="H22" s="36">
        <f t="shared" si="1"/>
        <v>201825</v>
      </c>
      <c r="I22" s="12" t="s">
        <v>333</v>
      </c>
    </row>
    <row r="23" spans="1:9" x14ac:dyDescent="0.25">
      <c r="A23" s="63"/>
      <c r="B23" s="65"/>
      <c r="C23" s="12" t="s">
        <v>347</v>
      </c>
      <c r="D23" s="34"/>
      <c r="E23" s="12"/>
      <c r="F23" s="35">
        <f t="shared" si="0"/>
        <v>80419.5</v>
      </c>
      <c r="G23" s="36">
        <v>199800</v>
      </c>
      <c r="H23" s="36">
        <f t="shared" si="1"/>
        <v>229770</v>
      </c>
      <c r="I23" s="12" t="s">
        <v>333</v>
      </c>
    </row>
    <row r="24" spans="1:9" x14ac:dyDescent="0.25">
      <c r="A24" s="63"/>
      <c r="B24" s="65"/>
      <c r="C24" s="12" t="s">
        <v>348</v>
      </c>
      <c r="D24" s="34"/>
      <c r="E24" s="12"/>
      <c r="F24" s="35">
        <f t="shared" si="0"/>
        <v>43470</v>
      </c>
      <c r="G24" s="36">
        <v>108000</v>
      </c>
      <c r="H24" s="36">
        <f t="shared" si="1"/>
        <v>124200</v>
      </c>
      <c r="I24" s="12" t="s">
        <v>333</v>
      </c>
    </row>
    <row r="25" spans="1:9" x14ac:dyDescent="0.25">
      <c r="A25" s="63"/>
      <c r="B25" s="65"/>
      <c r="C25" s="12" t="s">
        <v>349</v>
      </c>
      <c r="D25" s="34"/>
      <c r="E25" s="12"/>
      <c r="F25" s="35">
        <f t="shared" si="0"/>
        <v>53975.25</v>
      </c>
      <c r="G25" s="36">
        <v>134100</v>
      </c>
      <c r="H25" s="36">
        <f t="shared" si="1"/>
        <v>154215</v>
      </c>
      <c r="I25" s="12" t="s">
        <v>333</v>
      </c>
    </row>
    <row r="26" spans="1:9" x14ac:dyDescent="0.25">
      <c r="A26" s="63"/>
      <c r="B26" s="65"/>
      <c r="C26" s="12" t="s">
        <v>350</v>
      </c>
      <c r="D26" s="34"/>
      <c r="E26" s="12"/>
      <c r="F26" s="35">
        <f t="shared" si="0"/>
        <v>69552</v>
      </c>
      <c r="G26" s="36">
        <v>172800</v>
      </c>
      <c r="H26" s="36">
        <f t="shared" si="1"/>
        <v>198720</v>
      </c>
      <c r="I26" s="12" t="s">
        <v>333</v>
      </c>
    </row>
    <row r="27" spans="1:9" x14ac:dyDescent="0.25">
      <c r="A27" s="63"/>
      <c r="B27" s="65"/>
      <c r="C27" s="12" t="s">
        <v>351</v>
      </c>
      <c r="D27" s="34"/>
      <c r="E27" s="12"/>
      <c r="F27" s="35">
        <f t="shared" si="0"/>
        <v>82230.75</v>
      </c>
      <c r="G27" s="36">
        <v>204300</v>
      </c>
      <c r="H27" s="36">
        <f t="shared" si="1"/>
        <v>234945</v>
      </c>
      <c r="I27" s="12" t="s">
        <v>333</v>
      </c>
    </row>
    <row r="28" spans="1:9" x14ac:dyDescent="0.25">
      <c r="A28" s="63"/>
      <c r="B28" s="65"/>
      <c r="C28" s="12" t="s">
        <v>352</v>
      </c>
      <c r="D28" s="34"/>
      <c r="E28" s="12"/>
      <c r="F28" s="35">
        <f t="shared" si="0"/>
        <v>93460.5</v>
      </c>
      <c r="G28" s="36">
        <v>232200</v>
      </c>
      <c r="H28" s="36">
        <f t="shared" si="1"/>
        <v>267030</v>
      </c>
      <c r="I28" s="12" t="s">
        <v>333</v>
      </c>
    </row>
    <row r="29" spans="1:9" x14ac:dyDescent="0.25">
      <c r="A29" s="63"/>
      <c r="B29" s="65"/>
      <c r="C29" s="12" t="s">
        <v>353</v>
      </c>
      <c r="D29" s="34"/>
      <c r="E29" s="12"/>
      <c r="F29" s="35">
        <f t="shared" si="0"/>
        <v>51439.5</v>
      </c>
      <c r="G29" s="36">
        <v>127800</v>
      </c>
      <c r="H29" s="36">
        <f t="shared" si="1"/>
        <v>146970</v>
      </c>
      <c r="I29" s="12" t="s">
        <v>333</v>
      </c>
    </row>
    <row r="30" spans="1:9" x14ac:dyDescent="0.25">
      <c r="A30" s="63"/>
      <c r="B30" s="65"/>
      <c r="C30" s="12" t="s">
        <v>354</v>
      </c>
      <c r="D30" s="34"/>
      <c r="E30" s="12"/>
      <c r="F30" s="35">
        <f t="shared" si="0"/>
        <v>67016.25</v>
      </c>
      <c r="G30" s="36">
        <v>166500</v>
      </c>
      <c r="H30" s="36">
        <f t="shared" si="1"/>
        <v>191475</v>
      </c>
      <c r="I30" s="12" t="s">
        <v>333</v>
      </c>
    </row>
    <row r="31" spans="1:9" x14ac:dyDescent="0.25">
      <c r="A31" s="63"/>
      <c r="B31" s="65"/>
      <c r="C31" s="12" t="s">
        <v>355</v>
      </c>
      <c r="D31" s="34"/>
      <c r="E31" s="12"/>
      <c r="F31" s="35">
        <f t="shared" si="0"/>
        <v>80781.75</v>
      </c>
      <c r="G31" s="36">
        <v>200700</v>
      </c>
      <c r="H31" s="36">
        <f t="shared" si="1"/>
        <v>230805</v>
      </c>
      <c r="I31" s="12" t="s">
        <v>333</v>
      </c>
    </row>
    <row r="32" spans="1:9" x14ac:dyDescent="0.25">
      <c r="A32" s="63"/>
      <c r="B32" s="65"/>
      <c r="C32" s="12" t="s">
        <v>356</v>
      </c>
      <c r="D32" s="34"/>
      <c r="E32" s="12"/>
      <c r="F32" s="35">
        <f t="shared" si="0"/>
        <v>101067.75</v>
      </c>
      <c r="G32" s="36">
        <v>251100</v>
      </c>
      <c r="H32" s="36">
        <f t="shared" si="1"/>
        <v>288765</v>
      </c>
      <c r="I32" s="12" t="s">
        <v>333</v>
      </c>
    </row>
    <row r="33" spans="1:9" x14ac:dyDescent="0.25">
      <c r="A33" s="63"/>
      <c r="B33" s="65"/>
      <c r="C33" s="12" t="s">
        <v>357</v>
      </c>
      <c r="D33" s="34"/>
      <c r="E33" s="12"/>
      <c r="F33" s="35">
        <f t="shared" si="0"/>
        <v>68827.5</v>
      </c>
      <c r="G33" s="36">
        <v>171000</v>
      </c>
      <c r="H33" s="36">
        <f t="shared" si="1"/>
        <v>196650</v>
      </c>
      <c r="I33" s="12" t="s">
        <v>333</v>
      </c>
    </row>
    <row r="34" spans="1:9" x14ac:dyDescent="0.25">
      <c r="A34" s="63"/>
      <c r="B34" s="65"/>
      <c r="C34" s="12" t="s">
        <v>358</v>
      </c>
      <c r="D34" s="34"/>
      <c r="E34" s="12"/>
      <c r="F34" s="35">
        <f t="shared" si="0"/>
        <v>84766.5</v>
      </c>
      <c r="G34" s="36">
        <v>210600</v>
      </c>
      <c r="H34" s="36">
        <f t="shared" si="1"/>
        <v>242190</v>
      </c>
      <c r="I34" s="12" t="s">
        <v>333</v>
      </c>
    </row>
    <row r="35" spans="1:9" x14ac:dyDescent="0.25">
      <c r="A35" s="63"/>
      <c r="B35" s="65"/>
      <c r="C35" s="12" t="s">
        <v>359</v>
      </c>
      <c r="D35" s="34"/>
      <c r="E35" s="12"/>
      <c r="F35" s="35">
        <f t="shared" si="0"/>
        <v>105777</v>
      </c>
      <c r="G35" s="36">
        <v>262800</v>
      </c>
      <c r="H35" s="36">
        <f t="shared" si="1"/>
        <v>302220</v>
      </c>
      <c r="I35" s="12" t="s">
        <v>333</v>
      </c>
    </row>
    <row r="36" spans="1:9" x14ac:dyDescent="0.25">
      <c r="A36" s="63"/>
      <c r="B36" s="65"/>
      <c r="C36" s="12" t="s">
        <v>360</v>
      </c>
      <c r="D36" s="34"/>
      <c r="E36" s="12"/>
      <c r="F36" s="35">
        <f t="shared" si="0"/>
        <v>131134.5</v>
      </c>
      <c r="G36" s="36">
        <v>325800</v>
      </c>
      <c r="H36" s="36">
        <f t="shared" si="1"/>
        <v>374670</v>
      </c>
      <c r="I36" s="12" t="s">
        <v>333</v>
      </c>
    </row>
    <row r="37" spans="1:9" x14ac:dyDescent="0.25">
      <c r="A37" s="63"/>
      <c r="B37" s="65"/>
      <c r="C37" s="12" t="s">
        <v>361</v>
      </c>
      <c r="D37" s="34"/>
      <c r="E37" s="12"/>
      <c r="F37" s="35">
        <f t="shared" si="0"/>
        <v>99618.75</v>
      </c>
      <c r="G37" s="36">
        <v>247500</v>
      </c>
      <c r="H37" s="36">
        <f t="shared" si="1"/>
        <v>284625</v>
      </c>
      <c r="I37" s="12" t="s">
        <v>333</v>
      </c>
    </row>
    <row r="38" spans="1:9" x14ac:dyDescent="0.25">
      <c r="A38" s="63"/>
      <c r="B38" s="65"/>
      <c r="C38" s="12" t="s">
        <v>362</v>
      </c>
      <c r="D38" s="34"/>
      <c r="E38" s="12"/>
      <c r="F38" s="35">
        <f t="shared" si="0"/>
        <v>126425.24999999999</v>
      </c>
      <c r="G38" s="36">
        <v>314100</v>
      </c>
      <c r="H38" s="36">
        <f t="shared" si="1"/>
        <v>361215</v>
      </c>
      <c r="I38" s="12" t="s">
        <v>333</v>
      </c>
    </row>
    <row r="39" spans="1:9" x14ac:dyDescent="0.25">
      <c r="A39" s="63"/>
      <c r="B39" s="65"/>
      <c r="C39" s="12" t="s">
        <v>363</v>
      </c>
      <c r="D39" s="34"/>
      <c r="E39" s="12"/>
      <c r="F39" s="35">
        <f t="shared" si="0"/>
        <v>163374.75</v>
      </c>
      <c r="G39" s="36">
        <v>405900</v>
      </c>
      <c r="H39" s="36">
        <f t="shared" si="1"/>
        <v>466785</v>
      </c>
      <c r="I39" s="12" t="s">
        <v>333</v>
      </c>
    </row>
    <row r="40" spans="1:9" x14ac:dyDescent="0.25">
      <c r="A40" s="63"/>
      <c r="B40" s="65"/>
      <c r="C40" s="12" t="s">
        <v>364</v>
      </c>
      <c r="D40" s="34"/>
      <c r="E40" s="12"/>
      <c r="F40" s="35">
        <f t="shared" si="0"/>
        <v>127874.24999999999</v>
      </c>
      <c r="G40" s="36">
        <v>317700</v>
      </c>
      <c r="H40" s="36">
        <f t="shared" si="1"/>
        <v>365355</v>
      </c>
      <c r="I40" s="12" t="s">
        <v>333</v>
      </c>
    </row>
    <row r="41" spans="1:9" x14ac:dyDescent="0.25">
      <c r="A41" s="63"/>
      <c r="B41" s="65"/>
      <c r="C41" s="12" t="s">
        <v>365</v>
      </c>
      <c r="D41" s="34"/>
      <c r="E41" s="12"/>
      <c r="F41" s="35">
        <f t="shared" si="0"/>
        <v>156492</v>
      </c>
      <c r="G41" s="36">
        <v>388800</v>
      </c>
      <c r="H41" s="36">
        <f t="shared" si="1"/>
        <v>447120</v>
      </c>
      <c r="I41" s="12" t="s">
        <v>333</v>
      </c>
    </row>
    <row r="42" spans="1:9" x14ac:dyDescent="0.25">
      <c r="A42" s="63"/>
      <c r="B42" s="65"/>
      <c r="C42" s="12" t="s">
        <v>366</v>
      </c>
      <c r="D42" s="34"/>
      <c r="E42" s="12"/>
      <c r="F42" s="35">
        <f t="shared" si="0"/>
        <v>200686.5</v>
      </c>
      <c r="G42" s="36">
        <v>498600</v>
      </c>
      <c r="H42" s="36">
        <f t="shared" si="1"/>
        <v>573390</v>
      </c>
      <c r="I42" s="12" t="s">
        <v>333</v>
      </c>
    </row>
    <row r="43" spans="1:9" x14ac:dyDescent="0.25">
      <c r="A43" s="63"/>
      <c r="B43" s="65"/>
      <c r="C43" s="12" t="s">
        <v>367</v>
      </c>
      <c r="D43" s="34"/>
      <c r="E43" s="12"/>
      <c r="F43" s="35">
        <f t="shared" si="0"/>
        <v>280743.75</v>
      </c>
      <c r="G43" s="36">
        <v>697500</v>
      </c>
      <c r="H43" s="36">
        <f t="shared" si="1"/>
        <v>802125</v>
      </c>
      <c r="I43" s="12" t="s">
        <v>333</v>
      </c>
    </row>
    <row r="44" spans="1:9" ht="15.6" x14ac:dyDescent="0.3">
      <c r="A44" s="63"/>
      <c r="B44" s="66" t="s">
        <v>368</v>
      </c>
      <c r="C44" s="37" t="s">
        <v>369</v>
      </c>
      <c r="D44" s="38">
        <v>4642</v>
      </c>
      <c r="E44" s="36">
        <v>19000</v>
      </c>
      <c r="F44" s="35">
        <f t="shared" si="0"/>
        <v>35499.695</v>
      </c>
      <c r="G44" s="36">
        <v>88198</v>
      </c>
      <c r="H44" s="36">
        <f t="shared" si="1"/>
        <v>101427.7</v>
      </c>
      <c r="I44" s="12" t="s">
        <v>333</v>
      </c>
    </row>
    <row r="45" spans="1:9" ht="15.6" x14ac:dyDescent="0.3">
      <c r="A45" s="63"/>
      <c r="B45" s="67"/>
      <c r="C45" s="37" t="s">
        <v>370</v>
      </c>
      <c r="D45" s="37">
        <v>9.36</v>
      </c>
      <c r="E45" s="36">
        <v>19000</v>
      </c>
      <c r="F45" s="35">
        <f t="shared" si="0"/>
        <v>71580.599999999991</v>
      </c>
      <c r="G45" s="36">
        <v>177840</v>
      </c>
      <c r="H45" s="36">
        <f t="shared" si="1"/>
        <v>204516</v>
      </c>
      <c r="I45" s="12" t="s">
        <v>333</v>
      </c>
    </row>
    <row r="46" spans="1:9" ht="15.6" x14ac:dyDescent="0.3">
      <c r="A46" s="63"/>
      <c r="B46" s="67"/>
      <c r="C46" s="37" t="s">
        <v>371</v>
      </c>
      <c r="D46" s="37">
        <v>11.46</v>
      </c>
      <c r="E46" s="36">
        <v>19000</v>
      </c>
      <c r="F46" s="35">
        <f t="shared" si="0"/>
        <v>87640.349999999991</v>
      </c>
      <c r="G46" s="36">
        <v>217740</v>
      </c>
      <c r="H46" s="36">
        <f t="shared" si="1"/>
        <v>250401</v>
      </c>
      <c r="I46" s="12" t="s">
        <v>333</v>
      </c>
    </row>
    <row r="47" spans="1:9" ht="15.6" x14ac:dyDescent="0.3">
      <c r="A47" s="63"/>
      <c r="B47" s="67"/>
      <c r="C47" s="37" t="s">
        <v>372</v>
      </c>
      <c r="D47" s="37">
        <v>13.56</v>
      </c>
      <c r="E47" s="36">
        <v>19000</v>
      </c>
      <c r="F47" s="35">
        <f t="shared" si="0"/>
        <v>103700.09999999999</v>
      </c>
      <c r="G47" s="36">
        <v>257640</v>
      </c>
      <c r="H47" s="36">
        <f t="shared" si="1"/>
        <v>296286</v>
      </c>
      <c r="I47" s="12" t="s">
        <v>333</v>
      </c>
    </row>
    <row r="48" spans="1:9" ht="15.6" x14ac:dyDescent="0.3">
      <c r="A48" s="63"/>
      <c r="B48" s="68"/>
      <c r="C48" s="37" t="s">
        <v>373</v>
      </c>
      <c r="D48" s="37">
        <v>16.98</v>
      </c>
      <c r="E48" s="36">
        <v>19000</v>
      </c>
      <c r="F48" s="35">
        <f t="shared" si="0"/>
        <v>129854.54999999999</v>
      </c>
      <c r="G48" s="36">
        <v>322620</v>
      </c>
      <c r="H48" s="36">
        <f t="shared" si="1"/>
        <v>371013</v>
      </c>
      <c r="I48" s="12" t="s">
        <v>333</v>
      </c>
    </row>
    <row r="49" spans="1:9" ht="15.6" x14ac:dyDescent="0.3">
      <c r="A49" s="63"/>
      <c r="B49" s="66" t="s">
        <v>374</v>
      </c>
      <c r="C49" s="37" t="s">
        <v>375</v>
      </c>
      <c r="D49" s="39">
        <v>80.459999999999994</v>
      </c>
      <c r="E49" s="36">
        <v>14591</v>
      </c>
      <c r="F49" s="35">
        <f t="shared" si="0"/>
        <v>472531.77999999997</v>
      </c>
      <c r="G49" s="36">
        <v>1173992</v>
      </c>
      <c r="H49" s="36">
        <f t="shared" si="1"/>
        <v>1350090.8</v>
      </c>
      <c r="I49" s="12" t="s">
        <v>333</v>
      </c>
    </row>
    <row r="50" spans="1:9" ht="15.6" x14ac:dyDescent="0.3">
      <c r="A50" s="63"/>
      <c r="B50" s="67"/>
      <c r="C50" s="37" t="s">
        <v>376</v>
      </c>
      <c r="D50" s="37">
        <v>130.62</v>
      </c>
      <c r="E50" s="36">
        <v>14591</v>
      </c>
      <c r="F50" s="35">
        <f t="shared" si="0"/>
        <v>767115.09</v>
      </c>
      <c r="G50" s="36">
        <v>1905876</v>
      </c>
      <c r="H50" s="36">
        <f t="shared" si="1"/>
        <v>2191757.4</v>
      </c>
      <c r="I50" s="12" t="s">
        <v>333</v>
      </c>
    </row>
    <row r="51" spans="1:9" ht="15.6" x14ac:dyDescent="0.3">
      <c r="A51" s="64"/>
      <c r="B51" s="68"/>
      <c r="C51" s="37" t="s">
        <v>377</v>
      </c>
      <c r="D51" s="40">
        <v>250.5</v>
      </c>
      <c r="E51" s="36">
        <v>14591</v>
      </c>
      <c r="F51" s="35">
        <f t="shared" si="0"/>
        <v>1471156.0150000001</v>
      </c>
      <c r="G51" s="36">
        <v>3655046</v>
      </c>
      <c r="H51" s="36">
        <f t="shared" si="1"/>
        <v>4203302.9000000004</v>
      </c>
      <c r="I51" s="12" t="s">
        <v>333</v>
      </c>
    </row>
    <row r="52" spans="1:9" ht="15.6" x14ac:dyDescent="0.3">
      <c r="A52" s="59" t="s">
        <v>378</v>
      </c>
      <c r="B52" s="41" t="s">
        <v>379</v>
      </c>
      <c r="C52" s="37" t="s">
        <v>380</v>
      </c>
      <c r="D52" s="42"/>
      <c r="E52" s="36"/>
      <c r="F52" s="35">
        <f t="shared" si="0"/>
        <v>28577.5</v>
      </c>
      <c r="G52" s="36">
        <v>71000</v>
      </c>
      <c r="H52" s="36">
        <f t="shared" si="1"/>
        <v>81650</v>
      </c>
      <c r="I52" s="12" t="s">
        <v>381</v>
      </c>
    </row>
    <row r="53" spans="1:9" ht="15.6" x14ac:dyDescent="0.3">
      <c r="A53" s="60"/>
      <c r="B53" s="41" t="s">
        <v>382</v>
      </c>
      <c r="D53" s="42"/>
      <c r="E53" s="11"/>
      <c r="F53" s="35">
        <f t="shared" si="0"/>
        <v>56350</v>
      </c>
      <c r="G53" s="36">
        <v>140000</v>
      </c>
      <c r="H53" s="36">
        <f t="shared" si="1"/>
        <v>161000</v>
      </c>
      <c r="I53" s="12" t="s">
        <v>383</v>
      </c>
    </row>
    <row r="54" spans="1:9" ht="15.6" x14ac:dyDescent="0.3">
      <c r="A54" s="41" t="s">
        <v>384</v>
      </c>
      <c r="B54" s="41"/>
      <c r="C54" s="11"/>
      <c r="D54" s="42"/>
      <c r="E54" s="11"/>
      <c r="F54" s="35"/>
      <c r="G54" s="11"/>
      <c r="H54" s="36"/>
      <c r="I54" s="11"/>
    </row>
    <row r="55" spans="1:9" ht="13.8" x14ac:dyDescent="0.25">
      <c r="A55" s="41" t="s">
        <v>385</v>
      </c>
      <c r="B55" s="41"/>
      <c r="C55" s="11"/>
      <c r="D55" s="11"/>
      <c r="E55" s="11"/>
      <c r="F55" s="35"/>
      <c r="G55" s="11"/>
      <c r="H55" s="36"/>
      <c r="I55" s="11"/>
    </row>
    <row r="56" spans="1:9" x14ac:dyDescent="0.25">
      <c r="A56" s="12"/>
      <c r="B56" s="12" t="s">
        <v>386</v>
      </c>
      <c r="C56" s="11"/>
      <c r="D56" s="11"/>
      <c r="E56" s="11"/>
      <c r="F56" s="35"/>
      <c r="G56" s="11"/>
      <c r="H56" s="36"/>
      <c r="I56" s="11"/>
    </row>
    <row r="57" spans="1:9" x14ac:dyDescent="0.25">
      <c r="A57" s="12"/>
      <c r="B57" s="12" t="s">
        <v>387</v>
      </c>
      <c r="C57" s="11"/>
      <c r="D57" s="11"/>
      <c r="E57" s="11"/>
      <c r="F57" s="35"/>
      <c r="G57" s="11"/>
      <c r="H57" s="36"/>
      <c r="I57" s="11"/>
    </row>
  </sheetData>
  <mergeCells count="7">
    <mergeCell ref="A52:A53"/>
    <mergeCell ref="A1:I1"/>
    <mergeCell ref="A3:A8"/>
    <mergeCell ref="A9:A51"/>
    <mergeCell ref="B9:B43"/>
    <mergeCell ref="B44:B48"/>
    <mergeCell ref="B49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72DB-D09F-4228-A0DC-5376B2E3F314}">
  <dimension ref="A1:L4"/>
  <sheetViews>
    <sheetView zoomScale="87" workbookViewId="0">
      <selection activeCell="M2" sqref="M2"/>
    </sheetView>
  </sheetViews>
  <sheetFormatPr defaultRowHeight="13.2" x14ac:dyDescent="0.25"/>
  <cols>
    <col min="2" max="2" width="7.44140625" bestFit="1" customWidth="1"/>
    <col min="3" max="3" width="11.44140625" bestFit="1" customWidth="1"/>
    <col min="9" max="9" width="51.21875" bestFit="1" customWidth="1"/>
    <col min="11" max="11" width="15.109375" bestFit="1" customWidth="1"/>
    <col min="12" max="12" width="12.44140625" bestFit="1" customWidth="1"/>
  </cols>
  <sheetData>
    <row r="1" spans="1:12" x14ac:dyDescent="0.25">
      <c r="A1" t="s">
        <v>415</v>
      </c>
      <c r="B1" t="s">
        <v>421</v>
      </c>
      <c r="C1" t="s">
        <v>422</v>
      </c>
      <c r="D1" t="s">
        <v>423</v>
      </c>
      <c r="E1" t="s">
        <v>414</v>
      </c>
      <c r="F1" t="s">
        <v>416</v>
      </c>
      <c r="G1" t="s">
        <v>417</v>
      </c>
      <c r="H1" t="s">
        <v>418</v>
      </c>
      <c r="I1" t="s">
        <v>432</v>
      </c>
      <c r="J1" t="s">
        <v>419</v>
      </c>
      <c r="K1" t="s">
        <v>431</v>
      </c>
      <c r="L1" t="s">
        <v>420</v>
      </c>
    </row>
    <row r="2" spans="1:12" x14ac:dyDescent="0.25">
      <c r="A2">
        <v>1</v>
      </c>
      <c r="B2" s="50">
        <v>44896</v>
      </c>
      <c r="C2" t="s">
        <v>424</v>
      </c>
      <c r="D2" t="s">
        <v>425</v>
      </c>
      <c r="E2" t="s">
        <v>426</v>
      </c>
      <c r="F2" t="s">
        <v>429</v>
      </c>
      <c r="G2">
        <f>MRP!C18+MRP!R18+MRP!C56+MRP!R57</f>
        <v>0</v>
      </c>
      <c r="H2">
        <v>0.23</v>
      </c>
      <c r="I2" s="69">
        <v>10000</v>
      </c>
      <c r="J2" s="69"/>
      <c r="K2" s="43">
        <f>H2*1000*G2</f>
        <v>0</v>
      </c>
      <c r="L2" s="57">
        <f>K2+I2</f>
        <v>10000</v>
      </c>
    </row>
    <row r="3" spans="1:12" x14ac:dyDescent="0.25">
      <c r="E3" t="s">
        <v>427</v>
      </c>
      <c r="F3" t="s">
        <v>303</v>
      </c>
      <c r="G3">
        <f>MRP!C27+MRP!R27+MRP!C65+MRP!R66</f>
        <v>0</v>
      </c>
      <c r="H3">
        <v>0.03</v>
      </c>
      <c r="I3" s="69"/>
      <c r="J3" s="69"/>
      <c r="K3" s="43">
        <f t="shared" ref="K3:K4" si="0">H3*1000*G3</f>
        <v>0</v>
      </c>
      <c r="L3" s="57">
        <f>K3+I2</f>
        <v>10000</v>
      </c>
    </row>
    <row r="4" spans="1:12" x14ac:dyDescent="0.25">
      <c r="E4" t="s">
        <v>428</v>
      </c>
      <c r="F4" t="s">
        <v>430</v>
      </c>
      <c r="G4">
        <f>MRP!C36+MRP!R36+MRP!C74+MRP!R75</f>
        <v>0</v>
      </c>
      <c r="H4">
        <v>0.25</v>
      </c>
      <c r="I4" s="69"/>
      <c r="J4" s="69"/>
      <c r="K4" s="43">
        <f t="shared" si="0"/>
        <v>0</v>
      </c>
      <c r="L4" s="57">
        <f>K4+I2</f>
        <v>10000</v>
      </c>
    </row>
  </sheetData>
  <mergeCells count="1">
    <mergeCell ref="I2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63E5-D0F6-49CC-A0B9-520FB602A58E}">
  <dimension ref="A3:V26"/>
  <sheetViews>
    <sheetView topLeftCell="A6" zoomScale="86" workbookViewId="0">
      <selection activeCell="D21" sqref="D21:E21"/>
    </sheetView>
  </sheetViews>
  <sheetFormatPr defaultRowHeight="13.2" x14ac:dyDescent="0.25"/>
  <cols>
    <col min="11" max="11" width="20.77734375" bestFit="1" customWidth="1"/>
    <col min="16" max="16" width="14.6640625" bestFit="1" customWidth="1"/>
    <col min="17" max="17" width="19.44140625" bestFit="1" customWidth="1"/>
    <col min="18" max="18" width="16.6640625" bestFit="1" customWidth="1"/>
  </cols>
  <sheetData>
    <row r="3" spans="1:22" ht="17.399999999999999" x14ac:dyDescent="0.3">
      <c r="K3" s="17" t="s">
        <v>287</v>
      </c>
    </row>
    <row r="6" spans="1:22" ht="13.8" x14ac:dyDescent="0.25">
      <c r="A6" s="78" t="s">
        <v>288</v>
      </c>
      <c r="B6" s="78"/>
      <c r="C6" s="78"/>
      <c r="D6" s="78"/>
      <c r="E6" s="82" t="s">
        <v>98</v>
      </c>
      <c r="F6" s="83"/>
      <c r="G6" s="83"/>
      <c r="I6" s="84" t="e" vm="1">
        <v>#VALUE!</v>
      </c>
      <c r="J6" s="85"/>
      <c r="K6" s="85"/>
      <c r="L6" s="85"/>
      <c r="M6" s="85"/>
      <c r="N6" s="86"/>
      <c r="P6" s="70" t="s">
        <v>389</v>
      </c>
      <c r="Q6" s="70"/>
      <c r="R6" s="70"/>
      <c r="S6" s="70"/>
      <c r="T6" s="70"/>
    </row>
    <row r="7" spans="1:22" ht="13.8" x14ac:dyDescent="0.25">
      <c r="A7" s="78" t="s">
        <v>289</v>
      </c>
      <c r="B7" s="78"/>
      <c r="C7" s="78"/>
      <c r="D7" s="78"/>
      <c r="E7" s="93" t="s">
        <v>308</v>
      </c>
      <c r="F7" s="77"/>
      <c r="G7" s="77"/>
      <c r="I7" s="87"/>
      <c r="J7" s="88"/>
      <c r="K7" s="88"/>
      <c r="L7" s="88"/>
      <c r="M7" s="88"/>
      <c r="N7" s="89"/>
      <c r="P7" s="70"/>
      <c r="Q7" s="70"/>
      <c r="R7" s="70"/>
      <c r="S7" s="70"/>
      <c r="T7" s="70"/>
    </row>
    <row r="8" spans="1:22" ht="13.8" x14ac:dyDescent="0.25">
      <c r="A8" s="78" t="s">
        <v>290</v>
      </c>
      <c r="B8" s="78"/>
      <c r="C8" s="78"/>
      <c r="D8" s="78"/>
      <c r="E8" s="77"/>
      <c r="F8" s="77"/>
      <c r="G8" s="77"/>
      <c r="I8" s="87"/>
      <c r="J8" s="88"/>
      <c r="K8" s="88"/>
      <c r="L8" s="88"/>
      <c r="M8" s="88"/>
      <c r="N8" s="89"/>
      <c r="P8" s="70"/>
      <c r="Q8" s="70"/>
      <c r="R8" s="70"/>
      <c r="S8" s="70"/>
      <c r="T8" s="70"/>
    </row>
    <row r="9" spans="1:22" ht="13.8" x14ac:dyDescent="0.25">
      <c r="A9" s="78" t="s">
        <v>291</v>
      </c>
      <c r="B9" s="78"/>
      <c r="C9" s="78"/>
      <c r="D9" s="78"/>
      <c r="E9" s="77"/>
      <c r="F9" s="77"/>
      <c r="G9" s="77"/>
      <c r="I9" s="87"/>
      <c r="J9" s="88"/>
      <c r="K9" s="88"/>
      <c r="L9" s="88"/>
      <c r="M9" s="88"/>
      <c r="N9" s="89"/>
      <c r="P9" s="70"/>
      <c r="Q9" s="70"/>
      <c r="R9" s="70"/>
      <c r="S9" s="70"/>
      <c r="T9" s="70"/>
    </row>
    <row r="10" spans="1:22" ht="13.8" x14ac:dyDescent="0.25">
      <c r="A10" s="78" t="s">
        <v>292</v>
      </c>
      <c r="B10" s="78"/>
      <c r="C10" s="78"/>
      <c r="D10" s="78"/>
      <c r="E10" s="77"/>
      <c r="F10" s="77"/>
      <c r="G10" s="77"/>
      <c r="I10" s="87"/>
      <c r="J10" s="88"/>
      <c r="K10" s="88"/>
      <c r="L10" s="88"/>
      <c r="M10" s="88"/>
      <c r="N10" s="89"/>
      <c r="P10" s="70"/>
      <c r="Q10" s="70"/>
      <c r="R10" s="70"/>
      <c r="S10" s="70"/>
      <c r="T10" s="70"/>
    </row>
    <row r="11" spans="1:22" ht="13.8" x14ac:dyDescent="0.25">
      <c r="A11" s="78" t="s">
        <v>293</v>
      </c>
      <c r="B11" s="78"/>
      <c r="C11" s="78"/>
      <c r="D11" s="78"/>
      <c r="E11" s="79">
        <f>S26</f>
        <v>20200</v>
      </c>
      <c r="F11" s="77"/>
      <c r="G11" s="77"/>
      <c r="I11" s="90"/>
      <c r="J11" s="91"/>
      <c r="K11" s="91"/>
      <c r="L11" s="91"/>
      <c r="M11" s="91"/>
      <c r="N11" s="92"/>
      <c r="P11" s="70"/>
      <c r="Q11" s="70"/>
      <c r="R11" s="70"/>
      <c r="S11" s="70"/>
      <c r="T11" s="70"/>
    </row>
    <row r="13" spans="1:22" ht="13.8" x14ac:dyDescent="0.25">
      <c r="A13" s="18" t="s">
        <v>390</v>
      </c>
      <c r="B13" s="18" t="s">
        <v>294</v>
      </c>
      <c r="C13" s="18"/>
      <c r="D13" s="80" t="s">
        <v>295</v>
      </c>
      <c r="E13" s="80"/>
      <c r="F13" s="81" t="s">
        <v>296</v>
      </c>
      <c r="G13" s="81"/>
      <c r="H13" s="80" t="s">
        <v>297</v>
      </c>
      <c r="I13" s="80"/>
      <c r="J13" s="80" t="s">
        <v>298</v>
      </c>
      <c r="K13" s="80"/>
      <c r="L13" s="80" t="s">
        <v>299</v>
      </c>
      <c r="M13" s="80"/>
      <c r="N13" s="80" t="s">
        <v>300</v>
      </c>
      <c r="O13" s="80"/>
      <c r="P13" s="28" t="s">
        <v>307</v>
      </c>
      <c r="Q13" s="18" t="s">
        <v>388</v>
      </c>
      <c r="R13" s="18"/>
      <c r="S13" s="80" t="s">
        <v>293</v>
      </c>
      <c r="T13" s="80"/>
      <c r="U13" s="81" t="s">
        <v>301</v>
      </c>
      <c r="V13" s="81"/>
    </row>
    <row r="14" spans="1:22" x14ac:dyDescent="0.25">
      <c r="A14" s="71" t="s">
        <v>391</v>
      </c>
      <c r="B14" s="19">
        <v>1</v>
      </c>
      <c r="C14" s="19"/>
      <c r="D14" s="82" t="s">
        <v>304</v>
      </c>
      <c r="E14" s="77"/>
      <c r="F14" s="77"/>
      <c r="G14" s="77"/>
      <c r="H14" s="93"/>
      <c r="I14" s="77"/>
      <c r="J14" s="104" t="s">
        <v>306</v>
      </c>
      <c r="K14" s="105"/>
      <c r="L14" s="77" t="s">
        <v>302</v>
      </c>
      <c r="M14" s="77"/>
      <c r="N14" s="96">
        <f>230/1000</f>
        <v>0.23</v>
      </c>
      <c r="O14" s="96"/>
      <c r="P14" s="110">
        <v>100</v>
      </c>
      <c r="Q14" s="22">
        <v>750</v>
      </c>
      <c r="R14" s="23"/>
      <c r="S14" s="96">
        <f>N14*P14*Q14</f>
        <v>17250</v>
      </c>
      <c r="T14" s="96"/>
      <c r="U14" s="77"/>
      <c r="V14" s="77"/>
    </row>
    <row r="15" spans="1:22" x14ac:dyDescent="0.25">
      <c r="A15" s="72"/>
      <c r="B15" s="20">
        <v>1</v>
      </c>
      <c r="C15" s="20"/>
      <c r="D15" s="99" t="s">
        <v>303</v>
      </c>
      <c r="E15" s="94"/>
      <c r="F15" s="94"/>
      <c r="G15" s="94"/>
      <c r="H15" s="99"/>
      <c r="I15" s="94"/>
      <c r="J15" s="106"/>
      <c r="K15" s="107"/>
      <c r="L15" s="94" t="s">
        <v>302</v>
      </c>
      <c r="M15" s="94"/>
      <c r="N15" s="100">
        <f>30/1000</f>
        <v>0.03</v>
      </c>
      <c r="O15" s="101"/>
      <c r="P15" s="87"/>
      <c r="Q15" s="24">
        <v>150</v>
      </c>
      <c r="R15" s="25"/>
      <c r="S15" s="96">
        <f>N15*P14*Q15</f>
        <v>450</v>
      </c>
      <c r="T15" s="96"/>
      <c r="U15" s="94"/>
      <c r="V15" s="94"/>
    </row>
    <row r="16" spans="1:22" x14ac:dyDescent="0.25">
      <c r="A16" s="73"/>
      <c r="B16" s="19">
        <v>1</v>
      </c>
      <c r="C16" s="19"/>
      <c r="D16" s="93" t="s">
        <v>305</v>
      </c>
      <c r="E16" s="77"/>
      <c r="F16" s="77"/>
      <c r="G16" s="77"/>
      <c r="H16" s="93"/>
      <c r="I16" s="77"/>
      <c r="J16" s="108"/>
      <c r="K16" s="109"/>
      <c r="L16" s="77" t="s">
        <v>302</v>
      </c>
      <c r="M16" s="77"/>
      <c r="N16" s="97">
        <f>250/1000</f>
        <v>0.25</v>
      </c>
      <c r="O16" s="98"/>
      <c r="P16" s="90"/>
      <c r="Q16" s="26">
        <v>100</v>
      </c>
      <c r="R16" s="27"/>
      <c r="S16" s="96">
        <f>N16*P14*Q16</f>
        <v>2500</v>
      </c>
      <c r="T16" s="96"/>
      <c r="U16" s="77"/>
      <c r="V16" s="77"/>
    </row>
    <row r="17" spans="1:22" x14ac:dyDescent="0.25">
      <c r="A17" s="74" t="s">
        <v>320</v>
      </c>
      <c r="B17" s="19">
        <v>1</v>
      </c>
      <c r="C17" s="20"/>
      <c r="D17" s="123" t="s">
        <v>496</v>
      </c>
      <c r="E17" s="77"/>
      <c r="F17" s="94"/>
      <c r="G17" s="94"/>
      <c r="H17" s="94"/>
      <c r="I17" s="94"/>
      <c r="J17" s="94"/>
      <c r="K17" s="94"/>
      <c r="L17" s="94"/>
      <c r="M17" s="94"/>
      <c r="N17" s="95"/>
      <c r="O17" s="95"/>
      <c r="P17" s="20"/>
      <c r="Q17" s="20"/>
      <c r="R17" s="20"/>
      <c r="S17" s="95">
        <v>0</v>
      </c>
      <c r="T17" s="95"/>
      <c r="U17" s="94"/>
      <c r="V17" s="94"/>
    </row>
    <row r="18" spans="1:22" x14ac:dyDescent="0.25">
      <c r="A18" s="75"/>
      <c r="B18" s="20">
        <v>1</v>
      </c>
      <c r="C18" s="19"/>
      <c r="D18" s="124" t="s">
        <v>497</v>
      </c>
      <c r="E18" s="94"/>
      <c r="F18" s="77"/>
      <c r="G18" s="77"/>
      <c r="H18" s="77"/>
      <c r="I18" s="77"/>
      <c r="J18" s="77"/>
      <c r="K18" s="77"/>
      <c r="L18" s="77"/>
      <c r="M18" s="77"/>
      <c r="N18" s="96"/>
      <c r="O18" s="96"/>
      <c r="P18" s="19"/>
      <c r="Q18" s="19"/>
      <c r="R18" s="19"/>
      <c r="S18" s="96">
        <v>0</v>
      </c>
      <c r="T18" s="96"/>
      <c r="U18" s="77"/>
      <c r="V18" s="77"/>
    </row>
    <row r="19" spans="1:22" x14ac:dyDescent="0.25">
      <c r="A19" s="76"/>
      <c r="B19" s="19">
        <v>1</v>
      </c>
      <c r="C19" s="20"/>
      <c r="D19" s="125" t="s">
        <v>498</v>
      </c>
      <c r="E19" s="77"/>
      <c r="F19" s="94"/>
      <c r="G19" s="94"/>
      <c r="H19" s="94"/>
      <c r="I19" s="94"/>
      <c r="J19" s="94"/>
      <c r="K19" s="94"/>
      <c r="L19" s="94"/>
      <c r="M19" s="94"/>
      <c r="N19" s="95"/>
      <c r="O19" s="95"/>
      <c r="P19" s="20"/>
      <c r="Q19" s="20"/>
      <c r="R19" s="20"/>
      <c r="S19" s="95">
        <v>0</v>
      </c>
      <c r="T19" s="95"/>
      <c r="U19" s="94"/>
      <c r="V19" s="94"/>
    </row>
    <row r="20" spans="1:22" x14ac:dyDescent="0.25">
      <c r="A20" s="19"/>
      <c r="B20" s="19"/>
      <c r="C20" s="19"/>
      <c r="D20" s="125" t="s">
        <v>499</v>
      </c>
      <c r="E20" s="77"/>
      <c r="F20" s="77"/>
      <c r="G20" s="77"/>
      <c r="H20" s="77"/>
      <c r="I20" s="77"/>
      <c r="J20" s="77"/>
      <c r="K20" s="77"/>
      <c r="L20" s="77"/>
      <c r="M20" s="77"/>
      <c r="N20" s="96"/>
      <c r="O20" s="96"/>
      <c r="P20" s="19"/>
      <c r="Q20" s="19"/>
      <c r="R20" s="19"/>
      <c r="S20" s="96">
        <v>0</v>
      </c>
      <c r="T20" s="96"/>
      <c r="U20" s="77"/>
      <c r="V20" s="77"/>
    </row>
    <row r="21" spans="1:22" x14ac:dyDescent="0.25">
      <c r="A21" s="20"/>
      <c r="B21" s="20"/>
      <c r="C21" s="20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95"/>
      <c r="P21" s="20"/>
      <c r="Q21" s="20"/>
      <c r="R21" s="20"/>
      <c r="S21" s="95">
        <v>0</v>
      </c>
      <c r="T21" s="95"/>
      <c r="U21" s="94"/>
      <c r="V21" s="94"/>
    </row>
    <row r="22" spans="1:22" x14ac:dyDescent="0.25">
      <c r="A22" s="19"/>
      <c r="B22" s="19"/>
      <c r="C22" s="19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96"/>
      <c r="O22" s="96"/>
      <c r="P22" s="19"/>
      <c r="Q22" s="19"/>
      <c r="R22" s="19"/>
      <c r="S22" s="96">
        <v>0</v>
      </c>
      <c r="T22" s="96"/>
      <c r="U22" s="77"/>
      <c r="V22" s="77"/>
    </row>
    <row r="23" spans="1:22" x14ac:dyDescent="0.25">
      <c r="A23" s="20"/>
      <c r="B23" s="20"/>
      <c r="C23" s="20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5"/>
      <c r="O23" s="95"/>
      <c r="P23" s="20"/>
      <c r="Q23" s="20"/>
      <c r="R23" s="20"/>
      <c r="S23" s="95">
        <v>0</v>
      </c>
      <c r="T23" s="95"/>
      <c r="U23" s="94"/>
      <c r="V23" s="94"/>
    </row>
    <row r="24" spans="1:22" x14ac:dyDescent="0.25">
      <c r="A24" s="19"/>
      <c r="B24" s="19"/>
      <c r="C24" s="19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96"/>
      <c r="O24" s="96"/>
      <c r="P24" s="19"/>
      <c r="Q24" s="19"/>
      <c r="R24" s="19"/>
      <c r="S24" s="96">
        <v>0</v>
      </c>
      <c r="T24" s="96"/>
      <c r="U24" s="77"/>
      <c r="V24" s="77"/>
    </row>
    <row r="25" spans="1:22" x14ac:dyDescent="0.25">
      <c r="A25" s="20"/>
      <c r="B25" s="20"/>
      <c r="C25" s="20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29"/>
      <c r="Q25" s="29"/>
      <c r="R25" s="29"/>
      <c r="S25" s="95">
        <v>0</v>
      </c>
      <c r="T25" s="95"/>
      <c r="U25" s="94"/>
      <c r="V25" s="94"/>
    </row>
    <row r="26" spans="1:22" ht="13.8" x14ac:dyDescent="0.25">
      <c r="N26" s="102" t="s">
        <v>77</v>
      </c>
      <c r="O26" s="103"/>
      <c r="P26" s="21">
        <f>SUM(P14:P25)</f>
        <v>100</v>
      </c>
      <c r="Q26" s="21">
        <f t="shared" ref="Q26" si="0">SUM(Q14:Q25)</f>
        <v>1000</v>
      </c>
      <c r="R26" s="21"/>
      <c r="S26" s="96">
        <f>SUM(S14:T24)</f>
        <v>20200</v>
      </c>
      <c r="T26" s="96"/>
    </row>
  </sheetData>
  <mergeCells count="121">
    <mergeCell ref="N26:O26"/>
    <mergeCell ref="S26:T26"/>
    <mergeCell ref="J14:K16"/>
    <mergeCell ref="P14:P16"/>
    <mergeCell ref="U24:V24"/>
    <mergeCell ref="D25:E25"/>
    <mergeCell ref="F25:G25"/>
    <mergeCell ref="H25:I25"/>
    <mergeCell ref="J25:K25"/>
    <mergeCell ref="L25:M25"/>
    <mergeCell ref="N25:O25"/>
    <mergeCell ref="S25:T25"/>
    <mergeCell ref="U23:V23"/>
    <mergeCell ref="D24:E24"/>
    <mergeCell ref="F24:G24"/>
    <mergeCell ref="H24:I24"/>
    <mergeCell ref="J24:K24"/>
    <mergeCell ref="L24:M24"/>
    <mergeCell ref="N24:O24"/>
    <mergeCell ref="S24:T24"/>
    <mergeCell ref="U22:V22"/>
    <mergeCell ref="U21:V21"/>
    <mergeCell ref="D22:E22"/>
    <mergeCell ref="F22:G22"/>
    <mergeCell ref="H22:I22"/>
    <mergeCell ref="J22:K22"/>
    <mergeCell ref="L22:M22"/>
    <mergeCell ref="N22:O22"/>
    <mergeCell ref="S22:T22"/>
    <mergeCell ref="U25:V25"/>
    <mergeCell ref="D21:E21"/>
    <mergeCell ref="F21:G21"/>
    <mergeCell ref="H21:I21"/>
    <mergeCell ref="J21:K21"/>
    <mergeCell ref="L21:M21"/>
    <mergeCell ref="N21:O21"/>
    <mergeCell ref="S21:T21"/>
    <mergeCell ref="D23:E23"/>
    <mergeCell ref="F23:G23"/>
    <mergeCell ref="H23:I23"/>
    <mergeCell ref="J23:K23"/>
    <mergeCell ref="L23:M23"/>
    <mergeCell ref="N23:O23"/>
    <mergeCell ref="S23:T23"/>
    <mergeCell ref="D19:E19"/>
    <mergeCell ref="F19:G19"/>
    <mergeCell ref="H19:I19"/>
    <mergeCell ref="J19:K19"/>
    <mergeCell ref="L19:M19"/>
    <mergeCell ref="N19:O19"/>
    <mergeCell ref="S19:T19"/>
    <mergeCell ref="U19:V19"/>
    <mergeCell ref="D20:E20"/>
    <mergeCell ref="F20:G20"/>
    <mergeCell ref="H20:I20"/>
    <mergeCell ref="J20:K20"/>
    <mergeCell ref="L20:M20"/>
    <mergeCell ref="N20:O20"/>
    <mergeCell ref="S20:T20"/>
    <mergeCell ref="U20:V20"/>
    <mergeCell ref="S17:T17"/>
    <mergeCell ref="U17:V17"/>
    <mergeCell ref="D18:E18"/>
    <mergeCell ref="F18:G18"/>
    <mergeCell ref="H18:I18"/>
    <mergeCell ref="J18:K18"/>
    <mergeCell ref="L18:M18"/>
    <mergeCell ref="N18:O18"/>
    <mergeCell ref="S18:T18"/>
    <mergeCell ref="U18:V18"/>
    <mergeCell ref="U15:V15"/>
    <mergeCell ref="D16:E16"/>
    <mergeCell ref="F16:G16"/>
    <mergeCell ref="H16:I16"/>
    <mergeCell ref="L16:M16"/>
    <mergeCell ref="N16:O16"/>
    <mergeCell ref="S16:T16"/>
    <mergeCell ref="U14:V14"/>
    <mergeCell ref="D15:E15"/>
    <mergeCell ref="F15:G15"/>
    <mergeCell ref="H15:I15"/>
    <mergeCell ref="L15:M15"/>
    <mergeCell ref="N15:O15"/>
    <mergeCell ref="S15:T15"/>
    <mergeCell ref="U16:V16"/>
    <mergeCell ref="U13:V13"/>
    <mergeCell ref="D14:E14"/>
    <mergeCell ref="F14:G14"/>
    <mergeCell ref="H14:I14"/>
    <mergeCell ref="L14:M14"/>
    <mergeCell ref="N14:O14"/>
    <mergeCell ref="S14:T14"/>
    <mergeCell ref="H13:I13"/>
    <mergeCell ref="J13:K13"/>
    <mergeCell ref="L13:M13"/>
    <mergeCell ref="N13:O13"/>
    <mergeCell ref="S13:T13"/>
    <mergeCell ref="P6:T11"/>
    <mergeCell ref="A14:A16"/>
    <mergeCell ref="A17:A19"/>
    <mergeCell ref="E10:G10"/>
    <mergeCell ref="A11:D11"/>
    <mergeCell ref="E11:G11"/>
    <mergeCell ref="D13:E13"/>
    <mergeCell ref="F13:G13"/>
    <mergeCell ref="A6:D6"/>
    <mergeCell ref="E6:G6"/>
    <mergeCell ref="I6:N11"/>
    <mergeCell ref="A7:D7"/>
    <mergeCell ref="E7:G7"/>
    <mergeCell ref="A8:D8"/>
    <mergeCell ref="E8:G8"/>
    <mergeCell ref="A9:D9"/>
    <mergeCell ref="E9:G9"/>
    <mergeCell ref="A10:D10"/>
    <mergeCell ref="D17:E17"/>
    <mergeCell ref="F17:G17"/>
    <mergeCell ref="H17:I17"/>
    <mergeCell ref="J17:K17"/>
    <mergeCell ref="L17:M17"/>
    <mergeCell ref="N17:O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4F60-E812-4CDC-B9D1-68BDB9C4A91C}">
  <dimension ref="A2:R57"/>
  <sheetViews>
    <sheetView tabSelected="1" topLeftCell="A45" workbookViewId="0">
      <selection activeCell="I62" sqref="I62"/>
    </sheetView>
  </sheetViews>
  <sheetFormatPr defaultRowHeight="13.2" x14ac:dyDescent="0.25"/>
  <cols>
    <col min="1" max="1" width="20" bestFit="1" customWidth="1"/>
    <col min="3" max="3" width="11.44140625" bestFit="1" customWidth="1"/>
    <col min="4" max="7" width="12" customWidth="1"/>
    <col min="8" max="8" width="11.6640625" bestFit="1" customWidth="1"/>
    <col min="9" max="9" width="12.33203125" bestFit="1" customWidth="1"/>
    <col min="10" max="10" width="12.109375" bestFit="1" customWidth="1"/>
    <col min="11" max="11" width="11.77734375" bestFit="1" customWidth="1"/>
    <col min="12" max="13" width="13.44140625" customWidth="1"/>
    <col min="14" max="14" width="14.109375" bestFit="1" customWidth="1"/>
    <col min="15" max="15" width="15.109375" bestFit="1" customWidth="1"/>
    <col min="16" max="17" width="14.109375" bestFit="1" customWidth="1"/>
    <col min="18" max="18" width="12" bestFit="1" customWidth="1"/>
  </cols>
  <sheetData>
    <row r="2" spans="1:18" x14ac:dyDescent="0.25">
      <c r="A2" s="128" t="s">
        <v>500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M2" t="s">
        <v>393</v>
      </c>
      <c r="N2" s="43">
        <v>60862.796886037402</v>
      </c>
      <c r="O2" s="43">
        <v>182275.51606201142</v>
      </c>
      <c r="P2" s="43">
        <v>313596.52835764678</v>
      </c>
      <c r="Q2" s="43">
        <v>76718.444663035916</v>
      </c>
      <c r="R2" s="43">
        <v>32993.250216461784</v>
      </c>
    </row>
    <row r="3" spans="1:18" x14ac:dyDescent="0.25">
      <c r="A3" s="11"/>
      <c r="B3" s="118" t="s">
        <v>320</v>
      </c>
      <c r="C3" s="118" t="s">
        <v>511</v>
      </c>
      <c r="D3" s="118" t="s">
        <v>496</v>
      </c>
      <c r="E3" s="118" t="s">
        <v>497</v>
      </c>
      <c r="F3" s="118" t="s">
        <v>498</v>
      </c>
      <c r="G3" s="118" t="s">
        <v>499</v>
      </c>
      <c r="H3" s="118" t="s">
        <v>502</v>
      </c>
      <c r="I3" s="118" t="s">
        <v>503</v>
      </c>
      <c r="J3" s="118" t="s">
        <v>504</v>
      </c>
      <c r="K3" s="118" t="s">
        <v>505</v>
      </c>
      <c r="M3" t="s">
        <v>394</v>
      </c>
      <c r="N3" s="43">
        <v>62778.606235201289</v>
      </c>
      <c r="O3" s="43">
        <v>178697.871825001</v>
      </c>
      <c r="P3" s="43">
        <v>312264.43831144273</v>
      </c>
      <c r="Q3" s="43">
        <v>77833.621203622519</v>
      </c>
      <c r="R3" s="43">
        <v>32982.776729266407</v>
      </c>
    </row>
    <row r="4" spans="1:18" x14ac:dyDescent="0.25">
      <c r="A4" s="118" t="s">
        <v>320</v>
      </c>
      <c r="B4" s="11"/>
      <c r="C4" s="11"/>
      <c r="D4" s="118" t="s">
        <v>506</v>
      </c>
      <c r="E4" s="118" t="s">
        <v>507</v>
      </c>
      <c r="F4" s="118" t="s">
        <v>508</v>
      </c>
      <c r="G4" s="118" t="s">
        <v>509</v>
      </c>
      <c r="H4" s="126">
        <v>5.0000000000000001E-3</v>
      </c>
      <c r="I4" s="126">
        <v>5.0000000000000001E-3</v>
      </c>
      <c r="J4" s="127">
        <v>5.0000000000000001E-3</v>
      </c>
      <c r="K4" s="127">
        <v>5.0000000000000001E-3</v>
      </c>
      <c r="M4" t="s">
        <v>395</v>
      </c>
      <c r="N4" s="43">
        <v>64694.415584365226</v>
      </c>
      <c r="O4" s="43">
        <v>175120.22758799058</v>
      </c>
      <c r="P4" s="43">
        <v>310932.34826523869</v>
      </c>
      <c r="Q4" s="43">
        <v>78948.797744209121</v>
      </c>
      <c r="R4" s="43">
        <v>32972.30324207103</v>
      </c>
    </row>
    <row r="5" spans="1:18" x14ac:dyDescent="0.25">
      <c r="A5" s="118" t="s">
        <v>319</v>
      </c>
      <c r="B5" s="118" t="s">
        <v>510</v>
      </c>
      <c r="C5" s="118" t="s">
        <v>512</v>
      </c>
      <c r="D5" s="11"/>
      <c r="E5" s="11"/>
      <c r="F5" s="11"/>
      <c r="G5" s="11"/>
      <c r="H5" s="11"/>
      <c r="I5" s="11"/>
      <c r="J5" s="11"/>
      <c r="K5" s="11"/>
      <c r="M5" t="s">
        <v>396</v>
      </c>
      <c r="N5" s="43">
        <v>66610.224933529171</v>
      </c>
      <c r="O5" s="43">
        <v>171542.58335098016</v>
      </c>
      <c r="P5" s="43">
        <v>309600.25821903464</v>
      </c>
      <c r="Q5" s="43">
        <v>80063.974284795724</v>
      </c>
      <c r="R5" s="43">
        <v>32961.829754875653</v>
      </c>
    </row>
    <row r="6" spans="1:18" x14ac:dyDescent="0.25">
      <c r="A6" s="118" t="s">
        <v>491</v>
      </c>
      <c r="B6" s="118" t="s">
        <v>513</v>
      </c>
      <c r="C6" s="118" t="s">
        <v>514</v>
      </c>
      <c r="D6" s="11"/>
      <c r="E6" s="11"/>
      <c r="F6" s="11"/>
      <c r="G6" s="11"/>
      <c r="H6" s="11"/>
      <c r="I6" s="11"/>
      <c r="J6" s="11"/>
      <c r="K6" s="11"/>
      <c r="M6" t="s">
        <v>397</v>
      </c>
      <c r="N6" s="43">
        <v>68526.034282693116</v>
      </c>
      <c r="O6" s="43">
        <v>167964.93911396974</v>
      </c>
      <c r="P6" s="43">
        <v>308268.1681728306</v>
      </c>
      <c r="Q6" s="43">
        <v>81179.150825382327</v>
      </c>
      <c r="R6" s="43">
        <v>32951.356267680276</v>
      </c>
    </row>
    <row r="7" spans="1:18" x14ac:dyDescent="0.25">
      <c r="A7" s="118" t="s">
        <v>501</v>
      </c>
      <c r="B7" s="118" t="s">
        <v>515</v>
      </c>
      <c r="C7" s="11"/>
      <c r="D7" s="11"/>
      <c r="E7" s="11"/>
      <c r="F7" s="11"/>
      <c r="G7" s="118" t="s">
        <v>516</v>
      </c>
      <c r="H7" s="11"/>
      <c r="I7" s="11"/>
      <c r="J7" s="11"/>
      <c r="K7" s="11"/>
      <c r="M7" t="s">
        <v>398</v>
      </c>
      <c r="N7" s="43">
        <v>70441.84363185706</v>
      </c>
      <c r="O7" s="43">
        <v>164387.29487695932</v>
      </c>
      <c r="P7" s="43">
        <v>306936.07812662655</v>
      </c>
      <c r="Q7" s="43">
        <v>82294.327365968929</v>
      </c>
      <c r="R7" s="43">
        <v>32940.882780484899</v>
      </c>
    </row>
    <row r="8" spans="1:18" x14ac:dyDescent="0.25">
      <c r="A8" s="118" t="s">
        <v>330</v>
      </c>
      <c r="B8" s="118" t="s">
        <v>510</v>
      </c>
      <c r="C8" s="118" t="s">
        <v>517</v>
      </c>
      <c r="D8" s="11"/>
      <c r="E8" s="11"/>
      <c r="F8" s="11"/>
      <c r="G8" s="11"/>
      <c r="H8" s="11"/>
      <c r="I8" s="11"/>
      <c r="J8" s="11"/>
      <c r="K8" s="11"/>
      <c r="M8" t="s">
        <v>399</v>
      </c>
      <c r="N8" s="43">
        <v>72357.652981021005</v>
      </c>
      <c r="O8" s="43">
        <v>160809.6506399489</v>
      </c>
      <c r="P8" s="43">
        <v>305603.98808042251</v>
      </c>
      <c r="Q8" s="43">
        <v>83409.503906555532</v>
      </c>
      <c r="R8" s="43">
        <v>32930.409293289522</v>
      </c>
    </row>
    <row r="9" spans="1:18" x14ac:dyDescent="0.25">
      <c r="M9" t="s">
        <v>400</v>
      </c>
      <c r="N9" s="43">
        <v>74273.46233018495</v>
      </c>
      <c r="O9" s="43">
        <v>157232.00640293848</v>
      </c>
      <c r="P9" s="43">
        <v>304271.89803421847</v>
      </c>
      <c r="Q9" s="43">
        <v>84524.680447142135</v>
      </c>
      <c r="R9" s="43">
        <v>32919.935806094145</v>
      </c>
    </row>
    <row r="10" spans="1:18" x14ac:dyDescent="0.25">
      <c r="M10" t="s">
        <v>401</v>
      </c>
      <c r="N10" s="43">
        <v>76189.271679348894</v>
      </c>
      <c r="O10" s="43">
        <v>153654.36216592806</v>
      </c>
      <c r="P10" s="43">
        <v>302939.80798801442</v>
      </c>
      <c r="Q10" s="43">
        <v>85639.856987728737</v>
      </c>
      <c r="R10" s="43">
        <v>32909.462318898768</v>
      </c>
    </row>
    <row r="11" spans="1:18" x14ac:dyDescent="0.25">
      <c r="M11" t="s">
        <v>402</v>
      </c>
      <c r="N11" s="43">
        <v>78105.081028512839</v>
      </c>
      <c r="O11" s="43">
        <v>150076.71792891764</v>
      </c>
      <c r="P11" s="43">
        <v>301607.71794181038</v>
      </c>
      <c r="Q11" s="43">
        <v>86755.03352831534</v>
      </c>
      <c r="R11" s="43">
        <v>32898.988831703391</v>
      </c>
    </row>
    <row r="12" spans="1:18" x14ac:dyDescent="0.25">
      <c r="M12" t="s">
        <v>403</v>
      </c>
      <c r="N12" s="43">
        <v>80020.890377676784</v>
      </c>
      <c r="O12" s="43">
        <v>146499.07369190722</v>
      </c>
      <c r="P12" s="43">
        <v>300275.62789560633</v>
      </c>
      <c r="Q12" s="43">
        <v>87870.210068901943</v>
      </c>
      <c r="R12" s="43">
        <v>32888.515344508014</v>
      </c>
    </row>
    <row r="13" spans="1:18" x14ac:dyDescent="0.25">
      <c r="M13" t="s">
        <v>404</v>
      </c>
      <c r="N13" s="43">
        <v>81936.699726840729</v>
      </c>
      <c r="O13" s="43">
        <v>142921.4294548968</v>
      </c>
      <c r="P13" s="43">
        <v>298943.53784940229</v>
      </c>
      <c r="Q13" s="43">
        <v>88985.386609488545</v>
      </c>
      <c r="R13" s="43">
        <v>32878.041857312637</v>
      </c>
    </row>
    <row r="14" spans="1:18" x14ac:dyDescent="0.25">
      <c r="M14" t="s">
        <v>77</v>
      </c>
      <c r="N14" s="43">
        <f>SUM(N2:N13)</f>
        <v>856796.97967726854</v>
      </c>
      <c r="O14" s="43">
        <f t="shared" ref="O14:R14" si="0">SUM(O2:O13)</f>
        <v>1951181.6731014496</v>
      </c>
      <c r="P14" s="43">
        <f t="shared" si="0"/>
        <v>3675240.3972422937</v>
      </c>
      <c r="Q14" s="43">
        <f t="shared" si="0"/>
        <v>994222.98763514671</v>
      </c>
      <c r="R14" s="43">
        <f t="shared" si="0"/>
        <v>395227.75244264654</v>
      </c>
    </row>
    <row r="15" spans="1:18" x14ac:dyDescent="0.25">
      <c r="M15" t="s">
        <v>518</v>
      </c>
      <c r="N15" s="129">
        <f>N14*32.5%</f>
        <v>278459.0183951123</v>
      </c>
      <c r="O15" s="129">
        <f t="shared" ref="O15:R15" si="1">O14*32.5%</f>
        <v>634134.04375797114</v>
      </c>
      <c r="P15" s="129">
        <f t="shared" si="1"/>
        <v>1194453.1291037456</v>
      </c>
      <c r="Q15" s="129">
        <f t="shared" si="1"/>
        <v>323122.4709814227</v>
      </c>
      <c r="R15" s="129">
        <f t="shared" si="1"/>
        <v>128449.01954386014</v>
      </c>
    </row>
    <row r="16" spans="1:18" x14ac:dyDescent="0.25">
      <c r="M16" t="s">
        <v>519</v>
      </c>
      <c r="N16" s="129">
        <f>N14-N15</f>
        <v>578337.96128215618</v>
      </c>
      <c r="O16" s="129">
        <f t="shared" ref="O16:R16" si="2">O14-O15</f>
        <v>1317047.6293434785</v>
      </c>
      <c r="P16" s="129">
        <f t="shared" si="2"/>
        <v>2480787.2681385484</v>
      </c>
      <c r="Q16" s="129">
        <f t="shared" si="2"/>
        <v>671100.51665372401</v>
      </c>
      <c r="R16" s="129">
        <f t="shared" si="2"/>
        <v>266778.73289878643</v>
      </c>
    </row>
    <row r="17" spans="1:18" x14ac:dyDescent="0.25">
      <c r="M17" t="s">
        <v>387</v>
      </c>
      <c r="N17" s="129">
        <f>AVERAGE(N2:N13)</f>
        <v>71399.74830643904</v>
      </c>
      <c r="O17" s="129">
        <f t="shared" ref="O17:R17" si="3">AVERAGE(O2:O13)</f>
        <v>162598.47275845413</v>
      </c>
      <c r="P17" s="129">
        <f t="shared" si="3"/>
        <v>306270.03310352447</v>
      </c>
      <c r="Q17" s="129">
        <f t="shared" si="3"/>
        <v>82851.915636262231</v>
      </c>
      <c r="R17" s="129">
        <f t="shared" si="3"/>
        <v>32935.646036887214</v>
      </c>
    </row>
    <row r="18" spans="1:18" x14ac:dyDescent="0.25">
      <c r="M18" t="s">
        <v>520</v>
      </c>
      <c r="N18" s="129">
        <f>VAR(N2:N13)</f>
        <v>47714231.010471575</v>
      </c>
      <c r="O18" s="129">
        <f t="shared" ref="O18:R18" si="4">VAR(O2:O13)</f>
        <v>166393997.72598025</v>
      </c>
      <c r="P18" s="129">
        <f t="shared" si="4"/>
        <v>23068030.585546613</v>
      </c>
      <c r="Q18" s="129">
        <f t="shared" si="4"/>
        <v>16167043.316771133</v>
      </c>
      <c r="R18" s="129">
        <f t="shared" si="4"/>
        <v>1426.0211424124232</v>
      </c>
    </row>
    <row r="19" spans="1:18" x14ac:dyDescent="0.25">
      <c r="M19" t="s">
        <v>521</v>
      </c>
      <c r="N19">
        <f>STDEV(N2:N13)</f>
        <v>6907.5488424238865</v>
      </c>
      <c r="O19">
        <f t="shared" ref="O19:R19" si="5">STDEV(O2:O13)</f>
        <v>12899.379741909308</v>
      </c>
      <c r="P19">
        <f t="shared" si="5"/>
        <v>4802.9189651238767</v>
      </c>
      <c r="Q19">
        <f t="shared" si="5"/>
        <v>4020.8261982795443</v>
      </c>
      <c r="R19">
        <f t="shared" si="5"/>
        <v>37.762695115847109</v>
      </c>
    </row>
    <row r="20" spans="1:18" x14ac:dyDescent="0.25">
      <c r="M20" t="s">
        <v>522</v>
      </c>
      <c r="N20">
        <f>35/30</f>
        <v>1.1666666666666667</v>
      </c>
      <c r="O20">
        <f t="shared" ref="O20:R20" si="6">35/30</f>
        <v>1.1666666666666667</v>
      </c>
      <c r="P20">
        <f t="shared" si="6"/>
        <v>1.1666666666666667</v>
      </c>
      <c r="Q20">
        <f t="shared" si="6"/>
        <v>1.1666666666666667</v>
      </c>
      <c r="R20">
        <f t="shared" si="6"/>
        <v>1.1666666666666667</v>
      </c>
    </row>
    <row r="25" spans="1:18" x14ac:dyDescent="0.25">
      <c r="A25" s="130"/>
      <c r="B25" s="130"/>
      <c r="C25" s="131" t="s">
        <v>91</v>
      </c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</row>
    <row r="26" spans="1:18" x14ac:dyDescent="0.25">
      <c r="A26" s="133" t="s">
        <v>413</v>
      </c>
      <c r="B26" s="133"/>
      <c r="C26" s="130" t="s">
        <v>393</v>
      </c>
      <c r="D26" s="130" t="s">
        <v>394</v>
      </c>
      <c r="E26" s="130" t="s">
        <v>395</v>
      </c>
      <c r="F26" s="130" t="s">
        <v>396</v>
      </c>
      <c r="G26" s="130" t="s">
        <v>397</v>
      </c>
      <c r="H26" s="130" t="s">
        <v>398</v>
      </c>
      <c r="I26" s="130" t="s">
        <v>399</v>
      </c>
      <c r="J26" s="130" t="s">
        <v>400</v>
      </c>
      <c r="K26" s="130" t="s">
        <v>401</v>
      </c>
      <c r="L26" s="130" t="s">
        <v>402</v>
      </c>
      <c r="M26" s="130" t="s">
        <v>403</v>
      </c>
      <c r="N26" s="130" t="s">
        <v>404</v>
      </c>
    </row>
    <row r="27" spans="1:18" ht="52.8" x14ac:dyDescent="0.25">
      <c r="A27" s="134" t="s">
        <v>411</v>
      </c>
      <c r="B27" s="133" t="s">
        <v>407</v>
      </c>
      <c r="C27" s="135"/>
      <c r="D27" s="135"/>
      <c r="E27" s="135"/>
      <c r="F27" s="135"/>
      <c r="G27" s="135"/>
      <c r="H27" s="136"/>
      <c r="I27" s="136"/>
      <c r="J27" s="136"/>
      <c r="K27" s="136"/>
      <c r="L27" s="136"/>
      <c r="M27" s="136"/>
      <c r="N27" s="136"/>
    </row>
    <row r="28" spans="1:18" x14ac:dyDescent="0.25">
      <c r="A28" s="133" t="s">
        <v>92</v>
      </c>
      <c r="B28" s="133"/>
      <c r="C28" s="135">
        <f>N2+O2*95%+P2*90%+Q2*85%+R2*95%</f>
        <v>612815.67833604966</v>
      </c>
      <c r="D28" s="135" cm="1">
        <f t="array" ref="D28:N28">TRANSPOSE(C39:C49)</f>
        <v>611071.79486513289</v>
      </c>
      <c r="E28" s="135">
        <v>609327.91139421635</v>
      </c>
      <c r="F28" s="135">
        <v>607584.0279232997</v>
      </c>
      <c r="G28" s="135">
        <v>605840.14445238316</v>
      </c>
      <c r="H28" s="135">
        <v>604096.2609814665</v>
      </c>
      <c r="I28" s="135">
        <v>602352.37751054997</v>
      </c>
      <c r="J28" s="135">
        <v>600608.49403963331</v>
      </c>
      <c r="K28" s="135">
        <v>598864.61056871677</v>
      </c>
      <c r="L28" s="135">
        <v>597120.72709780023</v>
      </c>
      <c r="M28" s="135">
        <v>595376.84362688358</v>
      </c>
      <c r="N28" s="135">
        <v>593632.96015596704</v>
      </c>
    </row>
    <row r="29" spans="1:18" x14ac:dyDescent="0.25">
      <c r="A29" s="133" t="s">
        <v>93</v>
      </c>
      <c r="B29" s="133"/>
      <c r="C29" s="135"/>
      <c r="D29" s="135"/>
      <c r="E29" s="135"/>
      <c r="F29" s="135"/>
      <c r="G29" s="135"/>
      <c r="H29" s="136"/>
      <c r="I29" s="136"/>
      <c r="J29" s="136"/>
      <c r="K29" s="136"/>
      <c r="L29" s="136"/>
      <c r="M29" s="136"/>
      <c r="N29" s="136"/>
    </row>
    <row r="30" spans="1:18" x14ac:dyDescent="0.25">
      <c r="A30" s="133" t="s">
        <v>94</v>
      </c>
      <c r="B30" s="133"/>
      <c r="C30" s="135"/>
      <c r="D30" s="135"/>
      <c r="E30" s="135"/>
      <c r="F30" s="135"/>
      <c r="G30" s="135"/>
      <c r="H30" s="136"/>
      <c r="I30" s="136"/>
      <c r="J30" s="136"/>
      <c r="K30" s="136"/>
      <c r="L30" s="136"/>
      <c r="M30" s="136"/>
      <c r="N30" s="136"/>
    </row>
    <row r="31" spans="1:18" x14ac:dyDescent="0.25">
      <c r="A31" s="133" t="s">
        <v>95</v>
      </c>
      <c r="B31" s="133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</row>
    <row r="32" spans="1:18" x14ac:dyDescent="0.25">
      <c r="A32" s="133" t="s">
        <v>96</v>
      </c>
      <c r="B32" s="133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</row>
    <row r="33" spans="1:14" x14ac:dyDescent="0.25">
      <c r="A33" s="133" t="s">
        <v>97</v>
      </c>
      <c r="B33" s="133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</row>
    <row r="38" spans="1:14" x14ac:dyDescent="0.25">
      <c r="C38">
        <f>N2+O2*95%+P2*90%+Q2*85%+R2*95%</f>
        <v>612815.67833604966</v>
      </c>
    </row>
    <row r="39" spans="1:14" x14ac:dyDescent="0.25">
      <c r="C39">
        <f t="shared" ref="C39:C51" si="7">N3+O3*95%+P3*90%+Q3*85%+R3*95%</f>
        <v>611071.79486513289</v>
      </c>
    </row>
    <row r="40" spans="1:14" x14ac:dyDescent="0.25">
      <c r="C40">
        <f t="shared" si="7"/>
        <v>609327.91139421635</v>
      </c>
    </row>
    <row r="41" spans="1:14" x14ac:dyDescent="0.25">
      <c r="C41">
        <f t="shared" si="7"/>
        <v>607584.0279232997</v>
      </c>
    </row>
    <row r="42" spans="1:14" x14ac:dyDescent="0.25">
      <c r="C42">
        <f t="shared" si="7"/>
        <v>605840.14445238316</v>
      </c>
    </row>
    <row r="43" spans="1:14" x14ac:dyDescent="0.25">
      <c r="C43">
        <f t="shared" si="7"/>
        <v>604096.2609814665</v>
      </c>
    </row>
    <row r="44" spans="1:14" x14ac:dyDescent="0.25">
      <c r="C44">
        <f t="shared" si="7"/>
        <v>602352.37751054997</v>
      </c>
    </row>
    <row r="45" spans="1:14" x14ac:dyDescent="0.25">
      <c r="C45">
        <f t="shared" si="7"/>
        <v>600608.49403963331</v>
      </c>
    </row>
    <row r="46" spans="1:14" x14ac:dyDescent="0.25">
      <c r="C46">
        <f t="shared" si="7"/>
        <v>598864.61056871677</v>
      </c>
    </row>
    <row r="47" spans="1:14" x14ac:dyDescent="0.25">
      <c r="C47">
        <f t="shared" si="7"/>
        <v>597120.72709780023</v>
      </c>
    </row>
    <row r="48" spans="1:14" x14ac:dyDescent="0.25">
      <c r="C48">
        <f t="shared" si="7"/>
        <v>595376.84362688358</v>
      </c>
    </row>
    <row r="49" spans="1:14" x14ac:dyDescent="0.25">
      <c r="C49">
        <f t="shared" si="7"/>
        <v>593632.96015596704</v>
      </c>
    </row>
    <row r="50" spans="1:14" x14ac:dyDescent="0.25">
      <c r="A50" s="137" t="s">
        <v>524</v>
      </c>
      <c r="B50" s="130"/>
      <c r="C50" s="131" t="s">
        <v>91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</row>
    <row r="51" spans="1:14" x14ac:dyDescent="0.25">
      <c r="A51" s="133" t="s">
        <v>413</v>
      </c>
      <c r="B51" s="133"/>
      <c r="C51" s="130" t="s">
        <v>393</v>
      </c>
      <c r="D51" s="130" t="s">
        <v>394</v>
      </c>
      <c r="E51" s="130" t="s">
        <v>395</v>
      </c>
      <c r="F51" s="130" t="s">
        <v>396</v>
      </c>
      <c r="G51" s="130" t="s">
        <v>397</v>
      </c>
      <c r="H51" s="130" t="s">
        <v>398</v>
      </c>
      <c r="I51" s="130" t="s">
        <v>399</v>
      </c>
      <c r="J51" s="130" t="s">
        <v>400</v>
      </c>
      <c r="K51" s="130" t="s">
        <v>401</v>
      </c>
      <c r="L51" s="130" t="s">
        <v>402</v>
      </c>
      <c r="M51" s="130" t="s">
        <v>403</v>
      </c>
      <c r="N51" s="130" t="s">
        <v>404</v>
      </c>
    </row>
    <row r="52" spans="1:14" ht="52.8" x14ac:dyDescent="0.25">
      <c r="A52" s="134" t="s">
        <v>411</v>
      </c>
      <c r="B52" s="133" t="s">
        <v>407</v>
      </c>
      <c r="C52" s="135"/>
      <c r="D52" s="135"/>
      <c r="E52" s="135"/>
      <c r="F52" s="135"/>
      <c r="G52" s="135"/>
      <c r="H52" s="136"/>
      <c r="I52" s="136"/>
      <c r="J52" s="136"/>
      <c r="K52" s="136"/>
      <c r="L52" s="136"/>
      <c r="M52" s="136"/>
      <c r="N52" s="136"/>
    </row>
    <row r="53" spans="1:14" x14ac:dyDescent="0.25">
      <c r="A53" s="133" t="s">
        <v>92</v>
      </c>
      <c r="B53" s="133" t="s">
        <v>320</v>
      </c>
      <c r="C53" s="135">
        <f>C28</f>
        <v>612815.67833604966</v>
      </c>
      <c r="D53" s="135">
        <f t="shared" ref="D53:N53" si="8">D28</f>
        <v>611071.79486513289</v>
      </c>
      <c r="E53" s="135">
        <f t="shared" si="8"/>
        <v>609327.91139421635</v>
      </c>
      <c r="F53" s="135">
        <f t="shared" si="8"/>
        <v>607584.0279232997</v>
      </c>
      <c r="G53" s="135">
        <f t="shared" si="8"/>
        <v>605840.14445238316</v>
      </c>
      <c r="H53" s="135">
        <f t="shared" si="8"/>
        <v>604096.2609814665</v>
      </c>
      <c r="I53" s="135">
        <f t="shared" si="8"/>
        <v>602352.37751054997</v>
      </c>
      <c r="J53" s="135">
        <f t="shared" si="8"/>
        <v>600608.49403963331</v>
      </c>
      <c r="K53" s="135">
        <f t="shared" si="8"/>
        <v>598864.61056871677</v>
      </c>
      <c r="L53" s="135">
        <f t="shared" si="8"/>
        <v>597120.72709780023</v>
      </c>
      <c r="M53" s="135">
        <f t="shared" si="8"/>
        <v>595376.84362688358</v>
      </c>
      <c r="N53" s="135">
        <f t="shared" si="8"/>
        <v>593632.96015596704</v>
      </c>
    </row>
    <row r="54" spans="1:14" x14ac:dyDescent="0.25">
      <c r="A54" s="11"/>
      <c r="B54" s="118" t="s">
        <v>496</v>
      </c>
      <c r="C54" s="138">
        <f>C53*65%</f>
        <v>398330.19091843232</v>
      </c>
      <c r="D54" s="138">
        <f t="shared" ref="D54:N54" si="9">D53*65%</f>
        <v>397196.66666233639</v>
      </c>
      <c r="E54" s="138">
        <f t="shared" si="9"/>
        <v>396063.14240624063</v>
      </c>
      <c r="F54" s="138">
        <f t="shared" si="9"/>
        <v>394929.61815014482</v>
      </c>
      <c r="G54" s="138">
        <f t="shared" si="9"/>
        <v>393796.09389404906</v>
      </c>
      <c r="H54" s="138">
        <f t="shared" si="9"/>
        <v>392662.56963795325</v>
      </c>
      <c r="I54" s="138">
        <f t="shared" si="9"/>
        <v>391529.04538185749</v>
      </c>
      <c r="J54" s="138">
        <f t="shared" si="9"/>
        <v>390395.52112576168</v>
      </c>
      <c r="K54" s="138">
        <f t="shared" si="9"/>
        <v>389261.99686966592</v>
      </c>
      <c r="L54" s="138">
        <f t="shared" si="9"/>
        <v>388128.47261357016</v>
      </c>
      <c r="M54" s="138">
        <f t="shared" si="9"/>
        <v>386994.94835747435</v>
      </c>
      <c r="N54" s="138">
        <f t="shared" si="9"/>
        <v>385861.42410137859</v>
      </c>
    </row>
    <row r="55" spans="1:14" x14ac:dyDescent="0.25">
      <c r="A55" s="11"/>
      <c r="B55" s="133" t="s">
        <v>497</v>
      </c>
      <c r="C55" s="138">
        <f>C53*25%</f>
        <v>153203.91958401242</v>
      </c>
      <c r="D55" s="138">
        <f t="shared" ref="D55:N55" si="10">D53*25%</f>
        <v>152767.94871628322</v>
      </c>
      <c r="E55" s="138">
        <f t="shared" si="10"/>
        <v>152331.97784855409</v>
      </c>
      <c r="F55" s="138">
        <f t="shared" si="10"/>
        <v>151896.00698082492</v>
      </c>
      <c r="G55" s="138">
        <f t="shared" si="10"/>
        <v>151460.03611309579</v>
      </c>
      <c r="H55" s="138">
        <f t="shared" si="10"/>
        <v>151024.06524536663</v>
      </c>
      <c r="I55" s="138">
        <f t="shared" si="10"/>
        <v>150588.09437763749</v>
      </c>
      <c r="J55" s="138">
        <f t="shared" si="10"/>
        <v>150152.12350990833</v>
      </c>
      <c r="K55" s="138">
        <f t="shared" si="10"/>
        <v>149716.15264217919</v>
      </c>
      <c r="L55" s="138">
        <f t="shared" si="10"/>
        <v>149280.18177445006</v>
      </c>
      <c r="M55" s="138">
        <f t="shared" si="10"/>
        <v>148844.21090672089</v>
      </c>
      <c r="N55" s="138">
        <f t="shared" si="10"/>
        <v>148408.24003899176</v>
      </c>
    </row>
    <row r="56" spans="1:14" x14ac:dyDescent="0.25">
      <c r="A56" s="11"/>
      <c r="B56" s="133" t="s">
        <v>523</v>
      </c>
      <c r="C56" s="138">
        <f>C53*9%</f>
        <v>55153.411050244467</v>
      </c>
      <c r="D56" s="138">
        <f t="shared" ref="D56:N56" si="11">D53*9%</f>
        <v>54996.461537861956</v>
      </c>
      <c r="E56" s="138">
        <f t="shared" si="11"/>
        <v>54839.512025479467</v>
      </c>
      <c r="F56" s="138">
        <f t="shared" si="11"/>
        <v>54682.562513096971</v>
      </c>
      <c r="G56" s="138">
        <f t="shared" si="11"/>
        <v>54525.613000714482</v>
      </c>
      <c r="H56" s="138">
        <f t="shared" si="11"/>
        <v>54368.663488331986</v>
      </c>
      <c r="I56" s="138">
        <f t="shared" si="11"/>
        <v>54211.713975949497</v>
      </c>
      <c r="J56" s="138">
        <f t="shared" si="11"/>
        <v>54054.764463566993</v>
      </c>
      <c r="K56" s="138">
        <f t="shared" si="11"/>
        <v>53897.814951184504</v>
      </c>
      <c r="L56" s="138">
        <f t="shared" si="11"/>
        <v>53740.865438802022</v>
      </c>
      <c r="M56" s="138">
        <f t="shared" si="11"/>
        <v>53583.915926419519</v>
      </c>
      <c r="N56" s="138">
        <f t="shared" si="11"/>
        <v>53426.96641403703</v>
      </c>
    </row>
    <row r="57" spans="1:14" x14ac:dyDescent="0.25">
      <c r="A57" s="11"/>
      <c r="B57" s="133" t="s">
        <v>499</v>
      </c>
      <c r="C57" s="138">
        <f>C53*1%</f>
        <v>6128.1567833604968</v>
      </c>
      <c r="D57" s="138">
        <f t="shared" ref="D57:N57" si="12">D53*1%</f>
        <v>6110.7179486513287</v>
      </c>
      <c r="E57" s="138">
        <f t="shared" si="12"/>
        <v>6093.2791139421633</v>
      </c>
      <c r="F57" s="138">
        <f t="shared" si="12"/>
        <v>6075.8402792329971</v>
      </c>
      <c r="G57" s="138">
        <f t="shared" si="12"/>
        <v>6058.4014445238317</v>
      </c>
      <c r="H57" s="138">
        <f t="shared" si="12"/>
        <v>6040.9626098146655</v>
      </c>
      <c r="I57" s="138">
        <f t="shared" si="12"/>
        <v>6023.5237751055001</v>
      </c>
      <c r="J57" s="138">
        <f t="shared" si="12"/>
        <v>6006.084940396333</v>
      </c>
      <c r="K57" s="138">
        <f t="shared" si="12"/>
        <v>5988.6461056871676</v>
      </c>
      <c r="L57" s="138">
        <f t="shared" si="12"/>
        <v>5971.2072709780023</v>
      </c>
      <c r="M57" s="138">
        <f t="shared" si="12"/>
        <v>5953.768436268836</v>
      </c>
      <c r="N57" s="138">
        <f t="shared" si="12"/>
        <v>5936.3296015596707</v>
      </c>
    </row>
  </sheetData>
  <mergeCells count="3">
    <mergeCell ref="A2:K2"/>
    <mergeCell ref="C25:N25"/>
    <mergeCell ref="C50:N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4"/>
  <sheetViews>
    <sheetView topLeftCell="A12" zoomScale="64" workbookViewId="0">
      <selection activeCell="S30" sqref="S30"/>
    </sheetView>
  </sheetViews>
  <sheetFormatPr defaultColWidth="12.6640625" defaultRowHeight="15.75" customHeight="1" x14ac:dyDescent="0.25"/>
  <cols>
    <col min="1" max="1" width="22.33203125" bestFit="1" customWidth="1"/>
    <col min="2" max="2" width="21.88671875" bestFit="1" customWidth="1"/>
  </cols>
  <sheetData>
    <row r="1" spans="1:17" ht="25.2" customHeight="1" x14ac:dyDescent="0.25">
      <c r="A1" s="8" t="s">
        <v>126</v>
      </c>
      <c r="B1" s="8" t="s">
        <v>125</v>
      </c>
      <c r="C1" s="8" t="s">
        <v>124</v>
      </c>
      <c r="D1" s="9" t="s">
        <v>53</v>
      </c>
      <c r="E1" s="9" t="s">
        <v>105</v>
      </c>
      <c r="F1" s="9" t="s">
        <v>106</v>
      </c>
      <c r="G1" s="9" t="s">
        <v>107</v>
      </c>
      <c r="H1" s="9" t="s">
        <v>108</v>
      </c>
      <c r="I1" s="9" t="s">
        <v>109</v>
      </c>
      <c r="J1" s="9" t="s">
        <v>110</v>
      </c>
      <c r="K1" s="9" t="s">
        <v>111</v>
      </c>
      <c r="L1" s="9" t="s">
        <v>112</v>
      </c>
      <c r="M1" s="9" t="s">
        <v>48</v>
      </c>
      <c r="N1" s="10"/>
      <c r="O1" s="11"/>
      <c r="P1" s="11"/>
    </row>
    <row r="2" spans="1:17" ht="15.75" customHeight="1" x14ac:dyDescent="0.25">
      <c r="A2" s="112" t="s">
        <v>98</v>
      </c>
      <c r="B2" s="114" t="s">
        <v>99</v>
      </c>
      <c r="C2" s="11" t="s">
        <v>100</v>
      </c>
      <c r="D2" s="13" t="s">
        <v>113</v>
      </c>
      <c r="E2" s="13" t="s">
        <v>114</v>
      </c>
      <c r="F2" s="13" t="s">
        <v>115</v>
      </c>
      <c r="G2" s="13" t="s">
        <v>116</v>
      </c>
      <c r="H2" s="13" t="s">
        <v>116</v>
      </c>
      <c r="I2" s="13" t="s">
        <v>117</v>
      </c>
      <c r="J2" s="13" t="s">
        <v>118</v>
      </c>
      <c r="K2" s="13" t="s">
        <v>117</v>
      </c>
      <c r="L2" s="13" t="s">
        <v>119</v>
      </c>
      <c r="M2" s="13" t="s">
        <v>19</v>
      </c>
      <c r="N2" s="11"/>
      <c r="O2" s="11"/>
      <c r="P2" s="11"/>
    </row>
    <row r="3" spans="1:17" ht="15.75" customHeight="1" x14ac:dyDescent="0.25">
      <c r="A3" s="113"/>
      <c r="B3" s="115"/>
      <c r="C3" s="11" t="s">
        <v>101</v>
      </c>
      <c r="D3" s="13" t="s">
        <v>113</v>
      </c>
      <c r="E3" s="13" t="s">
        <v>114</v>
      </c>
      <c r="F3" s="13" t="s">
        <v>115</v>
      </c>
      <c r="G3" s="13" t="s">
        <v>116</v>
      </c>
      <c r="H3" s="13" t="s">
        <v>116</v>
      </c>
      <c r="I3" s="13" t="s">
        <v>117</v>
      </c>
      <c r="J3" s="13" t="s">
        <v>118</v>
      </c>
      <c r="K3" s="13" t="s">
        <v>117</v>
      </c>
      <c r="L3" s="13" t="s">
        <v>119</v>
      </c>
      <c r="M3" s="13" t="s">
        <v>120</v>
      </c>
      <c r="N3" s="11"/>
      <c r="O3" s="11"/>
      <c r="P3" s="11"/>
    </row>
    <row r="4" spans="1:17" ht="15.75" customHeight="1" x14ac:dyDescent="0.25">
      <c r="A4" s="113"/>
      <c r="B4" s="115"/>
      <c r="C4" s="11" t="s">
        <v>102</v>
      </c>
      <c r="D4" s="13" t="s">
        <v>114</v>
      </c>
      <c r="E4" s="13" t="s">
        <v>118</v>
      </c>
      <c r="F4" s="13" t="s">
        <v>121</v>
      </c>
      <c r="G4" s="13" t="s">
        <v>116</v>
      </c>
      <c r="H4" s="13" t="s">
        <v>116</v>
      </c>
      <c r="I4" s="13" t="s">
        <v>117</v>
      </c>
      <c r="J4" s="13" t="s">
        <v>118</v>
      </c>
      <c r="K4" s="13" t="s">
        <v>117</v>
      </c>
      <c r="L4" s="13" t="s">
        <v>119</v>
      </c>
      <c r="M4" s="13" t="s">
        <v>19</v>
      </c>
      <c r="N4" s="11"/>
      <c r="O4" s="11"/>
      <c r="P4" s="11"/>
    </row>
    <row r="5" spans="1:17" ht="15.75" customHeight="1" x14ac:dyDescent="0.25">
      <c r="A5" s="113"/>
      <c r="B5" s="115"/>
      <c r="C5" s="11" t="s">
        <v>103</v>
      </c>
      <c r="D5" s="13" t="s">
        <v>114</v>
      </c>
      <c r="E5" s="13" t="s">
        <v>118</v>
      </c>
      <c r="F5" s="13" t="s">
        <v>121</v>
      </c>
      <c r="G5" s="13" t="s">
        <v>116</v>
      </c>
      <c r="H5" s="13" t="s">
        <v>116</v>
      </c>
      <c r="I5" s="13" t="s">
        <v>117</v>
      </c>
      <c r="J5" s="13" t="s">
        <v>118</v>
      </c>
      <c r="K5" s="13" t="s">
        <v>117</v>
      </c>
      <c r="L5" s="13" t="s">
        <v>119</v>
      </c>
      <c r="M5" s="13">
        <v>8.0000000000000004E-4</v>
      </c>
      <c r="N5" s="11"/>
      <c r="O5" s="11"/>
      <c r="P5" s="11"/>
    </row>
    <row r="6" spans="1:17" ht="15.75" customHeight="1" x14ac:dyDescent="0.25">
      <c r="A6" s="113"/>
      <c r="B6" s="115"/>
      <c r="C6" s="11" t="s">
        <v>104</v>
      </c>
      <c r="D6" s="13" t="s">
        <v>122</v>
      </c>
      <c r="E6" s="13" t="s">
        <v>117</v>
      </c>
      <c r="F6" s="13" t="s">
        <v>123</v>
      </c>
      <c r="G6" s="13" t="s">
        <v>116</v>
      </c>
      <c r="H6" s="13" t="s">
        <v>116</v>
      </c>
      <c r="I6" s="13" t="s">
        <v>117</v>
      </c>
      <c r="J6" s="13" t="s">
        <v>118</v>
      </c>
      <c r="K6" s="13" t="s">
        <v>117</v>
      </c>
      <c r="L6" s="13" t="s">
        <v>119</v>
      </c>
      <c r="M6" s="13"/>
      <c r="N6" s="11"/>
      <c r="O6" s="11"/>
      <c r="P6" s="11"/>
    </row>
    <row r="7" spans="1:17" ht="15.75" customHeight="1" x14ac:dyDescent="0.25">
      <c r="A7" s="113"/>
      <c r="B7" s="30"/>
      <c r="C7" s="11"/>
      <c r="D7" s="14" t="s">
        <v>53</v>
      </c>
      <c r="E7" s="14" t="s">
        <v>106</v>
      </c>
      <c r="F7" s="14" t="s">
        <v>107</v>
      </c>
      <c r="G7" s="14" t="s">
        <v>108</v>
      </c>
      <c r="H7" s="14" t="s">
        <v>109</v>
      </c>
      <c r="I7" s="14" t="s">
        <v>111</v>
      </c>
      <c r="J7" s="14" t="s">
        <v>110</v>
      </c>
      <c r="K7" s="14" t="s">
        <v>112</v>
      </c>
      <c r="L7" s="14" t="s">
        <v>132</v>
      </c>
      <c r="M7" s="14" t="s">
        <v>133</v>
      </c>
      <c r="N7" s="14" t="s">
        <v>134</v>
      </c>
      <c r="O7" s="14" t="s">
        <v>135</v>
      </c>
      <c r="P7" s="14" t="s">
        <v>136</v>
      </c>
      <c r="Q7" s="6"/>
    </row>
    <row r="8" spans="1:17" ht="15.75" customHeight="1" x14ac:dyDescent="0.25">
      <c r="A8" s="113"/>
      <c r="B8" s="114" t="s">
        <v>127</v>
      </c>
      <c r="C8" s="15" t="s">
        <v>128</v>
      </c>
      <c r="D8" s="13">
        <v>0.1</v>
      </c>
      <c r="E8" s="13">
        <v>0.6</v>
      </c>
      <c r="F8" s="13">
        <v>0.03</v>
      </c>
      <c r="G8" s="13">
        <v>3.5000000000000003E-2</v>
      </c>
      <c r="H8" s="13">
        <v>0.2</v>
      </c>
      <c r="I8" s="13">
        <v>0.2</v>
      </c>
      <c r="J8" s="13">
        <v>0.15</v>
      </c>
      <c r="K8" s="13">
        <v>0.06</v>
      </c>
      <c r="L8" s="13">
        <v>8.0000000000000002E-3</v>
      </c>
      <c r="M8" s="13">
        <v>8.0000000000000002E-3</v>
      </c>
      <c r="N8" s="13">
        <v>2.5000000000000001E-2</v>
      </c>
      <c r="O8" s="13" t="s">
        <v>137</v>
      </c>
      <c r="P8" s="111" t="s">
        <v>138</v>
      </c>
    </row>
    <row r="9" spans="1:17" ht="15.75" customHeight="1" x14ac:dyDescent="0.25">
      <c r="A9" s="113"/>
      <c r="B9" s="114"/>
      <c r="C9" s="15" t="s">
        <v>129</v>
      </c>
      <c r="D9" s="13" t="s">
        <v>139</v>
      </c>
      <c r="E9" s="13">
        <v>0.6</v>
      </c>
      <c r="F9" s="13">
        <v>0.03</v>
      </c>
      <c r="G9" s="13">
        <v>3.5000000000000003E-2</v>
      </c>
      <c r="H9" s="13">
        <v>0.2</v>
      </c>
      <c r="I9" s="13">
        <v>0.2</v>
      </c>
      <c r="J9" s="13">
        <v>0.15</v>
      </c>
      <c r="K9" s="13">
        <v>0.06</v>
      </c>
      <c r="L9" s="13">
        <v>8.0000000000000002E-3</v>
      </c>
      <c r="M9" s="13">
        <v>8.0000000000000002E-3</v>
      </c>
      <c r="N9" s="13">
        <v>2.5000000000000001E-2</v>
      </c>
      <c r="O9" s="13"/>
      <c r="P9" s="111"/>
    </row>
    <row r="10" spans="1:17" ht="15.75" customHeight="1" x14ac:dyDescent="0.25">
      <c r="A10" s="113"/>
      <c r="B10" s="114"/>
      <c r="C10" s="15" t="s">
        <v>130</v>
      </c>
      <c r="D10" s="13">
        <v>0.08</v>
      </c>
      <c r="E10" s="13">
        <v>0.6</v>
      </c>
      <c r="F10" s="13">
        <v>0.01</v>
      </c>
      <c r="G10" s="13">
        <v>3.5000000000000003E-2</v>
      </c>
      <c r="H10" s="13">
        <v>0.2</v>
      </c>
      <c r="I10" s="13">
        <v>0.2</v>
      </c>
      <c r="J10" s="13">
        <v>0.15</v>
      </c>
      <c r="K10" s="13">
        <v>0.06</v>
      </c>
      <c r="L10" s="13">
        <v>8.0000000000000002E-3</v>
      </c>
      <c r="M10" s="13">
        <v>8.0000000000000002E-3</v>
      </c>
      <c r="N10" s="13">
        <v>2.5000000000000001E-2</v>
      </c>
      <c r="O10" s="13"/>
      <c r="P10" s="111"/>
    </row>
    <row r="11" spans="1:17" ht="15.75" customHeight="1" x14ac:dyDescent="0.25">
      <c r="A11" s="113"/>
      <c r="B11" s="114"/>
      <c r="C11" s="15" t="s">
        <v>131</v>
      </c>
      <c r="D11" s="13">
        <v>0.1</v>
      </c>
      <c r="E11" s="13">
        <v>0.7</v>
      </c>
      <c r="F11" s="13">
        <v>0.03</v>
      </c>
      <c r="G11" s="13">
        <v>3.5000000000000003E-2</v>
      </c>
      <c r="H11" s="13">
        <v>0.2</v>
      </c>
      <c r="I11" s="13">
        <v>0.2</v>
      </c>
      <c r="J11" s="13">
        <v>0.15</v>
      </c>
      <c r="K11" s="13">
        <v>0.06</v>
      </c>
      <c r="L11" s="13">
        <v>8.0000000000000002E-3</v>
      </c>
      <c r="M11" s="13">
        <v>8.0000000000000002E-3</v>
      </c>
      <c r="N11" s="13">
        <v>2.5000000000000001E-2</v>
      </c>
      <c r="O11" s="13"/>
      <c r="P11" s="111"/>
    </row>
    <row r="12" spans="1:17" ht="15.75" customHeight="1" x14ac:dyDescent="0.25">
      <c r="A12" s="113"/>
      <c r="B12" s="30"/>
      <c r="C12" s="15"/>
      <c r="D12" s="14" t="s">
        <v>53</v>
      </c>
      <c r="E12" s="14" t="s">
        <v>106</v>
      </c>
      <c r="F12" s="14" t="s">
        <v>107</v>
      </c>
      <c r="G12" s="14" t="s">
        <v>108</v>
      </c>
      <c r="H12" s="14" t="s">
        <v>145</v>
      </c>
      <c r="I12" s="14" t="s">
        <v>146</v>
      </c>
      <c r="J12" s="14" t="s">
        <v>147</v>
      </c>
      <c r="K12" s="14" t="s">
        <v>148</v>
      </c>
      <c r="L12" s="14" t="s">
        <v>149</v>
      </c>
      <c r="M12" s="14" t="s">
        <v>150</v>
      </c>
      <c r="N12" s="14" t="s">
        <v>151</v>
      </c>
      <c r="O12" s="14" t="s">
        <v>148</v>
      </c>
      <c r="P12" s="10"/>
      <c r="Q12" s="7"/>
    </row>
    <row r="13" spans="1:17" ht="15.75" customHeight="1" x14ac:dyDescent="0.25">
      <c r="A13" s="113"/>
      <c r="B13" s="114" t="s">
        <v>140</v>
      </c>
      <c r="C13" s="15" t="s">
        <v>141</v>
      </c>
      <c r="D13" s="16"/>
      <c r="E13" s="16"/>
      <c r="F13" s="13" t="s">
        <v>152</v>
      </c>
      <c r="G13" s="13" t="s">
        <v>152</v>
      </c>
      <c r="H13" s="13" t="s">
        <v>153</v>
      </c>
      <c r="I13" s="13" t="s">
        <v>154</v>
      </c>
      <c r="J13" s="13" t="s">
        <v>155</v>
      </c>
      <c r="K13" s="13" t="s">
        <v>156</v>
      </c>
      <c r="L13" s="13" t="s">
        <v>157</v>
      </c>
      <c r="M13" s="16">
        <v>180</v>
      </c>
      <c r="N13" s="16" t="s">
        <v>158</v>
      </c>
      <c r="O13" s="16" t="s">
        <v>159</v>
      </c>
      <c r="P13" s="11"/>
    </row>
    <row r="14" spans="1:17" ht="15.75" customHeight="1" x14ac:dyDescent="0.25">
      <c r="A14" s="113"/>
      <c r="B14" s="114"/>
      <c r="C14" s="15" t="s">
        <v>142</v>
      </c>
      <c r="D14" s="16"/>
      <c r="E14" s="16"/>
      <c r="F14" s="13"/>
      <c r="G14" s="13"/>
      <c r="H14" s="13"/>
      <c r="I14" s="13"/>
      <c r="J14" s="13" t="s">
        <v>160</v>
      </c>
      <c r="K14" s="13" t="s">
        <v>159</v>
      </c>
      <c r="L14" s="13" t="s">
        <v>161</v>
      </c>
      <c r="M14" s="16"/>
      <c r="N14" s="16"/>
      <c r="O14" s="16"/>
      <c r="P14" s="11"/>
    </row>
    <row r="15" spans="1:17" ht="15.75" customHeight="1" x14ac:dyDescent="0.25">
      <c r="A15" s="113"/>
      <c r="B15" s="114"/>
      <c r="C15" s="15" t="s">
        <v>143</v>
      </c>
      <c r="D15" s="16"/>
      <c r="E15" s="16"/>
      <c r="F15" s="13" t="s">
        <v>152</v>
      </c>
      <c r="G15" s="13" t="s">
        <v>152</v>
      </c>
      <c r="H15" s="13" t="s">
        <v>162</v>
      </c>
      <c r="I15" s="13" t="s">
        <v>163</v>
      </c>
      <c r="J15" s="13" t="s">
        <v>155</v>
      </c>
      <c r="K15" s="13" t="s">
        <v>156</v>
      </c>
      <c r="L15" s="13" t="s">
        <v>161</v>
      </c>
      <c r="M15" s="16">
        <v>180</v>
      </c>
      <c r="N15" s="16" t="s">
        <v>164</v>
      </c>
      <c r="O15" s="16" t="s">
        <v>159</v>
      </c>
      <c r="P15" s="11"/>
    </row>
    <row r="16" spans="1:17" ht="15.75" customHeight="1" x14ac:dyDescent="0.25">
      <c r="A16" s="113"/>
      <c r="B16" s="114"/>
      <c r="C16" s="15" t="s">
        <v>144</v>
      </c>
      <c r="D16" s="16"/>
      <c r="E16" s="16"/>
      <c r="F16" s="13"/>
      <c r="G16" s="13"/>
      <c r="H16" s="13"/>
      <c r="I16" s="13"/>
      <c r="J16" s="13" t="s">
        <v>160</v>
      </c>
      <c r="K16" s="13" t="s">
        <v>159</v>
      </c>
      <c r="L16" s="13" t="s">
        <v>165</v>
      </c>
      <c r="M16" s="16"/>
      <c r="N16" s="16"/>
      <c r="O16" s="16"/>
      <c r="P16" s="11"/>
    </row>
    <row r="17" spans="1:16" ht="15.75" customHeight="1" x14ac:dyDescent="0.25">
      <c r="A17" s="113"/>
      <c r="B17" s="114"/>
      <c r="C17" s="11"/>
      <c r="D17" s="16"/>
      <c r="E17" s="16"/>
      <c r="F17" s="13" t="s">
        <v>152</v>
      </c>
      <c r="G17" s="13" t="s">
        <v>152</v>
      </c>
      <c r="H17" s="13" t="s">
        <v>166</v>
      </c>
      <c r="I17" s="13" t="s">
        <v>167</v>
      </c>
      <c r="J17" s="13" t="s">
        <v>155</v>
      </c>
      <c r="K17" s="13" t="s">
        <v>156</v>
      </c>
      <c r="L17" s="13" t="s">
        <v>168</v>
      </c>
      <c r="M17" s="16">
        <v>180</v>
      </c>
      <c r="N17" s="16" t="s">
        <v>169</v>
      </c>
      <c r="O17" s="16" t="s">
        <v>159</v>
      </c>
      <c r="P17" s="11"/>
    </row>
    <row r="18" spans="1:16" ht="15.75" customHeight="1" x14ac:dyDescent="0.25">
      <c r="A18" s="113"/>
      <c r="B18" s="114"/>
      <c r="C18" s="11"/>
      <c r="D18" s="16"/>
      <c r="E18" s="16"/>
      <c r="F18" s="13"/>
      <c r="G18" s="13"/>
      <c r="H18" s="13"/>
      <c r="I18" s="13"/>
      <c r="J18" s="13" t="s">
        <v>160</v>
      </c>
      <c r="K18" s="13" t="s">
        <v>159</v>
      </c>
      <c r="L18" s="13" t="s">
        <v>170</v>
      </c>
      <c r="M18" s="16"/>
      <c r="N18" s="16"/>
      <c r="O18" s="16"/>
      <c r="P18" s="11"/>
    </row>
    <row r="19" spans="1:16" ht="15.75" customHeight="1" x14ac:dyDescent="0.25">
      <c r="A19" s="113"/>
      <c r="B19" s="114"/>
      <c r="C19" s="11"/>
      <c r="D19" s="13" t="s">
        <v>171</v>
      </c>
      <c r="E19" s="13" t="s">
        <v>172</v>
      </c>
      <c r="F19" s="13" t="s">
        <v>173</v>
      </c>
      <c r="G19" s="13" t="s">
        <v>173</v>
      </c>
      <c r="H19" s="13" t="s">
        <v>174</v>
      </c>
      <c r="I19" s="13" t="s">
        <v>175</v>
      </c>
      <c r="J19" s="13" t="s">
        <v>155</v>
      </c>
      <c r="K19" s="13" t="s">
        <v>156</v>
      </c>
      <c r="L19" s="13" t="s">
        <v>176</v>
      </c>
      <c r="M19" s="16">
        <v>180</v>
      </c>
      <c r="N19" s="16" t="s">
        <v>169</v>
      </c>
      <c r="O19" s="16" t="s">
        <v>159</v>
      </c>
      <c r="P19" s="11"/>
    </row>
    <row r="20" spans="1:16" ht="15.75" customHeight="1" x14ac:dyDescent="0.25">
      <c r="A20" s="113"/>
      <c r="B20" s="114"/>
      <c r="C20" s="11"/>
      <c r="D20" s="13"/>
      <c r="E20" s="13"/>
      <c r="F20" s="13"/>
      <c r="G20" s="13"/>
      <c r="H20" s="13"/>
      <c r="I20" s="13"/>
      <c r="J20" s="13" t="s">
        <v>160</v>
      </c>
      <c r="K20" s="13" t="s">
        <v>159</v>
      </c>
      <c r="L20" s="13" t="s">
        <v>177</v>
      </c>
      <c r="M20" s="16"/>
      <c r="N20" s="16"/>
      <c r="O20" s="16"/>
      <c r="P20" s="11"/>
    </row>
    <row r="21" spans="1:16" ht="15.75" customHeight="1" x14ac:dyDescent="0.25">
      <c r="A21" s="113"/>
      <c r="B21" s="30"/>
      <c r="C21" s="11"/>
      <c r="D21" s="11" t="s">
        <v>53</v>
      </c>
      <c r="E21" s="11" t="s">
        <v>105</v>
      </c>
      <c r="F21" s="11" t="s">
        <v>106</v>
      </c>
      <c r="G21" s="11" t="s">
        <v>107</v>
      </c>
      <c r="H21" s="11" t="s">
        <v>108</v>
      </c>
      <c r="I21" s="11" t="s">
        <v>189</v>
      </c>
      <c r="J21" s="11" t="s">
        <v>190</v>
      </c>
      <c r="K21" s="11" t="s">
        <v>191</v>
      </c>
      <c r="L21" s="11" t="s">
        <v>148</v>
      </c>
      <c r="M21" s="11" t="s">
        <v>149</v>
      </c>
      <c r="N21" s="11"/>
      <c r="O21" s="11"/>
      <c r="P21" s="11"/>
    </row>
    <row r="22" spans="1:16" ht="15.75" customHeight="1" x14ac:dyDescent="0.25">
      <c r="A22" s="113"/>
      <c r="B22" s="114" t="s">
        <v>178</v>
      </c>
      <c r="C22" s="15" t="s">
        <v>179</v>
      </c>
      <c r="D22" s="11" t="s">
        <v>192</v>
      </c>
      <c r="E22" s="11"/>
      <c r="F22" s="11" t="s">
        <v>193</v>
      </c>
      <c r="G22" s="11" t="s">
        <v>194</v>
      </c>
      <c r="H22" s="11" t="s">
        <v>194</v>
      </c>
      <c r="I22" s="11" t="s">
        <v>195</v>
      </c>
      <c r="J22" s="11" t="s">
        <v>162</v>
      </c>
      <c r="K22" s="11" t="s">
        <v>196</v>
      </c>
      <c r="L22" s="11" t="s">
        <v>197</v>
      </c>
      <c r="M22" s="11" t="s">
        <v>199</v>
      </c>
      <c r="N22" s="11"/>
      <c r="O22" s="11"/>
      <c r="P22" s="11"/>
    </row>
    <row r="23" spans="1:16" ht="15.75" customHeight="1" x14ac:dyDescent="0.25">
      <c r="A23" s="113"/>
      <c r="B23" s="114"/>
      <c r="C23" s="15" t="s">
        <v>180</v>
      </c>
      <c r="D23" s="11" t="s">
        <v>117</v>
      </c>
      <c r="E23" s="11" t="s">
        <v>201</v>
      </c>
      <c r="F23" s="11" t="s">
        <v>202</v>
      </c>
      <c r="G23" s="11" t="s">
        <v>194</v>
      </c>
      <c r="H23" s="11" t="s">
        <v>203</v>
      </c>
      <c r="I23" s="11" t="s">
        <v>195</v>
      </c>
      <c r="J23" s="11"/>
      <c r="K23" s="11"/>
      <c r="L23" s="11" t="s">
        <v>198</v>
      </c>
      <c r="M23" s="11" t="s">
        <v>200</v>
      </c>
      <c r="N23" s="11"/>
      <c r="O23" s="11"/>
      <c r="P23" s="11"/>
    </row>
    <row r="24" spans="1:16" ht="15.75" customHeight="1" x14ac:dyDescent="0.25">
      <c r="A24" s="113"/>
      <c r="B24" s="114"/>
      <c r="C24" s="15" t="s">
        <v>181</v>
      </c>
      <c r="D24" s="11" t="s">
        <v>204</v>
      </c>
      <c r="E24" s="11" t="s">
        <v>201</v>
      </c>
      <c r="F24" s="11" t="s">
        <v>202</v>
      </c>
      <c r="G24" s="11" t="s">
        <v>194</v>
      </c>
      <c r="H24" s="11" t="s">
        <v>203</v>
      </c>
      <c r="I24" s="11" t="s">
        <v>195</v>
      </c>
      <c r="J24" s="11"/>
      <c r="K24" s="11"/>
      <c r="L24" s="11"/>
      <c r="M24" s="11"/>
      <c r="N24" s="11"/>
      <c r="O24" s="11"/>
      <c r="P24" s="11"/>
    </row>
    <row r="25" spans="1:16" ht="15.75" customHeight="1" x14ac:dyDescent="0.25">
      <c r="A25" s="113"/>
      <c r="B25" s="114"/>
      <c r="C25" s="15" t="s">
        <v>182</v>
      </c>
      <c r="D25" s="11" t="s">
        <v>117</v>
      </c>
      <c r="E25" s="11" t="s">
        <v>205</v>
      </c>
      <c r="F25" s="11" t="s">
        <v>206</v>
      </c>
      <c r="G25" s="11" t="s">
        <v>194</v>
      </c>
      <c r="H25" s="11" t="s">
        <v>194</v>
      </c>
      <c r="I25" s="11" t="s">
        <v>207</v>
      </c>
      <c r="J25" s="11" t="s">
        <v>208</v>
      </c>
      <c r="K25" s="11" t="s">
        <v>209</v>
      </c>
      <c r="L25" s="11" t="s">
        <v>197</v>
      </c>
      <c r="M25" s="11" t="s">
        <v>210</v>
      </c>
      <c r="N25" s="11"/>
      <c r="O25" s="11"/>
      <c r="P25" s="11"/>
    </row>
    <row r="26" spans="1:16" ht="15.75" customHeight="1" x14ac:dyDescent="0.25">
      <c r="A26" s="113"/>
      <c r="B26" s="114"/>
      <c r="C26" s="15" t="s">
        <v>183</v>
      </c>
      <c r="D26" s="11" t="s">
        <v>204</v>
      </c>
      <c r="E26" s="11" t="s">
        <v>205</v>
      </c>
      <c r="F26" s="11" t="s">
        <v>206</v>
      </c>
      <c r="G26" s="11" t="s">
        <v>194</v>
      </c>
      <c r="H26" s="11" t="s">
        <v>194</v>
      </c>
      <c r="I26" s="11" t="s">
        <v>207</v>
      </c>
      <c r="J26" s="11"/>
      <c r="K26" s="11"/>
      <c r="L26" s="11" t="s">
        <v>198</v>
      </c>
      <c r="M26" s="11" t="s">
        <v>165</v>
      </c>
      <c r="N26" s="11"/>
      <c r="O26" s="11"/>
      <c r="P26" s="11"/>
    </row>
    <row r="27" spans="1:16" ht="15.75" customHeight="1" x14ac:dyDescent="0.25">
      <c r="A27" s="113"/>
      <c r="B27" s="114"/>
      <c r="C27" s="15" t="s">
        <v>184</v>
      </c>
      <c r="D27" s="11" t="s">
        <v>117</v>
      </c>
      <c r="E27" s="11" t="s">
        <v>205</v>
      </c>
      <c r="F27" s="11" t="s">
        <v>206</v>
      </c>
      <c r="G27" s="11" t="s">
        <v>194</v>
      </c>
      <c r="H27" s="11" t="s">
        <v>194</v>
      </c>
      <c r="I27" s="11" t="s">
        <v>207</v>
      </c>
      <c r="J27" s="11"/>
      <c r="K27" s="11"/>
      <c r="L27" s="11"/>
      <c r="M27" s="11"/>
      <c r="N27" s="11"/>
      <c r="O27" s="11"/>
      <c r="P27" s="11"/>
    </row>
    <row r="28" spans="1:16" ht="15.75" customHeight="1" x14ac:dyDescent="0.25">
      <c r="A28" s="113"/>
      <c r="B28" s="114"/>
      <c r="C28" s="15" t="s">
        <v>185</v>
      </c>
      <c r="D28" s="11" t="s">
        <v>117</v>
      </c>
      <c r="E28" s="11" t="s">
        <v>205</v>
      </c>
      <c r="F28" s="11" t="s">
        <v>206</v>
      </c>
      <c r="G28" s="11" t="s">
        <v>194</v>
      </c>
      <c r="H28" s="11" t="s">
        <v>194</v>
      </c>
      <c r="I28" s="11" t="s">
        <v>207</v>
      </c>
      <c r="J28" s="11" t="s">
        <v>211</v>
      </c>
      <c r="K28" s="11" t="s">
        <v>209</v>
      </c>
      <c r="L28" s="11" t="s">
        <v>197</v>
      </c>
      <c r="M28" s="11" t="s">
        <v>168</v>
      </c>
      <c r="N28" s="11"/>
      <c r="O28" s="11"/>
      <c r="P28" s="11"/>
    </row>
    <row r="29" spans="1:16" ht="15.75" customHeight="1" x14ac:dyDescent="0.25">
      <c r="A29" s="113"/>
      <c r="B29" s="114"/>
      <c r="C29" s="15" t="s">
        <v>186</v>
      </c>
      <c r="D29" s="11" t="s">
        <v>117</v>
      </c>
      <c r="E29" s="11" t="s">
        <v>205</v>
      </c>
      <c r="F29" s="11" t="s">
        <v>206</v>
      </c>
      <c r="G29" s="11" t="s">
        <v>194</v>
      </c>
      <c r="H29" s="11" t="s">
        <v>194</v>
      </c>
      <c r="I29" s="11" t="s">
        <v>207</v>
      </c>
      <c r="J29" s="11"/>
      <c r="K29" s="11"/>
      <c r="L29" s="11" t="s">
        <v>198</v>
      </c>
      <c r="M29" s="11" t="s">
        <v>212</v>
      </c>
      <c r="N29" s="11"/>
      <c r="O29" s="11"/>
      <c r="P29" s="11"/>
    </row>
    <row r="30" spans="1:16" ht="15.75" customHeight="1" x14ac:dyDescent="0.25">
      <c r="A30" s="113"/>
      <c r="B30" s="114"/>
      <c r="C30" s="15" t="s">
        <v>187</v>
      </c>
      <c r="D30" s="11" t="s">
        <v>117</v>
      </c>
      <c r="E30" s="11" t="s">
        <v>205</v>
      </c>
      <c r="F30" s="11" t="s">
        <v>206</v>
      </c>
      <c r="G30" s="11" t="s">
        <v>194</v>
      </c>
      <c r="H30" s="11" t="s">
        <v>194</v>
      </c>
      <c r="I30" s="11" t="s">
        <v>213</v>
      </c>
      <c r="J30" s="11" t="s">
        <v>211</v>
      </c>
      <c r="K30" s="11" t="s">
        <v>214</v>
      </c>
      <c r="L30" s="11" t="s">
        <v>197</v>
      </c>
      <c r="M30" s="11" t="s">
        <v>168</v>
      </c>
      <c r="N30" s="11"/>
      <c r="O30" s="11"/>
      <c r="P30" s="11"/>
    </row>
    <row r="31" spans="1:16" ht="15.75" customHeight="1" x14ac:dyDescent="0.25">
      <c r="A31" s="113"/>
      <c r="B31" s="114"/>
      <c r="C31" s="15" t="s">
        <v>188</v>
      </c>
      <c r="D31" s="11" t="s">
        <v>117</v>
      </c>
      <c r="E31" s="11" t="s">
        <v>205</v>
      </c>
      <c r="F31" s="11" t="s">
        <v>206</v>
      </c>
      <c r="G31" s="11" t="s">
        <v>194</v>
      </c>
      <c r="H31" s="11" t="s">
        <v>194</v>
      </c>
      <c r="I31" s="11" t="s">
        <v>213</v>
      </c>
      <c r="J31" s="11"/>
      <c r="K31" s="11"/>
      <c r="L31" s="11" t="s">
        <v>198</v>
      </c>
      <c r="M31" s="11" t="s">
        <v>170</v>
      </c>
      <c r="N31" s="11"/>
      <c r="O31" s="11"/>
      <c r="P31" s="11"/>
    </row>
    <row r="32" spans="1:16" ht="15.75" customHeight="1" x14ac:dyDescent="0.25">
      <c r="A32" s="113"/>
      <c r="B32" s="30"/>
      <c r="C32" s="11"/>
      <c r="D32" s="11" t="s">
        <v>53</v>
      </c>
      <c r="E32" s="11" t="s">
        <v>106</v>
      </c>
      <c r="F32" s="11" t="s">
        <v>107</v>
      </c>
      <c r="G32" s="11" t="s">
        <v>108</v>
      </c>
      <c r="H32" s="11" t="s">
        <v>220</v>
      </c>
      <c r="I32" s="11" t="s">
        <v>221</v>
      </c>
      <c r="J32" s="11" t="s">
        <v>222</v>
      </c>
      <c r="K32" s="11" t="s">
        <v>223</v>
      </c>
      <c r="L32" s="11" t="s">
        <v>224</v>
      </c>
      <c r="M32" s="11" t="s">
        <v>225</v>
      </c>
      <c r="N32" s="11" t="s">
        <v>226</v>
      </c>
      <c r="O32" s="11" t="s">
        <v>227</v>
      </c>
      <c r="P32" s="11"/>
    </row>
    <row r="33" spans="1:20" ht="15.75" customHeight="1" x14ac:dyDescent="0.25">
      <c r="A33" s="113"/>
      <c r="B33" s="114" t="s">
        <v>215</v>
      </c>
      <c r="C33" s="15" t="s">
        <v>216</v>
      </c>
      <c r="D33" s="11" t="s">
        <v>228</v>
      </c>
      <c r="E33" s="11" t="s">
        <v>229</v>
      </c>
      <c r="F33" s="11" t="s">
        <v>230</v>
      </c>
      <c r="G33" s="11" t="s">
        <v>194</v>
      </c>
      <c r="H33" s="11" t="s">
        <v>231</v>
      </c>
      <c r="I33" s="11" t="s">
        <v>232</v>
      </c>
      <c r="J33" s="11" t="s">
        <v>233</v>
      </c>
      <c r="K33" s="11" t="s">
        <v>233</v>
      </c>
      <c r="L33" s="11" t="s">
        <v>233</v>
      </c>
      <c r="M33" s="11" t="s">
        <v>233</v>
      </c>
      <c r="N33" s="11" t="s">
        <v>234</v>
      </c>
      <c r="O33" s="11" t="s">
        <v>156</v>
      </c>
      <c r="P33" s="11">
        <v>180</v>
      </c>
      <c r="Q33" t="s">
        <v>235</v>
      </c>
      <c r="S33" t="s">
        <v>158</v>
      </c>
      <c r="T33" t="s">
        <v>236</v>
      </c>
    </row>
    <row r="34" spans="1:20" ht="15.75" customHeight="1" x14ac:dyDescent="0.25">
      <c r="A34" s="113"/>
      <c r="B34" s="114"/>
      <c r="C34" s="15" t="s">
        <v>217</v>
      </c>
      <c r="D34" s="11" t="s">
        <v>114</v>
      </c>
      <c r="E34" s="11" t="s">
        <v>237</v>
      </c>
      <c r="F34" s="11">
        <v>3.5000000000000003E-2</v>
      </c>
      <c r="G34" s="11" t="s">
        <v>194</v>
      </c>
      <c r="H34" s="11" t="s">
        <v>231</v>
      </c>
      <c r="I34" s="11" t="s">
        <v>238</v>
      </c>
      <c r="J34" s="11" t="s">
        <v>239</v>
      </c>
      <c r="K34" s="11" t="s">
        <v>240</v>
      </c>
      <c r="L34" s="11" t="s">
        <v>241</v>
      </c>
      <c r="M34" s="11" t="s">
        <v>241</v>
      </c>
      <c r="N34" s="11" t="s">
        <v>242</v>
      </c>
      <c r="O34" s="11"/>
      <c r="P34" s="11"/>
    </row>
    <row r="35" spans="1:20" ht="15.75" customHeight="1" x14ac:dyDescent="0.25">
      <c r="A35" s="113"/>
      <c r="B35" s="114"/>
      <c r="C35" s="15" t="s">
        <v>218</v>
      </c>
      <c r="D35" s="11" t="s">
        <v>113</v>
      </c>
      <c r="E35" s="11" t="s">
        <v>243</v>
      </c>
      <c r="F35" s="11">
        <v>0.03</v>
      </c>
      <c r="G35" s="11" t="s">
        <v>116</v>
      </c>
      <c r="H35" s="11" t="s">
        <v>231</v>
      </c>
      <c r="I35" s="11" t="s">
        <v>239</v>
      </c>
      <c r="J35" s="11" t="s">
        <v>244</v>
      </c>
      <c r="K35" s="11" t="s">
        <v>241</v>
      </c>
      <c r="L35" s="11" t="s">
        <v>245</v>
      </c>
      <c r="M35" s="11" t="s">
        <v>245</v>
      </c>
      <c r="N35" s="11" t="s">
        <v>246</v>
      </c>
      <c r="O35" s="11"/>
      <c r="P35" s="11"/>
    </row>
    <row r="36" spans="1:20" ht="15.75" customHeight="1" x14ac:dyDescent="0.25">
      <c r="A36" s="113"/>
      <c r="B36" s="114"/>
      <c r="C36" s="15" t="s">
        <v>219</v>
      </c>
      <c r="D36" s="11" t="s">
        <v>247</v>
      </c>
      <c r="E36" s="11" t="s">
        <v>201</v>
      </c>
      <c r="F36" s="11" t="s">
        <v>248</v>
      </c>
      <c r="G36" s="11" t="s">
        <v>248</v>
      </c>
      <c r="H36" s="11" t="s">
        <v>231</v>
      </c>
      <c r="I36" s="11" t="s">
        <v>245</v>
      </c>
      <c r="J36" s="11" t="s">
        <v>249</v>
      </c>
      <c r="K36" s="11" t="s">
        <v>242</v>
      </c>
      <c r="L36" s="11" t="s">
        <v>242</v>
      </c>
      <c r="M36" s="11" t="s">
        <v>250</v>
      </c>
      <c r="N36" s="11" t="s">
        <v>251</v>
      </c>
      <c r="O36" s="11"/>
      <c r="P36" s="11"/>
    </row>
    <row r="37" spans="1:20" ht="15.75" customHeight="1" x14ac:dyDescent="0.25">
      <c r="A37" s="113"/>
      <c r="B37" s="3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20" ht="15.75" customHeight="1" x14ac:dyDescent="0.25">
      <c r="A38" s="113"/>
      <c r="B38" s="114" t="s">
        <v>252</v>
      </c>
      <c r="C38" s="15" t="s">
        <v>253</v>
      </c>
      <c r="D38" s="11" t="s">
        <v>260</v>
      </c>
      <c r="E38" s="11" t="s">
        <v>171</v>
      </c>
      <c r="F38" s="11" t="s">
        <v>121</v>
      </c>
      <c r="G38" s="11" t="s">
        <v>194</v>
      </c>
      <c r="H38" s="11" t="s">
        <v>173</v>
      </c>
      <c r="I38" s="11" t="s">
        <v>171</v>
      </c>
      <c r="J38" s="11" t="s">
        <v>171</v>
      </c>
      <c r="K38" s="11" t="s">
        <v>261</v>
      </c>
      <c r="L38" s="11" t="s">
        <v>262</v>
      </c>
      <c r="M38" s="11" t="s">
        <v>263</v>
      </c>
      <c r="N38" s="11" t="s">
        <v>240</v>
      </c>
      <c r="O38" s="11" t="s">
        <v>264</v>
      </c>
      <c r="P38" s="11">
        <v>180</v>
      </c>
      <c r="Q38" t="s">
        <v>235</v>
      </c>
      <c r="R38" t="s">
        <v>266</v>
      </c>
      <c r="S38" t="s">
        <v>267</v>
      </c>
    </row>
    <row r="39" spans="1:20" ht="15.75" customHeight="1" x14ac:dyDescent="0.25">
      <c r="A39" s="113"/>
      <c r="B39" s="114"/>
      <c r="C39" s="15" t="s">
        <v>254</v>
      </c>
      <c r="D39" s="11"/>
      <c r="E39" s="11" t="s">
        <v>118</v>
      </c>
      <c r="F39" s="11" t="s">
        <v>201</v>
      </c>
      <c r="G39" s="11" t="s">
        <v>228</v>
      </c>
      <c r="H39" s="11" t="s">
        <v>230</v>
      </c>
      <c r="I39" s="11" t="s">
        <v>152</v>
      </c>
      <c r="J39" s="11" t="s">
        <v>171</v>
      </c>
      <c r="K39" s="11" t="s">
        <v>171</v>
      </c>
      <c r="L39" s="11" t="s">
        <v>261</v>
      </c>
      <c r="M39" s="11" t="s">
        <v>268</v>
      </c>
      <c r="N39" s="11" t="s">
        <v>269</v>
      </c>
      <c r="O39" s="11" t="s">
        <v>265</v>
      </c>
      <c r="P39" s="11"/>
      <c r="Q39" t="s">
        <v>234</v>
      </c>
      <c r="R39" t="s">
        <v>270</v>
      </c>
      <c r="T39" t="s">
        <v>271</v>
      </c>
    </row>
    <row r="40" spans="1:20" ht="15.75" customHeight="1" x14ac:dyDescent="0.25">
      <c r="A40" s="113"/>
      <c r="B40" s="114"/>
      <c r="C40" s="15" t="s">
        <v>255</v>
      </c>
      <c r="D40" s="11"/>
      <c r="E40" s="11" t="s">
        <v>118</v>
      </c>
      <c r="F40" s="11" t="s">
        <v>201</v>
      </c>
      <c r="G40" s="11" t="s">
        <v>228</v>
      </c>
      <c r="H40" s="11" t="s">
        <v>230</v>
      </c>
      <c r="I40" s="11" t="s">
        <v>230</v>
      </c>
      <c r="J40" s="11" t="s">
        <v>171</v>
      </c>
      <c r="K40" s="11" t="s">
        <v>171</v>
      </c>
      <c r="L40" s="11" t="s">
        <v>261</v>
      </c>
      <c r="M40" s="11"/>
      <c r="N40" s="11"/>
      <c r="O40" s="11"/>
      <c r="P40" s="11"/>
    </row>
    <row r="41" spans="1:20" ht="15.75" customHeight="1" x14ac:dyDescent="0.25">
      <c r="A41" s="113"/>
      <c r="B41" s="114"/>
      <c r="C41" s="15" t="s">
        <v>256</v>
      </c>
      <c r="D41" s="11"/>
      <c r="E41" s="11" t="s">
        <v>272</v>
      </c>
      <c r="F41" s="11" t="s">
        <v>201</v>
      </c>
      <c r="G41" s="11" t="s">
        <v>273</v>
      </c>
      <c r="H41" s="11" t="s">
        <v>230</v>
      </c>
      <c r="I41" s="11" t="s">
        <v>152</v>
      </c>
      <c r="J41" s="11" t="s">
        <v>171</v>
      </c>
      <c r="K41" s="11" t="s">
        <v>171</v>
      </c>
      <c r="L41" s="11" t="s">
        <v>261</v>
      </c>
      <c r="M41" s="11" t="s">
        <v>274</v>
      </c>
      <c r="N41" s="11" t="s">
        <v>275</v>
      </c>
      <c r="O41" s="11"/>
      <c r="P41" s="11"/>
      <c r="Q41" t="s">
        <v>276</v>
      </c>
      <c r="R41" t="s">
        <v>271</v>
      </c>
      <c r="T41" t="s">
        <v>277</v>
      </c>
    </row>
    <row r="42" spans="1:20" ht="15.75" customHeight="1" x14ac:dyDescent="0.25">
      <c r="A42" s="113"/>
      <c r="B42" s="114"/>
      <c r="C42" s="15" t="s">
        <v>257</v>
      </c>
      <c r="D42" s="11"/>
      <c r="E42" s="11" t="s">
        <v>278</v>
      </c>
      <c r="F42" s="11" t="s">
        <v>201</v>
      </c>
      <c r="G42" s="11" t="s">
        <v>273</v>
      </c>
      <c r="H42" s="11" t="s">
        <v>230</v>
      </c>
      <c r="I42" s="11" t="s">
        <v>230</v>
      </c>
      <c r="J42" s="11" t="s">
        <v>171</v>
      </c>
      <c r="K42" s="11" t="s">
        <v>171</v>
      </c>
      <c r="L42" s="11" t="s">
        <v>261</v>
      </c>
      <c r="M42" s="11"/>
      <c r="N42" s="11"/>
      <c r="O42" s="11"/>
      <c r="P42" s="11"/>
    </row>
    <row r="43" spans="1:20" ht="15.75" customHeight="1" x14ac:dyDescent="0.25">
      <c r="A43" s="113"/>
      <c r="B43" s="114"/>
      <c r="C43" s="15" t="s">
        <v>258</v>
      </c>
      <c r="D43" s="11"/>
      <c r="E43" s="11" t="s">
        <v>279</v>
      </c>
      <c r="F43" s="11" t="s">
        <v>280</v>
      </c>
      <c r="G43" s="11" t="s">
        <v>281</v>
      </c>
      <c r="H43" s="11" t="s">
        <v>230</v>
      </c>
      <c r="I43" s="11" t="s">
        <v>152</v>
      </c>
      <c r="J43" s="11" t="s">
        <v>171</v>
      </c>
      <c r="K43" s="11" t="s">
        <v>171</v>
      </c>
      <c r="L43" s="11" t="s">
        <v>261</v>
      </c>
      <c r="M43" s="11" t="s">
        <v>282</v>
      </c>
      <c r="N43" s="11" t="s">
        <v>283</v>
      </c>
      <c r="O43" s="11"/>
      <c r="P43" s="11"/>
      <c r="Q43" t="s">
        <v>284</v>
      </c>
      <c r="R43" t="s">
        <v>277</v>
      </c>
      <c r="T43" t="s">
        <v>285</v>
      </c>
    </row>
    <row r="44" spans="1:20" ht="15.75" customHeight="1" x14ac:dyDescent="0.25">
      <c r="A44" s="113"/>
      <c r="B44" s="114"/>
      <c r="C44" s="15" t="s">
        <v>259</v>
      </c>
      <c r="D44" s="11"/>
      <c r="E44" s="11" t="s">
        <v>286</v>
      </c>
      <c r="F44" s="11" t="s">
        <v>280</v>
      </c>
      <c r="G44" s="11" t="s">
        <v>281</v>
      </c>
      <c r="H44" s="11" t="s">
        <v>230</v>
      </c>
      <c r="I44" s="11" t="s">
        <v>230</v>
      </c>
      <c r="J44" s="11" t="s">
        <v>171</v>
      </c>
      <c r="K44" s="11" t="s">
        <v>171</v>
      </c>
      <c r="L44" s="11" t="s">
        <v>261</v>
      </c>
      <c r="M44" s="11"/>
      <c r="N44" s="11"/>
      <c r="O44" s="11"/>
      <c r="P44" s="11"/>
    </row>
  </sheetData>
  <mergeCells count="8">
    <mergeCell ref="P8:P11"/>
    <mergeCell ref="A2:A44"/>
    <mergeCell ref="B2:B6"/>
    <mergeCell ref="B8:B11"/>
    <mergeCell ref="B13:B20"/>
    <mergeCell ref="B22:B31"/>
    <mergeCell ref="B33:B36"/>
    <mergeCell ref="B38:B44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2"/>
  <sheetViews>
    <sheetView workbookViewId="0">
      <selection activeCell="O22" sqref="O22"/>
    </sheetView>
  </sheetViews>
  <sheetFormatPr defaultColWidth="12.6640625" defaultRowHeight="15.75" customHeight="1" x14ac:dyDescent="0.25"/>
  <cols>
    <col min="1" max="1" width="16.88671875" bestFit="1" customWidth="1"/>
    <col min="2" max="4" width="5" bestFit="1" customWidth="1"/>
    <col min="5" max="13" width="5.6640625" bestFit="1" customWidth="1"/>
    <col min="14" max="14" width="4.77734375" bestFit="1" customWidth="1"/>
  </cols>
  <sheetData>
    <row r="1" spans="1:21" x14ac:dyDescent="0.25">
      <c r="O1" s="3" t="s">
        <v>61</v>
      </c>
      <c r="P1" s="3">
        <v>0</v>
      </c>
      <c r="S1" s="3" t="s">
        <v>62</v>
      </c>
      <c r="T1" s="3">
        <v>36</v>
      </c>
      <c r="U1" s="3" t="s">
        <v>63</v>
      </c>
    </row>
    <row r="2" spans="1:21" x14ac:dyDescent="0.25">
      <c r="O2" s="3" t="s">
        <v>64</v>
      </c>
      <c r="P2" s="3">
        <v>8</v>
      </c>
      <c r="S2" s="3" t="s">
        <v>65</v>
      </c>
      <c r="T2" s="3">
        <v>54</v>
      </c>
      <c r="U2" s="3" t="s">
        <v>63</v>
      </c>
    </row>
    <row r="3" spans="1:21" x14ac:dyDescent="0.25">
      <c r="O3" s="3" t="s">
        <v>66</v>
      </c>
      <c r="P3" s="3">
        <v>100</v>
      </c>
      <c r="Q3" s="3" t="s">
        <v>67</v>
      </c>
      <c r="S3" s="3" t="s">
        <v>68</v>
      </c>
      <c r="T3" s="3">
        <v>70</v>
      </c>
      <c r="U3" s="3" t="s">
        <v>63</v>
      </c>
    </row>
    <row r="4" spans="1:21" x14ac:dyDescent="0.25">
      <c r="O4" s="3" t="s">
        <v>69</v>
      </c>
      <c r="P4" s="3">
        <v>15</v>
      </c>
      <c r="Q4" s="3" t="s">
        <v>70</v>
      </c>
      <c r="S4" s="3" t="s">
        <v>71</v>
      </c>
      <c r="T4" s="3">
        <v>10</v>
      </c>
      <c r="U4" s="3" t="s">
        <v>63</v>
      </c>
    </row>
    <row r="5" spans="1:21" x14ac:dyDescent="0.25">
      <c r="O5" s="3" t="s">
        <v>72</v>
      </c>
      <c r="Q5" s="3" t="s">
        <v>73</v>
      </c>
    </row>
    <row r="6" spans="1:21" x14ac:dyDescent="0.25">
      <c r="O6" s="3" t="s">
        <v>74</v>
      </c>
      <c r="Q6" s="3" t="s">
        <v>75</v>
      </c>
    </row>
    <row r="7" spans="1:21" x14ac:dyDescent="0.25">
      <c r="A7" s="4" t="s">
        <v>76</v>
      </c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  <c r="N7" s="1" t="s">
        <v>77</v>
      </c>
    </row>
    <row r="8" spans="1:21" x14ac:dyDescent="0.25">
      <c r="A8" s="1" t="s">
        <v>78</v>
      </c>
      <c r="B8" s="1">
        <v>2000</v>
      </c>
      <c r="C8" s="1">
        <v>2400</v>
      </c>
      <c r="D8" s="1">
        <v>2400</v>
      </c>
      <c r="E8" s="1">
        <v>6000</v>
      </c>
      <c r="F8" s="1">
        <v>6000</v>
      </c>
      <c r="G8" s="1">
        <v>6000</v>
      </c>
      <c r="H8" s="1">
        <v>4400</v>
      </c>
      <c r="I8" s="1">
        <v>4400</v>
      </c>
      <c r="J8" s="1">
        <v>8000</v>
      </c>
      <c r="K8" s="1">
        <v>8000</v>
      </c>
      <c r="L8" s="1">
        <v>4400</v>
      </c>
      <c r="M8" s="1">
        <v>6000</v>
      </c>
      <c r="N8" s="1"/>
    </row>
    <row r="9" spans="1:21" x14ac:dyDescent="0.25">
      <c r="A9" s="5" t="s">
        <v>79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"/>
    </row>
    <row r="10" spans="1:21" x14ac:dyDescent="0.25">
      <c r="A10" s="1" t="s">
        <v>80</v>
      </c>
      <c r="B10" s="1">
        <f t="shared" ref="B10:M10" si="0">$P$4*$P$3</f>
        <v>1500</v>
      </c>
      <c r="C10" s="1">
        <f t="shared" si="0"/>
        <v>1500</v>
      </c>
      <c r="D10" s="1">
        <f t="shared" si="0"/>
        <v>1500</v>
      </c>
      <c r="E10" s="1">
        <f t="shared" si="0"/>
        <v>1500</v>
      </c>
      <c r="F10" s="1">
        <f t="shared" si="0"/>
        <v>1500</v>
      </c>
      <c r="G10" s="1">
        <f t="shared" si="0"/>
        <v>1500</v>
      </c>
      <c r="H10" s="1">
        <f t="shared" si="0"/>
        <v>1500</v>
      </c>
      <c r="I10" s="1">
        <f t="shared" si="0"/>
        <v>1500</v>
      </c>
      <c r="J10" s="1">
        <f t="shared" si="0"/>
        <v>1500</v>
      </c>
      <c r="K10" s="1">
        <f t="shared" si="0"/>
        <v>1500</v>
      </c>
      <c r="L10" s="1">
        <f t="shared" si="0"/>
        <v>1500</v>
      </c>
      <c r="M10" s="1">
        <f t="shared" si="0"/>
        <v>1500</v>
      </c>
      <c r="N10" s="1"/>
    </row>
    <row r="11" spans="1:21" x14ac:dyDescent="0.25">
      <c r="A11" s="1" t="s">
        <v>81</v>
      </c>
      <c r="B11" s="1">
        <v>650</v>
      </c>
      <c r="C11" s="1">
        <v>750</v>
      </c>
      <c r="D11" s="1">
        <v>750</v>
      </c>
      <c r="E11" s="1">
        <v>750</v>
      </c>
      <c r="F11" s="1">
        <v>750</v>
      </c>
      <c r="G11" s="1">
        <v>750</v>
      </c>
      <c r="H11" s="1">
        <v>750</v>
      </c>
      <c r="I11" s="1">
        <v>750</v>
      </c>
      <c r="J11" s="1">
        <v>750</v>
      </c>
      <c r="K11" s="1">
        <v>750</v>
      </c>
      <c r="L11" s="1">
        <v>750</v>
      </c>
      <c r="M11" s="1">
        <v>750</v>
      </c>
      <c r="N11" s="1"/>
    </row>
    <row r="12" spans="1:21" x14ac:dyDescent="0.25">
      <c r="A12" s="1" t="s">
        <v>82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1" x14ac:dyDescent="0.25">
      <c r="A13" s="1" t="s">
        <v>83</v>
      </c>
      <c r="B13" s="1">
        <f t="shared" ref="B13:M13" si="1">-(B8+B18)+B10+B11+B15</f>
        <v>150</v>
      </c>
      <c r="C13" s="1">
        <f t="shared" si="1"/>
        <v>-150</v>
      </c>
      <c r="D13" s="1">
        <f t="shared" si="1"/>
        <v>-150</v>
      </c>
      <c r="E13" s="1">
        <f t="shared" si="1"/>
        <v>-3750</v>
      </c>
      <c r="F13" s="1">
        <f t="shared" si="1"/>
        <v>-3750</v>
      </c>
      <c r="G13" s="1">
        <f t="shared" si="1"/>
        <v>-3750</v>
      </c>
      <c r="H13" s="1">
        <f t="shared" si="1"/>
        <v>-2150</v>
      </c>
      <c r="I13" s="1">
        <f t="shared" si="1"/>
        <v>-2150</v>
      </c>
      <c r="J13" s="1">
        <f t="shared" si="1"/>
        <v>-5750</v>
      </c>
      <c r="K13" s="1">
        <f t="shared" si="1"/>
        <v>-5750</v>
      </c>
      <c r="L13" s="1">
        <f t="shared" si="1"/>
        <v>-2150</v>
      </c>
      <c r="M13" s="1">
        <f t="shared" si="1"/>
        <v>-3750</v>
      </c>
      <c r="N13" s="1"/>
    </row>
    <row r="14" spans="1:21" x14ac:dyDescent="0.25">
      <c r="A14" s="5" t="s">
        <v>84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"/>
    </row>
    <row r="15" spans="1:21" x14ac:dyDescent="0.25">
      <c r="A15" s="1" t="s">
        <v>85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21" x14ac:dyDescent="0.25">
      <c r="A16" s="1" t="s">
        <v>86</v>
      </c>
      <c r="B16" s="1">
        <v>150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87</v>
      </c>
      <c r="B17" s="1">
        <f>B16/2</f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88</v>
      </c>
      <c r="B18" s="1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5" t="s">
        <v>89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"/>
    </row>
    <row r="20" spans="1:14" x14ac:dyDescent="0.25">
      <c r="A20" s="1" t="s">
        <v>79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84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 t="s">
        <v>90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107A-027A-43AE-BC94-1C5D8AD0345D}">
  <dimension ref="A1:N14"/>
  <sheetViews>
    <sheetView topLeftCell="B1" workbookViewId="0">
      <selection activeCell="N13" sqref="N13"/>
    </sheetView>
  </sheetViews>
  <sheetFormatPr defaultRowHeight="13.2" x14ac:dyDescent="0.25"/>
  <cols>
    <col min="1" max="1" width="42.109375" bestFit="1" customWidth="1"/>
    <col min="2" max="13" width="12.109375" bestFit="1" customWidth="1"/>
    <col min="14" max="14" width="13.109375" bestFit="1" customWidth="1"/>
  </cols>
  <sheetData>
    <row r="1" spans="1:14" x14ac:dyDescent="0.25">
      <c r="A1" t="s">
        <v>392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77</v>
      </c>
    </row>
    <row r="2" spans="1:14" x14ac:dyDescent="0.25">
      <c r="A2" t="s">
        <v>320</v>
      </c>
      <c r="B2" s="43">
        <v>91503.419806486039</v>
      </c>
      <c r="C2" s="43">
        <v>68290.704274120508</v>
      </c>
      <c r="D2" s="43">
        <v>102609.30005641188</v>
      </c>
      <c r="E2" s="43">
        <v>90311.975165726297</v>
      </c>
      <c r="F2" s="43">
        <v>62648.444575067719</v>
      </c>
      <c r="G2" s="43">
        <v>38601.336167043817</v>
      </c>
      <c r="H2" s="43">
        <v>26938.044063248795</v>
      </c>
      <c r="I2" s="43">
        <v>54944.553236775369</v>
      </c>
      <c r="J2" s="43">
        <v>69217.125640728031</v>
      </c>
      <c r="K2" s="43">
        <v>67832.920614054776</v>
      </c>
      <c r="L2" s="43">
        <v>74143.823282634054</v>
      </c>
      <c r="M2" s="43">
        <v>83642.58869229634</v>
      </c>
      <c r="N2" s="43">
        <v>628236.20440377831</v>
      </c>
    </row>
    <row r="3" spans="1:14" x14ac:dyDescent="0.25">
      <c r="A3" t="s">
        <v>322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</row>
    <row r="4" spans="1:14" x14ac:dyDescent="0.25">
      <c r="A4" t="s">
        <v>325</v>
      </c>
      <c r="B4" s="43">
        <v>297791.74405455758</v>
      </c>
      <c r="C4" s="43">
        <v>292072.49309026607</v>
      </c>
      <c r="D4" s="43">
        <v>250115.96855670158</v>
      </c>
      <c r="E4" s="43">
        <v>286251.04404552263</v>
      </c>
      <c r="F4" s="43">
        <v>260992.80314756575</v>
      </c>
      <c r="G4" s="43">
        <v>309157.82928926439</v>
      </c>
      <c r="H4" s="43">
        <v>251548.4757629823</v>
      </c>
      <c r="I4" s="43">
        <v>314379.26223150507</v>
      </c>
      <c r="J4" s="43">
        <v>240783.34763057221</v>
      </c>
      <c r="K4" s="43">
        <v>263708.15101835201</v>
      </c>
      <c r="L4" s="43">
        <v>249645.70073429169</v>
      </c>
      <c r="M4" s="43">
        <v>199086.76868320379</v>
      </c>
      <c r="N4" s="43">
        <v>2839130.7993962104</v>
      </c>
    </row>
    <row r="5" spans="1:14" x14ac:dyDescent="0.25">
      <c r="A5" t="s">
        <v>327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</row>
    <row r="6" spans="1:14" x14ac:dyDescent="0.25">
      <c r="A6" t="s">
        <v>329</v>
      </c>
      <c r="B6" s="43">
        <v>351590.75194318983</v>
      </c>
      <c r="C6" s="43">
        <v>375487.07270499266</v>
      </c>
      <c r="D6" s="43">
        <v>427580.01473554736</v>
      </c>
      <c r="E6" s="43">
        <v>410431.12644250225</v>
      </c>
      <c r="F6" s="43">
        <v>447954.39093061665</v>
      </c>
      <c r="G6" s="43">
        <v>396130.50061905029</v>
      </c>
      <c r="H6" s="43">
        <v>468325.47007109202</v>
      </c>
      <c r="I6" s="43">
        <v>348410.21834060294</v>
      </c>
      <c r="J6" s="43">
        <v>365176.43363340432</v>
      </c>
      <c r="K6" s="43">
        <v>333338.49709927908</v>
      </c>
      <c r="L6" s="43">
        <v>310637.19225141208</v>
      </c>
      <c r="M6" s="43">
        <v>350031.95011399977</v>
      </c>
      <c r="N6" s="43">
        <v>4219491.4454094693</v>
      </c>
    </row>
    <row r="7" spans="1:14" x14ac:dyDescent="0.25">
      <c r="B7" s="43">
        <v>7624.8707344396607</v>
      </c>
      <c r="C7" s="43">
        <v>7624.8707344396607</v>
      </c>
      <c r="D7" s="43">
        <v>7624.8707344396607</v>
      </c>
      <c r="E7" s="43">
        <v>7624.8707344396607</v>
      </c>
      <c r="F7" s="43">
        <v>7624.8707344396607</v>
      </c>
      <c r="G7" s="43">
        <v>7624.8707344396607</v>
      </c>
      <c r="H7" s="43">
        <v>7624.8707344396607</v>
      </c>
      <c r="I7" s="43">
        <v>7624.8707344396607</v>
      </c>
      <c r="J7" s="43">
        <v>7624.8707344396607</v>
      </c>
      <c r="K7" s="43">
        <v>7624.8707344396607</v>
      </c>
      <c r="L7" s="43">
        <v>7624.8707344396607</v>
      </c>
      <c r="M7" s="43">
        <v>7624.8707344396607</v>
      </c>
      <c r="N7" s="43">
        <v>7624.8707344396607</v>
      </c>
    </row>
    <row r="8" spans="1:14" x14ac:dyDescent="0.25">
      <c r="A8" t="s">
        <v>331</v>
      </c>
      <c r="B8" s="43">
        <v>57298.545370584157</v>
      </c>
      <c r="C8" s="43">
        <v>79645.373948624692</v>
      </c>
      <c r="D8" s="43">
        <v>51893.738140417459</v>
      </c>
      <c r="E8" s="43">
        <v>57953.260869565216</v>
      </c>
      <c r="F8" s="43">
        <v>68587.708066581312</v>
      </c>
      <c r="G8" s="43">
        <v>75575.757575757569</v>
      </c>
      <c r="H8" s="43">
        <v>68912.662775033677</v>
      </c>
      <c r="I8" s="43">
        <v>61312.455104158347</v>
      </c>
      <c r="J8" s="43">
        <v>60202.073365231263</v>
      </c>
      <c r="K8" s="43">
        <v>67704.658197217184</v>
      </c>
      <c r="L8" s="43">
        <v>63236.771164622143</v>
      </c>
      <c r="M8" s="43">
        <v>60983.555555555562</v>
      </c>
      <c r="N8" s="43">
        <v>773306.56013334868</v>
      </c>
    </row>
    <row r="9" spans="1:14" x14ac:dyDescent="0.25">
      <c r="A9" t="s">
        <v>368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</row>
    <row r="10" spans="1:14" x14ac:dyDescent="0.25">
      <c r="A10" t="s">
        <v>374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</row>
    <row r="11" spans="1:14" x14ac:dyDescent="0.25">
      <c r="A11" t="s">
        <v>379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</row>
    <row r="14" spans="1:14" x14ac:dyDescent="0.25">
      <c r="A14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76"/>
  <sheetViews>
    <sheetView zoomScale="68" workbookViewId="0">
      <selection activeCell="P31" sqref="P31"/>
    </sheetView>
  </sheetViews>
  <sheetFormatPr defaultColWidth="12.6640625" defaultRowHeight="15.75" customHeight="1" x14ac:dyDescent="0.25"/>
  <cols>
    <col min="1" max="1" width="32.5546875" bestFit="1" customWidth="1"/>
    <col min="2" max="2" width="11.44140625" bestFit="1" customWidth="1"/>
    <col min="3" max="4" width="9.6640625" bestFit="1" customWidth="1"/>
    <col min="5" max="5" width="9.33203125" bestFit="1" customWidth="1"/>
    <col min="6" max="7" width="10.33203125" bestFit="1" customWidth="1"/>
    <col min="8" max="10" width="9.88671875" bestFit="1" customWidth="1"/>
    <col min="11" max="13" width="10.33203125" bestFit="1" customWidth="1"/>
    <col min="14" max="14" width="9.88671875" bestFit="1" customWidth="1"/>
    <col min="16" max="16" width="31.88671875" bestFit="1" customWidth="1"/>
  </cols>
  <sheetData>
    <row r="1" spans="1:29" ht="15.75" customHeight="1" x14ac:dyDescent="0.25">
      <c r="A1" s="44"/>
      <c r="B1" s="44"/>
      <c r="C1" s="116" t="s">
        <v>91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P1" s="44"/>
      <c r="Q1" s="44"/>
      <c r="R1" s="116" t="s">
        <v>91</v>
      </c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</row>
    <row r="2" spans="1:29" ht="13.2" x14ac:dyDescent="0.25">
      <c r="A2" s="45" t="s">
        <v>413</v>
      </c>
      <c r="B2" s="45"/>
      <c r="C2" s="44" t="s">
        <v>393</v>
      </c>
      <c r="D2" s="44" t="s">
        <v>394</v>
      </c>
      <c r="E2" s="44" t="s">
        <v>395</v>
      </c>
      <c r="F2" s="44" t="s">
        <v>396</v>
      </c>
      <c r="G2" s="44" t="s">
        <v>397</v>
      </c>
      <c r="H2" s="44" t="s">
        <v>398</v>
      </c>
      <c r="I2" s="44" t="s">
        <v>399</v>
      </c>
      <c r="J2" s="44" t="s">
        <v>400</v>
      </c>
      <c r="K2" s="44" t="s">
        <v>401</v>
      </c>
      <c r="L2" s="44" t="s">
        <v>402</v>
      </c>
      <c r="M2" s="44" t="s">
        <v>403</v>
      </c>
      <c r="N2" s="44" t="s">
        <v>404</v>
      </c>
      <c r="P2" s="45" t="s">
        <v>412</v>
      </c>
      <c r="Q2" s="45"/>
      <c r="R2" s="44" t="s">
        <v>393</v>
      </c>
      <c r="S2" s="44" t="s">
        <v>394</v>
      </c>
      <c r="T2" s="44" t="s">
        <v>395</v>
      </c>
      <c r="U2" s="44" t="s">
        <v>396</v>
      </c>
      <c r="V2" s="44" t="s">
        <v>397</v>
      </c>
      <c r="W2" s="44" t="s">
        <v>398</v>
      </c>
      <c r="X2" s="44" t="s">
        <v>399</v>
      </c>
      <c r="Y2" s="44" t="s">
        <v>400</v>
      </c>
      <c r="Z2" s="44" t="s">
        <v>401</v>
      </c>
      <c r="AA2" s="44" t="s">
        <v>402</v>
      </c>
      <c r="AB2" s="44" t="s">
        <v>403</v>
      </c>
      <c r="AC2" s="44" t="s">
        <v>404</v>
      </c>
    </row>
    <row r="3" spans="1:29" ht="18" customHeight="1" x14ac:dyDescent="0.25">
      <c r="A3" s="49" t="s">
        <v>411</v>
      </c>
      <c r="B3" s="45" t="s">
        <v>407</v>
      </c>
      <c r="C3" s="47"/>
      <c r="D3" s="47"/>
      <c r="E3" s="47"/>
      <c r="F3" s="47"/>
      <c r="G3" s="47"/>
      <c r="H3" s="48"/>
      <c r="I3" s="48"/>
      <c r="J3" s="48"/>
      <c r="K3" s="48"/>
      <c r="L3" s="48"/>
      <c r="M3" s="48"/>
      <c r="N3" s="48"/>
      <c r="P3" s="46"/>
      <c r="Q3" s="45"/>
      <c r="R3" s="47"/>
      <c r="S3" s="47"/>
      <c r="T3" s="47"/>
      <c r="U3" s="47"/>
      <c r="V3" s="47"/>
      <c r="W3" s="48"/>
      <c r="X3" s="48"/>
      <c r="Y3" s="48"/>
      <c r="Z3" s="48"/>
      <c r="AA3" s="48"/>
      <c r="AB3" s="48"/>
      <c r="AC3" s="48"/>
    </row>
    <row r="4" spans="1:29" ht="13.2" x14ac:dyDescent="0.25">
      <c r="A4" s="45" t="s">
        <v>92</v>
      </c>
      <c r="B4" s="45"/>
      <c r="C4" s="47"/>
      <c r="D4" s="47"/>
      <c r="E4" s="47"/>
      <c r="F4" s="47"/>
      <c r="G4" s="47"/>
      <c r="H4" s="48"/>
      <c r="I4" s="48"/>
      <c r="J4" s="48"/>
      <c r="K4" s="48"/>
      <c r="L4" s="48"/>
      <c r="M4" s="48"/>
      <c r="N4" s="48"/>
      <c r="P4" s="45"/>
      <c r="Q4" s="45"/>
      <c r="R4" s="47"/>
      <c r="S4" s="47"/>
      <c r="T4" s="47"/>
      <c r="U4" s="47"/>
      <c r="V4" s="47"/>
      <c r="W4" s="48"/>
      <c r="X4" s="48"/>
      <c r="Y4" s="48"/>
      <c r="Z4" s="48"/>
      <c r="AA4" s="48"/>
      <c r="AB4" s="48"/>
      <c r="AC4" s="48"/>
    </row>
    <row r="5" spans="1:29" ht="13.2" x14ac:dyDescent="0.25">
      <c r="A5" s="45" t="s">
        <v>93</v>
      </c>
      <c r="B5" s="45"/>
      <c r="C5" s="47"/>
      <c r="D5" s="47"/>
      <c r="E5" s="47"/>
      <c r="F5" s="47"/>
      <c r="G5" s="47"/>
      <c r="H5" s="48"/>
      <c r="I5" s="48"/>
      <c r="J5" s="48"/>
      <c r="K5" s="48"/>
      <c r="L5" s="48"/>
      <c r="M5" s="48"/>
      <c r="N5" s="48"/>
      <c r="P5" s="45"/>
      <c r="Q5" s="45"/>
      <c r="R5" s="47"/>
      <c r="S5" s="47"/>
      <c r="T5" s="47"/>
      <c r="U5" s="47"/>
      <c r="V5" s="47"/>
      <c r="W5" s="48"/>
      <c r="X5" s="48"/>
      <c r="Y5" s="48"/>
      <c r="Z5" s="48"/>
      <c r="AA5" s="48"/>
      <c r="AB5" s="48"/>
      <c r="AC5" s="48"/>
    </row>
    <row r="6" spans="1:29" ht="13.2" x14ac:dyDescent="0.25">
      <c r="A6" s="45" t="s">
        <v>94</v>
      </c>
      <c r="B6" s="45"/>
      <c r="C6" s="47"/>
      <c r="D6" s="47"/>
      <c r="E6" s="47"/>
      <c r="F6" s="47"/>
      <c r="G6" s="47"/>
      <c r="H6" s="48"/>
      <c r="I6" s="48"/>
      <c r="J6" s="48"/>
      <c r="K6" s="48"/>
      <c r="L6" s="48"/>
      <c r="M6" s="48"/>
      <c r="N6" s="48"/>
      <c r="P6" s="45"/>
      <c r="Q6" s="45"/>
      <c r="R6" s="47"/>
      <c r="S6" s="47"/>
      <c r="T6" s="47"/>
      <c r="U6" s="47"/>
      <c r="V6" s="47"/>
      <c r="W6" s="48"/>
      <c r="X6" s="48"/>
      <c r="Y6" s="48"/>
      <c r="Z6" s="48"/>
      <c r="AA6" s="48"/>
      <c r="AB6" s="48"/>
      <c r="AC6" s="48"/>
    </row>
    <row r="7" spans="1:29" ht="13.2" x14ac:dyDescent="0.25">
      <c r="A7" s="45" t="s">
        <v>95</v>
      </c>
      <c r="B7" s="45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P7" s="45"/>
      <c r="Q7" s="45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</row>
    <row r="8" spans="1:29" ht="13.2" x14ac:dyDescent="0.25">
      <c r="A8" s="45" t="s">
        <v>96</v>
      </c>
      <c r="B8" s="45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P8" s="45"/>
      <c r="Q8" s="45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</row>
    <row r="9" spans="1:29" ht="13.2" x14ac:dyDescent="0.25">
      <c r="A9" s="45" t="s">
        <v>97</v>
      </c>
      <c r="B9" s="45">
        <f t="shared" ref="B9:F9" si="0">C8</f>
        <v>0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P9" s="45"/>
      <c r="Q9" s="45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</row>
    <row r="10" spans="1:29" ht="15.7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29" ht="15.75" customHeight="1" x14ac:dyDescent="0.25">
      <c r="A11" s="44"/>
      <c r="B11" s="44"/>
      <c r="C11" s="116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P11" s="44"/>
      <c r="Q11" s="44"/>
      <c r="R11" s="116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</row>
    <row r="12" spans="1:29" ht="15.75" customHeight="1" x14ac:dyDescent="0.25">
      <c r="A12" s="51" t="s">
        <v>408</v>
      </c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P12" s="51"/>
      <c r="Q12" s="52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15.75" customHeight="1" x14ac:dyDescent="0.25">
      <c r="A13" s="51" t="s">
        <v>406</v>
      </c>
      <c r="B13" s="52" t="s">
        <v>407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P13" s="51"/>
      <c r="Q13" s="52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.75" customHeight="1" x14ac:dyDescent="0.25">
      <c r="A14" s="52" t="s">
        <v>92</v>
      </c>
      <c r="B14" s="52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P14" s="52"/>
      <c r="Q14" s="52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5.75" customHeight="1" x14ac:dyDescent="0.25">
      <c r="A15" s="52" t="s">
        <v>93</v>
      </c>
      <c r="B15" s="52"/>
      <c r="C15" s="54"/>
      <c r="D15" s="54"/>
      <c r="E15" s="54"/>
      <c r="F15" s="54"/>
      <c r="G15" s="54"/>
      <c r="H15" s="55"/>
      <c r="I15" s="55"/>
      <c r="J15" s="55"/>
      <c r="K15" s="55"/>
      <c r="L15" s="55"/>
      <c r="M15" s="55"/>
      <c r="N15" s="55"/>
      <c r="P15" s="52"/>
      <c r="Q15" s="52"/>
      <c r="R15" s="54"/>
      <c r="S15" s="54"/>
      <c r="T15" s="54"/>
      <c r="U15" s="54"/>
      <c r="V15" s="54"/>
      <c r="W15" s="55"/>
      <c r="X15" s="55"/>
      <c r="Y15" s="55"/>
      <c r="Z15" s="55"/>
      <c r="AA15" s="55"/>
      <c r="AB15" s="55"/>
      <c r="AC15" s="55"/>
    </row>
    <row r="16" spans="1:29" ht="15.75" customHeight="1" x14ac:dyDescent="0.25">
      <c r="A16" s="52" t="s">
        <v>94</v>
      </c>
      <c r="B16" s="52"/>
      <c r="C16" s="54"/>
      <c r="D16" s="54"/>
      <c r="E16" s="54"/>
      <c r="F16" s="54"/>
      <c r="G16" s="54"/>
      <c r="H16" s="55"/>
      <c r="I16" s="55"/>
      <c r="J16" s="55"/>
      <c r="K16" s="55"/>
      <c r="L16" s="55"/>
      <c r="M16" s="55"/>
      <c r="N16" s="55"/>
      <c r="P16" s="52"/>
      <c r="Q16" s="52"/>
      <c r="R16" s="54"/>
      <c r="S16" s="54"/>
      <c r="T16" s="54"/>
      <c r="U16" s="54"/>
      <c r="V16" s="54"/>
      <c r="W16" s="55"/>
      <c r="X16" s="55"/>
      <c r="Y16" s="55"/>
      <c r="Z16" s="55"/>
      <c r="AA16" s="55"/>
      <c r="AB16" s="55"/>
      <c r="AC16" s="55"/>
    </row>
    <row r="17" spans="1:29" ht="15.75" customHeight="1" x14ac:dyDescent="0.25">
      <c r="A17" s="52" t="s">
        <v>95</v>
      </c>
      <c r="B17" s="52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P17" s="52"/>
      <c r="Q17" s="52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</row>
    <row r="18" spans="1:29" ht="15.75" customHeight="1" x14ac:dyDescent="0.25">
      <c r="A18" s="52" t="s">
        <v>96</v>
      </c>
      <c r="B18" s="52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P18" s="52"/>
      <c r="Q18" s="52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spans="1:29" ht="15.75" customHeight="1" x14ac:dyDescent="0.25">
      <c r="A19" s="52" t="s">
        <v>97</v>
      </c>
      <c r="B19" s="52">
        <f t="shared" ref="B19" si="1">C18</f>
        <v>0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P19" s="52"/>
      <c r="Q19" s="52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spans="1:29" ht="15.75" customHeight="1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ht="15.75" customHeight="1" x14ac:dyDescent="0.25">
      <c r="A21" s="51" t="s">
        <v>409</v>
      </c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P21" s="51"/>
      <c r="Q21" s="52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spans="1:29" ht="15.75" customHeight="1" x14ac:dyDescent="0.25">
      <c r="A22" s="51" t="s">
        <v>406</v>
      </c>
      <c r="B22" s="52" t="s">
        <v>407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P22" s="51"/>
      <c r="Q22" s="52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5.75" customHeight="1" x14ac:dyDescent="0.25">
      <c r="A23" s="52" t="s">
        <v>92</v>
      </c>
      <c r="B23" s="52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P23" s="52"/>
      <c r="Q23" s="52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spans="1:29" ht="15.75" customHeight="1" x14ac:dyDescent="0.25">
      <c r="A24" s="52" t="s">
        <v>93</v>
      </c>
      <c r="B24" s="52"/>
      <c r="C24" s="54"/>
      <c r="D24" s="54"/>
      <c r="E24" s="54"/>
      <c r="F24" s="54"/>
      <c r="G24" s="54"/>
      <c r="H24" s="55"/>
      <c r="I24" s="55"/>
      <c r="J24" s="55"/>
      <c r="K24" s="55"/>
      <c r="L24" s="55"/>
      <c r="M24" s="55"/>
      <c r="N24" s="55"/>
      <c r="P24" s="52"/>
      <c r="Q24" s="52"/>
      <c r="R24" s="54"/>
      <c r="S24" s="54"/>
      <c r="T24" s="54"/>
      <c r="U24" s="54"/>
      <c r="V24" s="54"/>
      <c r="W24" s="55"/>
      <c r="X24" s="55"/>
      <c r="Y24" s="55"/>
      <c r="Z24" s="55"/>
      <c r="AA24" s="55"/>
      <c r="AB24" s="55"/>
      <c r="AC24" s="55"/>
    </row>
    <row r="25" spans="1:29" ht="15.75" customHeight="1" x14ac:dyDescent="0.25">
      <c r="A25" s="52" t="s">
        <v>94</v>
      </c>
      <c r="B25" s="52"/>
      <c r="C25" s="54"/>
      <c r="D25" s="54"/>
      <c r="E25" s="54"/>
      <c r="F25" s="54"/>
      <c r="G25" s="54"/>
      <c r="H25" s="55"/>
      <c r="I25" s="55"/>
      <c r="J25" s="55"/>
      <c r="K25" s="55"/>
      <c r="L25" s="55"/>
      <c r="M25" s="55"/>
      <c r="N25" s="55"/>
      <c r="P25" s="52"/>
      <c r="Q25" s="52"/>
      <c r="R25" s="54"/>
      <c r="S25" s="54"/>
      <c r="T25" s="54"/>
      <c r="U25" s="54"/>
      <c r="V25" s="54"/>
      <c r="W25" s="55"/>
      <c r="X25" s="55"/>
      <c r="Y25" s="55"/>
      <c r="Z25" s="55"/>
      <c r="AA25" s="55"/>
      <c r="AB25" s="55"/>
      <c r="AC25" s="55"/>
    </row>
    <row r="26" spans="1:29" ht="15.75" customHeight="1" x14ac:dyDescent="0.25">
      <c r="A26" s="52" t="s">
        <v>95</v>
      </c>
      <c r="B26" s="52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P26" s="52"/>
      <c r="Q26" s="52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spans="1:29" ht="15.75" customHeight="1" x14ac:dyDescent="0.25">
      <c r="A27" s="52" t="s">
        <v>96</v>
      </c>
      <c r="B27" s="52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P27" s="52"/>
      <c r="Q27" s="52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1:29" ht="15.75" customHeight="1" x14ac:dyDescent="0.25">
      <c r="A28" s="52" t="s">
        <v>97</v>
      </c>
      <c r="B28" s="52">
        <f t="shared" ref="B28" si="2">C27</f>
        <v>0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P28" s="52"/>
      <c r="Q28" s="52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</row>
    <row r="29" spans="1:29" ht="15.75" customHeight="1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spans="1:29" ht="15.75" customHeight="1" x14ac:dyDescent="0.25">
      <c r="A30" s="51" t="s">
        <v>410</v>
      </c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P30" s="51"/>
      <c r="Q30" s="52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</row>
    <row r="31" spans="1:29" ht="15.75" customHeight="1" x14ac:dyDescent="0.25">
      <c r="A31" s="51" t="s">
        <v>406</v>
      </c>
      <c r="B31" s="52" t="s">
        <v>407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P31" s="51"/>
      <c r="Q31" s="52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1:29" ht="15.75" customHeight="1" x14ac:dyDescent="0.25">
      <c r="A32" s="52" t="s">
        <v>92</v>
      </c>
      <c r="B32" s="52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P32" s="52"/>
      <c r="Q32" s="52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ht="15.75" customHeight="1" x14ac:dyDescent="0.25">
      <c r="A33" s="52" t="s">
        <v>93</v>
      </c>
      <c r="B33" s="52"/>
      <c r="C33" s="54"/>
      <c r="D33" s="54"/>
      <c r="E33" s="54"/>
      <c r="F33" s="54"/>
      <c r="G33" s="54"/>
      <c r="H33" s="55"/>
      <c r="I33" s="55"/>
      <c r="J33" s="55"/>
      <c r="K33" s="55"/>
      <c r="L33" s="55"/>
      <c r="M33" s="55"/>
      <c r="N33" s="55"/>
      <c r="P33" s="52"/>
      <c r="Q33" s="52"/>
      <c r="R33" s="54"/>
      <c r="S33" s="54"/>
      <c r="T33" s="54"/>
      <c r="U33" s="54"/>
      <c r="V33" s="54"/>
      <c r="W33" s="55"/>
      <c r="X33" s="55"/>
      <c r="Y33" s="55"/>
      <c r="Z33" s="55"/>
      <c r="AA33" s="55"/>
      <c r="AB33" s="55"/>
      <c r="AC33" s="55"/>
    </row>
    <row r="34" spans="1:29" ht="15.75" customHeight="1" x14ac:dyDescent="0.25">
      <c r="A34" s="52" t="s">
        <v>94</v>
      </c>
      <c r="B34" s="52"/>
      <c r="C34" s="54"/>
      <c r="D34" s="54"/>
      <c r="E34" s="54"/>
      <c r="F34" s="54"/>
      <c r="G34" s="54"/>
      <c r="H34" s="55"/>
      <c r="I34" s="55"/>
      <c r="J34" s="55"/>
      <c r="K34" s="55"/>
      <c r="L34" s="55"/>
      <c r="M34" s="55"/>
      <c r="N34" s="55"/>
      <c r="P34" s="52"/>
      <c r="Q34" s="52"/>
      <c r="R34" s="54"/>
      <c r="S34" s="54"/>
      <c r="T34" s="54"/>
      <c r="U34" s="54"/>
      <c r="V34" s="54"/>
      <c r="W34" s="55"/>
      <c r="X34" s="55"/>
      <c r="Y34" s="55"/>
      <c r="Z34" s="55"/>
      <c r="AA34" s="55"/>
      <c r="AB34" s="55"/>
      <c r="AC34" s="55"/>
    </row>
    <row r="35" spans="1:29" ht="15.75" customHeight="1" x14ac:dyDescent="0.25">
      <c r="A35" s="52" t="s">
        <v>95</v>
      </c>
      <c r="B35" s="52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P35" s="52"/>
      <c r="Q35" s="52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ht="15.75" customHeight="1" x14ac:dyDescent="0.25">
      <c r="A36" s="52" t="s">
        <v>96</v>
      </c>
      <c r="B36" s="52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P36" s="52"/>
      <c r="Q36" s="52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spans="1:29" ht="15.75" customHeight="1" x14ac:dyDescent="0.25">
      <c r="A37" s="52" t="s">
        <v>97</v>
      </c>
      <c r="B37" s="52">
        <f t="shared" ref="B37" si="3">C36</f>
        <v>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P37" s="52"/>
      <c r="Q37" s="52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40" spans="1:29" ht="15.75" customHeight="1" x14ac:dyDescent="0.25">
      <c r="A40" s="44"/>
      <c r="B40" s="44"/>
      <c r="C40" s="116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P40" s="44"/>
      <c r="Q40" s="44"/>
      <c r="R40" s="116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</row>
    <row r="41" spans="1:29" ht="15.75" customHeight="1" x14ac:dyDescent="0.25">
      <c r="A41" s="45"/>
      <c r="B41" s="45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P41" s="45"/>
      <c r="Q41" s="45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spans="1:29" ht="15.75" customHeight="1" x14ac:dyDescent="0.25">
      <c r="A42" s="46" t="s">
        <v>406</v>
      </c>
      <c r="B42" s="45" t="s">
        <v>407</v>
      </c>
      <c r="C42" s="47"/>
      <c r="D42" s="47"/>
      <c r="E42" s="47"/>
      <c r="F42" s="47"/>
      <c r="G42" s="47"/>
      <c r="H42" s="48"/>
      <c r="I42" s="48"/>
      <c r="J42" s="48"/>
      <c r="K42" s="48"/>
      <c r="L42" s="48"/>
      <c r="M42" s="48"/>
      <c r="N42" s="48"/>
      <c r="P42" s="46"/>
      <c r="Q42" s="45"/>
      <c r="R42" s="47"/>
      <c r="S42" s="47"/>
      <c r="T42" s="47"/>
      <c r="U42" s="47"/>
      <c r="V42" s="47"/>
      <c r="W42" s="48"/>
      <c r="X42" s="48"/>
      <c r="Y42" s="48"/>
      <c r="Z42" s="48"/>
      <c r="AA42" s="48"/>
      <c r="AB42" s="48"/>
      <c r="AC42" s="48"/>
    </row>
    <row r="43" spans="1:29" ht="15.75" customHeight="1" x14ac:dyDescent="0.25">
      <c r="A43" s="45" t="s">
        <v>92</v>
      </c>
      <c r="B43" s="45"/>
      <c r="C43" s="47"/>
      <c r="D43" s="47"/>
      <c r="E43" s="47"/>
      <c r="F43" s="47"/>
      <c r="G43" s="47"/>
      <c r="H43" s="48"/>
      <c r="I43" s="48"/>
      <c r="J43" s="48"/>
      <c r="K43" s="48"/>
      <c r="L43" s="48"/>
      <c r="M43" s="48"/>
      <c r="N43" s="48"/>
      <c r="P43" s="45"/>
      <c r="Q43" s="45"/>
      <c r="R43" s="47"/>
      <c r="S43" s="47"/>
      <c r="T43" s="47"/>
      <c r="U43" s="47"/>
      <c r="V43" s="47"/>
      <c r="W43" s="48"/>
      <c r="X43" s="48"/>
      <c r="Y43" s="48"/>
      <c r="Z43" s="48"/>
      <c r="AA43" s="48"/>
      <c r="AB43" s="48"/>
      <c r="AC43" s="48"/>
    </row>
    <row r="44" spans="1:29" ht="15.75" customHeight="1" x14ac:dyDescent="0.25">
      <c r="A44" s="45" t="s">
        <v>93</v>
      </c>
      <c r="B44" s="45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  <c r="N44" s="48"/>
      <c r="P44" s="45"/>
      <c r="Q44" s="45"/>
      <c r="R44" s="47"/>
      <c r="S44" s="47"/>
      <c r="T44" s="47"/>
      <c r="U44" s="47"/>
      <c r="V44" s="47"/>
      <c r="W44" s="48"/>
      <c r="X44" s="48"/>
      <c r="Y44" s="48"/>
      <c r="Z44" s="48"/>
      <c r="AA44" s="48"/>
      <c r="AB44" s="48"/>
      <c r="AC44" s="48"/>
    </row>
    <row r="45" spans="1:29" ht="15.75" customHeight="1" x14ac:dyDescent="0.25">
      <c r="A45" s="45" t="s">
        <v>94</v>
      </c>
      <c r="B45" s="45"/>
      <c r="C45" s="47"/>
      <c r="D45" s="47"/>
      <c r="E45" s="47"/>
      <c r="F45" s="47"/>
      <c r="G45" s="47"/>
      <c r="H45" s="48"/>
      <c r="I45" s="48"/>
      <c r="J45" s="48"/>
      <c r="K45" s="48"/>
      <c r="L45" s="48"/>
      <c r="M45" s="48"/>
      <c r="N45" s="48"/>
      <c r="P45" s="45"/>
      <c r="Q45" s="45"/>
      <c r="R45" s="47"/>
      <c r="S45" s="47"/>
      <c r="T45" s="47"/>
      <c r="U45" s="47"/>
      <c r="V45" s="47"/>
      <c r="W45" s="48"/>
      <c r="X45" s="48"/>
      <c r="Y45" s="48"/>
      <c r="Z45" s="48"/>
      <c r="AA45" s="48"/>
      <c r="AB45" s="48"/>
      <c r="AC45" s="48"/>
    </row>
    <row r="46" spans="1:29" ht="15.75" customHeight="1" x14ac:dyDescent="0.25">
      <c r="A46" s="45" t="s">
        <v>95</v>
      </c>
      <c r="B46" s="45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P46" s="45"/>
      <c r="Q46" s="45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 spans="1:29" ht="15.75" customHeight="1" x14ac:dyDescent="0.25">
      <c r="A47" s="45" t="s">
        <v>96</v>
      </c>
      <c r="B47" s="45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P47" s="45"/>
      <c r="Q47" s="45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 spans="1:29" ht="15.75" customHeight="1" x14ac:dyDescent="0.25">
      <c r="A48" s="45" t="s">
        <v>97</v>
      </c>
      <c r="B48" s="45">
        <f t="shared" ref="B48" si="4">C47</f>
        <v>0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P48" s="45"/>
      <c r="Q48" s="45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 spans="1:29" ht="15.75" customHeight="1" x14ac:dyDescent="0.25">
      <c r="A49" s="44"/>
      <c r="B49" s="44"/>
      <c r="C49" s="116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</row>
    <row r="50" spans="1:29" ht="15.75" customHeight="1" x14ac:dyDescent="0.25">
      <c r="A50" s="51" t="s">
        <v>408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P50" s="44"/>
      <c r="Q50" s="44"/>
      <c r="R50" s="116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</row>
    <row r="51" spans="1:29" ht="15.75" customHeight="1" x14ac:dyDescent="0.25">
      <c r="A51" s="51" t="s">
        <v>406</v>
      </c>
      <c r="B51" s="52" t="s">
        <v>407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P51" s="51"/>
      <c r="Q51" s="52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</row>
    <row r="52" spans="1:29" ht="15.75" customHeight="1" x14ac:dyDescent="0.25">
      <c r="A52" s="52" t="s">
        <v>92</v>
      </c>
      <c r="B52" s="52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P52" s="51"/>
      <c r="Q52" s="52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ht="15.75" customHeight="1" x14ac:dyDescent="0.25">
      <c r="A53" s="52" t="s">
        <v>93</v>
      </c>
      <c r="B53" s="52"/>
      <c r="C53" s="54"/>
      <c r="D53" s="54"/>
      <c r="E53" s="54"/>
      <c r="F53" s="54"/>
      <c r="G53" s="54"/>
      <c r="H53" s="55"/>
      <c r="I53" s="55"/>
      <c r="J53" s="55"/>
      <c r="K53" s="55"/>
      <c r="L53" s="55"/>
      <c r="M53" s="55"/>
      <c r="N53" s="55"/>
      <c r="P53" s="52"/>
      <c r="Q53" s="52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spans="1:29" ht="15.75" customHeight="1" x14ac:dyDescent="0.25">
      <c r="A54" s="52" t="s">
        <v>94</v>
      </c>
      <c r="B54" s="52"/>
      <c r="C54" s="54"/>
      <c r="D54" s="54"/>
      <c r="E54" s="54"/>
      <c r="F54" s="54"/>
      <c r="G54" s="54"/>
      <c r="H54" s="55"/>
      <c r="I54" s="55"/>
      <c r="J54" s="55"/>
      <c r="K54" s="55"/>
      <c r="L54" s="55"/>
      <c r="M54" s="55"/>
      <c r="N54" s="55"/>
      <c r="P54" s="52"/>
      <c r="Q54" s="52"/>
      <c r="R54" s="54"/>
      <c r="S54" s="54"/>
      <c r="T54" s="54"/>
      <c r="U54" s="54"/>
      <c r="V54" s="54"/>
      <c r="W54" s="55"/>
      <c r="X54" s="55"/>
      <c r="Y54" s="55"/>
      <c r="Z54" s="55"/>
      <c r="AA54" s="55"/>
      <c r="AB54" s="55"/>
      <c r="AC54" s="55"/>
    </row>
    <row r="55" spans="1:29" ht="15.75" customHeight="1" x14ac:dyDescent="0.25">
      <c r="A55" s="52" t="s">
        <v>95</v>
      </c>
      <c r="B55" s="52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P55" s="52"/>
      <c r="Q55" s="52"/>
      <c r="R55" s="54"/>
      <c r="S55" s="54"/>
      <c r="T55" s="54"/>
      <c r="U55" s="54"/>
      <c r="V55" s="54"/>
      <c r="W55" s="55"/>
      <c r="X55" s="55"/>
      <c r="Y55" s="55"/>
      <c r="Z55" s="55"/>
      <c r="AA55" s="55"/>
      <c r="AB55" s="55"/>
      <c r="AC55" s="55"/>
    </row>
    <row r="56" spans="1:29" ht="15.75" customHeight="1" x14ac:dyDescent="0.25">
      <c r="A56" s="52" t="s">
        <v>96</v>
      </c>
      <c r="B56" s="52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P56" s="52"/>
      <c r="Q56" s="52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</row>
    <row r="57" spans="1:29" ht="15.75" customHeight="1" x14ac:dyDescent="0.25">
      <c r="A57" s="52" t="s">
        <v>97</v>
      </c>
      <c r="B57" s="52">
        <f t="shared" ref="B57" si="5">C56</f>
        <v>0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P57" s="52"/>
      <c r="Q57" s="52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spans="1:29" ht="15.75" customHeight="1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P58" s="52"/>
      <c r="Q58" s="52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1:29" ht="15.75" customHeight="1" x14ac:dyDescent="0.25">
      <c r="A59" s="51" t="s">
        <v>409</v>
      </c>
      <c r="B59" s="52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</row>
    <row r="60" spans="1:29" ht="15.75" customHeight="1" x14ac:dyDescent="0.25">
      <c r="A60" s="51" t="s">
        <v>406</v>
      </c>
      <c r="B60" s="52" t="s">
        <v>407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P60" s="51"/>
      <c r="Q60" s="52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</row>
    <row r="61" spans="1:29" ht="15.75" customHeight="1" x14ac:dyDescent="0.25">
      <c r="A61" s="52" t="s">
        <v>92</v>
      </c>
      <c r="B61" s="52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P61" s="51"/>
      <c r="Q61" s="52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spans="1:29" ht="15.75" customHeight="1" x14ac:dyDescent="0.25">
      <c r="A62" s="52" t="s">
        <v>93</v>
      </c>
      <c r="B62" s="52"/>
      <c r="C62" s="54"/>
      <c r="D62" s="54"/>
      <c r="E62" s="54"/>
      <c r="F62" s="54"/>
      <c r="G62" s="54"/>
      <c r="H62" s="55"/>
      <c r="I62" s="55"/>
      <c r="J62" s="55"/>
      <c r="K62" s="55"/>
      <c r="L62" s="55"/>
      <c r="M62" s="55"/>
      <c r="N62" s="55"/>
      <c r="P62" s="52"/>
      <c r="Q62" s="52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spans="1:29" ht="15.75" customHeight="1" x14ac:dyDescent="0.25">
      <c r="A63" s="52" t="s">
        <v>94</v>
      </c>
      <c r="B63" s="52"/>
      <c r="C63" s="54"/>
      <c r="D63" s="54"/>
      <c r="E63" s="54"/>
      <c r="F63" s="54"/>
      <c r="G63" s="54"/>
      <c r="H63" s="55"/>
      <c r="I63" s="55"/>
      <c r="J63" s="55"/>
      <c r="K63" s="55"/>
      <c r="L63" s="55"/>
      <c r="M63" s="55"/>
      <c r="N63" s="55"/>
      <c r="P63" s="52"/>
      <c r="Q63" s="52"/>
      <c r="R63" s="54"/>
      <c r="S63" s="54"/>
      <c r="T63" s="54"/>
      <c r="U63" s="54"/>
      <c r="V63" s="54"/>
      <c r="W63" s="55"/>
      <c r="X63" s="55"/>
      <c r="Y63" s="55"/>
      <c r="Z63" s="55"/>
      <c r="AA63" s="55"/>
      <c r="AB63" s="55"/>
      <c r="AC63" s="55"/>
    </row>
    <row r="64" spans="1:29" ht="15.75" customHeight="1" x14ac:dyDescent="0.25">
      <c r="A64" s="52" t="s">
        <v>95</v>
      </c>
      <c r="B64" s="52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P64" s="52"/>
      <c r="Q64" s="52"/>
      <c r="R64" s="54"/>
      <c r="S64" s="54"/>
      <c r="T64" s="54"/>
      <c r="U64" s="54"/>
      <c r="V64" s="54"/>
      <c r="W64" s="55"/>
      <c r="X64" s="55"/>
      <c r="Y64" s="55"/>
      <c r="Z64" s="55"/>
      <c r="AA64" s="55"/>
      <c r="AB64" s="55"/>
      <c r="AC64" s="55"/>
    </row>
    <row r="65" spans="1:29" ht="15.75" customHeight="1" x14ac:dyDescent="0.25">
      <c r="A65" s="52" t="s">
        <v>96</v>
      </c>
      <c r="B65" s="52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P65" s="52"/>
      <c r="Q65" s="52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29" ht="15.75" customHeight="1" x14ac:dyDescent="0.25">
      <c r="A66" s="52" t="s">
        <v>97</v>
      </c>
      <c r="B66" s="52">
        <f t="shared" ref="B66" si="6">C65</f>
        <v>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P66" s="52"/>
      <c r="Q66" s="52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spans="1:29" ht="15.75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P67" s="52"/>
      <c r="Q67" s="52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spans="1:29" ht="15.75" customHeight="1" x14ac:dyDescent="0.25">
      <c r="A68" s="51" t="s">
        <v>410</v>
      </c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</row>
    <row r="69" spans="1:29" ht="15.75" customHeight="1" x14ac:dyDescent="0.25">
      <c r="A69" s="51" t="s">
        <v>406</v>
      </c>
      <c r="B69" s="52" t="s">
        <v>407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P69" s="51"/>
      <c r="Q69" s="52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</row>
    <row r="70" spans="1:29" ht="15.75" customHeight="1" x14ac:dyDescent="0.25">
      <c r="A70" s="52" t="s">
        <v>92</v>
      </c>
      <c r="B70" s="52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P70" s="51"/>
      <c r="Q70" s="52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ht="15.75" customHeight="1" x14ac:dyDescent="0.25">
      <c r="A71" s="52" t="s">
        <v>93</v>
      </c>
      <c r="B71" s="52"/>
      <c r="C71" s="54"/>
      <c r="D71" s="54"/>
      <c r="E71" s="54"/>
      <c r="F71" s="54"/>
      <c r="G71" s="54"/>
      <c r="H71" s="55"/>
      <c r="I71" s="55"/>
      <c r="J71" s="55"/>
      <c r="K71" s="55"/>
      <c r="L71" s="55"/>
      <c r="M71" s="55"/>
      <c r="N71" s="55"/>
      <c r="P71" s="52"/>
      <c r="Q71" s="52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ht="15.75" customHeight="1" x14ac:dyDescent="0.25">
      <c r="A72" s="52" t="s">
        <v>94</v>
      </c>
      <c r="B72" s="52"/>
      <c r="C72" s="54"/>
      <c r="D72" s="54"/>
      <c r="E72" s="54"/>
      <c r="F72" s="54"/>
      <c r="G72" s="54"/>
      <c r="H72" s="55"/>
      <c r="I72" s="55"/>
      <c r="J72" s="55"/>
      <c r="K72" s="55"/>
      <c r="L72" s="55"/>
      <c r="M72" s="55"/>
      <c r="N72" s="55"/>
      <c r="P72" s="52"/>
      <c r="Q72" s="52"/>
      <c r="R72" s="54"/>
      <c r="S72" s="54"/>
      <c r="T72" s="54"/>
      <c r="U72" s="54"/>
      <c r="V72" s="54"/>
      <c r="W72" s="55"/>
      <c r="X72" s="55"/>
      <c r="Y72" s="55"/>
      <c r="Z72" s="55"/>
      <c r="AA72" s="55"/>
      <c r="AB72" s="55"/>
      <c r="AC72" s="55"/>
    </row>
    <row r="73" spans="1:29" ht="15.75" customHeight="1" x14ac:dyDescent="0.25">
      <c r="A73" s="52" t="s">
        <v>95</v>
      </c>
      <c r="B73" s="52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P73" s="52"/>
      <c r="Q73" s="52"/>
      <c r="R73" s="54"/>
      <c r="S73" s="54"/>
      <c r="T73" s="54"/>
      <c r="U73" s="54"/>
      <c r="V73" s="54"/>
      <c r="W73" s="55"/>
      <c r="X73" s="55"/>
      <c r="Y73" s="55"/>
      <c r="Z73" s="55"/>
      <c r="AA73" s="55"/>
      <c r="AB73" s="55"/>
      <c r="AC73" s="55"/>
    </row>
    <row r="74" spans="1:29" ht="15.75" customHeight="1" x14ac:dyDescent="0.25">
      <c r="A74" s="52" t="s">
        <v>96</v>
      </c>
      <c r="B74" s="52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P74" s="52"/>
      <c r="Q74" s="52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spans="1:29" ht="15.75" customHeight="1" x14ac:dyDescent="0.25">
      <c r="A75" s="52" t="s">
        <v>97</v>
      </c>
      <c r="B75" s="52">
        <f t="shared" ref="B75" si="7">C74</f>
        <v>0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P75" s="52"/>
      <c r="Q75" s="52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ht="15.75" customHeight="1" x14ac:dyDescent="0.25">
      <c r="P76" s="52"/>
      <c r="Q76" s="52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</sheetData>
  <mergeCells count="8">
    <mergeCell ref="R50:AC50"/>
    <mergeCell ref="C1:N1"/>
    <mergeCell ref="C11:N11"/>
    <mergeCell ref="C40:N40"/>
    <mergeCell ref="C49:N49"/>
    <mergeCell ref="R1:AC1"/>
    <mergeCell ref="R11:AC11"/>
    <mergeCell ref="R40:AC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5D9B-69A7-48E6-B07D-CF28137AD803}">
  <dimension ref="A1:R20"/>
  <sheetViews>
    <sheetView workbookViewId="0">
      <selection activeCell="H18" sqref="H18"/>
    </sheetView>
  </sheetViews>
  <sheetFormatPr defaultRowHeight="13.2" x14ac:dyDescent="0.25"/>
  <cols>
    <col min="2" max="2" width="14.88671875" customWidth="1"/>
    <col min="7" max="7" width="16.21875" bestFit="1" customWidth="1"/>
    <col min="14" max="14" width="14.109375" bestFit="1" customWidth="1"/>
    <col min="15" max="15" width="15.109375" bestFit="1" customWidth="1"/>
    <col min="16" max="17" width="14.109375" bestFit="1" customWidth="1"/>
    <col min="18" max="18" width="12" bestFit="1" customWidth="1"/>
  </cols>
  <sheetData>
    <row r="1" spans="1:18" x14ac:dyDescent="0.25">
      <c r="A1" s="118" t="s">
        <v>433</v>
      </c>
      <c r="B1" s="118" t="s">
        <v>434</v>
      </c>
      <c r="C1" s="118" t="s">
        <v>435</v>
      </c>
      <c r="D1" s="118" t="s">
        <v>436</v>
      </c>
      <c r="E1" s="118" t="s">
        <v>437</v>
      </c>
      <c r="F1" s="118" t="s">
        <v>438</v>
      </c>
      <c r="G1" s="118" t="s">
        <v>439</v>
      </c>
      <c r="H1" s="118" t="s">
        <v>440</v>
      </c>
      <c r="I1" s="118" t="s">
        <v>441</v>
      </c>
      <c r="J1" s="11"/>
      <c r="K1" s="11"/>
      <c r="M1" t="s">
        <v>393</v>
      </c>
      <c r="N1" s="43">
        <v>60862.796886037351</v>
      </c>
      <c r="O1" s="43">
        <v>182275.51606201142</v>
      </c>
      <c r="P1" s="43">
        <v>313596.52835764678</v>
      </c>
      <c r="Q1" s="43">
        <v>76718.444663035916</v>
      </c>
      <c r="R1" s="43">
        <v>32993.250216461784</v>
      </c>
    </row>
    <row r="2" spans="1:18" x14ac:dyDescent="0.25">
      <c r="A2" s="118" t="s">
        <v>391</v>
      </c>
      <c r="B2" s="11"/>
      <c r="C2" s="118" t="s">
        <v>491</v>
      </c>
      <c r="D2" s="11"/>
      <c r="E2" s="118" t="s">
        <v>492</v>
      </c>
      <c r="F2" s="118" t="s">
        <v>494</v>
      </c>
      <c r="G2" s="11"/>
      <c r="H2" s="11"/>
      <c r="I2" s="11"/>
      <c r="J2" s="11"/>
      <c r="K2" s="11"/>
      <c r="M2" t="s">
        <v>394</v>
      </c>
      <c r="N2" s="43">
        <v>62778.606235201289</v>
      </c>
      <c r="O2" s="43">
        <v>178697.871825001</v>
      </c>
      <c r="P2" s="43">
        <v>312264.43831144273</v>
      </c>
      <c r="Q2" s="43">
        <v>77833.621203622519</v>
      </c>
      <c r="R2" s="43">
        <v>32982.776729266407</v>
      </c>
    </row>
    <row r="3" spans="1:18" x14ac:dyDescent="0.25">
      <c r="A3" s="11"/>
      <c r="B3" s="11"/>
      <c r="C3" s="11"/>
      <c r="D3" s="11"/>
      <c r="E3" s="118" t="s">
        <v>493</v>
      </c>
      <c r="F3" s="11"/>
      <c r="G3" s="11"/>
      <c r="H3" s="11"/>
      <c r="I3" s="11"/>
      <c r="J3" s="11"/>
      <c r="K3" s="11"/>
      <c r="M3" t="s">
        <v>395</v>
      </c>
      <c r="N3" s="43">
        <v>64694.415584365226</v>
      </c>
      <c r="O3" s="43">
        <v>175120.22758799058</v>
      </c>
      <c r="P3" s="43">
        <v>310932.34826523869</v>
      </c>
      <c r="Q3" s="43">
        <v>78948.797744209121</v>
      </c>
      <c r="R3" s="43">
        <v>32972.30324207103</v>
      </c>
    </row>
    <row r="4" spans="1:1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M4" t="s">
        <v>396</v>
      </c>
      <c r="N4" s="43">
        <v>66610.224933529171</v>
      </c>
      <c r="O4" s="43">
        <v>171542.58335098016</v>
      </c>
      <c r="P4" s="43">
        <v>309600.25821903464</v>
      </c>
      <c r="Q4" s="43">
        <v>80063.974284795724</v>
      </c>
      <c r="R4" s="43">
        <v>32961.829754875653</v>
      </c>
    </row>
    <row r="5" spans="1:18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M5" t="s">
        <v>397</v>
      </c>
      <c r="N5" s="43">
        <v>68526.034282693116</v>
      </c>
      <c r="O5" s="43">
        <v>167964.93911396974</v>
      </c>
      <c r="P5" s="43">
        <v>308268.1681728306</v>
      </c>
      <c r="Q5" s="43">
        <v>81179.150825382327</v>
      </c>
      <c r="R5" s="43">
        <v>32951.356267680276</v>
      </c>
    </row>
    <row r="6" spans="1:18" x14ac:dyDescent="0.25">
      <c r="A6" s="119" t="s">
        <v>442</v>
      </c>
      <c r="B6" s="120"/>
      <c r="C6" s="120"/>
      <c r="D6" s="120"/>
      <c r="E6" s="120"/>
      <c r="F6" s="120"/>
      <c r="G6" s="121"/>
      <c r="H6" s="11"/>
      <c r="I6" s="11"/>
      <c r="J6" s="11"/>
      <c r="K6" s="11"/>
      <c r="M6" t="s">
        <v>398</v>
      </c>
      <c r="N6" s="43">
        <v>70441.84363185706</v>
      </c>
      <c r="O6" s="43">
        <v>164387.29487695932</v>
      </c>
      <c r="P6" s="43">
        <v>306936.07812662655</v>
      </c>
      <c r="Q6" s="43">
        <v>82294.327365968929</v>
      </c>
      <c r="R6" s="43">
        <v>32940.882780484899</v>
      </c>
    </row>
    <row r="7" spans="1:18" x14ac:dyDescent="0.25">
      <c r="A7" s="118" t="s">
        <v>443</v>
      </c>
      <c r="B7" s="118" t="s">
        <v>444</v>
      </c>
      <c r="C7" s="118" t="s">
        <v>435</v>
      </c>
      <c r="D7" s="118" t="s">
        <v>445</v>
      </c>
      <c r="E7" s="118" t="s">
        <v>446</v>
      </c>
      <c r="F7" s="118" t="s">
        <v>440</v>
      </c>
      <c r="G7" s="118" t="s">
        <v>495</v>
      </c>
      <c r="H7" s="118" t="s">
        <v>447</v>
      </c>
      <c r="I7" s="118" t="s">
        <v>448</v>
      </c>
      <c r="J7" s="118" t="s">
        <v>449</v>
      </c>
      <c r="K7" s="118" t="s">
        <v>450</v>
      </c>
      <c r="M7" t="s">
        <v>399</v>
      </c>
      <c r="N7" s="43">
        <v>72357.652981021005</v>
      </c>
      <c r="O7" s="43">
        <v>160809.6506399489</v>
      </c>
      <c r="P7" s="43">
        <v>305603.98808042251</v>
      </c>
      <c r="Q7" s="43">
        <v>83409.503906555532</v>
      </c>
      <c r="R7" s="43">
        <v>32930.409293289522</v>
      </c>
    </row>
    <row r="8" spans="1:18" x14ac:dyDescent="0.25">
      <c r="A8" s="118" t="s">
        <v>451</v>
      </c>
      <c r="B8" s="118" t="s">
        <v>465</v>
      </c>
      <c r="C8" s="118" t="s">
        <v>475</v>
      </c>
      <c r="D8" s="118"/>
      <c r="E8" s="118" t="s">
        <v>476</v>
      </c>
      <c r="F8" s="11"/>
      <c r="G8" s="11"/>
      <c r="H8" s="11"/>
      <c r="I8" s="11"/>
      <c r="J8" s="11"/>
      <c r="K8" s="11"/>
      <c r="M8" t="s">
        <v>400</v>
      </c>
      <c r="N8" s="43">
        <v>74273.46233018495</v>
      </c>
      <c r="O8" s="43">
        <v>157232.00640293848</v>
      </c>
      <c r="P8" s="43">
        <v>304271.89803421847</v>
      </c>
      <c r="Q8" s="43">
        <v>84524.680447142135</v>
      </c>
      <c r="R8" s="43">
        <v>32919.935806094145</v>
      </c>
    </row>
    <row r="9" spans="1:18" x14ac:dyDescent="0.25">
      <c r="A9" s="118" t="s">
        <v>452</v>
      </c>
      <c r="B9" s="118" t="s">
        <v>466</v>
      </c>
      <c r="C9" s="118" t="s">
        <v>478</v>
      </c>
      <c r="D9" s="118"/>
      <c r="E9" s="118" t="s">
        <v>477</v>
      </c>
      <c r="F9" s="11"/>
      <c r="G9" s="122">
        <v>100000</v>
      </c>
      <c r="H9" s="11"/>
      <c r="I9" s="11"/>
      <c r="J9" s="11"/>
      <c r="K9" s="11"/>
      <c r="M9" t="s">
        <v>401</v>
      </c>
      <c r="N9" s="43">
        <v>76189.271679348894</v>
      </c>
      <c r="O9" s="43">
        <v>153654.36216592806</v>
      </c>
      <c r="P9" s="43">
        <v>302939.80798801442</v>
      </c>
      <c r="Q9" s="43">
        <v>85639.856987728737</v>
      </c>
      <c r="R9" s="43">
        <v>32909.462318898768</v>
      </c>
    </row>
    <row r="10" spans="1:18" x14ac:dyDescent="0.25">
      <c r="A10" s="118" t="s">
        <v>453</v>
      </c>
      <c r="B10" s="118" t="s">
        <v>467</v>
      </c>
      <c r="C10" s="118" t="s">
        <v>480</v>
      </c>
      <c r="D10" s="118"/>
      <c r="E10" s="118" t="s">
        <v>479</v>
      </c>
      <c r="F10" s="11"/>
      <c r="G10" s="122">
        <v>20000</v>
      </c>
      <c r="H10" s="11"/>
      <c r="I10" s="11"/>
      <c r="J10" s="11"/>
      <c r="K10" s="11"/>
      <c r="M10" t="s">
        <v>402</v>
      </c>
      <c r="N10" s="43">
        <v>78105.081028512839</v>
      </c>
      <c r="O10" s="43">
        <v>150076.71792891764</v>
      </c>
      <c r="P10" s="43">
        <v>301607.71794181038</v>
      </c>
      <c r="Q10" s="43">
        <v>86755.03352831534</v>
      </c>
      <c r="R10" s="43">
        <v>32898.988831703391</v>
      </c>
    </row>
    <row r="11" spans="1:18" x14ac:dyDescent="0.25">
      <c r="A11" s="118" t="s">
        <v>454</v>
      </c>
      <c r="B11" s="118" t="s">
        <v>464</v>
      </c>
      <c r="C11" s="118" t="s">
        <v>482</v>
      </c>
      <c r="D11" s="118"/>
      <c r="E11" s="118" t="s">
        <v>481</v>
      </c>
      <c r="F11" s="11"/>
      <c r="G11" s="122">
        <v>50000</v>
      </c>
      <c r="H11" s="11"/>
      <c r="I11" s="11"/>
      <c r="J11" s="11"/>
      <c r="K11" s="11"/>
      <c r="M11" t="s">
        <v>403</v>
      </c>
      <c r="N11" s="43">
        <v>80020.890377676784</v>
      </c>
      <c r="O11" s="43">
        <v>146499.07369190722</v>
      </c>
      <c r="P11" s="43">
        <v>300275.62789560633</v>
      </c>
      <c r="Q11" s="43">
        <v>87870.210068901943</v>
      </c>
      <c r="R11" s="43">
        <v>32888.515344508014</v>
      </c>
    </row>
    <row r="12" spans="1:18" x14ac:dyDescent="0.25">
      <c r="A12" s="118" t="s">
        <v>455</v>
      </c>
      <c r="B12" s="118" t="s">
        <v>463</v>
      </c>
      <c r="C12" s="118" t="s">
        <v>484</v>
      </c>
      <c r="D12" s="118"/>
      <c r="E12" s="118" t="s">
        <v>483</v>
      </c>
      <c r="F12" s="11"/>
      <c r="G12" s="122">
        <v>10000</v>
      </c>
      <c r="H12" s="11"/>
      <c r="I12" s="11"/>
      <c r="J12" s="11"/>
      <c r="K12" s="11"/>
      <c r="M12" t="s">
        <v>404</v>
      </c>
      <c r="N12" s="43">
        <v>81936.699726840729</v>
      </c>
      <c r="O12" s="43">
        <v>142921.4294548968</v>
      </c>
      <c r="P12" s="43">
        <v>298943.53784940229</v>
      </c>
      <c r="Q12" s="43">
        <v>88985.386609488545</v>
      </c>
      <c r="R12" s="43">
        <v>32878.041857312637</v>
      </c>
    </row>
    <row r="13" spans="1:18" x14ac:dyDescent="0.25">
      <c r="A13" s="118" t="s">
        <v>456</v>
      </c>
      <c r="B13" s="118" t="s">
        <v>461</v>
      </c>
      <c r="C13" s="118" t="s">
        <v>485</v>
      </c>
      <c r="D13" s="11"/>
      <c r="E13" s="11"/>
      <c r="F13" s="11"/>
      <c r="G13" s="122">
        <v>150000</v>
      </c>
      <c r="H13" s="11"/>
      <c r="I13" s="11"/>
      <c r="J13" s="11"/>
      <c r="K13" s="11"/>
      <c r="M13" t="s">
        <v>77</v>
      </c>
      <c r="N13" s="43">
        <f>SUM(N1:N12)</f>
        <v>856796.97967726842</v>
      </c>
      <c r="O13" s="43">
        <f t="shared" ref="O13:R13" si="0">SUM(O1:O12)</f>
        <v>1951181.6731014496</v>
      </c>
      <c r="P13" s="43">
        <f t="shared" si="0"/>
        <v>3675240.3972422937</v>
      </c>
      <c r="Q13" s="43">
        <f t="shared" si="0"/>
        <v>994222.98763514671</v>
      </c>
      <c r="R13" s="43">
        <f t="shared" si="0"/>
        <v>395227.75244264654</v>
      </c>
    </row>
    <row r="14" spans="1:18" x14ac:dyDescent="0.25">
      <c r="A14" s="118" t="s">
        <v>457</v>
      </c>
      <c r="B14" s="118" t="s">
        <v>468</v>
      </c>
      <c r="C14" s="118" t="s">
        <v>486</v>
      </c>
      <c r="D14" s="11"/>
      <c r="E14" s="118" t="s">
        <v>479</v>
      </c>
      <c r="F14" s="11"/>
      <c r="G14" s="122">
        <v>30000</v>
      </c>
      <c r="H14" s="11"/>
      <c r="I14" s="11"/>
      <c r="J14" s="11"/>
      <c r="K14" s="11"/>
      <c r="M14" t="s">
        <v>518</v>
      </c>
      <c r="N14" s="129">
        <f>N13*32.5%</f>
        <v>278459.01839511225</v>
      </c>
      <c r="O14" s="129">
        <f t="shared" ref="O14:R14" si="1">O13*32.5%</f>
        <v>634134.04375797114</v>
      </c>
      <c r="P14" s="129">
        <f t="shared" si="1"/>
        <v>1194453.1291037456</v>
      </c>
      <c r="Q14" s="129">
        <f t="shared" si="1"/>
        <v>323122.4709814227</v>
      </c>
      <c r="R14" s="129">
        <f t="shared" si="1"/>
        <v>128449.01954386014</v>
      </c>
    </row>
    <row r="15" spans="1:18" x14ac:dyDescent="0.25">
      <c r="A15" s="118" t="s">
        <v>458</v>
      </c>
      <c r="B15" s="118" t="s">
        <v>462</v>
      </c>
      <c r="C15" s="118" t="s">
        <v>489</v>
      </c>
      <c r="D15" s="11"/>
      <c r="E15" s="11"/>
      <c r="F15" s="11"/>
      <c r="G15" s="122">
        <v>10000</v>
      </c>
      <c r="H15" s="11"/>
      <c r="I15" s="11"/>
      <c r="J15" s="11"/>
      <c r="K15" s="11"/>
      <c r="M15" t="s">
        <v>519</v>
      </c>
      <c r="N15" s="129">
        <f>N13-N14</f>
        <v>578337.96128215618</v>
      </c>
      <c r="O15" s="129">
        <f t="shared" ref="O15:R15" si="2">O13-O14</f>
        <v>1317047.6293434785</v>
      </c>
      <c r="P15" s="129">
        <f t="shared" si="2"/>
        <v>2480787.2681385484</v>
      </c>
      <c r="Q15" s="129">
        <f t="shared" si="2"/>
        <v>671100.51665372401</v>
      </c>
      <c r="R15" s="129">
        <f t="shared" si="2"/>
        <v>266778.73289878643</v>
      </c>
    </row>
    <row r="16" spans="1:18" x14ac:dyDescent="0.25">
      <c r="A16" s="118" t="s">
        <v>459</v>
      </c>
      <c r="B16" s="118" t="s">
        <v>469</v>
      </c>
      <c r="C16" s="118" t="s">
        <v>488</v>
      </c>
      <c r="D16" s="11"/>
      <c r="E16" s="118" t="s">
        <v>479</v>
      </c>
      <c r="F16" s="11"/>
      <c r="G16" s="122">
        <v>20000</v>
      </c>
      <c r="H16" s="11"/>
      <c r="I16" s="11"/>
      <c r="J16" s="11"/>
      <c r="K16" s="11"/>
      <c r="M16" t="s">
        <v>387</v>
      </c>
      <c r="N16" s="129">
        <f>AVERAGE(N1:N12)</f>
        <v>71399.74830643904</v>
      </c>
      <c r="O16" s="129">
        <f t="shared" ref="O16:R16" si="3">AVERAGE(O1:O12)</f>
        <v>162598.47275845413</v>
      </c>
      <c r="P16" s="129">
        <f t="shared" si="3"/>
        <v>306270.03310352447</v>
      </c>
      <c r="Q16" s="129">
        <f t="shared" si="3"/>
        <v>82851.915636262231</v>
      </c>
      <c r="R16" s="129">
        <f t="shared" si="3"/>
        <v>32935.646036887214</v>
      </c>
    </row>
    <row r="17" spans="1:18" x14ac:dyDescent="0.25">
      <c r="A17" s="118" t="s">
        <v>460</v>
      </c>
      <c r="B17" s="118" t="s">
        <v>470</v>
      </c>
      <c r="C17" s="118" t="s">
        <v>487</v>
      </c>
      <c r="D17" s="11"/>
      <c r="E17" s="118" t="s">
        <v>479</v>
      </c>
      <c r="F17" s="11"/>
      <c r="G17" s="122">
        <v>10000</v>
      </c>
      <c r="H17" s="11"/>
      <c r="I17" s="11"/>
      <c r="J17" s="11"/>
      <c r="K17" s="11"/>
      <c r="M17" t="s">
        <v>520</v>
      </c>
      <c r="N17" s="129">
        <f>VAR(N1:N12)</f>
        <v>47714231.010471672</v>
      </c>
      <c r="O17" s="129">
        <f t="shared" ref="O17:R17" si="4">VAR(O1:O12)</f>
        <v>166393997.72598025</v>
      </c>
      <c r="P17" s="129">
        <f t="shared" si="4"/>
        <v>23068030.585546613</v>
      </c>
      <c r="Q17" s="129">
        <f t="shared" si="4"/>
        <v>16167043.316771133</v>
      </c>
      <c r="R17" s="129">
        <f t="shared" si="4"/>
        <v>1426.0211424124232</v>
      </c>
    </row>
    <row r="18" spans="1:18" x14ac:dyDescent="0.25">
      <c r="A18" s="118" t="s">
        <v>473</v>
      </c>
      <c r="B18" s="118" t="s">
        <v>471</v>
      </c>
      <c r="C18" s="118" t="s">
        <v>490</v>
      </c>
      <c r="D18" s="11"/>
      <c r="E18" s="11"/>
      <c r="F18" s="11"/>
      <c r="G18" s="122">
        <v>5000</v>
      </c>
      <c r="H18" s="11"/>
      <c r="I18" s="11"/>
      <c r="J18" s="11"/>
      <c r="K18" s="11"/>
      <c r="M18" t="s">
        <v>521</v>
      </c>
      <c r="N18">
        <f>STDEV(N1:N12)</f>
        <v>6907.5488424238938</v>
      </c>
      <c r="O18">
        <f t="shared" ref="O18:R18" si="5">STDEV(O1:O12)</f>
        <v>12899.379741909308</v>
      </c>
      <c r="P18">
        <f t="shared" si="5"/>
        <v>4802.9189651238767</v>
      </c>
      <c r="Q18">
        <f t="shared" si="5"/>
        <v>4020.8261982795443</v>
      </c>
      <c r="R18">
        <f t="shared" si="5"/>
        <v>37.762695115847109</v>
      </c>
    </row>
    <row r="19" spans="1:18" x14ac:dyDescent="0.25">
      <c r="A19" s="118" t="s">
        <v>474</v>
      </c>
      <c r="B19" s="118" t="s">
        <v>472</v>
      </c>
      <c r="C19" s="11"/>
      <c r="D19" s="11"/>
      <c r="E19" s="11"/>
      <c r="F19" s="11"/>
      <c r="G19" s="122">
        <v>10000</v>
      </c>
      <c r="H19" s="11"/>
      <c r="I19" s="11"/>
      <c r="J19" s="11"/>
      <c r="K19" s="11"/>
      <c r="M19" t="s">
        <v>522</v>
      </c>
      <c r="N19">
        <f>35/30</f>
        <v>1.1666666666666667</v>
      </c>
      <c r="O19">
        <f t="shared" ref="O19:R19" si="6">35/30</f>
        <v>1.1666666666666667</v>
      </c>
      <c r="P19">
        <f t="shared" si="6"/>
        <v>1.1666666666666667</v>
      </c>
      <c r="Q19">
        <f t="shared" si="6"/>
        <v>1.1666666666666667</v>
      </c>
      <c r="R19">
        <f t="shared" si="6"/>
        <v>1.1666666666666667</v>
      </c>
    </row>
    <row r="20" spans="1:18" x14ac:dyDescent="0.25">
      <c r="A20" s="11"/>
      <c r="B20" s="11"/>
      <c r="C20" s="11"/>
      <c r="D20" s="11"/>
      <c r="E20" s="11"/>
      <c r="F20" s="118" t="s">
        <v>386</v>
      </c>
      <c r="G20" s="122">
        <f>SUM(G9:G19)</f>
        <v>415000</v>
      </c>
      <c r="H20" s="11"/>
      <c r="I20" s="11"/>
      <c r="J20" s="11"/>
      <c r="K20" s="11"/>
    </row>
  </sheetData>
  <mergeCells count="1">
    <mergeCell ref="A6:G6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B98-59FE-4710-A86D-74A8DF44D5A8}">
  <dimension ref="A1:N18"/>
  <sheetViews>
    <sheetView workbookViewId="0">
      <selection activeCell="B18" sqref="B18"/>
    </sheetView>
  </sheetViews>
  <sheetFormatPr defaultRowHeight="13.2" x14ac:dyDescent="0.25"/>
  <cols>
    <col min="1" max="1" width="25.77734375" bestFit="1" customWidth="1"/>
    <col min="2" max="2" width="32.33203125" bestFit="1" customWidth="1"/>
    <col min="3" max="13" width="12.109375" bestFit="1" customWidth="1"/>
    <col min="14" max="14" width="13.109375" bestFit="1" customWidth="1"/>
  </cols>
  <sheetData>
    <row r="1" spans="1:14" x14ac:dyDescent="0.25"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77</v>
      </c>
    </row>
    <row r="2" spans="1:14" x14ac:dyDescent="0.25">
      <c r="A2" t="s">
        <v>320</v>
      </c>
      <c r="B2" s="43">
        <v>73099.053336411918</v>
      </c>
      <c r="C2" s="43">
        <v>49886.337804046379</v>
      </c>
      <c r="D2" s="43">
        <v>84204.933586337764</v>
      </c>
      <c r="E2" s="43">
        <v>71907.608695652176</v>
      </c>
      <c r="F2" s="43">
        <v>44244.078104993598</v>
      </c>
      <c r="G2" s="43">
        <v>20196.969696969696</v>
      </c>
      <c r="H2" s="43">
        <v>8533.6775931746743</v>
      </c>
      <c r="I2" s="43">
        <v>36540.186766701248</v>
      </c>
      <c r="J2" s="43">
        <v>50812.75917065391</v>
      </c>
      <c r="K2" s="43">
        <v>49428.554143980647</v>
      </c>
      <c r="L2" s="43">
        <v>55739.45681255994</v>
      </c>
      <c r="M2" s="43">
        <v>65238.222222222219</v>
      </c>
      <c r="N2" s="43">
        <v>609831.83793370414</v>
      </c>
    </row>
    <row r="3" spans="1:14" x14ac:dyDescent="0.25">
      <c r="A3" t="s">
        <v>322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</row>
    <row r="4" spans="1:14" x14ac:dyDescent="0.25">
      <c r="A4" t="s">
        <v>325</v>
      </c>
      <c r="B4" s="43">
        <v>263573.30870468711</v>
      </c>
      <c r="C4" s="43">
        <v>257854.0577403956</v>
      </c>
      <c r="D4" s="43">
        <v>215897.53320683111</v>
      </c>
      <c r="E4" s="43">
        <v>252032.60869565216</v>
      </c>
      <c r="F4" s="43">
        <v>226774.36779769527</v>
      </c>
      <c r="G4" s="43">
        <v>274939.39393939392</v>
      </c>
      <c r="H4" s="43">
        <v>217330.04041311183</v>
      </c>
      <c r="I4" s="43">
        <v>280160.8268816346</v>
      </c>
      <c r="J4" s="43">
        <v>206564.91228070174</v>
      </c>
      <c r="K4" s="43">
        <v>229489.71566848154</v>
      </c>
      <c r="L4" s="43">
        <v>215427.26538442122</v>
      </c>
      <c r="M4" s="43">
        <v>164868.33333333331</v>
      </c>
      <c r="N4" s="43">
        <v>2804912.3640463399</v>
      </c>
    </row>
    <row r="5" spans="1:14" x14ac:dyDescent="0.25">
      <c r="A5" t="s">
        <v>327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</row>
    <row r="6" spans="1:14" x14ac:dyDescent="0.25">
      <c r="A6" t="s">
        <v>329</v>
      </c>
      <c r="B6" s="43">
        <v>318354.19071807893</v>
      </c>
      <c r="C6" s="43">
        <v>342250.51147988177</v>
      </c>
      <c r="D6" s="43">
        <v>394343.45351043646</v>
      </c>
      <c r="E6" s="43">
        <v>377194.56521739135</v>
      </c>
      <c r="F6" s="43">
        <v>414717.82970550575</v>
      </c>
      <c r="G6" s="43">
        <v>362893.93939393939</v>
      </c>
      <c r="H6" s="43">
        <v>435088.90884598112</v>
      </c>
      <c r="I6" s="43">
        <v>315173.65711549204</v>
      </c>
      <c r="J6" s="43">
        <v>331939.87240829342</v>
      </c>
      <c r="K6" s="43">
        <v>300101.93587416818</v>
      </c>
      <c r="L6" s="43">
        <v>277400.63102630118</v>
      </c>
      <c r="M6" s="43">
        <v>316795.38888888888</v>
      </c>
      <c r="N6" s="43">
        <v>4186254.8841843586</v>
      </c>
    </row>
    <row r="7" spans="1:14" x14ac:dyDescent="0.25"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</row>
    <row r="8" spans="1:14" x14ac:dyDescent="0.25">
      <c r="A8" t="s">
        <v>331</v>
      </c>
      <c r="B8" s="43">
        <v>57298.545370584157</v>
      </c>
      <c r="C8" s="43">
        <v>79645.373948624692</v>
      </c>
      <c r="D8" s="43">
        <v>51893.738140417459</v>
      </c>
      <c r="E8" s="43">
        <v>57953.260869565216</v>
      </c>
      <c r="F8" s="43">
        <v>68587.708066581312</v>
      </c>
      <c r="G8" s="43">
        <v>75575.757575757569</v>
      </c>
      <c r="H8" s="43">
        <v>68912.662775033677</v>
      </c>
      <c r="I8" s="43">
        <v>61312.455104158347</v>
      </c>
      <c r="J8" s="43">
        <v>60202.073365231263</v>
      </c>
      <c r="K8" s="43">
        <v>67704.658197217184</v>
      </c>
      <c r="L8" s="43">
        <v>63236.771164622143</v>
      </c>
      <c r="M8" s="43">
        <v>60983.555555555562</v>
      </c>
      <c r="N8" s="43">
        <v>773306.56013334868</v>
      </c>
    </row>
    <row r="9" spans="1:14" x14ac:dyDescent="0.25">
      <c r="A9" t="s">
        <v>368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</row>
    <row r="10" spans="1:14" x14ac:dyDescent="0.25">
      <c r="A10" t="s">
        <v>374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</row>
    <row r="11" spans="1:14" x14ac:dyDescent="0.25">
      <c r="A11" t="s">
        <v>379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</row>
    <row r="12" spans="1:14" x14ac:dyDescent="0.25">
      <c r="A12" t="s">
        <v>77</v>
      </c>
      <c r="B12" s="43">
        <v>712325.0981297621</v>
      </c>
      <c r="C12" s="43">
        <v>729636.28097294841</v>
      </c>
      <c r="D12" s="43">
        <v>746339.65844402276</v>
      </c>
      <c r="E12" s="43">
        <v>759088.04347826086</v>
      </c>
      <c r="F12" s="43">
        <v>754323.98367477593</v>
      </c>
      <c r="G12" s="43">
        <v>733606.06060606055</v>
      </c>
      <c r="H12" s="43">
        <v>729865.28962730127</v>
      </c>
      <c r="I12" s="43">
        <v>693187.12586798624</v>
      </c>
      <c r="J12" s="43">
        <v>649519.61722488038</v>
      </c>
      <c r="K12" s="43">
        <v>646724.8638838476</v>
      </c>
      <c r="L12" s="43">
        <v>611804.12438790454</v>
      </c>
      <c r="M12" s="43">
        <v>607885.5</v>
      </c>
      <c r="N12" s="43"/>
    </row>
    <row r="13" spans="1:14" x14ac:dyDescent="0.25">
      <c r="A13" t="s">
        <v>387</v>
      </c>
      <c r="B13" s="43">
        <v>178081.27453244053</v>
      </c>
      <c r="C13" s="43">
        <v>182409.0702432371</v>
      </c>
      <c r="D13" s="43">
        <v>186584.91461100569</v>
      </c>
      <c r="E13" s="43">
        <v>189772.01086956522</v>
      </c>
      <c r="F13" s="43">
        <v>188580.99591869398</v>
      </c>
      <c r="G13" s="43">
        <v>183401.51515151514</v>
      </c>
      <c r="H13" s="43">
        <v>182466.32240682532</v>
      </c>
      <c r="I13" s="43">
        <v>173296.78146699656</v>
      </c>
      <c r="J13" s="43">
        <v>162379.90430622009</v>
      </c>
      <c r="K13" s="43">
        <v>161681.2159709619</v>
      </c>
      <c r="L13" s="43">
        <v>152951.03109697613</v>
      </c>
      <c r="M13" s="43">
        <v>151971.375</v>
      </c>
      <c r="N13" s="43"/>
    </row>
    <row r="17" spans="2:2" x14ac:dyDescent="0.25">
      <c r="B17" s="56">
        <f>'Demand forecast'!B2*Sheet1!G3+'Demand forecast'!B4*Sheet1!G5*'Demand forecast'!B6*Sheet1!G8+'Demand forecast'!B8*Sheet1!G25</f>
        <v>2.5105973866497105E+22</v>
      </c>
    </row>
    <row r="18" spans="2:2" x14ac:dyDescent="0.25">
      <c r="B18" s="57">
        <f>B17/23500</f>
        <v>1.068339313467962E+18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BOM</vt:lpstr>
      <vt:lpstr>Sheet1</vt:lpstr>
      <vt:lpstr>COGS</vt:lpstr>
      <vt:lpstr>BOM 1</vt:lpstr>
      <vt:lpstr>Sheet3</vt:lpstr>
      <vt:lpstr>Mã hàng</vt:lpstr>
      <vt:lpstr>Produce</vt:lpstr>
      <vt:lpstr>Gross Q</vt:lpstr>
      <vt:lpstr>MRP</vt:lpstr>
      <vt:lpstr>Sheet2</vt:lpstr>
      <vt:lpstr>Demand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PHONG</cp:lastModifiedBy>
  <dcterms:modified xsi:type="dcterms:W3CDTF">2024-05-13T16:15:23Z</dcterms:modified>
</cp:coreProperties>
</file>