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ske/Desktop/Spring 2025/Airports/"/>
    </mc:Choice>
  </mc:AlternateContent>
  <xr:revisionPtr revIDLastSave="0" documentId="13_ncr:1_{11D547CA-8160-B347-B78E-A6A457CCA0E3}" xr6:coauthVersionLast="47" xr6:coauthVersionMax="47" xr10:uidLastSave="{00000000-0000-0000-0000-000000000000}"/>
  <bookViews>
    <workbookView xWindow="-26240" yWindow="100" windowWidth="24140" windowHeight="17360" xr2:uid="{EDAA8BF4-FF44-5744-9757-517021F7CB5C}"/>
  </bookViews>
  <sheets>
    <sheet name="Traffic Forecasting" sheetId="1" r:id="rId1"/>
    <sheet name="Airport Siz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9" i="1" l="1"/>
  <c r="D76" i="1"/>
  <c r="D72" i="1"/>
  <c r="B44" i="2"/>
  <c r="B43" i="2"/>
  <c r="B42" i="2"/>
  <c r="B41" i="2"/>
  <c r="B40" i="2"/>
  <c r="B49" i="2"/>
  <c r="B48" i="2"/>
  <c r="B47" i="2"/>
  <c r="B45" i="2"/>
  <c r="L24" i="2"/>
  <c r="L45" i="2" s="1"/>
  <c r="L23" i="2"/>
  <c r="L39" i="2" s="1"/>
  <c r="L22" i="2"/>
  <c r="L38" i="2" s="1"/>
  <c r="L21" i="2"/>
  <c r="K24" i="2"/>
  <c r="K45" i="2" s="1"/>
  <c r="K23" i="2"/>
  <c r="K39" i="2" s="1"/>
  <c r="K22" i="2"/>
  <c r="K38" i="2" s="1"/>
  <c r="K21" i="2"/>
  <c r="J24" i="2"/>
  <c r="J45" i="2" s="1"/>
  <c r="J23" i="2"/>
  <c r="J39" i="2" s="1"/>
  <c r="J22" i="2"/>
  <c r="J38" i="2" s="1"/>
  <c r="J21" i="2"/>
  <c r="J37" i="2" s="1"/>
  <c r="I24" i="2"/>
  <c r="I45" i="2" s="1"/>
  <c r="I23" i="2"/>
  <c r="I39" i="2" s="1"/>
  <c r="I22" i="2"/>
  <c r="I38" i="2" s="1"/>
  <c r="I21" i="2"/>
  <c r="H14" i="2"/>
  <c r="H15" i="2"/>
  <c r="H16" i="2"/>
  <c r="H13" i="2"/>
  <c r="L12" i="2"/>
  <c r="L15" i="2" s="1"/>
  <c r="K12" i="2"/>
  <c r="J12" i="2"/>
  <c r="I12" i="2"/>
  <c r="C65" i="1"/>
  <c r="D66" i="1" s="1"/>
  <c r="D68" i="1" s="1"/>
  <c r="D86" i="1" s="1"/>
  <c r="D87" i="1" s="1"/>
  <c r="C90" i="1"/>
  <c r="D92" i="1" s="1"/>
  <c r="C35" i="1"/>
  <c r="E22" i="1"/>
  <c r="E23" i="1"/>
  <c r="E24" i="1"/>
  <c r="E25" i="1"/>
  <c r="E26" i="1"/>
  <c r="E27" i="1"/>
  <c r="E28" i="1"/>
  <c r="E29" i="1"/>
  <c r="E30" i="1"/>
  <c r="E31" i="1"/>
  <c r="E32" i="1"/>
  <c r="E33" i="1"/>
  <c r="E21" i="1"/>
  <c r="E19" i="1"/>
  <c r="E4" i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3" i="1"/>
  <c r="C9" i="1"/>
  <c r="E9" i="1" s="1"/>
  <c r="L31" i="2" l="1"/>
  <c r="J13" i="2"/>
  <c r="J29" i="2" s="1"/>
  <c r="K16" i="2"/>
  <c r="K32" i="2" s="1"/>
  <c r="I15" i="2"/>
  <c r="I14" i="2"/>
  <c r="L14" i="2"/>
  <c r="L30" i="2" s="1"/>
  <c r="J14" i="2"/>
  <c r="J30" i="2" s="1"/>
  <c r="K15" i="2"/>
  <c r="K14" i="2"/>
  <c r="K30" i="2" s="1"/>
  <c r="I30" i="2"/>
  <c r="I13" i="2"/>
  <c r="I29" i="2" s="1"/>
  <c r="L37" i="2"/>
  <c r="L13" i="2"/>
  <c r="L29" i="2" s="1"/>
  <c r="K13" i="2"/>
  <c r="K29" i="2" s="1"/>
  <c r="I16" i="2"/>
  <c r="I32" i="2" s="1"/>
  <c r="L16" i="2"/>
  <c r="L32" i="2" s="1"/>
  <c r="I37" i="2"/>
  <c r="J16" i="2"/>
  <c r="J32" i="2" s="1"/>
  <c r="I31" i="2"/>
  <c r="K37" i="2"/>
  <c r="K31" i="2"/>
  <c r="J15" i="2"/>
  <c r="J31" i="2" s="1"/>
  <c r="C39" i="1"/>
  <c r="C41" i="1" s="1"/>
  <c r="E35" i="1"/>
  <c r="C34" i="1"/>
  <c r="E34" i="1"/>
  <c r="D43" i="1" s="1"/>
  <c r="D45" i="1" s="1"/>
  <c r="D54" i="1" s="1"/>
  <c r="B36" i="2" l="1"/>
  <c r="B35" i="2"/>
  <c r="B37" i="2" s="1"/>
  <c r="C78" i="1" s="1"/>
  <c r="D39" i="1"/>
  <c r="D47" i="1" l="1"/>
  <c r="D49" i="1" s="1"/>
  <c r="D56" i="1" s="1"/>
  <c r="D57" i="1" s="1"/>
  <c r="D59" i="1" l="1"/>
  <c r="D62" i="1" l="1"/>
  <c r="D84" i="1" s="1"/>
  <c r="D85" i="1" s="1"/>
  <c r="D88" i="1" s="1"/>
  <c r="D93" i="1" s="1"/>
  <c r="D73" i="1"/>
  <c r="D77" i="1" s="1"/>
  <c r="D80" i="1" s="1"/>
  <c r="D82" i="1"/>
</calcChain>
</file>

<file path=xl/sharedStrings.xml><?xml version="1.0" encoding="utf-8"?>
<sst xmlns="http://schemas.openxmlformats.org/spreadsheetml/2006/main" count="305" uniqueCount="202">
  <si>
    <t>https://www.singaporeair.com/content/dam/sia/web-assets/pdfs/about-us/information-for-investors/operating-statistics/opstats-dec24.pdf</t>
  </si>
  <si>
    <t>https://www.cathaypacific.com/content/dam/cx/about-us/investor-relations/announcements/en/202501_cx_traffic_en.pdf</t>
  </si>
  <si>
    <t>https://www.oag.com/all-nippon-airways-performance-stats</t>
  </si>
  <si>
    <t>https://press.jal.co.jp/en/items/uploads/Traffic%20Data%20MAR%202024.pdf</t>
  </si>
  <si>
    <t>https://simpleflying.com/air-france-klm-record-revenue-amid-2023-loss/</t>
  </si>
  <si>
    <t>https://c.ekstatic.net/ecl/documents/annual-report/2023-2024.pdf</t>
  </si>
  <si>
    <t>https://aviation.direct/en/swiss-mit-18-millionen-passagieren-im-jahr-2024#:~:text=With%2018%20million%20passengers%2C%20Swiss,below%20the%20previous%20year's%20figure.</t>
  </si>
  <si>
    <t>https://report.lufthansagroup.com/2024/annual-report/en/combined-management-report/business-segments/passenger-airlines-business-segment/lufthansa-airlines/</t>
  </si>
  <si>
    <t>https://www.etihad.com/en-us/news/etihad-reports-december-2024-traffic-statistics#:~:text=%E2%80%9CIn%20the%20full%20year%20of,over%20the%20past%20two%20years.</t>
  </si>
  <si>
    <t>https://aerospaceglobalnews.com/news/ba-operating-profit-up-by-over-a-billion-pounds-in-2024/</t>
  </si>
  <si>
    <t>https://www.iairgroup.com/media/nygbte03/q3-traffic-slides_website-1.pdf</t>
  </si>
  <si>
    <t>https://d21buns5ku92am.cloudfront.net/69647/documents/54686-1719916085-3345_Annual%20Report%202023%2024_V24%201-7cb0c9.pdf</t>
  </si>
  <si>
    <t>https://investor.qantas.com/FormBuilder/_Resource/_module/doLLG5ufYkCyEPjF1tpgyw/file/annual-reports/2024-Annual-Report.pdf</t>
  </si>
  <si>
    <t>https://ir.thaiairways.com/</t>
  </si>
  <si>
    <t>https://www.csair.com/cn/about/investor/yejibaogao/2024/resource/751cad7f639531b69f73e1691996f50a.pdf</t>
  </si>
  <si>
    <t>https://www.ceair.com/global/static/AboutChinaEasternAirlines/intoEasternAirlines/InvestorRelations/periodicReports/ShanghaiStockExchangeReleased/ShanghaiStockExchangeReleased2024/202404/P020240410514469860933.pdf</t>
  </si>
  <si>
    <t>https://vip.stock.finance.sina.com.cn/corp/view/vCB_AllBulletinDetail.php?stockid=601111&amp;id=10817195</t>
  </si>
  <si>
    <t>https://www.hanjinkal.co.kr/common/file/2024%EB%85%84%20%EB%8C%80%ED%95%9C%ED%95%AD%EA%B3%B5%20ESG%EB%B3%B4%EA%B3%A0%EC%84%9C%20(%EC%98%81%EB%AC%B8).pdf</t>
  </si>
  <si>
    <t>Estimated Seats (millions)</t>
  </si>
  <si>
    <t>2024 Passengers (millions)</t>
  </si>
  <si>
    <t>https://centreforaviation.com/analysis/reports/flying-with-frills-global-airlines-ranked-by-first-class-and-premium-seat-numbers-655197</t>
  </si>
  <si>
    <t>Starship Capacity (passengers)</t>
  </si>
  <si>
    <t>Load Factor (%)</t>
  </si>
  <si>
    <t>file:///Users/andyeske/Downloads/2024_Asiana_Airlines_ESG_Report_ENG.pdf</t>
  </si>
  <si>
    <t>https://americanairlines.gcs-web.com/news-releases/news-release-details/american-airlines-reports-fourth-quarter-and-full-year-2024</t>
  </si>
  <si>
    <t>https://www.united.com/en/us/newsroom/announcements/cision-125362</t>
  </si>
  <si>
    <t>https://ir.delta.com/news/news-details/2025/Delta-Air-Lines-Announces-December-Quarter-and-Full-Year-2024-Financial-Results/default.aspx</t>
  </si>
  <si>
    <t>https://www.aerotime.aero/articles/turkish-airlines-passenger-figures-2024</t>
  </si>
  <si>
    <t>https://www.prnewswire.com/news-releases/air-canada-reports-fourth-quarter-and-full-year-2024-financial-results-302376635.html</t>
  </si>
  <si>
    <t>Assumption</t>
  </si>
  <si>
    <t>https://www.latamairlines.com/us/en/press-room/releases/LATAM-Airlines-Group-closes-a-historic-2024-with-US977-million-in-net-income1</t>
  </si>
  <si>
    <t>https://simpleflying.com/ethiopian-airlines-30-percent-passenger-rise-african-airlines-demand-grows/</t>
  </si>
  <si>
    <t>https://p-airnz.com/cms/assets/PDFs/air-nz-2024-annual-results-report.pdf</t>
  </si>
  <si>
    <t>https://www.evaair.com/en-global/images/eva-air-2023-annual-report-en_tcm33-90678.pdf</t>
  </si>
  <si>
    <t>https://www.google.com/search?q=iberia+passengers+carried+2024&amp;oq=iberia+passengers+carried+2024&amp;gs_lcrp=EgZjaHJvbWUyBggAEEUYOTIHCAEQIRigATIHCAIQIRigATIHCAMQIRigATIHCAQQIRigATIHCAUQIRigAdIBCDQ3NzdqMGo0qAIAsAIB&amp;sourceid=chrome&amp;ie=UTF-8</t>
  </si>
  <si>
    <t>https://ir.aeroflot.com/fileadmin/user_upload/files/eng/companys_reporting/annual_reports/Aeroflot_AR_2023_ENG.pdf</t>
  </si>
  <si>
    <t>https://atag.org/facts-figures#:~:text=The%20estimate%20for%202024%20is%205%20billion%20passengers.&amp;text=In%202023%2C%2035.3%20million%20scheduled,some%2096%20million%20aircraft%20movements.&amp;text=8.17%20trillion%20Revenue%20Passenger%20Kilometres,flown%20by%20passengers%20in%202023.</t>
  </si>
  <si>
    <t>Planned Capacity of Launches (per day)</t>
  </si>
  <si>
    <t>Starship LF (% estimate)</t>
  </si>
  <si>
    <t>Space Flight Adoption Estimates</t>
  </si>
  <si>
    <t>International Airlines with both First and Business Class</t>
  </si>
  <si>
    <t>Source (website link)</t>
  </si>
  <si>
    <t>Air &amp; Spaceport Launch Pad Turnarund Time (launches/hour)</t>
  </si>
  <si>
    <t>Launch Pad Daily Capacity (launches/day)</t>
  </si>
  <si>
    <t>Number of Launch Pads per Air &amp; Spaceport</t>
  </si>
  <si>
    <t>https://www.faa.gov/dataresearch/aviation/aerospaceforecasts/faa-aerospace-forecasts.pdf#:~:text=From%20FY2025%2D2044%2C%20annual%20growth,3.3%20percent%20(after%20rounding).</t>
  </si>
  <si>
    <t>Total Estimated Adoption (million passengers, 2024)</t>
  </si>
  <si>
    <t>Total Predicted Future Adoption (million passengers, 2050)</t>
  </si>
  <si>
    <t>Number of Falcon 9  Launches (2024)</t>
  </si>
  <si>
    <t>https://spaceflightnow.com/2025/01/06/live-coverage-spacex-to-launch-24-starlink-satellites-on-falcon-9-rocket-from-cape-canaveral-4/</t>
  </si>
  <si>
    <t>Number of Predicted Future Freight Launches (2050)</t>
  </si>
  <si>
    <t>Total Number of Rocket Launches (2050, per year)</t>
  </si>
  <si>
    <t>https://payloadspace.com/2024-orbital-launch-attempts-by-country/</t>
  </si>
  <si>
    <t>Percentage of Freight Launches Accomodated by Air &amp; Spaceports (%)</t>
  </si>
  <si>
    <t>Number of Predicted Future Freight Launches Accomodated by Air &amp; Spaceports (2050)</t>
  </si>
  <si>
    <t>Rate of Enplanement Annual Growth (%/per year)</t>
  </si>
  <si>
    <t>Total Number of Passenger and Freight Launches per Air &amp; Spaceport per day (2050)</t>
  </si>
  <si>
    <t>Number of Passenger Starship Launches per year (2050)</t>
  </si>
  <si>
    <t>Number of Air &amp; Spaceports (globally)</t>
  </si>
  <si>
    <t>Average Number of Passenger Launches per Air &amp; Spaceport per year (2050)</t>
  </si>
  <si>
    <t>Average Number of Passenger Launches per Air &amp; Spaceport per day (2050)</t>
  </si>
  <si>
    <t>Average Number of Freight Launches per Air &amp; Spaceport per year (2050)</t>
  </si>
  <si>
    <t>Average Number of Freight Launches per Air &amp; Spaceport per day (2050)</t>
  </si>
  <si>
    <t>Average Launch Pad Utilization (%)</t>
  </si>
  <si>
    <t>Average Number of Passengers per Air &amp; Spaceport per year (million passengers, 2050)</t>
  </si>
  <si>
    <t>Average Number of Passengers per Air &amp; Spaceport per day (passengers, 2050)</t>
  </si>
  <si>
    <t>Percentage of Installed First Class Seats  (% estimate, Airlines 1 - 17)</t>
  </si>
  <si>
    <t>Percentage of Installed Business Class Seats (% estimate, Airlines 1 - 30)</t>
  </si>
  <si>
    <t>Input</t>
  </si>
  <si>
    <t>Output</t>
  </si>
  <si>
    <t>Category: Passenger Launches</t>
  </si>
  <si>
    <t>Category: Premium Seats</t>
  </si>
  <si>
    <t>Category: Freight Launches</t>
  </si>
  <si>
    <t>Singapore Airlines (Singapore)</t>
  </si>
  <si>
    <t>Air France - KLM (France/Netherlands)</t>
  </si>
  <si>
    <t>Emirates Airline (UAE)</t>
  </si>
  <si>
    <t>Swiss (Switzerland)</t>
  </si>
  <si>
    <t>ANA (Japan)</t>
  </si>
  <si>
    <t>Lufthansa (Germany)</t>
  </si>
  <si>
    <t>Japan Airlines (Japan)</t>
  </si>
  <si>
    <t>Cathay Pacific (Hong Kong)</t>
  </si>
  <si>
    <t>Etihad Airways (UAE)</t>
  </si>
  <si>
    <t>Qatar Airways (Qatar)</t>
  </si>
  <si>
    <t>British Airways (United Kingdom)</t>
  </si>
  <si>
    <t>Qantas Australia (Australia)</t>
  </si>
  <si>
    <t>Thai Airways (Thailand)</t>
  </si>
  <si>
    <t>Korean Air (South Korea)</t>
  </si>
  <si>
    <t>Air China (China)</t>
  </si>
  <si>
    <t>China Eastern (China)</t>
  </si>
  <si>
    <t>China Southern (China)</t>
  </si>
  <si>
    <t>American Airlines (United States)</t>
  </si>
  <si>
    <t>Delta Airlines (United States)</t>
  </si>
  <si>
    <t>United Airlines (United States)</t>
  </si>
  <si>
    <t>Air Canada (Canada)</t>
  </si>
  <si>
    <t>Turkish Airlines (Turkey)</t>
  </si>
  <si>
    <t>LATAM (Chile/Brazil/Ecuador/Colombia/Peru)</t>
  </si>
  <si>
    <t>Ethiopian Airlines (Ethiopia)</t>
  </si>
  <si>
    <t>EVA Air (Taiwan)</t>
  </si>
  <si>
    <t>Air New Zealand (New Zealand)</t>
  </si>
  <si>
    <t>Iberia (Spain)</t>
  </si>
  <si>
    <t>Aeroflot (Russia)</t>
  </si>
  <si>
    <t>Asiana Airlines (South Korea)</t>
  </si>
  <si>
    <t>Air India (India)</t>
  </si>
  <si>
    <t>Percentage of First Class that would adopt Space Flight (% )</t>
  </si>
  <si>
    <t>Percentage of Business Class that would adopt Space Flight (% )</t>
  </si>
  <si>
    <t>Estimated Space Flight passengers from xurrent First Class (millions)</t>
  </si>
  <si>
    <t>Estimated Space Flight passengers from current Business Class (millions)</t>
  </si>
  <si>
    <t>Global Airline Industry Total Passengers (million, 2024)</t>
  </si>
  <si>
    <t>Percentage Captured by Case Study Airlines (%)</t>
  </si>
  <si>
    <t>Total Passengers from Case Study Airlines (millions, Airlines 1 - 30)</t>
  </si>
  <si>
    <t>Installed First Class Seats (millions)</t>
  </si>
  <si>
    <t>Estimated First Class Load Factor (% )</t>
  </si>
  <si>
    <t>Estimated First Class Passengers (million, 2024)</t>
  </si>
  <si>
    <t>Installed Business Class Seats (million)</t>
  </si>
  <si>
    <t>Estimated Business Class Load Factor (% estimate)</t>
  </si>
  <si>
    <t>Estimated Business Class Passengers (million, 2024)</t>
  </si>
  <si>
    <t>Category: International Airlines with Business Class as Highest Premium Cabin</t>
  </si>
  <si>
    <t>Category: International Airlines with First Class as Highest Premium Cabin</t>
  </si>
  <si>
    <t>Total: Airlines 1 - 17</t>
  </si>
  <si>
    <t>Total: Airlines 18 - 30</t>
  </si>
  <si>
    <t>Typical Regional Aircraft Capacity (passengers)</t>
  </si>
  <si>
    <t>Percentage of Passengers arriving to the Air &amp; Spaceport by air (%)</t>
  </si>
  <si>
    <t>Average Number of Flights per day</t>
  </si>
  <si>
    <t>Planned Saturation Capacity (operations per hour)</t>
  </si>
  <si>
    <t>Average Runway Utilization (%)</t>
  </si>
  <si>
    <t>Category: Airport Forecasting</t>
  </si>
  <si>
    <t>Category: Spaceport Forecasting</t>
  </si>
  <si>
    <t>Premium Seat Estimates</t>
  </si>
  <si>
    <t>https://www.embraercommercialaviation.com/wp-content/uploads/2017/02/Embraer_spec_175_web.pdf</t>
  </si>
  <si>
    <t>Planned Passenger Capacity (per day)</t>
  </si>
  <si>
    <t>Average Number of Operations (Landings and Take-offs) per hour</t>
  </si>
  <si>
    <t>Light (L)</t>
  </si>
  <si>
    <t>Medium (M)</t>
  </si>
  <si>
    <t>Heavy (H)</t>
  </si>
  <si>
    <t>Average Number of Seats</t>
  </si>
  <si>
    <t>Reference Aircraft</t>
  </si>
  <si>
    <t>A321neo</t>
  </si>
  <si>
    <t>ICAO Classification</t>
  </si>
  <si>
    <t>E175</t>
  </si>
  <si>
    <t>Small (S)</t>
  </si>
  <si>
    <t>Learjet 55</t>
  </si>
  <si>
    <t>3A</t>
  </si>
  <si>
    <t>Wingspan (m)</t>
  </si>
  <si>
    <t>4C</t>
  </si>
  <si>
    <t>B787-9</t>
  </si>
  <si>
    <t>Aircraft</t>
  </si>
  <si>
    <t>4D</t>
  </si>
  <si>
    <t>Length (m)</t>
  </si>
  <si>
    <t>Runway Occupancy upon Landing (s)</t>
  </si>
  <si>
    <t>Reference Take-off Length (m)</t>
  </si>
  <si>
    <t>Aircraft Specs</t>
  </si>
  <si>
    <t>Separation Requirements</t>
  </si>
  <si>
    <t>Width Requirements</t>
  </si>
  <si>
    <t>Traffic Mix (%)</t>
  </si>
  <si>
    <t>Source</t>
  </si>
  <si>
    <t>ICAO Doc 9157, Table 1.4</t>
  </si>
  <si>
    <t>ICAO Doc 9157, Table 1.5</t>
  </si>
  <si>
    <t>ICAO Doc 9157, Table 1.1</t>
  </si>
  <si>
    <t>ICAO Doc 9157, Table 5.1</t>
  </si>
  <si>
    <t>Clearences</t>
  </si>
  <si>
    <t>Wingtip (m)</t>
  </si>
  <si>
    <t>ICAO Annex 14, 3.13.6</t>
  </si>
  <si>
    <t>ICAO Doc 9157, Appendix 1</t>
  </si>
  <si>
    <t>OEM</t>
  </si>
  <si>
    <t>Approach Speed (knots)</t>
  </si>
  <si>
    <t>Aircraft Approach Speed (knots)</t>
  </si>
  <si>
    <t>Leading Aircraft (i)</t>
  </si>
  <si>
    <t>Trailing Aicraft (j)</t>
  </si>
  <si>
    <t>Saturdation Capacity</t>
  </si>
  <si>
    <t>Operations per hour</t>
  </si>
  <si>
    <t>Landings</t>
  </si>
  <si>
    <t>Take-off</t>
  </si>
  <si>
    <t>Combined Operations</t>
  </si>
  <si>
    <t>Aircraft Parking Length (m)</t>
  </si>
  <si>
    <t>Airport Service Road Width (m)</t>
  </si>
  <si>
    <t>Aiircraft Pushback Area Length (m)</t>
  </si>
  <si>
    <t>Distance Between Gates (m)</t>
  </si>
  <si>
    <t>Taxiway Obstacle Free Area (m)</t>
  </si>
  <si>
    <t>Calculation</t>
  </si>
  <si>
    <t>Aircraft Wingspan + 10</t>
  </si>
  <si>
    <t>Aircraft Length + 22</t>
  </si>
  <si>
    <t>Taxiway Centerline to Object</t>
  </si>
  <si>
    <t>Wingspan + Wingtip Clearence + 10</t>
  </si>
  <si>
    <t>Taxiway Centerline to Taxiway Centerline (m)</t>
  </si>
  <si>
    <t>Appron Design Variable (for Design Aircraft)</t>
  </si>
  <si>
    <t>Most Demanding Aircraft</t>
  </si>
  <si>
    <t>Taxiway Centerline to an Object (m)</t>
  </si>
  <si>
    <t>Taxiway Centerline to (IFR) Runway Centerline (m)</t>
  </si>
  <si>
    <t>Minimum Width of Taxiway Pavement (m)</t>
  </si>
  <si>
    <t>Minimum Runway Width (m)</t>
  </si>
  <si>
    <t>Taxiway Centerline to an Object</t>
  </si>
  <si>
    <t>Taxiway Centerline to Runway Centerline</t>
  </si>
  <si>
    <t>Taxiway Width</t>
  </si>
  <si>
    <t>Runway Width</t>
  </si>
  <si>
    <t>Rate of Freight Launch Annual Growth (2023 - 2024)</t>
  </si>
  <si>
    <t>Air &amp; Space Port Capacity Forecasting</t>
  </si>
  <si>
    <t>Spacing Matrix for Approaches (Matrix T) - Blumstein (1959) Method</t>
  </si>
  <si>
    <t>Probability Matrix (Matrix P) - Blumstein (1959) Method</t>
  </si>
  <si>
    <t>Expected Landing Saturation Matrix (Matrix P.*T) - Blumstein (1959) Method</t>
  </si>
  <si>
    <t>Expected Take-off Saturation Matrix (Matrix P.*S) - Blumstein (1959) Method</t>
  </si>
  <si>
    <t>Minimum Separation between Consecutive Landings (nm) - From ICAO Guidelines</t>
  </si>
  <si>
    <t>Minimum Separation Requirements between Successive Departing Aircraft (s, Matrix S) - From ICAO Guidelines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</si>
</sst>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50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9" fontId="0" fillId="0" borderId="12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2" borderId="5" xfId="0" applyFont="1" applyFill="1" applyBorder="1"/>
    <xf numFmtId="0" fontId="3" fillId="2" borderId="13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5" xfId="0" applyFont="1" applyFill="1" applyBorder="1"/>
    <xf numFmtId="0" fontId="2" fillId="3" borderId="7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3" fillId="2" borderId="5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0" fontId="0" fillId="0" borderId="25" xfId="0" applyBorder="1"/>
    <xf numFmtId="10" fontId="0" fillId="0" borderId="26" xfId="0" applyNumberFormat="1" applyBorder="1" applyAlignment="1">
      <alignment horizontal="center"/>
    </xf>
    <xf numFmtId="0" fontId="0" fillId="0" borderId="30" xfId="0" applyBorder="1"/>
    <xf numFmtId="2" fontId="0" fillId="0" borderId="3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2" fillId="3" borderId="4" xfId="0" applyFont="1" applyFill="1" applyBorder="1"/>
    <xf numFmtId="9" fontId="0" fillId="0" borderId="19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32" xfId="0" applyNumberFormat="1" applyBorder="1" applyAlignment="1">
      <alignment horizontal="center"/>
    </xf>
    <xf numFmtId="9" fontId="0" fillId="0" borderId="27" xfId="0" applyNumberFormat="1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3" borderId="19" xfId="0" applyFill="1" applyBorder="1"/>
    <xf numFmtId="0" fontId="0" fillId="3" borderId="20" xfId="0" applyFill="1" applyBorder="1"/>
    <xf numFmtId="0" fontId="0" fillId="3" borderId="0" xfId="0" applyFill="1"/>
    <xf numFmtId="0" fontId="0" fillId="3" borderId="12" xfId="0" applyFill="1" applyBorder="1"/>
    <xf numFmtId="0" fontId="0" fillId="3" borderId="0" xfId="0" applyFill="1" applyAlignment="1">
      <alignment horizontal="center"/>
    </xf>
    <xf numFmtId="0" fontId="0" fillId="3" borderId="12" xfId="0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37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0" fillId="3" borderId="1" xfId="0" applyFill="1" applyBorder="1"/>
    <xf numFmtId="9" fontId="0" fillId="3" borderId="12" xfId="0" applyNumberFormat="1" applyFill="1" applyBorder="1" applyAlignment="1">
      <alignment horizontal="center"/>
    </xf>
    <xf numFmtId="2" fontId="0" fillId="3" borderId="35" xfId="0" applyNumberFormat="1" applyFill="1" applyBorder="1" applyAlignment="1">
      <alignment horizontal="center"/>
    </xf>
    <xf numFmtId="10" fontId="0" fillId="3" borderId="12" xfId="0" applyNumberFormat="1" applyFill="1" applyBorder="1" applyAlignment="1">
      <alignment horizontal="center"/>
    </xf>
    <xf numFmtId="9" fontId="0" fillId="3" borderId="13" xfId="0" applyNumberFormat="1" applyFill="1" applyBorder="1" applyAlignment="1">
      <alignment horizontal="center"/>
    </xf>
    <xf numFmtId="0" fontId="0" fillId="3" borderId="16" xfId="0" applyFill="1" applyBorder="1"/>
    <xf numFmtId="2" fontId="0" fillId="3" borderId="28" xfId="0" applyNumberFormat="1" applyFill="1" applyBorder="1" applyAlignment="1">
      <alignment horizontal="center"/>
    </xf>
    <xf numFmtId="0" fontId="0" fillId="3" borderId="31" xfId="0" applyFill="1" applyBorder="1"/>
    <xf numFmtId="0" fontId="2" fillId="0" borderId="4" xfId="0" applyFont="1" applyBorder="1"/>
    <xf numFmtId="0" fontId="2" fillId="0" borderId="0" xfId="0" applyFont="1"/>
    <xf numFmtId="0" fontId="2" fillId="3" borderId="1" xfId="0" applyFont="1" applyFill="1" applyBorder="1"/>
    <xf numFmtId="0" fontId="3" fillId="0" borderId="5" xfId="0" applyFont="1" applyBorder="1"/>
    <xf numFmtId="0" fontId="3" fillId="0" borderId="2" xfId="0" applyFont="1" applyBorder="1"/>
    <xf numFmtId="0" fontId="0" fillId="3" borderId="34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2" fontId="3" fillId="0" borderId="15" xfId="0" applyNumberFormat="1" applyFont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2" fontId="0" fillId="3" borderId="16" xfId="0" applyNumberFormat="1" applyFill="1" applyBorder="1" applyAlignment="1">
      <alignment horizontal="center"/>
    </xf>
    <xf numFmtId="1" fontId="0" fillId="3" borderId="16" xfId="0" applyNumberFormat="1" applyFill="1" applyBorder="1" applyAlignment="1">
      <alignment horizontal="center"/>
    </xf>
    <xf numFmtId="0" fontId="0" fillId="3" borderId="26" xfId="0" applyFill="1" applyBorder="1"/>
    <xf numFmtId="0" fontId="3" fillId="2" borderId="2" xfId="0" applyFont="1" applyFill="1" applyBorder="1" applyAlignment="1">
      <alignment horizontal="center"/>
    </xf>
    <xf numFmtId="9" fontId="0" fillId="0" borderId="17" xfId="1" applyFont="1" applyBorder="1" applyAlignment="1">
      <alignment horizontal="center"/>
    </xf>
    <xf numFmtId="0" fontId="0" fillId="3" borderId="29" xfId="0" applyFill="1" applyBorder="1"/>
    <xf numFmtId="2" fontId="0" fillId="3" borderId="15" xfId="0" applyNumberFormat="1" applyFill="1" applyBorder="1" applyAlignment="1">
      <alignment horizontal="center"/>
    </xf>
    <xf numFmtId="0" fontId="0" fillId="3" borderId="28" xfId="0" applyFill="1" applyBorder="1"/>
    <xf numFmtId="0" fontId="0" fillId="3" borderId="16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2" borderId="9" xfId="0" applyFill="1" applyBorder="1"/>
    <xf numFmtId="0" fontId="3" fillId="2" borderId="11" xfId="0" applyFont="1" applyFill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3" borderId="13" xfId="0" applyFill="1" applyBorder="1"/>
    <xf numFmtId="1" fontId="0" fillId="0" borderId="15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1" xfId="0" applyFont="1" applyFill="1" applyBorder="1" applyAlignment="1">
      <alignment horizontal="center"/>
    </xf>
    <xf numFmtId="0" fontId="3" fillId="2" borderId="42" xfId="0" applyFont="1" applyFill="1" applyBorder="1" applyAlignment="1">
      <alignment horizontal="center"/>
    </xf>
    <xf numFmtId="0" fontId="3" fillId="2" borderId="4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2" borderId="44" xfId="0" applyFont="1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44" xfId="0" applyBorder="1" applyAlignment="1">
      <alignment horizontal="center"/>
    </xf>
    <xf numFmtId="9" fontId="0" fillId="0" borderId="16" xfId="0" applyNumberFormat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5" xfId="0" applyNumberFormat="1" applyBorder="1" applyAlignment="1">
      <alignment horizontal="center"/>
    </xf>
    <xf numFmtId="2" fontId="0" fillId="0" borderId="33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3" fillId="2" borderId="45" xfId="0" applyFont="1" applyFill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0" fontId="0" fillId="0" borderId="12" xfId="1" applyNumberFormat="1" applyFont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10" fontId="0" fillId="0" borderId="35" xfId="1" applyNumberFormat="1" applyFont="1" applyBorder="1" applyAlignment="1">
      <alignment horizontal="center"/>
    </xf>
    <xf numFmtId="10" fontId="0" fillId="0" borderId="13" xfId="1" applyNumberFormat="1" applyFont="1" applyBorder="1" applyAlignment="1">
      <alignment horizontal="center"/>
    </xf>
    <xf numFmtId="10" fontId="0" fillId="0" borderId="33" xfId="1" applyNumberFormat="1" applyFont="1" applyBorder="1" applyAlignment="1">
      <alignment horizontal="center"/>
    </xf>
    <xf numFmtId="10" fontId="0" fillId="0" borderId="6" xfId="1" applyNumberFormat="1" applyFont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/>
    </xf>
    <xf numFmtId="0" fontId="3" fillId="2" borderId="46" xfId="0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3" fillId="2" borderId="47" xfId="0" applyFont="1" applyFill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5" fillId="0" borderId="0" xfId="2"/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payloadspace.com/2024-orbital-launch-attempts-by-country/" TargetMode="External"/><Relationship Id="rId1" Type="http://schemas.openxmlformats.org/officeDocument/2006/relationships/hyperlink" Target="https://spaceflightnow.com/2025/01/06/live-coverage-spacex-to-launch-24-starlink-satellites-on-falcon-9-rocket-from-cape-canaveral-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82416-5D16-F444-8269-BFAF44525326}">
  <dimension ref="A1:N93"/>
  <sheetViews>
    <sheetView tabSelected="1" topLeftCell="A71" zoomScale="94" workbookViewId="0">
      <selection activeCell="B106" sqref="B106"/>
    </sheetView>
  </sheetViews>
  <sheetFormatPr baseColWidth="10" defaultRowHeight="16" x14ac:dyDescent="0.2"/>
  <cols>
    <col min="2" max="2" width="71.6640625" customWidth="1"/>
    <col min="3" max="3" width="26" customWidth="1"/>
    <col min="4" max="4" width="14.5" customWidth="1"/>
    <col min="5" max="5" width="23" customWidth="1"/>
  </cols>
  <sheetData>
    <row r="1" spans="1:14" x14ac:dyDescent="0.2">
      <c r="B1" s="136" t="s">
        <v>40</v>
      </c>
      <c r="C1" s="137"/>
      <c r="D1" s="137"/>
      <c r="E1" s="138"/>
      <c r="F1" s="22"/>
      <c r="G1" s="23"/>
    </row>
    <row r="2" spans="1:14" ht="17" thickBot="1" x14ac:dyDescent="0.25">
      <c r="B2" s="14" t="s">
        <v>117</v>
      </c>
      <c r="C2" s="15" t="s">
        <v>19</v>
      </c>
      <c r="D2" s="16" t="s">
        <v>22</v>
      </c>
      <c r="E2" s="17" t="s">
        <v>18</v>
      </c>
      <c r="F2" s="142" t="s">
        <v>41</v>
      </c>
      <c r="G2" s="143"/>
    </row>
    <row r="3" spans="1:14" x14ac:dyDescent="0.2">
      <c r="A3" s="4">
        <v>1</v>
      </c>
      <c r="B3" s="2" t="s">
        <v>73</v>
      </c>
      <c r="C3" s="7">
        <v>39</v>
      </c>
      <c r="D3" s="12">
        <v>88.4</v>
      </c>
      <c r="E3" s="10">
        <f>C3/(D3/100)</f>
        <v>44.117647058823529</v>
      </c>
      <c r="F3" t="s">
        <v>0</v>
      </c>
    </row>
    <row r="4" spans="1:14" x14ac:dyDescent="0.2">
      <c r="A4" s="5">
        <v>2</v>
      </c>
      <c r="B4" s="2" t="s">
        <v>74</v>
      </c>
      <c r="C4" s="7">
        <v>93.5</v>
      </c>
      <c r="D4" s="12">
        <v>95</v>
      </c>
      <c r="E4" s="10">
        <f t="shared" ref="E4:E18" si="0">C4/(D4/100)</f>
        <v>98.421052631578945</v>
      </c>
      <c r="F4" t="s">
        <v>4</v>
      </c>
    </row>
    <row r="5" spans="1:14" x14ac:dyDescent="0.2">
      <c r="A5" s="5">
        <v>3</v>
      </c>
      <c r="B5" s="2" t="s">
        <v>75</v>
      </c>
      <c r="C5" s="7">
        <v>51.9</v>
      </c>
      <c r="D5" s="12">
        <v>79.900000000000006</v>
      </c>
      <c r="E5" s="10">
        <f t="shared" si="0"/>
        <v>64.956195244055067</v>
      </c>
      <c r="F5" t="s">
        <v>5</v>
      </c>
    </row>
    <row r="6" spans="1:14" x14ac:dyDescent="0.2">
      <c r="A6" s="5">
        <v>4</v>
      </c>
      <c r="B6" s="2" t="s">
        <v>76</v>
      </c>
      <c r="C6" s="7">
        <v>18</v>
      </c>
      <c r="D6" s="12">
        <v>84.1</v>
      </c>
      <c r="E6" s="10">
        <f t="shared" si="0"/>
        <v>21.403091557669441</v>
      </c>
      <c r="F6" t="s">
        <v>6</v>
      </c>
    </row>
    <row r="7" spans="1:14" x14ac:dyDescent="0.2">
      <c r="A7" s="5">
        <v>5</v>
      </c>
      <c r="B7" s="2" t="s">
        <v>77</v>
      </c>
      <c r="C7" s="7">
        <v>64.400000000000006</v>
      </c>
      <c r="D7" s="12">
        <v>75</v>
      </c>
      <c r="E7" s="10">
        <f t="shared" si="0"/>
        <v>85.866666666666674</v>
      </c>
      <c r="F7" t="s">
        <v>2</v>
      </c>
    </row>
    <row r="8" spans="1:14" x14ac:dyDescent="0.2">
      <c r="A8" s="5">
        <v>6</v>
      </c>
      <c r="B8" s="2" t="s">
        <v>78</v>
      </c>
      <c r="C8" s="7">
        <v>64.400000000000006</v>
      </c>
      <c r="D8" s="12">
        <v>82.8</v>
      </c>
      <c r="E8" s="10">
        <f t="shared" si="0"/>
        <v>77.777777777777786</v>
      </c>
      <c r="F8" t="s">
        <v>7</v>
      </c>
    </row>
    <row r="9" spans="1:14" x14ac:dyDescent="0.2">
      <c r="A9" s="5">
        <v>7</v>
      </c>
      <c r="B9" s="2" t="s">
        <v>79</v>
      </c>
      <c r="C9" s="7">
        <f>35.1+6.6</f>
        <v>41.7</v>
      </c>
      <c r="D9" s="12">
        <v>77.2</v>
      </c>
      <c r="E9" s="10">
        <f t="shared" si="0"/>
        <v>54.015544041450781</v>
      </c>
      <c r="F9" t="s">
        <v>3</v>
      </c>
    </row>
    <row r="10" spans="1:14" x14ac:dyDescent="0.2">
      <c r="A10" s="5">
        <v>8</v>
      </c>
      <c r="B10" s="2" t="s">
        <v>80</v>
      </c>
      <c r="C10" s="7">
        <v>22.8</v>
      </c>
      <c r="D10" s="12">
        <v>83.2</v>
      </c>
      <c r="E10" s="10">
        <f t="shared" si="0"/>
        <v>27.403846153846153</v>
      </c>
      <c r="F10" t="s">
        <v>1</v>
      </c>
    </row>
    <row r="11" spans="1:14" x14ac:dyDescent="0.2">
      <c r="A11" s="5">
        <v>9</v>
      </c>
      <c r="B11" s="2" t="s">
        <v>81</v>
      </c>
      <c r="C11" s="7">
        <v>18</v>
      </c>
      <c r="D11" s="12">
        <v>87</v>
      </c>
      <c r="E11" s="10">
        <f t="shared" si="0"/>
        <v>20.689655172413794</v>
      </c>
      <c r="F11" t="s">
        <v>8</v>
      </c>
    </row>
    <row r="12" spans="1:14" x14ac:dyDescent="0.2">
      <c r="A12" s="5">
        <v>10</v>
      </c>
      <c r="B12" s="2" t="s">
        <v>82</v>
      </c>
      <c r="C12" s="7">
        <v>40</v>
      </c>
      <c r="D12" s="12">
        <v>83</v>
      </c>
      <c r="E12" s="10">
        <f t="shared" si="0"/>
        <v>48.192771084337352</v>
      </c>
      <c r="F12" t="s">
        <v>11</v>
      </c>
    </row>
    <row r="13" spans="1:14" x14ac:dyDescent="0.2">
      <c r="A13" s="5">
        <v>11</v>
      </c>
      <c r="B13" s="2" t="s">
        <v>83</v>
      </c>
      <c r="C13" s="7">
        <v>46</v>
      </c>
      <c r="D13" s="12">
        <v>85.2</v>
      </c>
      <c r="E13" s="10">
        <f t="shared" si="0"/>
        <v>53.990610328638496</v>
      </c>
      <c r="F13" t="s">
        <v>9</v>
      </c>
      <c r="N13" t="s">
        <v>10</v>
      </c>
    </row>
    <row r="14" spans="1:14" x14ac:dyDescent="0.2">
      <c r="A14" s="5">
        <v>12</v>
      </c>
      <c r="B14" s="2" t="s">
        <v>84</v>
      </c>
      <c r="C14" s="7">
        <v>51.8</v>
      </c>
      <c r="D14" s="12">
        <v>82.7</v>
      </c>
      <c r="E14" s="10">
        <f t="shared" si="0"/>
        <v>62.636033857315589</v>
      </c>
      <c r="F14" t="s">
        <v>12</v>
      </c>
    </row>
    <row r="15" spans="1:14" x14ac:dyDescent="0.2">
      <c r="A15" s="5">
        <v>13</v>
      </c>
      <c r="B15" s="2" t="s">
        <v>85</v>
      </c>
      <c r="C15" s="7">
        <v>16.100000000000001</v>
      </c>
      <c r="D15" s="12">
        <v>80</v>
      </c>
      <c r="E15" s="10">
        <f t="shared" si="0"/>
        <v>20.125</v>
      </c>
      <c r="F15" t="s">
        <v>13</v>
      </c>
    </row>
    <row r="16" spans="1:14" x14ac:dyDescent="0.2">
      <c r="A16" s="5">
        <v>14</v>
      </c>
      <c r="B16" s="2" t="s">
        <v>86</v>
      </c>
      <c r="C16" s="7">
        <v>19.8</v>
      </c>
      <c r="D16" s="12">
        <v>84.2</v>
      </c>
      <c r="E16" s="10">
        <f t="shared" si="0"/>
        <v>23.51543942992874</v>
      </c>
      <c r="F16" t="s">
        <v>17</v>
      </c>
    </row>
    <row r="17" spans="1:7" x14ac:dyDescent="0.2">
      <c r="A17" s="5">
        <v>15</v>
      </c>
      <c r="B17" s="2" t="s">
        <v>87</v>
      </c>
      <c r="C17" s="7">
        <v>155.30000000000001</v>
      </c>
      <c r="D17" s="12">
        <v>79.900000000000006</v>
      </c>
      <c r="E17" s="10">
        <f t="shared" si="0"/>
        <v>194.36795994993741</v>
      </c>
      <c r="F17" t="s">
        <v>16</v>
      </c>
    </row>
    <row r="18" spans="1:7" x14ac:dyDescent="0.2">
      <c r="A18" s="5">
        <v>16</v>
      </c>
      <c r="B18" s="2" t="s">
        <v>88</v>
      </c>
      <c r="C18" s="7">
        <v>115.6</v>
      </c>
      <c r="D18" s="12">
        <v>74.400000000000006</v>
      </c>
      <c r="E18" s="10">
        <f t="shared" si="0"/>
        <v>155.37634408602148</v>
      </c>
      <c r="F18" t="s">
        <v>15</v>
      </c>
    </row>
    <row r="19" spans="1:7" ht="17" thickBot="1" x14ac:dyDescent="0.25">
      <c r="A19" s="6">
        <v>17</v>
      </c>
      <c r="B19" s="3" t="s">
        <v>89</v>
      </c>
      <c r="C19" s="8">
        <v>164.7</v>
      </c>
      <c r="D19" s="13">
        <v>84.4</v>
      </c>
      <c r="E19" s="11">
        <f>C19/(D19/100)</f>
        <v>195.14218009478671</v>
      </c>
      <c r="F19" t="s">
        <v>14</v>
      </c>
    </row>
    <row r="20" spans="1:7" ht="17" thickBot="1" x14ac:dyDescent="0.25">
      <c r="A20" s="1"/>
      <c r="B20" s="14" t="s">
        <v>116</v>
      </c>
      <c r="C20" s="15" t="s">
        <v>19</v>
      </c>
      <c r="D20" s="16" t="s">
        <v>22</v>
      </c>
      <c r="E20" s="17" t="s">
        <v>18</v>
      </c>
      <c r="F20" s="139" t="s">
        <v>41</v>
      </c>
      <c r="G20" s="141"/>
    </row>
    <row r="21" spans="1:7" x14ac:dyDescent="0.2">
      <c r="A21" s="4">
        <v>18</v>
      </c>
      <c r="B21" s="2" t="s">
        <v>90</v>
      </c>
      <c r="C21" s="7">
        <v>226.4</v>
      </c>
      <c r="D21" s="12">
        <v>84.9</v>
      </c>
      <c r="E21" s="10">
        <f>C21/(D21/100)</f>
        <v>266.66666666666663</v>
      </c>
      <c r="F21" t="s">
        <v>24</v>
      </c>
    </row>
    <row r="22" spans="1:7" x14ac:dyDescent="0.2">
      <c r="A22" s="5">
        <v>19</v>
      </c>
      <c r="B22" s="2" t="s">
        <v>91</v>
      </c>
      <c r="C22" s="7">
        <v>200</v>
      </c>
      <c r="D22" s="12">
        <v>85</v>
      </c>
      <c r="E22" s="10">
        <f t="shared" ref="E22:E33" si="1">C22/(D22/100)</f>
        <v>235.29411764705884</v>
      </c>
      <c r="F22" t="s">
        <v>26</v>
      </c>
    </row>
    <row r="23" spans="1:7" x14ac:dyDescent="0.2">
      <c r="A23" s="5">
        <v>20</v>
      </c>
      <c r="B23" s="2" t="s">
        <v>92</v>
      </c>
      <c r="C23" s="7">
        <v>173.6</v>
      </c>
      <c r="D23" s="12">
        <v>83.1</v>
      </c>
      <c r="E23" s="10">
        <f t="shared" si="1"/>
        <v>208.9049338146811</v>
      </c>
      <c r="F23" t="s">
        <v>25</v>
      </c>
    </row>
    <row r="24" spans="1:7" x14ac:dyDescent="0.2">
      <c r="A24" s="5">
        <v>21</v>
      </c>
      <c r="B24" s="2" t="s">
        <v>93</v>
      </c>
      <c r="C24" s="7">
        <v>45.9</v>
      </c>
      <c r="D24" s="12">
        <v>85</v>
      </c>
      <c r="E24" s="10">
        <f t="shared" si="1"/>
        <v>54</v>
      </c>
      <c r="F24" t="s">
        <v>28</v>
      </c>
    </row>
    <row r="25" spans="1:7" x14ac:dyDescent="0.2">
      <c r="A25" s="5">
        <v>22</v>
      </c>
      <c r="B25" s="2" t="s">
        <v>94</v>
      </c>
      <c r="C25" s="7">
        <v>83.4</v>
      </c>
      <c r="D25" s="12">
        <v>82.2</v>
      </c>
      <c r="E25" s="10">
        <f t="shared" si="1"/>
        <v>101.45985401459853</v>
      </c>
      <c r="F25" t="s">
        <v>27</v>
      </c>
    </row>
    <row r="26" spans="1:7" x14ac:dyDescent="0.2">
      <c r="A26" s="5">
        <v>23</v>
      </c>
      <c r="B26" s="2" t="s">
        <v>95</v>
      </c>
      <c r="C26" s="7">
        <v>82</v>
      </c>
      <c r="D26" s="12">
        <v>84.3</v>
      </c>
      <c r="E26" s="10">
        <f t="shared" si="1"/>
        <v>97.271648873072365</v>
      </c>
      <c r="F26" t="s">
        <v>30</v>
      </c>
    </row>
    <row r="27" spans="1:7" x14ac:dyDescent="0.2">
      <c r="A27" s="5">
        <v>24</v>
      </c>
      <c r="B27" s="2" t="s">
        <v>96</v>
      </c>
      <c r="C27" s="7">
        <v>13.9</v>
      </c>
      <c r="D27" s="12">
        <v>70</v>
      </c>
      <c r="E27" s="10">
        <f t="shared" si="1"/>
        <v>19.857142857142858</v>
      </c>
      <c r="F27" t="s">
        <v>31</v>
      </c>
    </row>
    <row r="28" spans="1:7" x14ac:dyDescent="0.2">
      <c r="A28" s="5">
        <v>25</v>
      </c>
      <c r="B28" s="2" t="s">
        <v>97</v>
      </c>
      <c r="C28" s="7">
        <v>11.3</v>
      </c>
      <c r="D28" s="12">
        <v>83.1</v>
      </c>
      <c r="E28" s="10">
        <f t="shared" si="1"/>
        <v>13.598074608904936</v>
      </c>
      <c r="F28" t="s">
        <v>33</v>
      </c>
    </row>
    <row r="29" spans="1:7" x14ac:dyDescent="0.2">
      <c r="A29" s="5">
        <v>26</v>
      </c>
      <c r="B29" s="2" t="s">
        <v>98</v>
      </c>
      <c r="C29" s="7">
        <v>16.399999999999999</v>
      </c>
      <c r="D29" s="12">
        <v>81.5</v>
      </c>
      <c r="E29" s="10">
        <f t="shared" si="1"/>
        <v>20.122699386503069</v>
      </c>
      <c r="F29" t="s">
        <v>32</v>
      </c>
    </row>
    <row r="30" spans="1:7" x14ac:dyDescent="0.2">
      <c r="A30" s="5">
        <v>27</v>
      </c>
      <c r="B30" s="2" t="s">
        <v>99</v>
      </c>
      <c r="C30" s="7">
        <v>30.7</v>
      </c>
      <c r="D30" s="12">
        <v>87.9</v>
      </c>
      <c r="E30" s="10">
        <f t="shared" si="1"/>
        <v>34.926052332195674</v>
      </c>
      <c r="F30" t="s">
        <v>34</v>
      </c>
    </row>
    <row r="31" spans="1:7" x14ac:dyDescent="0.2">
      <c r="A31" s="5">
        <v>28</v>
      </c>
      <c r="B31" s="2" t="s">
        <v>100</v>
      </c>
      <c r="C31" s="7">
        <v>25.2</v>
      </c>
      <c r="D31" s="12">
        <v>85.7</v>
      </c>
      <c r="E31" s="10">
        <f t="shared" si="1"/>
        <v>29.404900816802801</v>
      </c>
      <c r="F31" t="s">
        <v>35</v>
      </c>
    </row>
    <row r="32" spans="1:7" x14ac:dyDescent="0.2">
      <c r="A32" s="5">
        <v>29</v>
      </c>
      <c r="B32" s="2" t="s">
        <v>101</v>
      </c>
      <c r="C32" s="7">
        <v>13</v>
      </c>
      <c r="D32" s="12">
        <v>78</v>
      </c>
      <c r="E32" s="10">
        <f t="shared" si="1"/>
        <v>16.666666666666668</v>
      </c>
      <c r="F32" t="s">
        <v>23</v>
      </c>
    </row>
    <row r="33" spans="1:6" ht="17" thickBot="1" x14ac:dyDescent="0.25">
      <c r="A33" s="6">
        <v>30</v>
      </c>
      <c r="B33" s="2" t="s">
        <v>102</v>
      </c>
      <c r="C33" s="7">
        <v>23.5</v>
      </c>
      <c r="D33" s="12">
        <v>86.1</v>
      </c>
      <c r="E33" s="10">
        <f t="shared" si="1"/>
        <v>27.293844367015097</v>
      </c>
      <c r="F33" t="s">
        <v>35</v>
      </c>
    </row>
    <row r="34" spans="1:6" x14ac:dyDescent="0.2">
      <c r="A34" s="1"/>
      <c r="B34" s="64" t="s">
        <v>118</v>
      </c>
      <c r="C34" s="67">
        <f>SUM(C3:C19)</f>
        <v>1023</v>
      </c>
      <c r="D34" s="65"/>
      <c r="E34" s="69">
        <f>SUM(E3:E19)</f>
        <v>1247.9978151352477</v>
      </c>
    </row>
    <row r="35" spans="1:6" ht="17" thickBot="1" x14ac:dyDescent="0.25">
      <c r="B35" s="63" t="s">
        <v>119</v>
      </c>
      <c r="C35" s="68">
        <f>SUM(C21:C33)</f>
        <v>945.3</v>
      </c>
      <c r="D35" s="66"/>
      <c r="E35" s="70">
        <f>SUM(E21:E33)</f>
        <v>1125.4666020513084</v>
      </c>
    </row>
    <row r="36" spans="1:6" ht="17" thickBot="1" x14ac:dyDescent="0.25"/>
    <row r="37" spans="1:6" x14ac:dyDescent="0.2">
      <c r="B37" s="136" t="s">
        <v>127</v>
      </c>
      <c r="C37" s="137"/>
      <c r="D37" s="138"/>
      <c r="E37" s="81"/>
    </row>
    <row r="38" spans="1:6" ht="17" thickBot="1" x14ac:dyDescent="0.25">
      <c r="B38" s="24" t="s">
        <v>71</v>
      </c>
      <c r="C38" s="50" t="s">
        <v>68</v>
      </c>
      <c r="D38" s="17" t="s">
        <v>69</v>
      </c>
      <c r="E38" s="82" t="s">
        <v>41</v>
      </c>
      <c r="F38" s="80"/>
    </row>
    <row r="39" spans="1:6" x14ac:dyDescent="0.2">
      <c r="B39" s="2" t="s">
        <v>109</v>
      </c>
      <c r="C39" s="7">
        <f>SUM(C3:C19,C21:C33)</f>
        <v>1968.3000000000004</v>
      </c>
      <c r="D39" s="10">
        <f>E34+E35</f>
        <v>2373.4644171865561</v>
      </c>
    </row>
    <row r="40" spans="1:6" x14ac:dyDescent="0.2">
      <c r="B40" s="2" t="s">
        <v>107</v>
      </c>
      <c r="C40" s="7">
        <v>5000</v>
      </c>
      <c r="D40" s="57"/>
      <c r="E40" t="s">
        <v>36</v>
      </c>
    </row>
    <row r="41" spans="1:6" ht="17" thickBot="1" x14ac:dyDescent="0.25">
      <c r="B41" s="2" t="s">
        <v>108</v>
      </c>
      <c r="C41" s="27">
        <f>C39/C40</f>
        <v>0.39366000000000007</v>
      </c>
      <c r="D41" s="57"/>
    </row>
    <row r="42" spans="1:6" ht="17" thickBot="1" x14ac:dyDescent="0.25">
      <c r="A42" s="52" t="s">
        <v>29</v>
      </c>
      <c r="B42" s="28" t="s">
        <v>66</v>
      </c>
      <c r="C42" s="29">
        <v>3.0000000000000001E-3</v>
      </c>
      <c r="D42" s="58"/>
      <c r="E42" t="s">
        <v>20</v>
      </c>
    </row>
    <row r="43" spans="1:6" ht="17" thickBot="1" x14ac:dyDescent="0.25">
      <c r="A43" s="2"/>
      <c r="B43" s="2" t="s">
        <v>110</v>
      </c>
      <c r="C43" s="55"/>
      <c r="D43" s="10">
        <f>E34*C42</f>
        <v>3.7439934454057431</v>
      </c>
    </row>
    <row r="44" spans="1:6" ht="17" thickBot="1" x14ac:dyDescent="0.25">
      <c r="A44" s="52" t="s">
        <v>29</v>
      </c>
      <c r="B44" s="2" t="s">
        <v>111</v>
      </c>
      <c r="C44" s="9">
        <v>0.5</v>
      </c>
      <c r="D44" s="57"/>
    </row>
    <row r="45" spans="1:6" ht="17" thickBot="1" x14ac:dyDescent="0.25">
      <c r="B45" s="2" t="s">
        <v>112</v>
      </c>
      <c r="C45" s="53"/>
      <c r="D45" s="31">
        <f>D43*C44</f>
        <v>1.8719967227028715</v>
      </c>
    </row>
    <row r="46" spans="1:6" ht="17" thickBot="1" x14ac:dyDescent="0.25">
      <c r="A46" s="52" t="s">
        <v>29</v>
      </c>
      <c r="B46" s="28" t="s">
        <v>67</v>
      </c>
      <c r="C46" s="29">
        <v>9.1999999999999998E-2</v>
      </c>
      <c r="D46" s="58"/>
      <c r="E46" t="s">
        <v>20</v>
      </c>
    </row>
    <row r="47" spans="1:6" ht="17" thickBot="1" x14ac:dyDescent="0.25">
      <c r="A47" s="2"/>
      <c r="B47" s="2" t="s">
        <v>113</v>
      </c>
      <c r="C47" s="55"/>
      <c r="D47" s="10">
        <f>C46*D39</f>
        <v>218.35872638116317</v>
      </c>
    </row>
    <row r="48" spans="1:6" ht="17" thickBot="1" x14ac:dyDescent="0.25">
      <c r="A48" s="52" t="s">
        <v>29</v>
      </c>
      <c r="B48" s="2" t="s">
        <v>114</v>
      </c>
      <c r="C48" s="9">
        <v>0.7</v>
      </c>
      <c r="D48" s="57"/>
    </row>
    <row r="49" spans="1:5" ht="17" thickBot="1" x14ac:dyDescent="0.25">
      <c r="B49" s="3" t="s">
        <v>115</v>
      </c>
      <c r="C49" s="56"/>
      <c r="D49" s="11">
        <f>C48*D47</f>
        <v>152.8511084668142</v>
      </c>
    </row>
    <row r="50" spans="1:5" ht="17" thickBot="1" x14ac:dyDescent="0.25"/>
    <row r="51" spans="1:5" ht="17" thickBot="1" x14ac:dyDescent="0.25">
      <c r="B51" s="139" t="s">
        <v>39</v>
      </c>
      <c r="C51" s="140"/>
      <c r="D51" s="141"/>
      <c r="E51" s="81"/>
    </row>
    <row r="52" spans="1:5" ht="17" thickBot="1" x14ac:dyDescent="0.25">
      <c r="B52" s="24" t="s">
        <v>70</v>
      </c>
      <c r="C52" s="16" t="s">
        <v>68</v>
      </c>
      <c r="D52" s="17" t="s">
        <v>69</v>
      </c>
      <c r="E52" s="82" t="s">
        <v>41</v>
      </c>
    </row>
    <row r="53" spans="1:5" ht="17" thickBot="1" x14ac:dyDescent="0.25">
      <c r="A53" s="62" t="s">
        <v>29</v>
      </c>
      <c r="B53" s="2" t="s">
        <v>103</v>
      </c>
      <c r="C53" s="9">
        <v>0.1</v>
      </c>
      <c r="D53" s="77"/>
    </row>
    <row r="54" spans="1:5" ht="17" thickBot="1" x14ac:dyDescent="0.25">
      <c r="A54" s="60"/>
      <c r="B54" s="2" t="s">
        <v>105</v>
      </c>
      <c r="C54" s="53"/>
      <c r="D54" s="10">
        <f>D45*C53</f>
        <v>0.18719967227028717</v>
      </c>
    </row>
    <row r="55" spans="1:5" ht="17" thickBot="1" x14ac:dyDescent="0.25">
      <c r="A55" s="62" t="s">
        <v>29</v>
      </c>
      <c r="B55" s="2" t="s">
        <v>104</v>
      </c>
      <c r="C55" s="9">
        <v>0.05</v>
      </c>
      <c r="D55" s="71"/>
    </row>
    <row r="56" spans="1:5" x14ac:dyDescent="0.2">
      <c r="A56" s="61"/>
      <c r="B56" s="2" t="s">
        <v>106</v>
      </c>
      <c r="C56" s="53"/>
      <c r="D56" s="10">
        <f>D49*C55</f>
        <v>7.6425554233407098</v>
      </c>
    </row>
    <row r="57" spans="1:5" x14ac:dyDescent="0.2">
      <c r="B57" s="2" t="s">
        <v>46</v>
      </c>
      <c r="C57" s="48"/>
      <c r="D57" s="10">
        <f>D54+D56</f>
        <v>7.8297550956109969</v>
      </c>
    </row>
    <row r="58" spans="1:5" x14ac:dyDescent="0.2">
      <c r="B58" s="28" t="s">
        <v>55</v>
      </c>
      <c r="C58" s="29">
        <v>3.1E-2</v>
      </c>
      <c r="D58" s="78"/>
      <c r="E58" t="s">
        <v>45</v>
      </c>
    </row>
    <row r="59" spans="1:5" x14ac:dyDescent="0.2">
      <c r="B59" s="30" t="s">
        <v>47</v>
      </c>
      <c r="C59" s="59"/>
      <c r="D59" s="31">
        <f>D57*(1 + C58)^(2050-2024)</f>
        <v>17.317032638232458</v>
      </c>
    </row>
    <row r="60" spans="1:5" x14ac:dyDescent="0.2">
      <c r="B60" s="2" t="s">
        <v>21</v>
      </c>
      <c r="C60" s="7">
        <v>100</v>
      </c>
      <c r="D60" s="79"/>
    </row>
    <row r="61" spans="1:5" x14ac:dyDescent="0.2">
      <c r="B61" s="2" t="s">
        <v>38</v>
      </c>
      <c r="C61" s="9">
        <v>0.7</v>
      </c>
      <c r="D61" s="57"/>
    </row>
    <row r="62" spans="1:5" ht="17" thickBot="1" x14ac:dyDescent="0.25">
      <c r="B62" s="2" t="s">
        <v>57</v>
      </c>
      <c r="C62" s="48"/>
      <c r="D62" s="35">
        <f>D59*100000/(C60*C61)</f>
        <v>24738.618054617797</v>
      </c>
    </row>
    <row r="63" spans="1:5" ht="17" thickBot="1" x14ac:dyDescent="0.25">
      <c r="B63" s="18" t="s">
        <v>72</v>
      </c>
      <c r="C63" s="51" t="s">
        <v>68</v>
      </c>
      <c r="D63" s="49" t="s">
        <v>69</v>
      </c>
    </row>
    <row r="64" spans="1:5" ht="17" thickBot="1" x14ac:dyDescent="0.25">
      <c r="B64" s="2" t="s">
        <v>48</v>
      </c>
      <c r="C64" s="12">
        <v>132</v>
      </c>
      <c r="D64" s="71"/>
      <c r="E64" s="149" t="s">
        <v>52</v>
      </c>
    </row>
    <row r="65" spans="1:5" ht="17" thickBot="1" x14ac:dyDescent="0.25">
      <c r="A65" s="21" t="s">
        <v>29</v>
      </c>
      <c r="B65" s="2" t="s">
        <v>194</v>
      </c>
      <c r="C65" s="34">
        <f>(170-132)/132</f>
        <v>0.2878787878787879</v>
      </c>
      <c r="D65" s="71"/>
      <c r="E65" s="149" t="s">
        <v>49</v>
      </c>
    </row>
    <row r="66" spans="1:5" ht="17" thickBot="1" x14ac:dyDescent="0.25">
      <c r="B66" s="30" t="s">
        <v>50</v>
      </c>
      <c r="C66" s="59"/>
      <c r="D66" s="38">
        <f>C64*(1+C65)^(2050-2024)</f>
        <v>94912.557434043076</v>
      </c>
    </row>
    <row r="67" spans="1:5" ht="17" thickBot="1" x14ac:dyDescent="0.25">
      <c r="A67" s="21" t="s">
        <v>29</v>
      </c>
      <c r="B67" s="2" t="s">
        <v>53</v>
      </c>
      <c r="C67" s="39">
        <v>0.5</v>
      </c>
      <c r="D67" s="54"/>
    </row>
    <row r="68" spans="1:5" ht="17" thickBot="1" x14ac:dyDescent="0.25">
      <c r="B68" s="3" t="s">
        <v>54</v>
      </c>
      <c r="C68" s="44"/>
      <c r="D68" s="37">
        <f>D66*C67</f>
        <v>47456.278717021538</v>
      </c>
    </row>
    <row r="69" spans="1:5" ht="17" thickBot="1" x14ac:dyDescent="0.25"/>
    <row r="70" spans="1:5" ht="17" thickBot="1" x14ac:dyDescent="0.25">
      <c r="B70" s="139" t="s">
        <v>195</v>
      </c>
      <c r="C70" s="140"/>
      <c r="D70" s="141"/>
      <c r="E70" s="81"/>
    </row>
    <row r="71" spans="1:5" ht="17" thickBot="1" x14ac:dyDescent="0.25">
      <c r="B71" s="24" t="s">
        <v>125</v>
      </c>
      <c r="C71" s="50" t="s">
        <v>68</v>
      </c>
      <c r="D71" s="17" t="s">
        <v>69</v>
      </c>
      <c r="E71" s="82" t="s">
        <v>41</v>
      </c>
    </row>
    <row r="72" spans="1:5" x14ac:dyDescent="0.2">
      <c r="B72" s="2" t="s">
        <v>64</v>
      </c>
      <c r="C72" s="43"/>
      <c r="D72" s="10">
        <f>D59/C83</f>
        <v>1.1544688425488305</v>
      </c>
    </row>
    <row r="73" spans="1:5" ht="17" thickBot="1" x14ac:dyDescent="0.25">
      <c r="B73" s="2" t="s">
        <v>65</v>
      </c>
      <c r="C73" s="46"/>
      <c r="D73" s="35">
        <f>D72*1000000/365</f>
        <v>3162.9283357502204</v>
      </c>
    </row>
    <row r="74" spans="1:5" ht="17" thickBot="1" x14ac:dyDescent="0.25">
      <c r="A74" s="21" t="s">
        <v>29</v>
      </c>
      <c r="B74" s="2" t="s">
        <v>121</v>
      </c>
      <c r="C74" s="34">
        <v>0.8</v>
      </c>
      <c r="D74" s="72"/>
    </row>
    <row r="75" spans="1:5" x14ac:dyDescent="0.2">
      <c r="B75" s="2" t="s">
        <v>120</v>
      </c>
      <c r="C75" s="12">
        <v>76</v>
      </c>
      <c r="D75" s="72"/>
      <c r="E75" t="s">
        <v>128</v>
      </c>
    </row>
    <row r="76" spans="1:5" x14ac:dyDescent="0.2">
      <c r="B76" s="2" t="s">
        <v>122</v>
      </c>
      <c r="C76" s="46"/>
      <c r="D76" s="35">
        <f>(D73*C74)/C75</f>
        <v>33.293982481581274</v>
      </c>
    </row>
    <row r="77" spans="1:5" ht="17" thickBot="1" x14ac:dyDescent="0.25">
      <c r="B77" s="2" t="s">
        <v>130</v>
      </c>
      <c r="C77" s="46"/>
      <c r="D77" s="35">
        <f>D76*2/24</f>
        <v>2.774498540131773</v>
      </c>
    </row>
    <row r="78" spans="1:5" ht="17" thickBot="1" x14ac:dyDescent="0.25">
      <c r="A78" s="21" t="s">
        <v>29</v>
      </c>
      <c r="B78" s="2" t="s">
        <v>123</v>
      </c>
      <c r="C78" s="83">
        <f>'Airport Sizing'!B37</f>
        <v>35.134651125785808</v>
      </c>
      <c r="D78" s="72"/>
    </row>
    <row r="79" spans="1:5" x14ac:dyDescent="0.2">
      <c r="A79" s="61"/>
      <c r="B79" s="2" t="s">
        <v>129</v>
      </c>
      <c r="C79" s="48"/>
      <c r="D79" s="35">
        <f>C78*C75*24</f>
        <v>64085.603653433311</v>
      </c>
    </row>
    <row r="80" spans="1:5" ht="17" thickBot="1" x14ac:dyDescent="0.25">
      <c r="A80" s="61"/>
      <c r="B80" s="2" t="s">
        <v>124</v>
      </c>
      <c r="C80" s="44"/>
      <c r="D80" s="75">
        <f>D77/C78</f>
        <v>7.8967584741307703E-2</v>
      </c>
    </row>
    <row r="81" spans="1:4" ht="17" thickBot="1" x14ac:dyDescent="0.25">
      <c r="A81" s="61"/>
      <c r="B81" s="74" t="s">
        <v>126</v>
      </c>
      <c r="C81" s="50" t="s">
        <v>68</v>
      </c>
      <c r="D81" s="17" t="s">
        <v>69</v>
      </c>
    </row>
    <row r="82" spans="1:4" ht="17" thickBot="1" x14ac:dyDescent="0.25">
      <c r="B82" s="42" t="s">
        <v>51</v>
      </c>
      <c r="C82" s="47"/>
      <c r="D82" s="85">
        <f>D62+D68</f>
        <v>72194.896771639338</v>
      </c>
    </row>
    <row r="83" spans="1:4" ht="17" thickBot="1" x14ac:dyDescent="0.25">
      <c r="A83" s="21" t="s">
        <v>29</v>
      </c>
      <c r="B83" s="2" t="s">
        <v>58</v>
      </c>
      <c r="C83" s="7">
        <v>15</v>
      </c>
      <c r="D83" s="57"/>
    </row>
    <row r="84" spans="1:4" x14ac:dyDescent="0.2">
      <c r="B84" s="28" t="s">
        <v>59</v>
      </c>
      <c r="C84" s="73"/>
      <c r="D84" s="36">
        <f>D62/C83</f>
        <v>1649.2412036411865</v>
      </c>
    </row>
    <row r="85" spans="1:4" x14ac:dyDescent="0.2">
      <c r="B85" s="2" t="s">
        <v>60</v>
      </c>
      <c r="C85" s="46"/>
      <c r="D85" s="35">
        <f>D84/365</f>
        <v>4.5184690510717438</v>
      </c>
    </row>
    <row r="86" spans="1:4" x14ac:dyDescent="0.2">
      <c r="B86" s="40" t="s">
        <v>61</v>
      </c>
      <c r="C86" s="76"/>
      <c r="D86" s="36">
        <f>D68/C83</f>
        <v>3163.7519144681023</v>
      </c>
    </row>
    <row r="87" spans="1:4" x14ac:dyDescent="0.2">
      <c r="B87" s="41" t="s">
        <v>62</v>
      </c>
      <c r="C87" s="45"/>
      <c r="D87" s="35">
        <f>D86/365</f>
        <v>8.6678134642961702</v>
      </c>
    </row>
    <row r="88" spans="1:4" ht="17" thickBot="1" x14ac:dyDescent="0.25">
      <c r="B88" s="28" t="s">
        <v>56</v>
      </c>
      <c r="C88" s="73"/>
      <c r="D88" s="36">
        <f>D87+D85</f>
        <v>13.186282515367914</v>
      </c>
    </row>
    <row r="89" spans="1:4" x14ac:dyDescent="0.2">
      <c r="A89" s="19" t="s">
        <v>29</v>
      </c>
      <c r="B89" s="2" t="s">
        <v>42</v>
      </c>
      <c r="C89" s="83">
        <v>0.5</v>
      </c>
      <c r="D89" s="32">
        <v>5</v>
      </c>
    </row>
    <row r="90" spans="1:4" x14ac:dyDescent="0.2">
      <c r="A90" s="33" t="s">
        <v>29</v>
      </c>
      <c r="B90" s="2" t="s">
        <v>43</v>
      </c>
      <c r="C90" s="7">
        <f>24*C89</f>
        <v>12</v>
      </c>
      <c r="D90" s="57"/>
    </row>
    <row r="91" spans="1:4" ht="17" thickBot="1" x14ac:dyDescent="0.25">
      <c r="A91" s="20" t="s">
        <v>29</v>
      </c>
      <c r="B91" s="2" t="s">
        <v>44</v>
      </c>
      <c r="C91" s="7">
        <v>4</v>
      </c>
      <c r="D91" s="57"/>
    </row>
    <row r="92" spans="1:4" x14ac:dyDescent="0.2">
      <c r="B92" s="2" t="s">
        <v>37</v>
      </c>
      <c r="C92" s="48"/>
      <c r="D92" s="32">
        <f>C90*C91</f>
        <v>48</v>
      </c>
    </row>
    <row r="93" spans="1:4" ht="17" thickBot="1" x14ac:dyDescent="0.25">
      <c r="B93" s="3" t="s">
        <v>63</v>
      </c>
      <c r="C93" s="84"/>
      <c r="D93" s="75">
        <f>D88/D92</f>
        <v>0.27471421907016486</v>
      </c>
    </row>
  </sheetData>
  <mergeCells count="6">
    <mergeCell ref="B1:E1"/>
    <mergeCell ref="B70:D70"/>
    <mergeCell ref="F2:G2"/>
    <mergeCell ref="F20:G20"/>
    <mergeCell ref="B37:D37"/>
    <mergeCell ref="B51:D51"/>
  </mergeCells>
  <hyperlinks>
    <hyperlink ref="E65" r:id="rId1" xr:uid="{41A49BF4-145F-4B46-A66F-AFE14F4D7949}"/>
    <hyperlink ref="E64" r:id="rId2" xr:uid="{9113DC36-DCB9-DE4E-86F2-3DF75D62792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CF6DA-9115-4644-9111-FD472D97ACFE}">
  <dimension ref="A1:O49"/>
  <sheetViews>
    <sheetView zoomScale="75" workbookViewId="0">
      <selection activeCell="E37" sqref="E37"/>
    </sheetView>
  </sheetViews>
  <sheetFormatPr baseColWidth="10" defaultRowHeight="16" x14ac:dyDescent="0.2"/>
  <cols>
    <col min="1" max="1" width="39.33203125" style="1" customWidth="1"/>
    <col min="2" max="2" width="19.1640625" style="1" customWidth="1"/>
    <col min="3" max="3" width="30.83203125" style="1" customWidth="1"/>
    <col min="4" max="4" width="28.1640625" style="1" customWidth="1"/>
    <col min="5" max="5" width="12.6640625" style="1" customWidth="1"/>
    <col min="6" max="6" width="17.83203125" style="1" customWidth="1"/>
    <col min="7" max="7" width="22" style="1" customWidth="1"/>
    <col min="8" max="8" width="32.1640625" style="1" customWidth="1"/>
    <col min="9" max="9" width="23.6640625" style="1" customWidth="1"/>
    <col min="10" max="10" width="37.5" style="1" customWidth="1"/>
    <col min="11" max="11" width="30.1640625" style="1" customWidth="1"/>
    <col min="12" max="12" width="41.33203125" style="1" customWidth="1"/>
    <col min="13" max="13" width="35.1640625" style="1" customWidth="1"/>
    <col min="14" max="14" width="23.83203125" style="1" customWidth="1"/>
    <col min="15" max="15" width="21.1640625" style="1" customWidth="1"/>
    <col min="16" max="16384" width="10.83203125" style="1"/>
  </cols>
  <sheetData>
    <row r="1" spans="1:15" x14ac:dyDescent="0.2">
      <c r="A1" s="144" t="s">
        <v>150</v>
      </c>
      <c r="B1" s="145"/>
      <c r="C1" s="145"/>
      <c r="D1" s="145"/>
      <c r="E1" s="145"/>
      <c r="F1" s="145"/>
      <c r="G1" s="145"/>
      <c r="H1" s="145"/>
      <c r="I1" s="146"/>
      <c r="J1" s="144" t="s">
        <v>151</v>
      </c>
      <c r="K1" s="145"/>
      <c r="L1" s="145"/>
      <c r="M1" s="144" t="s">
        <v>152</v>
      </c>
      <c r="N1" s="146"/>
      <c r="O1" s="95" t="s">
        <v>159</v>
      </c>
    </row>
    <row r="2" spans="1:15" ht="17" thickBot="1" x14ac:dyDescent="0.25">
      <c r="A2" s="96" t="s">
        <v>145</v>
      </c>
      <c r="B2" s="100" t="s">
        <v>135</v>
      </c>
      <c r="C2" s="97" t="s">
        <v>137</v>
      </c>
      <c r="D2" s="97" t="s">
        <v>149</v>
      </c>
      <c r="E2" s="97" t="s">
        <v>142</v>
      </c>
      <c r="F2" s="97" t="s">
        <v>147</v>
      </c>
      <c r="G2" s="97" t="s">
        <v>134</v>
      </c>
      <c r="H2" s="97" t="s">
        <v>148</v>
      </c>
      <c r="I2" s="98" t="s">
        <v>164</v>
      </c>
      <c r="J2" s="96" t="s">
        <v>183</v>
      </c>
      <c r="K2" s="97" t="s">
        <v>186</v>
      </c>
      <c r="L2" s="97" t="s">
        <v>187</v>
      </c>
      <c r="M2" s="96" t="s">
        <v>188</v>
      </c>
      <c r="N2" s="98" t="s">
        <v>189</v>
      </c>
      <c r="O2" s="98" t="s">
        <v>160</v>
      </c>
    </row>
    <row r="3" spans="1:15" x14ac:dyDescent="0.2">
      <c r="A3" s="86" t="s">
        <v>133</v>
      </c>
      <c r="B3" s="7" t="s">
        <v>144</v>
      </c>
      <c r="C3" s="1" t="s">
        <v>146</v>
      </c>
      <c r="D3" s="1">
        <v>2800</v>
      </c>
      <c r="E3" s="1">
        <v>60</v>
      </c>
      <c r="F3" s="1">
        <v>63</v>
      </c>
      <c r="G3" s="1">
        <v>250</v>
      </c>
      <c r="H3" s="1">
        <v>60</v>
      </c>
      <c r="I3" s="87">
        <v>140</v>
      </c>
      <c r="J3" s="86">
        <v>63</v>
      </c>
      <c r="K3" s="1">
        <v>37</v>
      </c>
      <c r="L3" s="1">
        <v>176</v>
      </c>
      <c r="M3" s="86">
        <v>23</v>
      </c>
      <c r="N3" s="87">
        <v>45</v>
      </c>
      <c r="O3" s="87">
        <v>6.5</v>
      </c>
    </row>
    <row r="4" spans="1:15" x14ac:dyDescent="0.2">
      <c r="A4" s="86" t="s">
        <v>132</v>
      </c>
      <c r="B4" s="7" t="s">
        <v>136</v>
      </c>
      <c r="C4" s="1" t="s">
        <v>143</v>
      </c>
      <c r="D4" s="1">
        <v>2210</v>
      </c>
      <c r="E4" s="1">
        <v>35.799999999999997</v>
      </c>
      <c r="F4" s="1">
        <v>44.5</v>
      </c>
      <c r="G4" s="1">
        <v>200</v>
      </c>
      <c r="H4" s="1">
        <v>50</v>
      </c>
      <c r="I4" s="87">
        <v>140</v>
      </c>
      <c r="J4" s="86">
        <v>44</v>
      </c>
      <c r="K4" s="1">
        <v>26</v>
      </c>
      <c r="L4" s="1">
        <v>168</v>
      </c>
      <c r="M4" s="86">
        <v>18</v>
      </c>
      <c r="N4" s="87">
        <v>45</v>
      </c>
      <c r="O4" s="87">
        <v>5</v>
      </c>
    </row>
    <row r="5" spans="1:15" x14ac:dyDescent="0.2">
      <c r="A5" s="86" t="s">
        <v>139</v>
      </c>
      <c r="B5" s="7" t="s">
        <v>138</v>
      </c>
      <c r="C5" s="1" t="s">
        <v>143</v>
      </c>
      <c r="D5" s="1">
        <v>2244</v>
      </c>
      <c r="E5" s="1">
        <v>28.65</v>
      </c>
      <c r="F5" s="1">
        <v>31.7</v>
      </c>
      <c r="G5" s="1">
        <v>76</v>
      </c>
      <c r="H5" s="1">
        <v>45</v>
      </c>
      <c r="I5" s="87">
        <v>120</v>
      </c>
      <c r="J5" s="86">
        <v>44</v>
      </c>
      <c r="K5" s="1">
        <v>26</v>
      </c>
      <c r="L5" s="1">
        <v>168</v>
      </c>
      <c r="M5" s="86">
        <v>18</v>
      </c>
      <c r="N5" s="87">
        <v>45</v>
      </c>
      <c r="O5" s="87">
        <v>5</v>
      </c>
    </row>
    <row r="6" spans="1:15" x14ac:dyDescent="0.2">
      <c r="A6" s="86" t="s">
        <v>131</v>
      </c>
      <c r="B6" s="101" t="s">
        <v>140</v>
      </c>
      <c r="C6" s="1" t="s">
        <v>141</v>
      </c>
      <c r="D6" s="1">
        <v>1292</v>
      </c>
      <c r="E6" s="1">
        <v>13.4</v>
      </c>
      <c r="F6" s="1">
        <v>16.8</v>
      </c>
      <c r="G6" s="1">
        <v>8</v>
      </c>
      <c r="H6" s="1">
        <v>40</v>
      </c>
      <c r="I6" s="87">
        <v>90</v>
      </c>
      <c r="J6" s="86">
        <v>23</v>
      </c>
      <c r="K6" s="1">
        <v>15.5</v>
      </c>
      <c r="L6" s="1">
        <v>157.5</v>
      </c>
      <c r="M6" s="86">
        <v>7.5</v>
      </c>
      <c r="N6" s="87">
        <v>30</v>
      </c>
      <c r="O6" s="87">
        <v>6.5</v>
      </c>
    </row>
    <row r="7" spans="1:15" ht="17" thickBot="1" x14ac:dyDescent="0.25">
      <c r="A7" s="91" t="s">
        <v>154</v>
      </c>
      <c r="B7" s="108"/>
      <c r="C7" s="92" t="s">
        <v>162</v>
      </c>
      <c r="D7" s="92" t="s">
        <v>163</v>
      </c>
      <c r="E7" s="92" t="s">
        <v>163</v>
      </c>
      <c r="F7" s="92" t="s">
        <v>163</v>
      </c>
      <c r="G7" s="92" t="s">
        <v>163</v>
      </c>
      <c r="H7" s="92" t="s">
        <v>29</v>
      </c>
      <c r="I7" s="93" t="s">
        <v>163</v>
      </c>
      <c r="J7" s="147" t="s">
        <v>155</v>
      </c>
      <c r="K7" s="148"/>
      <c r="L7" s="92" t="s">
        <v>156</v>
      </c>
      <c r="M7" s="91" t="s">
        <v>157</v>
      </c>
      <c r="N7" s="94" t="s">
        <v>158</v>
      </c>
      <c r="O7" s="93" t="s">
        <v>161</v>
      </c>
    </row>
    <row r="8" spans="1:15" ht="17" thickBot="1" x14ac:dyDescent="0.25"/>
    <row r="9" spans="1:15" ht="17" thickBot="1" x14ac:dyDescent="0.25">
      <c r="A9" s="103" t="s">
        <v>185</v>
      </c>
      <c r="B9" s="104" t="s">
        <v>144</v>
      </c>
      <c r="C9" s="105" t="s">
        <v>146</v>
      </c>
      <c r="D9" s="105">
        <v>3000</v>
      </c>
      <c r="E9" s="105">
        <v>60</v>
      </c>
      <c r="F9" s="105">
        <v>63</v>
      </c>
      <c r="G9" s="105">
        <v>250</v>
      </c>
      <c r="H9" s="105">
        <v>60</v>
      </c>
      <c r="I9" s="105">
        <v>140</v>
      </c>
      <c r="J9" s="106">
        <v>65</v>
      </c>
      <c r="K9" s="105">
        <v>40</v>
      </c>
      <c r="L9" s="105">
        <v>180</v>
      </c>
      <c r="M9" s="106">
        <v>25</v>
      </c>
      <c r="N9" s="107">
        <v>50</v>
      </c>
      <c r="O9" s="107">
        <v>6.5</v>
      </c>
    </row>
    <row r="10" spans="1:15" ht="17" thickBot="1" x14ac:dyDescent="0.25"/>
    <row r="11" spans="1:15" ht="17" thickBot="1" x14ac:dyDescent="0.25">
      <c r="A11" s="144" t="s">
        <v>200</v>
      </c>
      <c r="B11" s="145"/>
      <c r="C11" s="145"/>
      <c r="D11" s="145"/>
      <c r="E11" s="146"/>
      <c r="H11" s="144" t="s">
        <v>196</v>
      </c>
      <c r="I11" s="145"/>
      <c r="J11" s="145"/>
      <c r="K11" s="145"/>
      <c r="L11" s="146"/>
      <c r="M11"/>
    </row>
    <row r="12" spans="1:15" ht="17" thickBot="1" x14ac:dyDescent="0.25">
      <c r="A12" s="96" t="s">
        <v>145</v>
      </c>
      <c r="B12" s="100" t="s">
        <v>133</v>
      </c>
      <c r="C12" s="97" t="s">
        <v>132</v>
      </c>
      <c r="D12" s="97" t="s">
        <v>139</v>
      </c>
      <c r="E12" s="98" t="s">
        <v>131</v>
      </c>
      <c r="F12" s="102" t="s">
        <v>167</v>
      </c>
      <c r="H12" s="96" t="s">
        <v>165</v>
      </c>
      <c r="I12" s="100">
        <f>I3</f>
        <v>140</v>
      </c>
      <c r="J12" s="97">
        <f>I4</f>
        <v>140</v>
      </c>
      <c r="K12" s="97">
        <f>I5</f>
        <v>120</v>
      </c>
      <c r="L12" s="98">
        <f>I6</f>
        <v>90</v>
      </c>
      <c r="M12" s="102" t="s">
        <v>167</v>
      </c>
    </row>
    <row r="13" spans="1:15" x14ac:dyDescent="0.2">
      <c r="A13" s="86" t="s">
        <v>133</v>
      </c>
      <c r="B13" s="7">
        <v>4</v>
      </c>
      <c r="C13" s="1">
        <v>5</v>
      </c>
      <c r="D13" s="1">
        <v>5.5</v>
      </c>
      <c r="E13" s="87">
        <v>6</v>
      </c>
      <c r="H13" s="86">
        <f>I3</f>
        <v>140</v>
      </c>
      <c r="I13" s="83">
        <f>IF($H13&gt;I$12,MAX(3600*((5+B13)/I$12 - 5/$H13), $H3), MAX(3600*B13/I$12, $H3))</f>
        <v>102.85714285714286</v>
      </c>
      <c r="J13" s="111">
        <f t="shared" ref="J13:L13" si="0">IF($H13&gt;J$12,MAX(3600*((5+C13)/J$12 - 5/$H13), $H3), MAX(3600*C13/J$12, $H3))</f>
        <v>128.57142857142858</v>
      </c>
      <c r="K13" s="111">
        <f t="shared" si="0"/>
        <v>186.42857142857142</v>
      </c>
      <c r="L13" s="112">
        <f t="shared" si="0"/>
        <v>311.42857142857144</v>
      </c>
    </row>
    <row r="14" spans="1:15" x14ac:dyDescent="0.2">
      <c r="A14" s="86" t="s">
        <v>132</v>
      </c>
      <c r="B14" s="7">
        <v>3</v>
      </c>
      <c r="C14" s="1">
        <v>3</v>
      </c>
      <c r="D14" s="1">
        <v>4</v>
      </c>
      <c r="E14" s="87">
        <v>5</v>
      </c>
      <c r="H14" s="86">
        <f>I4</f>
        <v>140</v>
      </c>
      <c r="I14" s="83">
        <f t="shared" ref="I14:I16" si="1">IF($H14&gt;I$12,MAX(3600*((5+B14)/I$12 - 5/$H14), $H4), MAX(3600*B14/I$12, $H4))</f>
        <v>77.142857142857139</v>
      </c>
      <c r="J14" s="111">
        <f t="shared" ref="J14:J16" si="2">IF($H14&gt;J$12,MAX(3600*((5+C14)/J$12 - 5/$H14), $H4), MAX(3600*C14/J$12, $H4))</f>
        <v>77.142857142857139</v>
      </c>
      <c r="K14" s="111">
        <f t="shared" ref="K14:K16" si="3">IF($H14&gt;K$12,MAX(3600*((5+D14)/K$12 - 5/$H14), $H4), MAX(3600*D14/K$12, $H4))</f>
        <v>141.42857142857142</v>
      </c>
      <c r="L14" s="112">
        <f t="shared" ref="L14:L16" si="4">IF($H14&gt;L$12,MAX(3600*((5+E14)/L$12 - 5/$H14), $H4), MAX(3600*E14/L$12, $H4))</f>
        <v>271.42857142857139</v>
      </c>
    </row>
    <row r="15" spans="1:15" x14ac:dyDescent="0.2">
      <c r="A15" s="86" t="s">
        <v>139</v>
      </c>
      <c r="B15" s="7">
        <v>3</v>
      </c>
      <c r="C15" s="1">
        <v>3</v>
      </c>
      <c r="D15" s="1">
        <v>3.5</v>
      </c>
      <c r="E15" s="87">
        <v>4</v>
      </c>
      <c r="H15" s="86">
        <f>I5</f>
        <v>120</v>
      </c>
      <c r="I15" s="83">
        <f t="shared" si="1"/>
        <v>77.142857142857139</v>
      </c>
      <c r="J15" s="111">
        <f t="shared" si="2"/>
        <v>77.142857142857139</v>
      </c>
      <c r="K15" s="111">
        <f t="shared" si="3"/>
        <v>105</v>
      </c>
      <c r="L15" s="112">
        <f t="shared" si="4"/>
        <v>210.00000000000003</v>
      </c>
    </row>
    <row r="16" spans="1:15" ht="17" thickBot="1" x14ac:dyDescent="0.25">
      <c r="A16" s="88" t="s">
        <v>131</v>
      </c>
      <c r="B16" s="8">
        <v>3</v>
      </c>
      <c r="C16" s="89">
        <v>3</v>
      </c>
      <c r="D16" s="89">
        <v>3</v>
      </c>
      <c r="E16" s="90">
        <v>3</v>
      </c>
      <c r="H16" s="88">
        <f>I6</f>
        <v>90</v>
      </c>
      <c r="I16" s="115">
        <f t="shared" si="1"/>
        <v>77.142857142857139</v>
      </c>
      <c r="J16" s="113">
        <f t="shared" si="2"/>
        <v>77.142857142857139</v>
      </c>
      <c r="K16" s="113">
        <f t="shared" si="3"/>
        <v>90</v>
      </c>
      <c r="L16" s="114">
        <f t="shared" si="4"/>
        <v>120</v>
      </c>
    </row>
    <row r="17" spans="1:13" ht="17" thickBot="1" x14ac:dyDescent="0.25">
      <c r="A17" s="102" t="s">
        <v>166</v>
      </c>
      <c r="E17" s="102" t="s">
        <v>29</v>
      </c>
      <c r="H17" s="102" t="s">
        <v>166</v>
      </c>
    </row>
    <row r="18" spans="1:13" ht="17" thickBot="1" x14ac:dyDescent="0.25"/>
    <row r="19" spans="1:13" ht="17" thickBot="1" x14ac:dyDescent="0.25">
      <c r="A19" s="144" t="s">
        <v>201</v>
      </c>
      <c r="B19" s="145"/>
      <c r="C19" s="145"/>
      <c r="D19" s="145"/>
      <c r="E19" s="146"/>
      <c r="H19" s="144" t="s">
        <v>197</v>
      </c>
      <c r="I19" s="145"/>
      <c r="J19" s="145"/>
      <c r="K19" s="145"/>
      <c r="L19" s="146"/>
      <c r="M19"/>
    </row>
    <row r="20" spans="1:13" ht="17" thickBot="1" x14ac:dyDescent="0.25">
      <c r="A20" s="96" t="s">
        <v>145</v>
      </c>
      <c r="B20" s="100" t="s">
        <v>133</v>
      </c>
      <c r="C20" s="97" t="s">
        <v>132</v>
      </c>
      <c r="D20" s="97" t="s">
        <v>139</v>
      </c>
      <c r="E20" s="98" t="s">
        <v>131</v>
      </c>
      <c r="F20" s="102" t="s">
        <v>167</v>
      </c>
      <c r="H20" s="96" t="s">
        <v>145</v>
      </c>
      <c r="I20" s="100" t="s">
        <v>133</v>
      </c>
      <c r="J20" s="97" t="s">
        <v>132</v>
      </c>
      <c r="K20" s="97" t="s">
        <v>139</v>
      </c>
      <c r="L20" s="98" t="s">
        <v>131</v>
      </c>
      <c r="M20" s="107" t="s">
        <v>167</v>
      </c>
    </row>
    <row r="21" spans="1:13" x14ac:dyDescent="0.2">
      <c r="A21" s="86" t="s">
        <v>133</v>
      </c>
      <c r="B21" s="7">
        <v>90</v>
      </c>
      <c r="C21" s="1">
        <v>120</v>
      </c>
      <c r="D21" s="1">
        <v>120</v>
      </c>
      <c r="E21" s="87">
        <v>120</v>
      </c>
      <c r="H21" s="86" t="s">
        <v>133</v>
      </c>
      <c r="I21" s="120">
        <f>B28*B28</f>
        <v>2.5000000000000005E-3</v>
      </c>
      <c r="J21" s="121">
        <f>B29*B28</f>
        <v>7.4999999999999997E-3</v>
      </c>
      <c r="K21" s="121">
        <f>B30*B28</f>
        <v>3.4999999999999996E-2</v>
      </c>
      <c r="L21" s="122">
        <f>B31*B28</f>
        <v>5.000000000000001E-3</v>
      </c>
    </row>
    <row r="22" spans="1:13" x14ac:dyDescent="0.2">
      <c r="A22" s="86" t="s">
        <v>132</v>
      </c>
      <c r="B22" s="7">
        <v>90</v>
      </c>
      <c r="C22" s="1">
        <v>90</v>
      </c>
      <c r="D22" s="1">
        <v>90</v>
      </c>
      <c r="E22" s="87">
        <v>90</v>
      </c>
      <c r="H22" s="86" t="s">
        <v>132</v>
      </c>
      <c r="I22" s="120">
        <f>B28*B29</f>
        <v>7.4999999999999997E-3</v>
      </c>
      <c r="J22" s="121">
        <f>B29*B29</f>
        <v>2.2499999999999999E-2</v>
      </c>
      <c r="K22" s="121">
        <f>B30*B29</f>
        <v>0.105</v>
      </c>
      <c r="L22" s="122">
        <f>B31*B29</f>
        <v>1.4999999999999999E-2</v>
      </c>
    </row>
    <row r="23" spans="1:13" x14ac:dyDescent="0.2">
      <c r="A23" s="86" t="s">
        <v>139</v>
      </c>
      <c r="B23" s="7">
        <v>90</v>
      </c>
      <c r="C23" s="1">
        <v>90</v>
      </c>
      <c r="D23" s="1">
        <v>90</v>
      </c>
      <c r="E23" s="87">
        <v>90</v>
      </c>
      <c r="H23" s="86" t="s">
        <v>139</v>
      </c>
      <c r="I23" s="120">
        <f>B30*B28</f>
        <v>3.4999999999999996E-2</v>
      </c>
      <c r="J23" s="121">
        <f>B29*B30</f>
        <v>0.105</v>
      </c>
      <c r="K23" s="121">
        <f>B30*B30</f>
        <v>0.48999999999999994</v>
      </c>
      <c r="L23" s="122">
        <f>B31*B30</f>
        <v>6.9999999999999993E-2</v>
      </c>
    </row>
    <row r="24" spans="1:13" ht="17" thickBot="1" x14ac:dyDescent="0.25">
      <c r="A24" s="88" t="s">
        <v>131</v>
      </c>
      <c r="B24" s="8">
        <v>90</v>
      </c>
      <c r="C24" s="89">
        <v>90</v>
      </c>
      <c r="D24" s="89">
        <v>90</v>
      </c>
      <c r="E24" s="90">
        <v>90</v>
      </c>
      <c r="H24" s="88" t="s">
        <v>131</v>
      </c>
      <c r="I24" s="123">
        <f>B31*B28</f>
        <v>5.000000000000001E-3</v>
      </c>
      <c r="J24" s="124">
        <f>B29*B31</f>
        <v>1.4999999999999999E-2</v>
      </c>
      <c r="K24" s="124">
        <f>B30*B31</f>
        <v>6.9999999999999993E-2</v>
      </c>
      <c r="L24" s="125">
        <f>B31*B31</f>
        <v>1.0000000000000002E-2</v>
      </c>
    </row>
    <row r="25" spans="1:13" ht="17" thickBot="1" x14ac:dyDescent="0.25">
      <c r="A25" s="102" t="s">
        <v>166</v>
      </c>
      <c r="E25" s="102" t="s">
        <v>29</v>
      </c>
      <c r="H25" s="116" t="s">
        <v>166</v>
      </c>
    </row>
    <row r="26" spans="1:13" ht="17" thickBot="1" x14ac:dyDescent="0.25"/>
    <row r="27" spans="1:13" ht="17" thickBot="1" x14ac:dyDescent="0.25">
      <c r="A27" s="18" t="s">
        <v>145</v>
      </c>
      <c r="B27" s="49" t="s">
        <v>153</v>
      </c>
      <c r="H27" s="144" t="s">
        <v>198</v>
      </c>
      <c r="I27" s="145"/>
      <c r="J27" s="145"/>
      <c r="K27" s="145"/>
      <c r="L27" s="146"/>
    </row>
    <row r="28" spans="1:13" ht="17" thickBot="1" x14ac:dyDescent="0.25">
      <c r="A28" s="86" t="s">
        <v>133</v>
      </c>
      <c r="B28" s="109">
        <v>0.05</v>
      </c>
      <c r="H28" s="117" t="s">
        <v>145</v>
      </c>
      <c r="I28" s="126" t="s">
        <v>133</v>
      </c>
      <c r="J28" s="127" t="s">
        <v>132</v>
      </c>
      <c r="K28" s="127" t="s">
        <v>139</v>
      </c>
      <c r="L28" s="128" t="s">
        <v>131</v>
      </c>
      <c r="M28" s="107" t="s">
        <v>167</v>
      </c>
    </row>
    <row r="29" spans="1:13" x14ac:dyDescent="0.2">
      <c r="A29" s="86" t="s">
        <v>132</v>
      </c>
      <c r="B29" s="109">
        <v>0.15</v>
      </c>
      <c r="H29" s="99" t="s">
        <v>133</v>
      </c>
      <c r="I29" s="129">
        <f>I21*I13</f>
        <v>0.25714285714285723</v>
      </c>
      <c r="J29" s="118">
        <f t="shared" ref="J29:L29" si="5">J21*J13</f>
        <v>0.9642857142857143</v>
      </c>
      <c r="K29" s="118">
        <f t="shared" si="5"/>
        <v>6.5249999999999986</v>
      </c>
      <c r="L29" s="119">
        <f t="shared" si="5"/>
        <v>1.5571428571428576</v>
      </c>
    </row>
    <row r="30" spans="1:13" x14ac:dyDescent="0.2">
      <c r="A30" s="86" t="s">
        <v>139</v>
      </c>
      <c r="B30" s="109">
        <v>0.7</v>
      </c>
      <c r="H30" s="86" t="s">
        <v>132</v>
      </c>
      <c r="I30" s="130">
        <f t="shared" ref="I30:L30" si="6">I22*I14</f>
        <v>0.57857142857142851</v>
      </c>
      <c r="J30" s="111">
        <f t="shared" si="6"/>
        <v>1.7357142857142855</v>
      </c>
      <c r="K30" s="111">
        <f t="shared" si="6"/>
        <v>14.849999999999998</v>
      </c>
      <c r="L30" s="112">
        <f t="shared" si="6"/>
        <v>4.0714285714285703</v>
      </c>
    </row>
    <row r="31" spans="1:13" ht="17" thickBot="1" x14ac:dyDescent="0.25">
      <c r="A31" s="88" t="s">
        <v>131</v>
      </c>
      <c r="B31" s="110">
        <v>0.1</v>
      </c>
      <c r="H31" s="86" t="s">
        <v>139</v>
      </c>
      <c r="I31" s="130">
        <f t="shared" ref="I31:L31" si="7">I23*I15</f>
        <v>2.6999999999999997</v>
      </c>
      <c r="J31" s="111">
        <f t="shared" si="7"/>
        <v>8.1</v>
      </c>
      <c r="K31" s="111">
        <f t="shared" si="7"/>
        <v>51.449999999999996</v>
      </c>
      <c r="L31" s="112">
        <f t="shared" si="7"/>
        <v>14.700000000000001</v>
      </c>
    </row>
    <row r="32" spans="1:13" ht="17" thickBot="1" x14ac:dyDescent="0.25">
      <c r="B32" s="102" t="s">
        <v>29</v>
      </c>
      <c r="H32" s="88" t="s">
        <v>131</v>
      </c>
      <c r="I32" s="131">
        <f t="shared" ref="I32:L32" si="8">I24*I16</f>
        <v>0.38571428571428579</v>
      </c>
      <c r="J32" s="113">
        <f t="shared" si="8"/>
        <v>1.157142857142857</v>
      </c>
      <c r="K32" s="113">
        <f t="shared" si="8"/>
        <v>6.2999999999999989</v>
      </c>
      <c r="L32" s="114">
        <f t="shared" si="8"/>
        <v>1.2000000000000002</v>
      </c>
    </row>
    <row r="33" spans="1:13" ht="17" thickBot="1" x14ac:dyDescent="0.25">
      <c r="H33" s="116" t="s">
        <v>166</v>
      </c>
    </row>
    <row r="34" spans="1:13" ht="17" thickBot="1" x14ac:dyDescent="0.25">
      <c r="A34" s="18" t="s">
        <v>168</v>
      </c>
      <c r="B34" s="49" t="s">
        <v>169</v>
      </c>
    </row>
    <row r="35" spans="1:13" ht="17" thickBot="1" x14ac:dyDescent="0.25">
      <c r="A35" s="86" t="s">
        <v>170</v>
      </c>
      <c r="B35" s="10">
        <f>3600/SUM(I29:L32)</f>
        <v>30.892764105550278</v>
      </c>
      <c r="H35" s="144" t="s">
        <v>199</v>
      </c>
      <c r="I35" s="145"/>
      <c r="J35" s="145"/>
      <c r="K35" s="145"/>
      <c r="L35" s="146"/>
    </row>
    <row r="36" spans="1:13" ht="17" thickBot="1" x14ac:dyDescent="0.25">
      <c r="A36" s="86" t="s">
        <v>171</v>
      </c>
      <c r="B36" s="10">
        <f>3600/SUM(I37:L45)</f>
        <v>39.376538146021339</v>
      </c>
      <c r="H36" s="117" t="s">
        <v>145</v>
      </c>
      <c r="I36" s="126" t="s">
        <v>133</v>
      </c>
      <c r="J36" s="127" t="s">
        <v>132</v>
      </c>
      <c r="K36" s="127" t="s">
        <v>139</v>
      </c>
      <c r="L36" s="128" t="s">
        <v>131</v>
      </c>
      <c r="M36" s="107" t="s">
        <v>167</v>
      </c>
    </row>
    <row r="37" spans="1:13" ht="17" thickBot="1" x14ac:dyDescent="0.25">
      <c r="A37" s="88" t="s">
        <v>172</v>
      </c>
      <c r="B37" s="11">
        <f>B35/2 + B36/2</f>
        <v>35.134651125785808</v>
      </c>
      <c r="H37" s="99" t="s">
        <v>133</v>
      </c>
      <c r="I37" s="129">
        <f>I21*B21</f>
        <v>0.22500000000000003</v>
      </c>
      <c r="J37" s="118">
        <f t="shared" ref="J37:L39" si="9">J21*C21</f>
        <v>0.89999999999999991</v>
      </c>
      <c r="K37" s="118">
        <f t="shared" si="9"/>
        <v>4.1999999999999993</v>
      </c>
      <c r="L37" s="119">
        <f t="shared" si="9"/>
        <v>0.60000000000000009</v>
      </c>
    </row>
    <row r="38" spans="1:13" ht="17" thickBot="1" x14ac:dyDescent="0.25">
      <c r="H38" s="86" t="s">
        <v>132</v>
      </c>
      <c r="I38" s="130">
        <f t="shared" ref="I38:I39" si="10">I22*B22</f>
        <v>0.67499999999999993</v>
      </c>
      <c r="J38" s="111">
        <f t="shared" si="9"/>
        <v>2.0249999999999999</v>
      </c>
      <c r="K38" s="111">
        <f t="shared" si="9"/>
        <v>9.4499999999999993</v>
      </c>
      <c r="L38" s="112">
        <f t="shared" si="9"/>
        <v>1.3499999999999999</v>
      </c>
    </row>
    <row r="39" spans="1:13" x14ac:dyDescent="0.2">
      <c r="A39" s="25" t="s">
        <v>184</v>
      </c>
      <c r="B39" s="132" t="s">
        <v>69</v>
      </c>
      <c r="C39" s="26" t="s">
        <v>178</v>
      </c>
      <c r="H39" s="86" t="s">
        <v>139</v>
      </c>
      <c r="I39" s="130">
        <f t="shared" si="10"/>
        <v>3.1499999999999995</v>
      </c>
      <c r="J39" s="111">
        <f t="shared" si="9"/>
        <v>9.4499999999999993</v>
      </c>
      <c r="K39" s="111">
        <f t="shared" si="9"/>
        <v>44.099999999999994</v>
      </c>
      <c r="L39" s="112">
        <f t="shared" si="9"/>
        <v>6.2999999999999989</v>
      </c>
    </row>
    <row r="40" spans="1:13" x14ac:dyDescent="0.2">
      <c r="A40" s="134" t="s">
        <v>183</v>
      </c>
      <c r="B40" s="135">
        <f>J9</f>
        <v>65</v>
      </c>
      <c r="C40" s="133"/>
      <c r="H40" s="86"/>
      <c r="I40" s="130"/>
      <c r="J40" s="111"/>
      <c r="K40" s="111"/>
      <c r="L40" s="112"/>
    </row>
    <row r="41" spans="1:13" x14ac:dyDescent="0.2">
      <c r="A41" s="134" t="s">
        <v>190</v>
      </c>
      <c r="B41" s="135">
        <f>K9</f>
        <v>40</v>
      </c>
      <c r="C41" s="133"/>
      <c r="H41" s="86"/>
      <c r="I41" s="130"/>
      <c r="J41" s="111"/>
      <c r="K41" s="111"/>
      <c r="L41" s="112"/>
    </row>
    <row r="42" spans="1:13" x14ac:dyDescent="0.2">
      <c r="A42" s="134" t="s">
        <v>191</v>
      </c>
      <c r="B42" s="135">
        <f>L9</f>
        <v>180</v>
      </c>
      <c r="C42" s="133"/>
      <c r="H42" s="86"/>
      <c r="I42" s="130"/>
      <c r="J42" s="111"/>
      <c r="K42" s="111"/>
      <c r="L42" s="112"/>
    </row>
    <row r="43" spans="1:13" x14ac:dyDescent="0.2">
      <c r="A43" s="134" t="s">
        <v>192</v>
      </c>
      <c r="B43" s="135">
        <f>M9</f>
        <v>25</v>
      </c>
      <c r="C43" s="133"/>
      <c r="H43" s="86"/>
      <c r="I43" s="130"/>
      <c r="J43" s="111"/>
      <c r="K43" s="111"/>
      <c r="L43" s="112"/>
    </row>
    <row r="44" spans="1:13" x14ac:dyDescent="0.2">
      <c r="A44" s="134" t="s">
        <v>193</v>
      </c>
      <c r="B44" s="135">
        <f>N9</f>
        <v>50</v>
      </c>
      <c r="C44" s="133"/>
      <c r="H44" s="86"/>
      <c r="I44" s="130"/>
      <c r="J44" s="111"/>
      <c r="K44" s="111"/>
      <c r="L44" s="112"/>
    </row>
    <row r="45" spans="1:13" ht="17" thickBot="1" x14ac:dyDescent="0.25">
      <c r="A45" s="86" t="s">
        <v>173</v>
      </c>
      <c r="B45" s="12">
        <f>F9+22</f>
        <v>85</v>
      </c>
      <c r="C45" s="87" t="s">
        <v>180</v>
      </c>
      <c r="H45" s="88" t="s">
        <v>131</v>
      </c>
      <c r="I45" s="131">
        <f>I24*B24</f>
        <v>0.45000000000000007</v>
      </c>
      <c r="J45" s="113">
        <f>J24*C24</f>
        <v>1.3499999999999999</v>
      </c>
      <c r="K45" s="113">
        <f>K24*D24</f>
        <v>6.2999999999999989</v>
      </c>
      <c r="L45" s="114">
        <f>L24*E24</f>
        <v>0.90000000000000013</v>
      </c>
    </row>
    <row r="46" spans="1:13" ht="17" thickBot="1" x14ac:dyDescent="0.25">
      <c r="A46" s="86" t="s">
        <v>174</v>
      </c>
      <c r="B46" s="12">
        <v>10</v>
      </c>
      <c r="C46" s="87"/>
      <c r="H46" s="116" t="s">
        <v>166</v>
      </c>
    </row>
    <row r="47" spans="1:13" x14ac:dyDescent="0.2">
      <c r="A47" s="86" t="s">
        <v>175</v>
      </c>
      <c r="B47" s="12">
        <f>E9+10</f>
        <v>70</v>
      </c>
      <c r="C47" s="87" t="s">
        <v>179</v>
      </c>
    </row>
    <row r="48" spans="1:13" x14ac:dyDescent="0.2">
      <c r="A48" s="86" t="s">
        <v>177</v>
      </c>
      <c r="B48" s="12">
        <f>K9</f>
        <v>40</v>
      </c>
      <c r="C48" s="87" t="s">
        <v>181</v>
      </c>
    </row>
    <row r="49" spans="1:3" ht="17" thickBot="1" x14ac:dyDescent="0.25">
      <c r="A49" s="88" t="s">
        <v>176</v>
      </c>
      <c r="B49" s="13">
        <f>E9+O9+3.5</f>
        <v>70</v>
      </c>
      <c r="C49" s="90" t="s">
        <v>182</v>
      </c>
    </row>
  </sheetData>
  <mergeCells count="10">
    <mergeCell ref="M1:N1"/>
    <mergeCell ref="A11:E11"/>
    <mergeCell ref="J7:K7"/>
    <mergeCell ref="A19:E19"/>
    <mergeCell ref="H11:L11"/>
    <mergeCell ref="H19:L19"/>
    <mergeCell ref="H27:L27"/>
    <mergeCell ref="H35:L35"/>
    <mergeCell ref="A1:I1"/>
    <mergeCell ref="J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Traffic Forecasting</vt:lpstr>
      <vt:lpstr>Airport Sizing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Eskenazi</dc:creator>
  <cp:lastModifiedBy>Andy Eskenazi</cp:lastModifiedBy>
  <dcterms:created xsi:type="dcterms:W3CDTF">2025-04-08T17:38:56Z</dcterms:created>
  <dcterms:modified xsi:type="dcterms:W3CDTF">2025-05-09T13:35:52Z</dcterms:modified>
</cp:coreProperties>
</file>