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ske/Desktop/Spring 2025/Airports/"/>
    </mc:Choice>
  </mc:AlternateContent>
  <xr:revisionPtr revIDLastSave="0" documentId="13_ncr:1_{073B7F58-996D-2C48-B5E8-39663B883308}" xr6:coauthVersionLast="47" xr6:coauthVersionMax="47" xr10:uidLastSave="{00000000-0000-0000-0000-000000000000}"/>
  <bookViews>
    <workbookView xWindow="1360" yWindow="760" windowWidth="28180" windowHeight="17360" activeTab="1" xr2:uid="{EDAA8BF4-FF44-5744-9757-517021F7CB5C}"/>
  </bookViews>
  <sheets>
    <sheet name="Airport Sizing" sheetId="2" r:id="rId1"/>
    <sheet name="Traffic Forecasting" sheetId="1" r:id="rId2"/>
    <sheet name="Refere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2" l="1"/>
  <c r="D9" i="2"/>
  <c r="N9" i="2"/>
  <c r="B44" i="2" s="1"/>
  <c r="M9" i="2"/>
  <c r="L9" i="2"/>
  <c r="K9" i="2"/>
  <c r="J9" i="2"/>
  <c r="B43" i="2"/>
  <c r="D76" i="1"/>
  <c r="D72" i="1"/>
  <c r="B42" i="2"/>
  <c r="B41" i="2"/>
  <c r="B40" i="2"/>
  <c r="B50" i="2"/>
  <c r="B49" i="2"/>
  <c r="B48" i="2"/>
  <c r="B46" i="2"/>
  <c r="L24" i="2"/>
  <c r="L40" i="2" s="1"/>
  <c r="L23" i="2"/>
  <c r="L39" i="2" s="1"/>
  <c r="L22" i="2"/>
  <c r="L38" i="2" s="1"/>
  <c r="L21" i="2"/>
  <c r="K24" i="2"/>
  <c r="K40" i="2" s="1"/>
  <c r="K23" i="2"/>
  <c r="K39" i="2" s="1"/>
  <c r="K22" i="2"/>
  <c r="K38" i="2" s="1"/>
  <c r="K21" i="2"/>
  <c r="J24" i="2"/>
  <c r="J40" i="2" s="1"/>
  <c r="J23" i="2"/>
  <c r="J39" i="2" s="1"/>
  <c r="J22" i="2"/>
  <c r="J38" i="2" s="1"/>
  <c r="J21" i="2"/>
  <c r="J37" i="2" s="1"/>
  <c r="I24" i="2"/>
  <c r="I40" i="2" s="1"/>
  <c r="I23" i="2"/>
  <c r="I39" i="2" s="1"/>
  <c r="I22" i="2"/>
  <c r="I38" i="2" s="1"/>
  <c r="I21" i="2"/>
  <c r="H14" i="2"/>
  <c r="H15" i="2"/>
  <c r="H16" i="2"/>
  <c r="H13" i="2"/>
  <c r="L12" i="2"/>
  <c r="L15" i="2" s="1"/>
  <c r="K12" i="2"/>
  <c r="J12" i="2"/>
  <c r="I12" i="2"/>
  <c r="C65" i="1"/>
  <c r="D66" i="1" s="1"/>
  <c r="D68" i="1" s="1"/>
  <c r="D86" i="1" s="1"/>
  <c r="D87" i="1" s="1"/>
  <c r="C90" i="1"/>
  <c r="D92" i="1" s="1"/>
  <c r="C35" i="1"/>
  <c r="E22" i="1"/>
  <c r="E23" i="1"/>
  <c r="E24" i="1"/>
  <c r="E25" i="1"/>
  <c r="E26" i="1"/>
  <c r="E27" i="1"/>
  <c r="E28" i="1"/>
  <c r="E29" i="1"/>
  <c r="E30" i="1"/>
  <c r="E31" i="1"/>
  <c r="E32" i="1"/>
  <c r="E33" i="1"/>
  <c r="E21" i="1"/>
  <c r="E19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3" i="1"/>
  <c r="C9" i="1"/>
  <c r="E9" i="1" s="1"/>
  <c r="L31" i="2" l="1"/>
  <c r="J13" i="2"/>
  <c r="J29" i="2" s="1"/>
  <c r="K16" i="2"/>
  <c r="K32" i="2" s="1"/>
  <c r="I15" i="2"/>
  <c r="I14" i="2"/>
  <c r="L14" i="2"/>
  <c r="L30" i="2" s="1"/>
  <c r="J14" i="2"/>
  <c r="J30" i="2" s="1"/>
  <c r="K15" i="2"/>
  <c r="K14" i="2"/>
  <c r="K30" i="2" s="1"/>
  <c r="I30" i="2"/>
  <c r="I13" i="2"/>
  <c r="I29" i="2" s="1"/>
  <c r="L37" i="2"/>
  <c r="L13" i="2"/>
  <c r="L29" i="2" s="1"/>
  <c r="K13" i="2"/>
  <c r="K29" i="2" s="1"/>
  <c r="I16" i="2"/>
  <c r="I32" i="2" s="1"/>
  <c r="L16" i="2"/>
  <c r="L32" i="2" s="1"/>
  <c r="I37" i="2"/>
  <c r="J16" i="2"/>
  <c r="J32" i="2" s="1"/>
  <c r="I31" i="2"/>
  <c r="K37" i="2"/>
  <c r="K31" i="2"/>
  <c r="J15" i="2"/>
  <c r="J31" i="2" s="1"/>
  <c r="C39" i="1"/>
  <c r="C41" i="1" s="1"/>
  <c r="E35" i="1"/>
  <c r="C34" i="1"/>
  <c r="E34" i="1"/>
  <c r="D43" i="1" s="1"/>
  <c r="D45" i="1" s="1"/>
  <c r="D54" i="1" s="1"/>
  <c r="B36" i="2" l="1"/>
  <c r="B35" i="2"/>
  <c r="D39" i="1"/>
  <c r="B37" i="2" l="1"/>
  <c r="C78" i="1" s="1"/>
  <c r="D79" i="1" s="1"/>
  <c r="D47" i="1"/>
  <c r="D49" i="1" s="1"/>
  <c r="D56" i="1" s="1"/>
  <c r="D57" i="1" s="1"/>
  <c r="D59" i="1" l="1"/>
  <c r="D62" i="1" l="1"/>
  <c r="D84" i="1" s="1"/>
  <c r="D85" i="1" s="1"/>
  <c r="D88" i="1" s="1"/>
  <c r="D93" i="1" s="1"/>
  <c r="D73" i="1"/>
  <c r="D77" i="1" s="1"/>
  <c r="D80" i="1" s="1"/>
  <c r="D82" i="1"/>
</calcChain>
</file>

<file path=xl/sharedStrings.xml><?xml version="1.0" encoding="utf-8"?>
<sst xmlns="http://schemas.openxmlformats.org/spreadsheetml/2006/main" count="429" uniqueCount="294">
  <si>
    <t>https://www.singaporeair.com/content/dam/sia/web-assets/pdfs/about-us/information-for-investors/operating-statistics/opstats-dec24.pdf</t>
  </si>
  <si>
    <t>https://www.cathaypacific.com/content/dam/cx/about-us/investor-relations/announcements/en/202501_cx_traffic_en.pdf</t>
  </si>
  <si>
    <t>https://www.oag.com/all-nippon-airways-performance-stats</t>
  </si>
  <si>
    <t>https://press.jal.co.jp/en/items/uploads/Traffic%20Data%20MAR%202024.pdf</t>
  </si>
  <si>
    <t>https://simpleflying.com/air-france-klm-record-revenue-amid-2023-loss/</t>
  </si>
  <si>
    <t>https://c.ekstatic.net/ecl/documents/annual-report/2023-2024.pdf</t>
  </si>
  <si>
    <t>https://aviation.direct/en/swiss-mit-18-millionen-passagieren-im-jahr-2024#:~:text=With%2018%20million%20passengers%2C%20Swiss,below%20the%20previous%20year's%20figure.</t>
  </si>
  <si>
    <t>https://report.lufthansagroup.com/2024/annual-report/en/combined-management-report/business-segments/passenger-airlines-business-segment/lufthansa-airlines/</t>
  </si>
  <si>
    <t>https://www.etihad.com/en-us/news/etihad-reports-december-2024-traffic-statistics#:~:text=%E2%80%9CIn%20the%20full%20year%20of,over%20the%20past%20two%20years.</t>
  </si>
  <si>
    <t>https://aerospaceglobalnews.com/news/ba-operating-profit-up-by-over-a-billion-pounds-in-2024/</t>
  </si>
  <si>
    <t>https://www.iairgroup.com/media/nygbte03/q3-traffic-slides_website-1.pdf</t>
  </si>
  <si>
    <t>https://d21buns5ku92am.cloudfront.net/69647/documents/54686-1719916085-3345_Annual%20Report%202023%2024_V24%201-7cb0c9.pdf</t>
  </si>
  <si>
    <t>https://investor.qantas.com/FormBuilder/_Resource/_module/doLLG5ufYkCyEPjF1tpgyw/file/annual-reports/2024-Annual-Report.pdf</t>
  </si>
  <si>
    <t>https://ir.thaiairways.com/</t>
  </si>
  <si>
    <t>https://www.csair.com/cn/about/investor/yejibaogao/2024/resource/751cad7f639531b69f73e1691996f50a.pdf</t>
  </si>
  <si>
    <t>https://www.ceair.com/global/static/AboutChinaEasternAirlines/intoEasternAirlines/InvestorRelations/periodicReports/ShanghaiStockExchangeReleased/ShanghaiStockExchangeReleased2024/202404/P020240410514469860933.pdf</t>
  </si>
  <si>
    <t>https://vip.stock.finance.sina.com.cn/corp/view/vCB_AllBulletinDetail.php?stockid=601111&amp;id=10817195</t>
  </si>
  <si>
    <t>https://www.hanjinkal.co.kr/common/file/2024%EB%85%84%20%EB%8C%80%ED%95%9C%ED%95%AD%EA%B3%B5%20ESG%EB%B3%B4%EA%B3%A0%EC%84%9C%20(%EC%98%81%EB%AC%B8).pdf</t>
  </si>
  <si>
    <t>Estimated Seats (millions)</t>
  </si>
  <si>
    <t>2024 Passengers (millions)</t>
  </si>
  <si>
    <t>https://centreforaviation.com/analysis/reports/flying-with-frills-global-airlines-ranked-by-first-class-and-premium-seat-numbers-655197</t>
  </si>
  <si>
    <t>Starship Capacity (passengers)</t>
  </si>
  <si>
    <t>Load Factor (%)</t>
  </si>
  <si>
    <t>file:///Users/andyeske/Downloads/2024_Asiana_Airlines_ESG_Report_ENG.pdf</t>
  </si>
  <si>
    <t>https://americanairlines.gcs-web.com/news-releases/news-release-details/american-airlines-reports-fourth-quarter-and-full-year-2024</t>
  </si>
  <si>
    <t>https://www.united.com/en/us/newsroom/announcements/cision-125362</t>
  </si>
  <si>
    <t>https://ir.delta.com/news/news-details/2025/Delta-Air-Lines-Announces-December-Quarter-and-Full-Year-2024-Financial-Results/default.aspx</t>
  </si>
  <si>
    <t>https://www.aerotime.aero/articles/turkish-airlines-passenger-figures-2024</t>
  </si>
  <si>
    <t>https://www.prnewswire.com/news-releases/air-canada-reports-fourth-quarter-and-full-year-2024-financial-results-302376635.html</t>
  </si>
  <si>
    <t>Assumption</t>
  </si>
  <si>
    <t>https://www.latamairlines.com/us/en/press-room/releases/LATAM-Airlines-Group-closes-a-historic-2024-with-US977-million-in-net-income1</t>
  </si>
  <si>
    <t>https://simpleflying.com/ethiopian-airlines-30-percent-passenger-rise-african-airlines-demand-grows/</t>
  </si>
  <si>
    <t>https://p-airnz.com/cms/assets/PDFs/air-nz-2024-annual-results-report.pdf</t>
  </si>
  <si>
    <t>https://www.evaair.com/en-global/images/eva-air-2023-annual-report-en_tcm33-90678.pdf</t>
  </si>
  <si>
    <t>https://ir.aeroflot.com/fileadmin/user_upload/files/eng/companys_reporting/annual_reports/Aeroflot_AR_2023_ENG.pdf</t>
  </si>
  <si>
    <t>https://atag.org/facts-figures#:~:text=The%20estimate%20for%202024%20is%205%20billion%20passengers.&amp;text=In%202023%2C%2035.3%20million%20scheduled,some%2096%20million%20aircraft%20movements.&amp;text=8.17%20trillion%20Revenue%20Passenger%20Kilometres,flown%20by%20passengers%20in%202023.</t>
  </si>
  <si>
    <t>Planned Capacity of Launches (per day)</t>
  </si>
  <si>
    <t>Starship LF (% estimate)</t>
  </si>
  <si>
    <t>Space Flight Adoption Estimates</t>
  </si>
  <si>
    <t>International Airlines with both First and Business Class</t>
  </si>
  <si>
    <t>Launch Pad Daily Capacity (launches/day)</t>
  </si>
  <si>
    <t>https://www.faa.gov/dataresearch/aviation/aerospaceforecasts/faa-aerospace-forecasts.pdf#:~:text=From%20FY2025%2D2044%2C%20annual%20growth,3.3%20percent%20(after%20rounding).</t>
  </si>
  <si>
    <t>Total Estimated Adoption (million passengers, 2024)</t>
  </si>
  <si>
    <t>Total Predicted Future Adoption (million passengers, 2050)</t>
  </si>
  <si>
    <t>Number of Falcon 9  Launches (2024)</t>
  </si>
  <si>
    <t>https://spaceflightnow.com/2025/01/06/live-coverage-spacex-to-launch-24-starlink-satellites-on-falcon-9-rocket-from-cape-canaveral-4/</t>
  </si>
  <si>
    <t>Number of Predicted Future Freight Launches (2050)</t>
  </si>
  <si>
    <t>Total Number of Rocket Launches (2050, per year)</t>
  </si>
  <si>
    <t>https://payloadspace.com/2024-orbital-launch-attempts-by-country/</t>
  </si>
  <si>
    <t>Rate of Enplanement Annual Growth (%/per year)</t>
  </si>
  <si>
    <t>Number of Passenger Starship Launches per year (2050)</t>
  </si>
  <si>
    <t>Average Launch Pad Utilization (%)</t>
  </si>
  <si>
    <t>Percentage of Installed First Class Seats  (% estimate, Airlines 1 - 17)</t>
  </si>
  <si>
    <t>Percentage of Installed Business Class Seats (% estimate, Airlines 1 - 30)</t>
  </si>
  <si>
    <t>Input</t>
  </si>
  <si>
    <t>Output</t>
  </si>
  <si>
    <t>Category: Passenger Launches</t>
  </si>
  <si>
    <t>Category: Premium Seats</t>
  </si>
  <si>
    <t>Category: Freight Launches</t>
  </si>
  <si>
    <t>Singapore Airlines (Singapore)</t>
  </si>
  <si>
    <t>Air France - KLM (France/Netherlands)</t>
  </si>
  <si>
    <t>Emirates Airline (UAE)</t>
  </si>
  <si>
    <t>Swiss (Switzerland)</t>
  </si>
  <si>
    <t>ANA (Japan)</t>
  </si>
  <si>
    <t>Lufthansa (Germany)</t>
  </si>
  <si>
    <t>Japan Airlines (Japan)</t>
  </si>
  <si>
    <t>Cathay Pacific (Hong Kong)</t>
  </si>
  <si>
    <t>Etihad Airways (UAE)</t>
  </si>
  <si>
    <t>Qatar Airways (Qatar)</t>
  </si>
  <si>
    <t>British Airways (United Kingdom)</t>
  </si>
  <si>
    <t>Qantas Australia (Australia)</t>
  </si>
  <si>
    <t>Thai Airways (Thailand)</t>
  </si>
  <si>
    <t>Korean Air (South Korea)</t>
  </si>
  <si>
    <t>Air China (China)</t>
  </si>
  <si>
    <t>China Eastern (China)</t>
  </si>
  <si>
    <t>China Southern (China)</t>
  </si>
  <si>
    <t>American Airlines (United States)</t>
  </si>
  <si>
    <t>Delta Airlines (United States)</t>
  </si>
  <si>
    <t>United Airlines (United States)</t>
  </si>
  <si>
    <t>Air Canada (Canada)</t>
  </si>
  <si>
    <t>Turkish Airlines (Turkey)</t>
  </si>
  <si>
    <t>LATAM (Chile/Brazil/Ecuador/Colombia/Peru)</t>
  </si>
  <si>
    <t>Ethiopian Airlines (Ethiopia)</t>
  </si>
  <si>
    <t>EVA Air (Taiwan)</t>
  </si>
  <si>
    <t>Air New Zealand (New Zealand)</t>
  </si>
  <si>
    <t>Iberia (Spain)</t>
  </si>
  <si>
    <t>Aeroflot (Russia)</t>
  </si>
  <si>
    <t>Asiana Airlines (South Korea)</t>
  </si>
  <si>
    <t>Air India (India)</t>
  </si>
  <si>
    <t>Percentage of First Class that would adopt Space Flight (% )</t>
  </si>
  <si>
    <t>Percentage of Business Class that would adopt Space Flight (% )</t>
  </si>
  <si>
    <t>Estimated Space Flight passengers from xurrent First Class (millions)</t>
  </si>
  <si>
    <t>Estimated Space Flight passengers from current Business Class (millions)</t>
  </si>
  <si>
    <t>Global Airline Industry Total Passengers (million, 2024)</t>
  </si>
  <si>
    <t>Percentage Captured by Case Study Airlines (%)</t>
  </si>
  <si>
    <t>Total Passengers from Case Study Airlines (millions, Airlines 1 - 30)</t>
  </si>
  <si>
    <t>Installed First Class Seats (millions)</t>
  </si>
  <si>
    <t>Estimated First Class Load Factor (% )</t>
  </si>
  <si>
    <t>Estimated First Class Passengers (million, 2024)</t>
  </si>
  <si>
    <t>Installed Business Class Seats (million)</t>
  </si>
  <si>
    <t>Estimated Business Class Load Factor (% estimate)</t>
  </si>
  <si>
    <t>Estimated Business Class Passengers (million, 2024)</t>
  </si>
  <si>
    <t>Category: International Airlines with Business Class as Highest Premium Cabin</t>
  </si>
  <si>
    <t>Category: International Airlines with First Class as Highest Premium Cabin</t>
  </si>
  <si>
    <t>Total: Airlines 1 - 17</t>
  </si>
  <si>
    <t>Total: Airlines 18 - 30</t>
  </si>
  <si>
    <t>Percentage of Passengers arriving to the Air &amp; Spaceport by air (%)</t>
  </si>
  <si>
    <t>Average Runway Utilization (%)</t>
  </si>
  <si>
    <t>Category: Airport Forecasting</t>
  </si>
  <si>
    <t>Category: Spaceport Forecasting</t>
  </si>
  <si>
    <t>Premium Seat Estimates</t>
  </si>
  <si>
    <t>https://www.embraercommercialaviation.com/wp-content/uploads/2017/02/Embraer_spec_175_web.pdf</t>
  </si>
  <si>
    <t>Planned Passenger Capacity (per day)</t>
  </si>
  <si>
    <t>Average Number of Operations (Landings and Take-offs) per hour</t>
  </si>
  <si>
    <t>Light (L)</t>
  </si>
  <si>
    <t>Medium (M)</t>
  </si>
  <si>
    <t>Heavy (H)</t>
  </si>
  <si>
    <t>Average Number of Seats</t>
  </si>
  <si>
    <t>Reference Aircraft</t>
  </si>
  <si>
    <t>A321neo</t>
  </si>
  <si>
    <t>ICAO Classification</t>
  </si>
  <si>
    <t>E175</t>
  </si>
  <si>
    <t>Small (S)</t>
  </si>
  <si>
    <t>Learjet 55</t>
  </si>
  <si>
    <t>3A</t>
  </si>
  <si>
    <t>Wingspan (m)</t>
  </si>
  <si>
    <t>4C</t>
  </si>
  <si>
    <t>B787-9</t>
  </si>
  <si>
    <t>Aircraft</t>
  </si>
  <si>
    <t>Length (m)</t>
  </si>
  <si>
    <t>Runway Occupancy upon Landing (s)</t>
  </si>
  <si>
    <t>Reference Take-off Length (m)</t>
  </si>
  <si>
    <t>Aircraft Specs</t>
  </si>
  <si>
    <t>Separation Requirements</t>
  </si>
  <si>
    <t>Width Requirements</t>
  </si>
  <si>
    <t>Traffic Mix (%)</t>
  </si>
  <si>
    <t>Source</t>
  </si>
  <si>
    <t>Clearences</t>
  </si>
  <si>
    <t>Wingtip (m)</t>
  </si>
  <si>
    <t>OEM</t>
  </si>
  <si>
    <t>Approach Speed (knots)</t>
  </si>
  <si>
    <t>Aircraft Approach Speed (knots)</t>
  </si>
  <si>
    <t>Leading Aircraft (i)</t>
  </si>
  <si>
    <t>Trailing Aicraft (j)</t>
  </si>
  <si>
    <t>Saturdation Capacity</t>
  </si>
  <si>
    <t>Operations per hour</t>
  </si>
  <si>
    <t>Landings</t>
  </si>
  <si>
    <t>Take-off</t>
  </si>
  <si>
    <t>Combined Operations</t>
  </si>
  <si>
    <t>Aircraft Parking Length (m)</t>
  </si>
  <si>
    <t>Airport Service Road Width (m)</t>
  </si>
  <si>
    <t>Aiircraft Pushback Area Length (m)</t>
  </si>
  <si>
    <t>Distance Between Gates (m)</t>
  </si>
  <si>
    <t>Taxiway Obstacle Free Area (m)</t>
  </si>
  <si>
    <t>Calculation</t>
  </si>
  <si>
    <t>Aircraft Wingspan + 10</t>
  </si>
  <si>
    <t>Taxiway Centerline to Object</t>
  </si>
  <si>
    <t>Wingspan + Wingtip Clearence + 10</t>
  </si>
  <si>
    <t>Taxiway Centerline to Taxiway Centerline (m)</t>
  </si>
  <si>
    <t>Appron Design Variable (for Design Aircraft)</t>
  </si>
  <si>
    <t>Most Demanding Aircraft</t>
  </si>
  <si>
    <t>Taxiway Centerline to an Object (m)</t>
  </si>
  <si>
    <t>Taxiway Centerline to (IFR) Runway Centerline (m)</t>
  </si>
  <si>
    <t>Minimum Width of Taxiway Pavement (m)</t>
  </si>
  <si>
    <t>Minimum Runway Width (m)</t>
  </si>
  <si>
    <t>Taxiway Centerline to an Object</t>
  </si>
  <si>
    <t>Taxiway Centerline to Runway Centerline</t>
  </si>
  <si>
    <t>Taxiway Width</t>
  </si>
  <si>
    <t>Runway Width</t>
  </si>
  <si>
    <t>Rate of Freight Launch Annual Growth (2023 - 2024)</t>
  </si>
  <si>
    <t>Air &amp; Space Port Capacity Forecasting</t>
  </si>
  <si>
    <t>4E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</si>
  <si>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</si>
  <si>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</si>
  <si>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</si>
  <si>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</si>
  <si>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</si>
  <si>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</si>
  <si>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</si>
  <si>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</si>
  <si>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</si>
  <si>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</si>
  <si>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</si>
  <si>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</si>
  <si>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</si>
  <si>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</si>
  <si>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</si>
  <si>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</si>
  <si>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</si>
  <si>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</si>
  <si>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</si>
  <si>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</si>
  <si>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</si>
  <si>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</si>
  <si>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Number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</si>
  <si>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</si>
  <si>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</si>
  <si>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</si>
  <si>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</si>
  <si>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</si>
  <si>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</si>
  <si>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</si>
  <si>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</si>
  <si>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</si>
  <si>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</si>
  <si>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</si>
  <si>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</si>
  <si>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</si>
  <si>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</si>
  <si>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Minimum Separation between Consecutive Landings (nm) - From ICAO Guidelines [1]</t>
  </si>
  <si>
    <r>
      <t>Alharbi, Emad A., Layek L. Abdel-Malek, R. John Milne, and Arwa M. Wali. "Analytical model for enhancing the adoptability of continuous descent approach at airports." </t>
    </r>
    <r>
      <rPr>
        <i/>
        <sz val="12"/>
        <color rgb="FF222222"/>
        <rFont val="Aptos Narrow"/>
        <scheme val="minor"/>
      </rPr>
      <t>Applied Sciences</t>
    </r>
    <r>
      <rPr>
        <sz val="12"/>
        <color rgb="FF222222"/>
        <rFont val="Aptos Narrow"/>
        <scheme val="minor"/>
      </rPr>
      <t> 12, no. 3 (2022): 1506.</t>
    </r>
  </si>
  <si>
    <t>Spacing Matrix for Approaches (Matrix T) - Blumstein (1959) Method [2]</t>
  </si>
  <si>
    <t>Blumstein, Alfred. "The landing capacity of a runway." Operations Research 7, no. 6 (1959): 752-763.</t>
  </si>
  <si>
    <t>Probability Matrix (Matrix P) - Blumstein (1959) Method [2]</t>
  </si>
  <si>
    <t>Expected Landing Saturation Matrix (Matrix P.*T) - Blumstein (1959) Method [2]</t>
  </si>
  <si>
    <t>Expected Take-off Saturation Matrix (Matrix P.*S) - Blumstein (1959) Method [2]</t>
  </si>
  <si>
    <t>ICAO. “Doc 9157, Aerodrome Design Manual – Part 1: Runways”. International Civil Aviation Organization (2006).</t>
  </si>
  <si>
    <t>ICAO. “Doc 9157, Aerodrome Design Manual – Part 2: Taxiways, Aprons, and Holding Bays”. International Civil Aviation Organization (2005).</t>
  </si>
  <si>
    <t>ICAO. “Annex 14: Aerodrome Design and Operations”. International Civil Aviation Organization (2018).</t>
  </si>
  <si>
    <t>ICAO Annex 14, 3.13.6 [5]</t>
  </si>
  <si>
    <t>ICAO Doc 9157, Appendix 1 [3]</t>
  </si>
  <si>
    <t>ICAO Doc 9157, Table 1.4 [4]</t>
  </si>
  <si>
    <t>ICAO Doc 9157, Table 1.5 [4]</t>
  </si>
  <si>
    <t>ICAO Doc 9157, Table 1.1 [4]</t>
  </si>
  <si>
    <t>Minimum Separation Requirements between Successive Departing Aircraft (s, Matrix S) - From ICAO Guidelines [6]</t>
  </si>
  <si>
    <r>
      <t>Khoury, Hiam M., Vineet R. Kamat, and Photios G. Ioannou. "Evaluation of general-purpose construction simulation and visualization tools for modeling and animating airside airport operations." </t>
    </r>
    <r>
      <rPr>
        <i/>
        <sz val="12"/>
        <color rgb="FF222222"/>
        <rFont val="Aptos Narrow"/>
      </rPr>
      <t>Simulation</t>
    </r>
    <r>
      <rPr>
        <sz val="12"/>
        <color rgb="FF222222"/>
        <rFont val="Aptos Narrow"/>
      </rPr>
      <t> 83, no. 9 (2007): 663-679.</t>
    </r>
  </si>
  <si>
    <t>Minimum Requirement</t>
  </si>
  <si>
    <t>ICAO Doc 9157, Table 5.1 [3]</t>
  </si>
  <si>
    <t>Aircraft Length + 17</t>
  </si>
  <si>
    <t>Chosen Values (In this work)</t>
  </si>
  <si>
    <t>[17, 18]</t>
  </si>
  <si>
    <t>[37]</t>
  </si>
  <si>
    <t>SIA. "December 2024 Operating Results". Singapore Airlines (2024).</t>
  </si>
  <si>
    <t>Beresnevicius, Rytis. "Highest Ever Annual Revenue Overshadows Air France - KLM Q4 2023 Loss". Simple Flying (2024).</t>
  </si>
  <si>
    <t>Emirates. "Annual Report 2023 - 2024". Emirates Airline Group (2024).</t>
  </si>
  <si>
    <t>Gruber, Jan. "Swiss with 18 million passengers in 2024". Aviation Direct (2024).</t>
  </si>
  <si>
    <t>OAG. "All Nippo Airways: Essential Performance Statistics". OAG (2024).</t>
  </si>
  <si>
    <t>Lufthansa. "Key Figures: Lufthansa Airlines". Lufthansa (2024).</t>
  </si>
  <si>
    <t>JAL. "JAL Group International Passenger Traffic Data". Japan Airlines (2024).</t>
  </si>
  <si>
    <t>Cathay Pacific. "December 2024 Traffic Figures". Cathay Pacific (2024).</t>
  </si>
  <si>
    <t>Etihad. "Etihad reports December 2024 traffic statistics". Etihad Airways (2024).</t>
  </si>
  <si>
    <t>Qatar. "Qatar Airways Annual Report 2023/24". Qatar Airways Group (2024).</t>
  </si>
  <si>
    <t>Bailey, Charlotte. "BA operating profit up by over a billion pounds in 2024". Aerospace Global News (2024).</t>
  </si>
  <si>
    <t>IAG. "Traffic Slides: 2024 Quarter Three". International Airlines Group (2024).</t>
  </si>
  <si>
    <t>Qantas. "Annual Report 2024". Qantas (2024).</t>
  </si>
  <si>
    <t>[38]</t>
  </si>
  <si>
    <t>[39]</t>
  </si>
  <si>
    <t>[40]</t>
  </si>
  <si>
    <t>[41]</t>
  </si>
  <si>
    <t>[42]</t>
  </si>
  <si>
    <t>[43]</t>
  </si>
  <si>
    <t>References</t>
  </si>
  <si>
    <t>Runway Length</t>
  </si>
  <si>
    <t>Thai. "Investor Relations". Thai Airways (2024).</t>
  </si>
  <si>
    <t>Air China. "2024 Corporate Report". Air China (2025).</t>
  </si>
  <si>
    <t>Korean Air. "ESG Report". Korean Air (2024).</t>
  </si>
  <si>
    <t>China Eastern. "2024 Corporate Report". China Eastern (2025).</t>
  </si>
  <si>
    <t>China Southern. "2024 Corporate Report". China Southern (2025).</t>
  </si>
  <si>
    <t>DL. "Delta Air Lines Announces December Quarter and Full Year 2024 Financial Results". Delta Airlines (2025).</t>
  </si>
  <si>
    <t>AA. "American Airlines Reports Fourth-Quarter and Full-Year 2024 Financial Results". American Airlines (2025).</t>
  </si>
  <si>
    <t>UA. "United Airlines Achieves Record Fourth Quarter Profit Well Ahead Of Expectations; Reiterates Path To Double-Digit Pre-Tax Margin". United Airlines (2025).</t>
  </si>
  <si>
    <t>AC. "Air Canada Reports Fourth Quarter and Full Year 2024 Financial Results". Air Canada (2025).</t>
  </si>
  <si>
    <t>Peters, Luke. "Turkish Airlines flew 83.4M passengers in 2024, a rise of 2.1% over 2023". AeroTime (2025).</t>
  </si>
  <si>
    <t>LATAM. "Latam Airlines Group Closes a historic 2024 with US$977 million in net income and 82 million passengers transported by the group". LATAM (2025).</t>
  </si>
  <si>
    <t>Karuwa, Tatenda. "Ethiopian Airlines Sees 30% Rise In Passengers As Demand Grows By 8.1% For African Airlines". Simple Flying (2024).</t>
  </si>
  <si>
    <t>https://grupo.iberia.com/news/08012025/iberia-group-breaks-its-passenger-record-with-almost-31-million-passengers-by-2024#:~:text=The%20Iberia%20Group%20(Iberia%2C%20Iberia,in%202024%2C%20carrying%2030%2C732%2C745%20passengers.</t>
  </si>
  <si>
    <t>EVA Air. "Annual Report 2023". Eva Air (2024).</t>
  </si>
  <si>
    <t>ANZ. "Annual Report: 2024". Air New Zealand (2024).</t>
  </si>
  <si>
    <t>Iberia. "Iberia Group breaks its passenger record, with almost 31 million passengers by 2024". IAG (2025).</t>
  </si>
  <si>
    <t>Aeroflot. "Pioneers: 100 Years". Aeroflot (2024).</t>
  </si>
  <si>
    <t>Asiana. "Asiana Airlines ESG Report 2024". Asiana Airlines (2025).</t>
  </si>
  <si>
    <t>https://regnskaber.cvrapi.dk/12603983/amNsb3VkczovLzAzL2VjLzdlLzdmLzJiLzNkY2UtNGQ4My04MzAwLTM2ZjIyNGI4MjJiZQ.pdf</t>
  </si>
  <si>
    <t>Air India. "Annual Report: 2023 - 2024". Air India (2024).</t>
  </si>
  <si>
    <t>ATAG. "Facts &amp; figures". Air Transport Action Group (2025).</t>
  </si>
  <si>
    <t>CAPA. “Flying with frills – global airlines ranked by first class and premium seat numbers”. Centre for Aviation (2023).</t>
  </si>
  <si>
    <t>FAA. “FAA Aerospace Forecasts fiscal Years 2024 – 2044”. Federal Aviation Administration (2025).</t>
  </si>
  <si>
    <t>Kuhr, Jack. “2024 Orbital Launch Attempts by Country”. Payload Space (2025).</t>
  </si>
  <si>
    <t>Robinson-Smith, Will. “SpaceX launches first dedicated Starlink mission of 2025”. Spaceflight Now (2025).</t>
  </si>
  <si>
    <t>Embraer. "E175". Embraer Commercial Aviation (2025).</t>
  </si>
  <si>
    <t>Average Number of Passengers per Air &amp; Space Port per day (passengers, 2050)</t>
  </si>
  <si>
    <t>Average Number of Passengers per Air &amp; Space Port per year (million passengers, 2050)</t>
  </si>
  <si>
    <t>Average Number of Passenger Launches per Air &amp; Space Port per year (2050)</t>
  </si>
  <si>
    <t>Average Number of Passenger Launches per Air &amp; Space Port per day (2050)</t>
  </si>
  <si>
    <t>Average Number of Freight Launches per Air &amp; Space Port per year (2050)</t>
  </si>
  <si>
    <t>Average Number of Freight Launches per Air &amp; Space Port per day (2050)</t>
  </si>
  <si>
    <t>Total Number of Passenger and Freight Launches per Air &amp; Space Port per day (2050)</t>
  </si>
  <si>
    <t>Air &amp; Space Port Launch Pad Turnarund Time (launches/hour)</t>
  </si>
  <si>
    <t>Number of Launch Pads per Air &amp; Space Port</t>
  </si>
  <si>
    <t>Percentage of Freight Launches Accomodated by Air &amp; Space Ports (%)</t>
  </si>
  <si>
    <t>Number of Predicted Future Freight Launches Accomodated by Air &amp; Space Ports (2050)</t>
  </si>
  <si>
    <t>Seat capacity of the smallest aircraft envisioned to visit the Air &amp; Space Port (seats)</t>
  </si>
  <si>
    <t>Maximal Number of Flights per day</t>
  </si>
  <si>
    <t>Planned Saturation Capacity (operations per hour - see "Airport Sizing")</t>
  </si>
  <si>
    <t>Number of Air &amp; Space Ports (globally)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</si>
</sst>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222222"/>
      <name val="Aptos Narrow"/>
    </font>
    <font>
      <i/>
      <sz val="12"/>
      <color rgb="FF222222"/>
      <name val="Aptos Narrow"/>
    </font>
    <font>
      <sz val="12"/>
      <color rgb="FF222222"/>
      <name val="Aptos Narrow"/>
      <scheme val="minor"/>
    </font>
    <font>
      <i/>
      <sz val="12"/>
      <color rgb="FF222222"/>
      <name val="Aptos Narrow"/>
      <scheme val="minor"/>
    </font>
    <font>
      <b/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2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2" borderId="5" xfId="0" applyFont="1" applyFill="1" applyBorder="1"/>
    <xf numFmtId="0" fontId="3" fillId="2" borderId="13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0" fillId="0" borderId="25" xfId="0" applyBorder="1"/>
    <xf numFmtId="10" fontId="0" fillId="0" borderId="26" xfId="0" applyNumberFormat="1" applyBorder="1" applyAlignment="1">
      <alignment horizontal="center"/>
    </xf>
    <xf numFmtId="0" fontId="0" fillId="0" borderId="30" xfId="0" applyBorder="1"/>
    <xf numFmtId="2" fontId="0" fillId="0" borderId="3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9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3" borderId="19" xfId="0" applyFill="1" applyBorder="1"/>
    <xf numFmtId="0" fontId="0" fillId="3" borderId="20" xfId="0" applyFill="1" applyBorder="1"/>
    <xf numFmtId="0" fontId="0" fillId="3" borderId="0" xfId="0" applyFill="1"/>
    <xf numFmtId="0" fontId="0" fillId="3" borderId="12" xfId="0" applyFill="1" applyBorder="1"/>
    <xf numFmtId="0" fontId="0" fillId="3" borderId="0" xfId="0" applyFill="1" applyAlignment="1">
      <alignment horizontal="center"/>
    </xf>
    <xf numFmtId="0" fontId="0" fillId="3" borderId="12" xfId="0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9" fontId="0" fillId="3" borderId="12" xfId="0" applyNumberFormat="1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10" fontId="0" fillId="3" borderId="12" xfId="0" applyNumberFormat="1" applyFill="1" applyBorder="1" applyAlignment="1">
      <alignment horizontal="center"/>
    </xf>
    <xf numFmtId="9" fontId="0" fillId="3" borderId="13" xfId="0" applyNumberFormat="1" applyFill="1" applyBorder="1" applyAlignment="1">
      <alignment horizontal="center"/>
    </xf>
    <xf numFmtId="0" fontId="0" fillId="3" borderId="16" xfId="0" applyFill="1" applyBorder="1"/>
    <xf numFmtId="2" fontId="0" fillId="3" borderId="28" xfId="0" applyNumberFormat="1" applyFill="1" applyBorder="1" applyAlignment="1">
      <alignment horizontal="center"/>
    </xf>
    <xf numFmtId="0" fontId="0" fillId="3" borderId="31" xfId="0" applyFill="1" applyBorder="1"/>
    <xf numFmtId="0" fontId="3" fillId="0" borderId="5" xfId="0" applyFont="1" applyBorder="1"/>
    <xf numFmtId="0" fontId="3" fillId="0" borderId="2" xfId="0" applyFont="1" applyBorder="1"/>
    <xf numFmtId="0" fontId="0" fillId="3" borderId="34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0" fontId="0" fillId="3" borderId="26" xfId="0" applyFill="1" applyBorder="1"/>
    <xf numFmtId="0" fontId="3" fillId="2" borderId="2" xfId="0" applyFont="1" applyFill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3" borderId="29" xfId="0" applyFill="1" applyBorder="1"/>
    <xf numFmtId="2" fontId="0" fillId="3" borderId="15" xfId="0" applyNumberFormat="1" applyFill="1" applyBorder="1" applyAlignment="1">
      <alignment horizontal="center"/>
    </xf>
    <xf numFmtId="0" fontId="0" fillId="3" borderId="28" xfId="0" applyFill="1" applyBorder="1"/>
    <xf numFmtId="0" fontId="0" fillId="3" borderId="16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1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3" borderId="13" xfId="0" applyFill="1" applyBorder="1"/>
    <xf numFmtId="1" fontId="0" fillId="0" borderId="1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44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35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33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0" borderId="0" xfId="0" applyFont="1"/>
    <xf numFmtId="0" fontId="7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F6DA-9115-4644-9111-FD472D97ACFE}">
  <dimension ref="A1:O50"/>
  <sheetViews>
    <sheetView zoomScale="92" workbookViewId="0">
      <selection activeCell="F42" sqref="F42"/>
    </sheetView>
  </sheetViews>
  <sheetFormatPr baseColWidth="10" defaultRowHeight="16" x14ac:dyDescent="0.2"/>
  <cols>
    <col min="1" max="1" width="39.33203125" style="1" customWidth="1"/>
    <col min="2" max="2" width="24.1640625" style="1" customWidth="1"/>
    <col min="3" max="3" width="30.83203125" style="1" customWidth="1"/>
    <col min="4" max="4" width="28.1640625" style="1" customWidth="1"/>
    <col min="5" max="5" width="12.6640625" style="1" customWidth="1"/>
    <col min="6" max="6" width="17.83203125" style="1" customWidth="1"/>
    <col min="7" max="7" width="22" style="1" customWidth="1"/>
    <col min="8" max="8" width="32.1640625" style="1" customWidth="1"/>
    <col min="9" max="9" width="23.6640625" style="1" customWidth="1"/>
    <col min="10" max="10" width="40" style="1" customWidth="1"/>
    <col min="11" max="11" width="36" style="1" customWidth="1"/>
    <col min="12" max="12" width="48.1640625" style="1" customWidth="1"/>
    <col min="13" max="13" width="35.1640625" style="1" customWidth="1"/>
    <col min="14" max="14" width="26.33203125" style="1" customWidth="1"/>
    <col min="15" max="15" width="24.6640625" style="1" customWidth="1"/>
    <col min="16" max="16384" width="10.83203125" style="1"/>
  </cols>
  <sheetData>
    <row r="1" spans="1:15" x14ac:dyDescent="0.2">
      <c r="A1" s="130" t="s">
        <v>132</v>
      </c>
      <c r="B1" s="132"/>
      <c r="C1" s="132"/>
      <c r="D1" s="132"/>
      <c r="E1" s="132"/>
      <c r="F1" s="132"/>
      <c r="G1" s="132"/>
      <c r="H1" s="132"/>
      <c r="I1" s="131"/>
      <c r="J1" s="130" t="s">
        <v>133</v>
      </c>
      <c r="K1" s="132"/>
      <c r="L1" s="132"/>
      <c r="M1" s="130" t="s">
        <v>134</v>
      </c>
      <c r="N1" s="131"/>
      <c r="O1" s="83" t="s">
        <v>137</v>
      </c>
    </row>
    <row r="2" spans="1:15" ht="17" thickBot="1" x14ac:dyDescent="0.25">
      <c r="A2" s="84" t="s">
        <v>128</v>
      </c>
      <c r="B2" s="88" t="s">
        <v>118</v>
      </c>
      <c r="C2" s="85" t="s">
        <v>120</v>
      </c>
      <c r="D2" s="85" t="s">
        <v>131</v>
      </c>
      <c r="E2" s="85" t="s">
        <v>125</v>
      </c>
      <c r="F2" s="85" t="s">
        <v>129</v>
      </c>
      <c r="G2" s="85" t="s">
        <v>117</v>
      </c>
      <c r="H2" s="85" t="s">
        <v>130</v>
      </c>
      <c r="I2" s="86" t="s">
        <v>140</v>
      </c>
      <c r="J2" s="84" t="s">
        <v>158</v>
      </c>
      <c r="K2" s="85" t="s">
        <v>161</v>
      </c>
      <c r="L2" s="85" t="s">
        <v>162</v>
      </c>
      <c r="M2" s="84" t="s">
        <v>163</v>
      </c>
      <c r="N2" s="86" t="s">
        <v>164</v>
      </c>
      <c r="O2" s="86" t="s">
        <v>138</v>
      </c>
    </row>
    <row r="3" spans="1:15" x14ac:dyDescent="0.2">
      <c r="A3" s="74" t="s">
        <v>116</v>
      </c>
      <c r="B3" s="7" t="s">
        <v>127</v>
      </c>
      <c r="C3" s="1" t="s">
        <v>171</v>
      </c>
      <c r="D3" s="1">
        <v>2800</v>
      </c>
      <c r="E3" s="1">
        <v>60</v>
      </c>
      <c r="F3" s="1">
        <v>63</v>
      </c>
      <c r="G3" s="1">
        <v>250</v>
      </c>
      <c r="H3" s="1">
        <v>60</v>
      </c>
      <c r="I3" s="75">
        <v>140</v>
      </c>
      <c r="J3" s="74">
        <v>76</v>
      </c>
      <c r="K3" s="1">
        <v>43.5</v>
      </c>
      <c r="L3" s="1">
        <v>182.5</v>
      </c>
      <c r="M3" s="74">
        <v>23</v>
      </c>
      <c r="N3" s="75">
        <v>45</v>
      </c>
      <c r="O3" s="75">
        <v>6.5</v>
      </c>
    </row>
    <row r="4" spans="1:15" x14ac:dyDescent="0.2">
      <c r="A4" s="74" t="s">
        <v>115</v>
      </c>
      <c r="B4" s="7" t="s">
        <v>119</v>
      </c>
      <c r="C4" s="1" t="s">
        <v>126</v>
      </c>
      <c r="D4" s="1">
        <v>2210</v>
      </c>
      <c r="E4" s="1">
        <v>35.799999999999997</v>
      </c>
      <c r="F4" s="1">
        <v>44.5</v>
      </c>
      <c r="G4" s="1">
        <v>200</v>
      </c>
      <c r="H4" s="1">
        <v>50</v>
      </c>
      <c r="I4" s="75">
        <v>140</v>
      </c>
      <c r="J4" s="74">
        <v>44</v>
      </c>
      <c r="K4" s="1">
        <v>26</v>
      </c>
      <c r="L4" s="1">
        <v>168</v>
      </c>
      <c r="M4" s="74">
        <v>18</v>
      </c>
      <c r="N4" s="75">
        <v>45</v>
      </c>
      <c r="O4" s="75">
        <v>5</v>
      </c>
    </row>
    <row r="5" spans="1:15" x14ac:dyDescent="0.2">
      <c r="A5" s="74" t="s">
        <v>122</v>
      </c>
      <c r="B5" s="7" t="s">
        <v>121</v>
      </c>
      <c r="C5" s="1" t="s">
        <v>126</v>
      </c>
      <c r="D5" s="1">
        <v>2244</v>
      </c>
      <c r="E5" s="1">
        <v>28.65</v>
      </c>
      <c r="F5" s="1">
        <v>31.7</v>
      </c>
      <c r="G5" s="1">
        <v>76</v>
      </c>
      <c r="H5" s="1">
        <v>45</v>
      </c>
      <c r="I5" s="75">
        <v>120</v>
      </c>
      <c r="J5" s="74">
        <v>44</v>
      </c>
      <c r="K5" s="1">
        <v>26</v>
      </c>
      <c r="L5" s="1">
        <v>168</v>
      </c>
      <c r="M5" s="74">
        <v>18</v>
      </c>
      <c r="N5" s="75">
        <v>45</v>
      </c>
      <c r="O5" s="75">
        <v>5</v>
      </c>
    </row>
    <row r="6" spans="1:15" x14ac:dyDescent="0.2">
      <c r="A6" s="74" t="s">
        <v>114</v>
      </c>
      <c r="B6" s="89" t="s">
        <v>123</v>
      </c>
      <c r="C6" s="1" t="s">
        <v>124</v>
      </c>
      <c r="D6" s="1">
        <v>1292</v>
      </c>
      <c r="E6" s="1">
        <v>13.4</v>
      </c>
      <c r="F6" s="1">
        <v>16.8</v>
      </c>
      <c r="G6" s="1">
        <v>8</v>
      </c>
      <c r="H6" s="1">
        <v>40</v>
      </c>
      <c r="I6" s="75">
        <v>90</v>
      </c>
      <c r="J6" s="74">
        <v>23</v>
      </c>
      <c r="K6" s="1">
        <v>15.5</v>
      </c>
      <c r="L6" s="1">
        <v>157.5</v>
      </c>
      <c r="M6" s="74">
        <v>7.5</v>
      </c>
      <c r="N6" s="75">
        <v>30</v>
      </c>
      <c r="O6" s="75">
        <v>6.5</v>
      </c>
    </row>
    <row r="7" spans="1:15" ht="17" thickBot="1" x14ac:dyDescent="0.25">
      <c r="A7" s="79" t="s">
        <v>251</v>
      </c>
      <c r="B7" s="96"/>
      <c r="C7" s="80" t="s">
        <v>220</v>
      </c>
      <c r="D7" s="80" t="s">
        <v>139</v>
      </c>
      <c r="E7" s="80" t="s">
        <v>139</v>
      </c>
      <c r="F7" s="80" t="s">
        <v>139</v>
      </c>
      <c r="G7" s="80" t="s">
        <v>139</v>
      </c>
      <c r="H7" s="80" t="s">
        <v>29</v>
      </c>
      <c r="I7" s="81" t="s">
        <v>139</v>
      </c>
      <c r="J7" s="133" t="s">
        <v>221</v>
      </c>
      <c r="K7" s="134"/>
      <c r="L7" s="80" t="s">
        <v>222</v>
      </c>
      <c r="M7" s="79" t="s">
        <v>223</v>
      </c>
      <c r="N7" s="82" t="s">
        <v>227</v>
      </c>
      <c r="O7" s="81" t="s">
        <v>219</v>
      </c>
    </row>
    <row r="8" spans="1:15" ht="17" thickBot="1" x14ac:dyDescent="0.25"/>
    <row r="9" spans="1:15" ht="17" thickBot="1" x14ac:dyDescent="0.25">
      <c r="A9" s="91" t="s">
        <v>160</v>
      </c>
      <c r="B9" s="92" t="s">
        <v>127</v>
      </c>
      <c r="C9" s="93" t="s">
        <v>171</v>
      </c>
      <c r="D9" s="93">
        <f>D3</f>
        <v>2800</v>
      </c>
      <c r="E9" s="93">
        <v>60</v>
      </c>
      <c r="F9" s="93">
        <v>63</v>
      </c>
      <c r="G9" s="93">
        <v>250</v>
      </c>
      <c r="H9" s="93">
        <v>60</v>
      </c>
      <c r="I9" s="93">
        <v>140</v>
      </c>
      <c r="J9" s="94">
        <f>J3</f>
        <v>76</v>
      </c>
      <c r="K9" s="93">
        <f>K3</f>
        <v>43.5</v>
      </c>
      <c r="L9" s="93">
        <f>L3</f>
        <v>182.5</v>
      </c>
      <c r="M9" s="94">
        <f>M3</f>
        <v>23</v>
      </c>
      <c r="N9" s="95">
        <f>N3</f>
        <v>45</v>
      </c>
      <c r="O9" s="95">
        <v>6.5</v>
      </c>
    </row>
    <row r="10" spans="1:15" ht="17" thickBot="1" x14ac:dyDescent="0.25"/>
    <row r="11" spans="1:15" ht="17" thickBot="1" x14ac:dyDescent="0.25">
      <c r="A11" s="130" t="s">
        <v>209</v>
      </c>
      <c r="B11" s="132"/>
      <c r="C11" s="132"/>
      <c r="D11" s="132"/>
      <c r="E11" s="131"/>
      <c r="H11" s="130" t="s">
        <v>211</v>
      </c>
      <c r="I11" s="132"/>
      <c r="J11" s="132"/>
      <c r="K11" s="132"/>
      <c r="L11" s="131"/>
      <c r="M11"/>
    </row>
    <row r="12" spans="1:15" ht="17" thickBot="1" x14ac:dyDescent="0.25">
      <c r="A12" s="84" t="s">
        <v>128</v>
      </c>
      <c r="B12" s="88" t="s">
        <v>116</v>
      </c>
      <c r="C12" s="85" t="s">
        <v>115</v>
      </c>
      <c r="D12" s="85" t="s">
        <v>122</v>
      </c>
      <c r="E12" s="86" t="s">
        <v>114</v>
      </c>
      <c r="F12" s="95" t="s">
        <v>143</v>
      </c>
      <c r="H12" s="84" t="s">
        <v>141</v>
      </c>
      <c r="I12" s="88">
        <f>I3</f>
        <v>140</v>
      </c>
      <c r="J12" s="85">
        <f>I4</f>
        <v>140</v>
      </c>
      <c r="K12" s="85">
        <f>I5</f>
        <v>120</v>
      </c>
      <c r="L12" s="86">
        <f>I6</f>
        <v>90</v>
      </c>
      <c r="M12" s="90" t="s">
        <v>143</v>
      </c>
    </row>
    <row r="13" spans="1:15" x14ac:dyDescent="0.2">
      <c r="A13" s="74" t="s">
        <v>116</v>
      </c>
      <c r="B13" s="7">
        <v>4</v>
      </c>
      <c r="C13" s="138">
        <v>5</v>
      </c>
      <c r="D13" s="138">
        <v>5.5</v>
      </c>
      <c r="E13" s="75">
        <v>6</v>
      </c>
      <c r="H13" s="74">
        <f>I3</f>
        <v>140</v>
      </c>
      <c r="I13" s="71">
        <f>IF($H13&gt;I$12,MAX(3600*((5+B13)/I$12 - 5/$H13), $H3), MAX(3600*B13/I$12, $H3))</f>
        <v>102.85714285714286</v>
      </c>
      <c r="J13" s="99">
        <f t="shared" ref="J13:L13" si="0">IF($H13&gt;J$12,MAX(3600*((5+C13)/J$12 - 5/$H13), $H3), MAX(3600*C13/J$12, $H3))</f>
        <v>128.57142857142858</v>
      </c>
      <c r="K13" s="99">
        <f t="shared" si="0"/>
        <v>186.42857142857142</v>
      </c>
      <c r="L13" s="100">
        <f t="shared" si="0"/>
        <v>311.42857142857144</v>
      </c>
    </row>
    <row r="14" spans="1:15" x14ac:dyDescent="0.2">
      <c r="A14" s="74" t="s">
        <v>115</v>
      </c>
      <c r="B14" s="7">
        <v>3</v>
      </c>
      <c r="C14" s="138">
        <v>3</v>
      </c>
      <c r="D14" s="138">
        <v>4</v>
      </c>
      <c r="E14" s="75">
        <v>5</v>
      </c>
      <c r="H14" s="74">
        <f>I4</f>
        <v>140</v>
      </c>
      <c r="I14" s="71">
        <f t="shared" ref="I14:I16" si="1">IF($H14&gt;I$12,MAX(3600*((5+B14)/I$12 - 5/$H14), $H4), MAX(3600*B14/I$12, $H4))</f>
        <v>77.142857142857139</v>
      </c>
      <c r="J14" s="99">
        <f t="shared" ref="J14:J16" si="2">IF($H14&gt;J$12,MAX(3600*((5+C14)/J$12 - 5/$H14), $H4), MAX(3600*C14/J$12, $H4))</f>
        <v>77.142857142857139</v>
      </c>
      <c r="K14" s="99">
        <f t="shared" ref="K14:K16" si="3">IF($H14&gt;K$12,MAX(3600*((5+D14)/K$12 - 5/$H14), $H4), MAX(3600*D14/K$12, $H4))</f>
        <v>141.42857142857142</v>
      </c>
      <c r="L14" s="100">
        <f t="shared" ref="L14:L16" si="4">IF($H14&gt;L$12,MAX(3600*((5+E14)/L$12 - 5/$H14), $H4), MAX(3600*E14/L$12, $H4))</f>
        <v>271.42857142857139</v>
      </c>
    </row>
    <row r="15" spans="1:15" x14ac:dyDescent="0.2">
      <c r="A15" s="74" t="s">
        <v>122</v>
      </c>
      <c r="B15" s="7">
        <v>3</v>
      </c>
      <c r="C15" s="138">
        <v>3</v>
      </c>
      <c r="D15" s="138">
        <v>3.5</v>
      </c>
      <c r="E15" s="75">
        <v>4</v>
      </c>
      <c r="H15" s="74">
        <f>I5</f>
        <v>120</v>
      </c>
      <c r="I15" s="71">
        <f t="shared" si="1"/>
        <v>77.142857142857139</v>
      </c>
      <c r="J15" s="99">
        <f t="shared" si="2"/>
        <v>77.142857142857139</v>
      </c>
      <c r="K15" s="99">
        <f t="shared" si="3"/>
        <v>105</v>
      </c>
      <c r="L15" s="100">
        <f t="shared" si="4"/>
        <v>210.00000000000003</v>
      </c>
    </row>
    <row r="16" spans="1:15" ht="17" thickBot="1" x14ac:dyDescent="0.25">
      <c r="A16" s="76" t="s">
        <v>114</v>
      </c>
      <c r="B16" s="8">
        <v>3</v>
      </c>
      <c r="C16" s="77">
        <v>3</v>
      </c>
      <c r="D16" s="77">
        <v>3</v>
      </c>
      <c r="E16" s="78">
        <v>3</v>
      </c>
      <c r="H16" s="76">
        <f>I6</f>
        <v>90</v>
      </c>
      <c r="I16" s="103">
        <f t="shared" si="1"/>
        <v>77.142857142857139</v>
      </c>
      <c r="J16" s="101">
        <f t="shared" si="2"/>
        <v>77.142857142857139</v>
      </c>
      <c r="K16" s="101">
        <f t="shared" si="3"/>
        <v>90</v>
      </c>
      <c r="L16" s="102">
        <f t="shared" si="4"/>
        <v>120</v>
      </c>
    </row>
    <row r="17" spans="1:13" ht="17" thickBot="1" x14ac:dyDescent="0.25">
      <c r="A17" s="90" t="s">
        <v>142</v>
      </c>
      <c r="E17" s="137"/>
      <c r="H17" s="90" t="s">
        <v>142</v>
      </c>
    </row>
    <row r="18" spans="1:13" ht="17" thickBot="1" x14ac:dyDescent="0.25"/>
    <row r="19" spans="1:13" ht="17" thickBot="1" x14ac:dyDescent="0.25">
      <c r="A19" s="130" t="s">
        <v>224</v>
      </c>
      <c r="B19" s="132"/>
      <c r="C19" s="132"/>
      <c r="D19" s="132"/>
      <c r="E19" s="131"/>
      <c r="H19" s="130" t="s">
        <v>213</v>
      </c>
      <c r="I19" s="132"/>
      <c r="J19" s="132"/>
      <c r="K19" s="132"/>
      <c r="L19" s="131"/>
      <c r="M19"/>
    </row>
    <row r="20" spans="1:13" ht="17" thickBot="1" x14ac:dyDescent="0.25">
      <c r="A20" s="84" t="s">
        <v>128</v>
      </c>
      <c r="B20" s="88" t="s">
        <v>116</v>
      </c>
      <c r="C20" s="85" t="s">
        <v>115</v>
      </c>
      <c r="D20" s="85" t="s">
        <v>122</v>
      </c>
      <c r="E20" s="86" t="s">
        <v>114</v>
      </c>
      <c r="F20" s="90" t="s">
        <v>143</v>
      </c>
      <c r="H20" s="84" t="s">
        <v>128</v>
      </c>
      <c r="I20" s="88" t="s">
        <v>116</v>
      </c>
      <c r="J20" s="85" t="s">
        <v>115</v>
      </c>
      <c r="K20" s="85" t="s">
        <v>122</v>
      </c>
      <c r="L20" s="86" t="s">
        <v>114</v>
      </c>
      <c r="M20" s="95" t="s">
        <v>143</v>
      </c>
    </row>
    <row r="21" spans="1:13" x14ac:dyDescent="0.2">
      <c r="A21" s="74" t="s">
        <v>116</v>
      </c>
      <c r="B21" s="7">
        <v>90</v>
      </c>
      <c r="C21" s="1">
        <v>120</v>
      </c>
      <c r="D21" s="1">
        <v>120</v>
      </c>
      <c r="E21" s="75">
        <v>120</v>
      </c>
      <c r="H21" s="74" t="s">
        <v>116</v>
      </c>
      <c r="I21" s="108">
        <f>B28*B28</f>
        <v>2.5000000000000005E-3</v>
      </c>
      <c r="J21" s="109">
        <f>B29*B28</f>
        <v>7.4999999999999997E-3</v>
      </c>
      <c r="K21" s="109">
        <f>B30*B28</f>
        <v>3.4999999999999996E-2</v>
      </c>
      <c r="L21" s="110">
        <f>B31*B28</f>
        <v>5.000000000000001E-3</v>
      </c>
    </row>
    <row r="22" spans="1:13" x14ac:dyDescent="0.2">
      <c r="A22" s="74" t="s">
        <v>115</v>
      </c>
      <c r="B22" s="7">
        <v>90</v>
      </c>
      <c r="C22" s="1">
        <v>90</v>
      </c>
      <c r="D22" s="1">
        <v>90</v>
      </c>
      <c r="E22" s="75">
        <v>90</v>
      </c>
      <c r="H22" s="74" t="s">
        <v>115</v>
      </c>
      <c r="I22" s="108">
        <f>B28*B29</f>
        <v>7.4999999999999997E-3</v>
      </c>
      <c r="J22" s="109">
        <f>B29*B29</f>
        <v>2.2499999999999999E-2</v>
      </c>
      <c r="K22" s="109">
        <f>B30*B29</f>
        <v>0.105</v>
      </c>
      <c r="L22" s="110">
        <f>B31*B29</f>
        <v>1.4999999999999999E-2</v>
      </c>
    </row>
    <row r="23" spans="1:13" x14ac:dyDescent="0.2">
      <c r="A23" s="74" t="s">
        <v>122</v>
      </c>
      <c r="B23" s="7">
        <v>90</v>
      </c>
      <c r="C23" s="1">
        <v>90</v>
      </c>
      <c r="D23" s="1">
        <v>90</v>
      </c>
      <c r="E23" s="75">
        <v>90</v>
      </c>
      <c r="H23" s="74" t="s">
        <v>122</v>
      </c>
      <c r="I23" s="108">
        <f>B30*B28</f>
        <v>3.4999999999999996E-2</v>
      </c>
      <c r="J23" s="109">
        <f>B29*B30</f>
        <v>0.105</v>
      </c>
      <c r="K23" s="109">
        <f>B30*B30</f>
        <v>0.48999999999999994</v>
      </c>
      <c r="L23" s="110">
        <f>B31*B30</f>
        <v>6.9999999999999993E-2</v>
      </c>
    </row>
    <row r="24" spans="1:13" ht="17" thickBot="1" x14ac:dyDescent="0.25">
      <c r="A24" s="76" t="s">
        <v>114</v>
      </c>
      <c r="B24" s="8">
        <v>90</v>
      </c>
      <c r="C24" s="77">
        <v>90</v>
      </c>
      <c r="D24" s="77">
        <v>90</v>
      </c>
      <c r="E24" s="78">
        <v>90</v>
      </c>
      <c r="H24" s="76" t="s">
        <v>114</v>
      </c>
      <c r="I24" s="111">
        <f>B31*B28</f>
        <v>5.000000000000001E-3</v>
      </c>
      <c r="J24" s="112">
        <f>B29*B31</f>
        <v>1.4999999999999999E-2</v>
      </c>
      <c r="K24" s="112">
        <f>B30*B31</f>
        <v>6.9999999999999993E-2</v>
      </c>
      <c r="L24" s="113">
        <f>B31*B31</f>
        <v>1.0000000000000002E-2</v>
      </c>
    </row>
    <row r="25" spans="1:13" ht="17" thickBot="1" x14ac:dyDescent="0.25">
      <c r="A25" s="90" t="s">
        <v>142</v>
      </c>
      <c r="E25" s="137"/>
      <c r="H25" s="104" t="s">
        <v>142</v>
      </c>
    </row>
    <row r="26" spans="1:13" ht="17" thickBot="1" x14ac:dyDescent="0.25"/>
    <row r="27" spans="1:13" ht="17" thickBot="1" x14ac:dyDescent="0.25">
      <c r="A27" s="18" t="s">
        <v>128</v>
      </c>
      <c r="B27" s="42" t="s">
        <v>135</v>
      </c>
      <c r="H27" s="130" t="s">
        <v>214</v>
      </c>
      <c r="I27" s="132"/>
      <c r="J27" s="132"/>
      <c r="K27" s="132"/>
      <c r="L27" s="131"/>
    </row>
    <row r="28" spans="1:13" ht="17" thickBot="1" x14ac:dyDescent="0.25">
      <c r="A28" s="74" t="s">
        <v>116</v>
      </c>
      <c r="B28" s="97">
        <v>0.05</v>
      </c>
      <c r="H28" s="105" t="s">
        <v>128</v>
      </c>
      <c r="I28" s="114" t="s">
        <v>116</v>
      </c>
      <c r="J28" s="115" t="s">
        <v>115</v>
      </c>
      <c r="K28" s="115" t="s">
        <v>122</v>
      </c>
      <c r="L28" s="116" t="s">
        <v>114</v>
      </c>
      <c r="M28" s="95" t="s">
        <v>143</v>
      </c>
    </row>
    <row r="29" spans="1:13" x14ac:dyDescent="0.2">
      <c r="A29" s="74" t="s">
        <v>115</v>
      </c>
      <c r="B29" s="97">
        <v>0.15</v>
      </c>
      <c r="H29" s="87" t="s">
        <v>116</v>
      </c>
      <c r="I29" s="117">
        <f>I21*I13</f>
        <v>0.25714285714285723</v>
      </c>
      <c r="J29" s="106">
        <f t="shared" ref="J29:L29" si="5">J21*J13</f>
        <v>0.9642857142857143</v>
      </c>
      <c r="K29" s="106">
        <f t="shared" si="5"/>
        <v>6.5249999999999986</v>
      </c>
      <c r="L29" s="107">
        <f t="shared" si="5"/>
        <v>1.5571428571428576</v>
      </c>
    </row>
    <row r="30" spans="1:13" x14ac:dyDescent="0.2">
      <c r="A30" s="74" t="s">
        <v>122</v>
      </c>
      <c r="B30" s="97">
        <v>0.7</v>
      </c>
      <c r="H30" s="74" t="s">
        <v>115</v>
      </c>
      <c r="I30" s="118">
        <f t="shared" ref="I30:L30" si="6">I22*I14</f>
        <v>0.57857142857142851</v>
      </c>
      <c r="J30" s="99">
        <f t="shared" si="6"/>
        <v>1.7357142857142855</v>
      </c>
      <c r="K30" s="99">
        <f t="shared" si="6"/>
        <v>14.849999999999998</v>
      </c>
      <c r="L30" s="100">
        <f t="shared" si="6"/>
        <v>4.0714285714285703</v>
      </c>
    </row>
    <row r="31" spans="1:13" ht="17" thickBot="1" x14ac:dyDescent="0.25">
      <c r="A31" s="76" t="s">
        <v>114</v>
      </c>
      <c r="B31" s="98">
        <v>0.1</v>
      </c>
      <c r="H31" s="74" t="s">
        <v>122</v>
      </c>
      <c r="I31" s="118">
        <f t="shared" ref="I31:L31" si="7">I23*I15</f>
        <v>2.6999999999999997</v>
      </c>
      <c r="J31" s="99">
        <f t="shared" si="7"/>
        <v>8.1</v>
      </c>
      <c r="K31" s="99">
        <f t="shared" si="7"/>
        <v>51.449999999999996</v>
      </c>
      <c r="L31" s="100">
        <f t="shared" si="7"/>
        <v>14.700000000000001</v>
      </c>
    </row>
    <row r="32" spans="1:13" ht="17" thickBot="1" x14ac:dyDescent="0.25">
      <c r="B32" s="141" t="s">
        <v>29</v>
      </c>
      <c r="H32" s="76" t="s">
        <v>114</v>
      </c>
      <c r="I32" s="119">
        <f t="shared" ref="I32:L32" si="8">I24*I16</f>
        <v>0.38571428571428579</v>
      </c>
      <c r="J32" s="101">
        <f t="shared" si="8"/>
        <v>1.157142857142857</v>
      </c>
      <c r="K32" s="101">
        <f t="shared" si="8"/>
        <v>6.2999999999999989</v>
      </c>
      <c r="L32" s="102">
        <f t="shared" si="8"/>
        <v>1.2000000000000002</v>
      </c>
    </row>
    <row r="33" spans="1:13" ht="17" thickBot="1" x14ac:dyDescent="0.25">
      <c r="H33" s="104" t="s">
        <v>142</v>
      </c>
    </row>
    <row r="34" spans="1:13" ht="17" thickBot="1" x14ac:dyDescent="0.25">
      <c r="A34" s="18" t="s">
        <v>144</v>
      </c>
      <c r="B34" s="42" t="s">
        <v>145</v>
      </c>
    </row>
    <row r="35" spans="1:13" ht="17" thickBot="1" x14ac:dyDescent="0.25">
      <c r="A35" s="74" t="s">
        <v>146</v>
      </c>
      <c r="B35" s="10">
        <f>3600/SUM(I29:L32)</f>
        <v>30.892764105550278</v>
      </c>
      <c r="H35" s="130" t="s">
        <v>215</v>
      </c>
      <c r="I35" s="132"/>
      <c r="J35" s="132"/>
      <c r="K35" s="132"/>
      <c r="L35" s="131"/>
    </row>
    <row r="36" spans="1:13" ht="17" thickBot="1" x14ac:dyDescent="0.25">
      <c r="A36" s="74" t="s">
        <v>147</v>
      </c>
      <c r="B36" s="10">
        <f>3600/SUM(I37:L40)</f>
        <v>39.376538146021339</v>
      </c>
      <c r="H36" s="105" t="s">
        <v>128</v>
      </c>
      <c r="I36" s="114" t="s">
        <v>116</v>
      </c>
      <c r="J36" s="115" t="s">
        <v>115</v>
      </c>
      <c r="K36" s="115" t="s">
        <v>122</v>
      </c>
      <c r="L36" s="116" t="s">
        <v>114</v>
      </c>
      <c r="M36" s="95" t="s">
        <v>143</v>
      </c>
    </row>
    <row r="37" spans="1:13" ht="17" thickBot="1" x14ac:dyDescent="0.25">
      <c r="A37" s="76" t="s">
        <v>148</v>
      </c>
      <c r="B37" s="11">
        <f>B35/2 + B36/2</f>
        <v>35.134651125785808</v>
      </c>
      <c r="H37" s="87" t="s">
        <v>116</v>
      </c>
      <c r="I37" s="117">
        <f>I21*B21</f>
        <v>0.22500000000000003</v>
      </c>
      <c r="J37" s="106">
        <f t="shared" ref="J37:L39" si="9">J21*C21</f>
        <v>0.89999999999999991</v>
      </c>
      <c r="K37" s="106">
        <f t="shared" si="9"/>
        <v>4.1999999999999993</v>
      </c>
      <c r="L37" s="107">
        <f t="shared" si="9"/>
        <v>0.60000000000000009</v>
      </c>
    </row>
    <row r="38" spans="1:13" ht="17" thickBot="1" x14ac:dyDescent="0.25">
      <c r="H38" s="74" t="s">
        <v>115</v>
      </c>
      <c r="I38" s="118">
        <f t="shared" ref="I38:I39" si="10">I22*B22</f>
        <v>0.67499999999999993</v>
      </c>
      <c r="J38" s="99">
        <f t="shared" si="9"/>
        <v>2.0249999999999999</v>
      </c>
      <c r="K38" s="99">
        <f t="shared" si="9"/>
        <v>9.4499999999999993</v>
      </c>
      <c r="L38" s="100">
        <f t="shared" si="9"/>
        <v>1.3499999999999999</v>
      </c>
    </row>
    <row r="39" spans="1:13" x14ac:dyDescent="0.2">
      <c r="A39" s="20" t="s">
        <v>159</v>
      </c>
      <c r="B39" s="120" t="s">
        <v>226</v>
      </c>
      <c r="C39" s="123" t="s">
        <v>154</v>
      </c>
      <c r="D39" s="139" t="s">
        <v>229</v>
      </c>
      <c r="H39" s="74" t="s">
        <v>122</v>
      </c>
      <c r="I39" s="118">
        <f t="shared" si="10"/>
        <v>3.1499999999999995</v>
      </c>
      <c r="J39" s="99">
        <f t="shared" si="9"/>
        <v>9.4499999999999993</v>
      </c>
      <c r="K39" s="99">
        <f t="shared" si="9"/>
        <v>44.099999999999994</v>
      </c>
      <c r="L39" s="100">
        <f t="shared" si="9"/>
        <v>6.2999999999999989</v>
      </c>
    </row>
    <row r="40" spans="1:13" ht="17" thickBot="1" x14ac:dyDescent="0.25">
      <c r="A40" s="121" t="s">
        <v>158</v>
      </c>
      <c r="B40" s="122">
        <f>J9</f>
        <v>76</v>
      </c>
      <c r="C40" s="158"/>
      <c r="D40" s="5">
        <v>80</v>
      </c>
      <c r="H40" s="76" t="s">
        <v>114</v>
      </c>
      <c r="I40" s="119">
        <f>I24*B24</f>
        <v>0.45000000000000007</v>
      </c>
      <c r="J40" s="101">
        <f>J24*C24</f>
        <v>1.3499999999999999</v>
      </c>
      <c r="K40" s="101">
        <f>K24*D24</f>
        <v>6.2999999999999989</v>
      </c>
      <c r="L40" s="102">
        <f>L24*E24</f>
        <v>0.90000000000000013</v>
      </c>
    </row>
    <row r="41" spans="1:13" ht="17" thickBot="1" x14ac:dyDescent="0.25">
      <c r="A41" s="121" t="s">
        <v>165</v>
      </c>
      <c r="B41" s="122">
        <f>K9</f>
        <v>43.5</v>
      </c>
      <c r="C41" s="158"/>
      <c r="D41" s="5">
        <v>45</v>
      </c>
      <c r="H41" s="90" t="s">
        <v>142</v>
      </c>
    </row>
    <row r="42" spans="1:13" x14ac:dyDescent="0.2">
      <c r="A42" s="121" t="s">
        <v>166</v>
      </c>
      <c r="B42" s="122">
        <f>L9</f>
        <v>182.5</v>
      </c>
      <c r="C42" s="158"/>
      <c r="D42" s="5">
        <v>290</v>
      </c>
      <c r="H42" s="138"/>
      <c r="I42" s="140"/>
      <c r="J42" s="140"/>
      <c r="K42" s="140"/>
      <c r="L42" s="140"/>
    </row>
    <row r="43" spans="1:13" x14ac:dyDescent="0.2">
      <c r="A43" s="121" t="s">
        <v>167</v>
      </c>
      <c r="B43" s="122">
        <f>M9</f>
        <v>23</v>
      </c>
      <c r="C43" s="158"/>
      <c r="D43" s="5">
        <v>80</v>
      </c>
      <c r="H43" s="138"/>
      <c r="I43" s="140"/>
      <c r="J43" s="140"/>
      <c r="K43" s="140"/>
      <c r="L43" s="140"/>
    </row>
    <row r="44" spans="1:13" x14ac:dyDescent="0.2">
      <c r="A44" s="121" t="s">
        <v>168</v>
      </c>
      <c r="B44" s="122">
        <f>N9</f>
        <v>45</v>
      </c>
      <c r="C44" s="158"/>
      <c r="D44" s="5">
        <v>80</v>
      </c>
      <c r="H44" s="138"/>
      <c r="I44" s="140"/>
      <c r="J44" s="140"/>
      <c r="K44" s="140"/>
      <c r="L44" s="140"/>
    </row>
    <row r="45" spans="1:13" x14ac:dyDescent="0.2">
      <c r="A45" s="1" t="s">
        <v>252</v>
      </c>
      <c r="B45" s="12">
        <f>D9</f>
        <v>2800</v>
      </c>
      <c r="D45" s="5">
        <v>4120</v>
      </c>
    </row>
    <row r="46" spans="1:13" x14ac:dyDescent="0.2">
      <c r="A46" s="74" t="s">
        <v>149</v>
      </c>
      <c r="B46" s="12">
        <f>F9+22</f>
        <v>85</v>
      </c>
      <c r="C46" s="138" t="s">
        <v>228</v>
      </c>
      <c r="D46" s="5">
        <v>80</v>
      </c>
    </row>
    <row r="47" spans="1:13" x14ac:dyDescent="0.2">
      <c r="A47" s="74" t="s">
        <v>150</v>
      </c>
      <c r="B47" s="12">
        <v>10</v>
      </c>
      <c r="C47" s="138"/>
      <c r="D47" s="5">
        <v>10</v>
      </c>
    </row>
    <row r="48" spans="1:13" x14ac:dyDescent="0.2">
      <c r="A48" s="74" t="s">
        <v>151</v>
      </c>
      <c r="B48" s="12">
        <f>E9+10</f>
        <v>70</v>
      </c>
      <c r="C48" s="138" t="s">
        <v>155</v>
      </c>
      <c r="D48" s="5">
        <v>90</v>
      </c>
    </row>
    <row r="49" spans="1:4" x14ac:dyDescent="0.2">
      <c r="A49" s="74" t="s">
        <v>153</v>
      </c>
      <c r="B49" s="12">
        <f>K9</f>
        <v>43.5</v>
      </c>
      <c r="C49" s="138" t="s">
        <v>156</v>
      </c>
      <c r="D49" s="5">
        <v>45</v>
      </c>
    </row>
    <row r="50" spans="1:4" ht="17" thickBot="1" x14ac:dyDescent="0.25">
      <c r="A50" s="76" t="s">
        <v>152</v>
      </c>
      <c r="B50" s="13">
        <f>E9+O9+3.5</f>
        <v>70</v>
      </c>
      <c r="C50" s="77" t="s">
        <v>157</v>
      </c>
      <c r="D50" s="6">
        <v>80</v>
      </c>
    </row>
  </sheetData>
  <mergeCells count="10">
    <mergeCell ref="H27:L27"/>
    <mergeCell ref="H35:L35"/>
    <mergeCell ref="A1:I1"/>
    <mergeCell ref="J1:L1"/>
    <mergeCell ref="M1:N1"/>
    <mergeCell ref="A11:E11"/>
    <mergeCell ref="J7:K7"/>
    <mergeCell ref="A19:E19"/>
    <mergeCell ref="H11:L11"/>
    <mergeCell ref="H19:L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2416-5D16-F444-8269-BFAF44525326}">
  <dimension ref="A1:G93"/>
  <sheetViews>
    <sheetView tabSelected="1" topLeftCell="A56" zoomScale="94" workbookViewId="0">
      <selection activeCell="B59" sqref="B59:B60"/>
    </sheetView>
  </sheetViews>
  <sheetFormatPr baseColWidth="10" defaultRowHeight="16" x14ac:dyDescent="0.2"/>
  <cols>
    <col min="1" max="1" width="12.33203125" customWidth="1"/>
    <col min="2" max="2" width="71.6640625" customWidth="1"/>
    <col min="3" max="3" width="26" customWidth="1"/>
    <col min="4" max="4" width="14.5" customWidth="1"/>
    <col min="5" max="5" width="24.1640625" customWidth="1"/>
    <col min="6" max="6" width="12.5" customWidth="1"/>
  </cols>
  <sheetData>
    <row r="1" spans="1:7" x14ac:dyDescent="0.2">
      <c r="B1" s="124" t="s">
        <v>39</v>
      </c>
      <c r="C1" s="125"/>
      <c r="D1" s="125"/>
      <c r="E1" s="126"/>
      <c r="F1" s="154"/>
      <c r="G1" s="150"/>
    </row>
    <row r="2" spans="1:7" ht="17" thickBot="1" x14ac:dyDescent="0.25">
      <c r="B2" s="14" t="s">
        <v>103</v>
      </c>
      <c r="C2" s="15" t="s">
        <v>19</v>
      </c>
      <c r="D2" s="16" t="s">
        <v>22</v>
      </c>
      <c r="E2" s="17" t="s">
        <v>18</v>
      </c>
      <c r="F2" s="70" t="s">
        <v>251</v>
      </c>
      <c r="G2" s="151"/>
    </row>
    <row r="3" spans="1:7" x14ac:dyDescent="0.2">
      <c r="A3" s="4">
        <v>1</v>
      </c>
      <c r="B3" s="2" t="s">
        <v>59</v>
      </c>
      <c r="C3" s="7">
        <v>39</v>
      </c>
      <c r="D3" s="12">
        <v>88.4</v>
      </c>
      <c r="E3" s="10">
        <f>C3/(D3/100)</f>
        <v>44.117647058823529</v>
      </c>
      <c r="F3" s="4" t="s">
        <v>178</v>
      </c>
    </row>
    <row r="4" spans="1:7" x14ac:dyDescent="0.2">
      <c r="A4" s="5">
        <v>2</v>
      </c>
      <c r="B4" s="2" t="s">
        <v>60</v>
      </c>
      <c r="C4" s="7">
        <v>93.5</v>
      </c>
      <c r="D4" s="12">
        <v>95</v>
      </c>
      <c r="E4" s="10">
        <f t="shared" ref="E4:E18" si="0">C4/(D4/100)</f>
        <v>98.421052631578945</v>
      </c>
      <c r="F4" s="5" t="s">
        <v>179</v>
      </c>
    </row>
    <row r="5" spans="1:7" x14ac:dyDescent="0.2">
      <c r="A5" s="5">
        <v>3</v>
      </c>
      <c r="B5" s="2" t="s">
        <v>61</v>
      </c>
      <c r="C5" s="7">
        <v>51.9</v>
      </c>
      <c r="D5" s="12">
        <v>79.900000000000006</v>
      </c>
      <c r="E5" s="10">
        <f t="shared" si="0"/>
        <v>64.956195244055067</v>
      </c>
      <c r="F5" s="5" t="s">
        <v>180</v>
      </c>
    </row>
    <row r="6" spans="1:7" x14ac:dyDescent="0.2">
      <c r="A6" s="5">
        <v>4</v>
      </c>
      <c r="B6" s="2" t="s">
        <v>62</v>
      </c>
      <c r="C6" s="7">
        <v>18</v>
      </c>
      <c r="D6" s="12">
        <v>84.1</v>
      </c>
      <c r="E6" s="10">
        <f t="shared" si="0"/>
        <v>21.403091557669441</v>
      </c>
      <c r="F6" s="5" t="s">
        <v>181</v>
      </c>
    </row>
    <row r="7" spans="1:7" x14ac:dyDescent="0.2">
      <c r="A7" s="5">
        <v>5</v>
      </c>
      <c r="B7" s="2" t="s">
        <v>63</v>
      </c>
      <c r="C7" s="7">
        <v>64.400000000000006</v>
      </c>
      <c r="D7" s="12">
        <v>75</v>
      </c>
      <c r="E7" s="10">
        <f t="shared" si="0"/>
        <v>85.866666666666674</v>
      </c>
      <c r="F7" s="5" t="s">
        <v>182</v>
      </c>
    </row>
    <row r="8" spans="1:7" x14ac:dyDescent="0.2">
      <c r="A8" s="5">
        <v>6</v>
      </c>
      <c r="B8" s="2" t="s">
        <v>64</v>
      </c>
      <c r="C8" s="7">
        <v>64.400000000000006</v>
      </c>
      <c r="D8" s="12">
        <v>82.8</v>
      </c>
      <c r="E8" s="10">
        <f t="shared" si="0"/>
        <v>77.777777777777786</v>
      </c>
      <c r="F8" s="5" t="s">
        <v>183</v>
      </c>
    </row>
    <row r="9" spans="1:7" x14ac:dyDescent="0.2">
      <c r="A9" s="5">
        <v>7</v>
      </c>
      <c r="B9" s="2" t="s">
        <v>65</v>
      </c>
      <c r="C9" s="7">
        <f>35.1+6.6</f>
        <v>41.7</v>
      </c>
      <c r="D9" s="12">
        <v>77.2</v>
      </c>
      <c r="E9" s="10">
        <f t="shared" si="0"/>
        <v>54.015544041450781</v>
      </c>
      <c r="F9" s="5" t="s">
        <v>184</v>
      </c>
    </row>
    <row r="10" spans="1:7" x14ac:dyDescent="0.2">
      <c r="A10" s="5">
        <v>8</v>
      </c>
      <c r="B10" s="2" t="s">
        <v>66</v>
      </c>
      <c r="C10" s="7">
        <v>22.8</v>
      </c>
      <c r="D10" s="12">
        <v>83.2</v>
      </c>
      <c r="E10" s="10">
        <f t="shared" si="0"/>
        <v>27.403846153846153</v>
      </c>
      <c r="F10" s="5" t="s">
        <v>185</v>
      </c>
    </row>
    <row r="11" spans="1:7" x14ac:dyDescent="0.2">
      <c r="A11" s="5">
        <v>9</v>
      </c>
      <c r="B11" s="2" t="s">
        <v>67</v>
      </c>
      <c r="C11" s="7">
        <v>18</v>
      </c>
      <c r="D11" s="12">
        <v>87</v>
      </c>
      <c r="E11" s="10">
        <f t="shared" si="0"/>
        <v>20.689655172413794</v>
      </c>
      <c r="F11" s="5" t="s">
        <v>186</v>
      </c>
    </row>
    <row r="12" spans="1:7" x14ac:dyDescent="0.2">
      <c r="A12" s="5">
        <v>10</v>
      </c>
      <c r="B12" s="2" t="s">
        <v>68</v>
      </c>
      <c r="C12" s="7">
        <v>40</v>
      </c>
      <c r="D12" s="12">
        <v>83</v>
      </c>
      <c r="E12" s="10">
        <f t="shared" si="0"/>
        <v>48.192771084337352</v>
      </c>
      <c r="F12" s="5" t="s">
        <v>187</v>
      </c>
    </row>
    <row r="13" spans="1:7" x14ac:dyDescent="0.2">
      <c r="A13" s="5">
        <v>11</v>
      </c>
      <c r="B13" s="2" t="s">
        <v>69</v>
      </c>
      <c r="C13" s="7">
        <v>46</v>
      </c>
      <c r="D13" s="12">
        <v>85.2</v>
      </c>
      <c r="E13" s="10">
        <f t="shared" si="0"/>
        <v>53.990610328638496</v>
      </c>
      <c r="F13" s="5" t="s">
        <v>230</v>
      </c>
    </row>
    <row r="14" spans="1:7" x14ac:dyDescent="0.2">
      <c r="A14" s="5">
        <v>12</v>
      </c>
      <c r="B14" s="2" t="s">
        <v>70</v>
      </c>
      <c r="C14" s="7">
        <v>51.8</v>
      </c>
      <c r="D14" s="12">
        <v>82.7</v>
      </c>
      <c r="E14" s="10">
        <f t="shared" si="0"/>
        <v>62.636033857315589</v>
      </c>
      <c r="F14" s="5" t="s">
        <v>190</v>
      </c>
    </row>
    <row r="15" spans="1:7" x14ac:dyDescent="0.2">
      <c r="A15" s="5">
        <v>13</v>
      </c>
      <c r="B15" s="2" t="s">
        <v>71</v>
      </c>
      <c r="C15" s="7">
        <v>16.100000000000001</v>
      </c>
      <c r="D15" s="12">
        <v>80</v>
      </c>
      <c r="E15" s="10">
        <f t="shared" si="0"/>
        <v>20.125</v>
      </c>
      <c r="F15" s="5" t="s">
        <v>191</v>
      </c>
    </row>
    <row r="16" spans="1:7" x14ac:dyDescent="0.2">
      <c r="A16" s="5">
        <v>14</v>
      </c>
      <c r="B16" s="2" t="s">
        <v>72</v>
      </c>
      <c r="C16" s="7">
        <v>19.8</v>
      </c>
      <c r="D16" s="12">
        <v>84.2</v>
      </c>
      <c r="E16" s="10">
        <f t="shared" si="0"/>
        <v>23.51543942992874</v>
      </c>
      <c r="F16" s="5" t="s">
        <v>192</v>
      </c>
    </row>
    <row r="17" spans="1:7" x14ac:dyDescent="0.2">
      <c r="A17" s="5">
        <v>15</v>
      </c>
      <c r="B17" s="2" t="s">
        <v>73</v>
      </c>
      <c r="C17" s="7">
        <v>155.30000000000001</v>
      </c>
      <c r="D17" s="12">
        <v>79.900000000000006</v>
      </c>
      <c r="E17" s="10">
        <f t="shared" si="0"/>
        <v>194.36795994993741</v>
      </c>
      <c r="F17" s="5" t="s">
        <v>193</v>
      </c>
    </row>
    <row r="18" spans="1:7" x14ac:dyDescent="0.2">
      <c r="A18" s="5">
        <v>16</v>
      </c>
      <c r="B18" s="2" t="s">
        <v>74</v>
      </c>
      <c r="C18" s="7">
        <v>115.6</v>
      </c>
      <c r="D18" s="12">
        <v>74.400000000000006</v>
      </c>
      <c r="E18" s="10">
        <f t="shared" si="0"/>
        <v>155.37634408602148</v>
      </c>
      <c r="F18" s="5" t="s">
        <v>195</v>
      </c>
    </row>
    <row r="19" spans="1:7" ht="17" thickBot="1" x14ac:dyDescent="0.25">
      <c r="A19" s="6">
        <v>17</v>
      </c>
      <c r="B19" s="3" t="s">
        <v>75</v>
      </c>
      <c r="C19" s="8">
        <v>164.7</v>
      </c>
      <c r="D19" s="13">
        <v>84.4</v>
      </c>
      <c r="E19" s="11">
        <f>C19/(D19/100)</f>
        <v>195.14218009478671</v>
      </c>
      <c r="F19" s="6" t="s">
        <v>196</v>
      </c>
    </row>
    <row r="20" spans="1:7" ht="17" thickBot="1" x14ac:dyDescent="0.25">
      <c r="A20" s="1"/>
      <c r="B20" s="14" t="s">
        <v>102</v>
      </c>
      <c r="C20" s="15" t="s">
        <v>19</v>
      </c>
      <c r="D20" s="16" t="s">
        <v>22</v>
      </c>
      <c r="E20" s="17" t="s">
        <v>18</v>
      </c>
      <c r="F20" s="153" t="s">
        <v>251</v>
      </c>
      <c r="G20" s="152"/>
    </row>
    <row r="21" spans="1:7" x14ac:dyDescent="0.2">
      <c r="A21" s="4">
        <v>18</v>
      </c>
      <c r="B21" s="2" t="s">
        <v>76</v>
      </c>
      <c r="C21" s="7">
        <v>226.4</v>
      </c>
      <c r="D21" s="12">
        <v>84.9</v>
      </c>
      <c r="E21" s="10">
        <f>C21/(D21/100)</f>
        <v>266.66666666666663</v>
      </c>
      <c r="F21" s="155" t="s">
        <v>197</v>
      </c>
    </row>
    <row r="22" spans="1:7" x14ac:dyDescent="0.2">
      <c r="A22" s="5">
        <v>19</v>
      </c>
      <c r="B22" s="2" t="s">
        <v>77</v>
      </c>
      <c r="C22" s="7">
        <v>200</v>
      </c>
      <c r="D22" s="12">
        <v>85</v>
      </c>
      <c r="E22" s="10">
        <f t="shared" ref="E22:E33" si="1">C22/(D22/100)</f>
        <v>235.29411764705884</v>
      </c>
      <c r="F22" s="156" t="s">
        <v>198</v>
      </c>
    </row>
    <row r="23" spans="1:7" x14ac:dyDescent="0.2">
      <c r="A23" s="5">
        <v>20</v>
      </c>
      <c r="B23" s="2" t="s">
        <v>78</v>
      </c>
      <c r="C23" s="7">
        <v>173.6</v>
      </c>
      <c r="D23" s="12">
        <v>83.1</v>
      </c>
      <c r="E23" s="10">
        <f t="shared" si="1"/>
        <v>208.9049338146811</v>
      </c>
      <c r="F23" s="156" t="s">
        <v>199</v>
      </c>
    </row>
    <row r="24" spans="1:7" x14ac:dyDescent="0.2">
      <c r="A24" s="5">
        <v>21</v>
      </c>
      <c r="B24" s="2" t="s">
        <v>79</v>
      </c>
      <c r="C24" s="7">
        <v>45.9</v>
      </c>
      <c r="D24" s="12">
        <v>85</v>
      </c>
      <c r="E24" s="10">
        <f t="shared" si="1"/>
        <v>54</v>
      </c>
      <c r="F24" s="156" t="s">
        <v>200</v>
      </c>
    </row>
    <row r="25" spans="1:7" x14ac:dyDescent="0.2">
      <c r="A25" s="5">
        <v>22</v>
      </c>
      <c r="B25" s="2" t="s">
        <v>80</v>
      </c>
      <c r="C25" s="7">
        <v>83.4</v>
      </c>
      <c r="D25" s="12">
        <v>82.2</v>
      </c>
      <c r="E25" s="10">
        <f t="shared" si="1"/>
        <v>101.45985401459853</v>
      </c>
      <c r="F25" s="156" t="s">
        <v>201</v>
      </c>
    </row>
    <row r="26" spans="1:7" x14ac:dyDescent="0.2">
      <c r="A26" s="5">
        <v>23</v>
      </c>
      <c r="B26" s="2" t="s">
        <v>81</v>
      </c>
      <c r="C26" s="7">
        <v>82</v>
      </c>
      <c r="D26" s="12">
        <v>84.3</v>
      </c>
      <c r="E26" s="10">
        <f t="shared" si="1"/>
        <v>97.271648873072365</v>
      </c>
      <c r="F26" s="156" t="s">
        <v>202</v>
      </c>
    </row>
    <row r="27" spans="1:7" x14ac:dyDescent="0.2">
      <c r="A27" s="5">
        <v>24</v>
      </c>
      <c r="B27" s="2" t="s">
        <v>82</v>
      </c>
      <c r="C27" s="7">
        <v>13.9</v>
      </c>
      <c r="D27" s="12">
        <v>70</v>
      </c>
      <c r="E27" s="10">
        <f t="shared" si="1"/>
        <v>19.857142857142858</v>
      </c>
      <c r="F27" s="156" t="s">
        <v>203</v>
      </c>
    </row>
    <row r="28" spans="1:7" x14ac:dyDescent="0.2">
      <c r="A28" s="5">
        <v>25</v>
      </c>
      <c r="B28" s="2" t="s">
        <v>83</v>
      </c>
      <c r="C28" s="7">
        <v>11.3</v>
      </c>
      <c r="D28" s="12">
        <v>83.1</v>
      </c>
      <c r="E28" s="10">
        <f t="shared" si="1"/>
        <v>13.598074608904936</v>
      </c>
      <c r="F28" s="156" t="s">
        <v>204</v>
      </c>
    </row>
    <row r="29" spans="1:7" x14ac:dyDescent="0.2">
      <c r="A29" s="5">
        <v>26</v>
      </c>
      <c r="B29" s="2" t="s">
        <v>84</v>
      </c>
      <c r="C29" s="7">
        <v>16.399999999999999</v>
      </c>
      <c r="D29" s="12">
        <v>81.5</v>
      </c>
      <c r="E29" s="10">
        <f t="shared" si="1"/>
        <v>20.122699386503069</v>
      </c>
      <c r="F29" s="156" t="s">
        <v>205</v>
      </c>
    </row>
    <row r="30" spans="1:7" x14ac:dyDescent="0.2">
      <c r="A30" s="5">
        <v>27</v>
      </c>
      <c r="B30" s="2" t="s">
        <v>85</v>
      </c>
      <c r="C30" s="7">
        <v>30.7</v>
      </c>
      <c r="D30" s="12">
        <v>87.9</v>
      </c>
      <c r="E30" s="10">
        <f t="shared" si="1"/>
        <v>34.926052332195674</v>
      </c>
      <c r="F30" s="156" t="s">
        <v>206</v>
      </c>
    </row>
    <row r="31" spans="1:7" x14ac:dyDescent="0.2">
      <c r="A31" s="5">
        <v>28</v>
      </c>
      <c r="B31" s="2" t="s">
        <v>86</v>
      </c>
      <c r="C31" s="7">
        <v>25.2</v>
      </c>
      <c r="D31" s="12">
        <v>85.7</v>
      </c>
      <c r="E31" s="10">
        <f t="shared" si="1"/>
        <v>29.404900816802801</v>
      </c>
      <c r="F31" s="156" t="s">
        <v>207</v>
      </c>
    </row>
    <row r="32" spans="1:7" x14ac:dyDescent="0.2">
      <c r="A32" s="5">
        <v>29</v>
      </c>
      <c r="B32" s="2" t="s">
        <v>87</v>
      </c>
      <c r="C32" s="7">
        <v>13</v>
      </c>
      <c r="D32" s="12">
        <v>78</v>
      </c>
      <c r="E32" s="10">
        <f t="shared" si="1"/>
        <v>16.666666666666668</v>
      </c>
      <c r="F32" s="156" t="s">
        <v>208</v>
      </c>
    </row>
    <row r="33" spans="1:6" ht="17" thickBot="1" x14ac:dyDescent="0.25">
      <c r="A33" s="6">
        <v>30</v>
      </c>
      <c r="B33" s="2" t="s">
        <v>88</v>
      </c>
      <c r="C33" s="7">
        <v>23.5</v>
      </c>
      <c r="D33" s="12">
        <v>86.1</v>
      </c>
      <c r="E33" s="10">
        <f t="shared" si="1"/>
        <v>27.293844367015097</v>
      </c>
      <c r="F33" s="157" t="s">
        <v>231</v>
      </c>
    </row>
    <row r="34" spans="1:6" x14ac:dyDescent="0.2">
      <c r="A34" s="1"/>
      <c r="B34" s="53" t="s">
        <v>104</v>
      </c>
      <c r="C34" s="56">
        <f>SUM(C3:C19)</f>
        <v>1023</v>
      </c>
      <c r="D34" s="54"/>
      <c r="E34" s="58">
        <f>SUM(E3:E19)</f>
        <v>1247.9978151352477</v>
      </c>
    </row>
    <row r="35" spans="1:6" ht="17" thickBot="1" x14ac:dyDescent="0.25">
      <c r="B35" s="52" t="s">
        <v>105</v>
      </c>
      <c r="C35" s="57">
        <f>SUM(C21:C33)</f>
        <v>945.3</v>
      </c>
      <c r="D35" s="55"/>
      <c r="E35" s="59">
        <f>SUM(E21:E33)</f>
        <v>1125.4666020513084</v>
      </c>
    </row>
    <row r="36" spans="1:6" ht="17" thickBot="1" x14ac:dyDescent="0.25"/>
    <row r="37" spans="1:6" x14ac:dyDescent="0.2">
      <c r="B37" s="124" t="s">
        <v>110</v>
      </c>
      <c r="C37" s="125"/>
      <c r="D37" s="125"/>
      <c r="E37" s="154"/>
    </row>
    <row r="38" spans="1:6" ht="17" thickBot="1" x14ac:dyDescent="0.25">
      <c r="B38" s="19" t="s">
        <v>57</v>
      </c>
      <c r="C38" s="43" t="s">
        <v>54</v>
      </c>
      <c r="D38" s="15" t="s">
        <v>55</v>
      </c>
      <c r="E38" s="70" t="s">
        <v>251</v>
      </c>
      <c r="F38" s="69"/>
    </row>
    <row r="39" spans="1:6" x14ac:dyDescent="0.2">
      <c r="B39" s="2" t="s">
        <v>95</v>
      </c>
      <c r="C39" s="7">
        <f>SUM(C3:C19,C21:C33)</f>
        <v>1968.3000000000004</v>
      </c>
      <c r="D39" s="10">
        <f>E34+E35</f>
        <v>2373.4644171865561</v>
      </c>
      <c r="E39" s="160"/>
    </row>
    <row r="40" spans="1:6" x14ac:dyDescent="0.2">
      <c r="B40" s="2" t="s">
        <v>93</v>
      </c>
      <c r="C40" s="7">
        <v>5000</v>
      </c>
      <c r="D40" s="49"/>
      <c r="E40" s="5" t="s">
        <v>245</v>
      </c>
    </row>
    <row r="41" spans="1:6" ht="17" thickBot="1" x14ac:dyDescent="0.25">
      <c r="B41" s="2" t="s">
        <v>94</v>
      </c>
      <c r="C41" s="21">
        <f>C39/C40</f>
        <v>0.39366000000000007</v>
      </c>
      <c r="D41" s="49"/>
      <c r="E41" s="5"/>
    </row>
    <row r="42" spans="1:6" ht="17" thickBot="1" x14ac:dyDescent="0.25">
      <c r="A42" s="141" t="s">
        <v>29</v>
      </c>
      <c r="B42" s="22" t="s">
        <v>52</v>
      </c>
      <c r="C42" s="23">
        <v>3.0000000000000001E-3</v>
      </c>
      <c r="D42" s="50"/>
      <c r="E42" s="5" t="s">
        <v>246</v>
      </c>
    </row>
    <row r="43" spans="1:6" ht="17" thickBot="1" x14ac:dyDescent="0.25">
      <c r="A43" s="142"/>
      <c r="B43" s="2" t="s">
        <v>96</v>
      </c>
      <c r="C43" s="47"/>
      <c r="D43" s="10">
        <f>E34*C42</f>
        <v>3.7439934454057431</v>
      </c>
      <c r="E43" s="5"/>
    </row>
    <row r="44" spans="1:6" ht="17" thickBot="1" x14ac:dyDescent="0.25">
      <c r="A44" s="141" t="s">
        <v>29</v>
      </c>
      <c r="B44" s="2" t="s">
        <v>97</v>
      </c>
      <c r="C44" s="9">
        <v>0.5</v>
      </c>
      <c r="D44" s="49"/>
      <c r="E44" s="5"/>
    </row>
    <row r="45" spans="1:6" ht="17" thickBot="1" x14ac:dyDescent="0.25">
      <c r="A45" s="69"/>
      <c r="B45" s="2" t="s">
        <v>98</v>
      </c>
      <c r="C45" s="45"/>
      <c r="D45" s="25">
        <f>D43*C44</f>
        <v>1.8719967227028715</v>
      </c>
      <c r="E45" s="5"/>
    </row>
    <row r="46" spans="1:6" ht="17" thickBot="1" x14ac:dyDescent="0.25">
      <c r="A46" s="141" t="s">
        <v>29</v>
      </c>
      <c r="B46" s="22" t="s">
        <v>53</v>
      </c>
      <c r="C46" s="23">
        <v>9.1999999999999998E-2</v>
      </c>
      <c r="D46" s="50"/>
      <c r="E46" s="5" t="s">
        <v>246</v>
      </c>
    </row>
    <row r="47" spans="1:6" ht="17" thickBot="1" x14ac:dyDescent="0.25">
      <c r="A47" s="142"/>
      <c r="B47" s="2" t="s">
        <v>99</v>
      </c>
      <c r="C47" s="47"/>
      <c r="D47" s="10">
        <f>C46*D39</f>
        <v>218.35872638116317</v>
      </c>
      <c r="E47" s="161"/>
    </row>
    <row r="48" spans="1:6" ht="17" thickBot="1" x14ac:dyDescent="0.25">
      <c r="A48" s="141" t="s">
        <v>29</v>
      </c>
      <c r="B48" s="2" t="s">
        <v>100</v>
      </c>
      <c r="C48" s="9">
        <v>0.7</v>
      </c>
      <c r="D48" s="49"/>
      <c r="E48" s="161"/>
    </row>
    <row r="49" spans="1:5" ht="17" thickBot="1" x14ac:dyDescent="0.25">
      <c r="A49" s="69"/>
      <c r="B49" s="3" t="s">
        <v>101</v>
      </c>
      <c r="C49" s="48"/>
      <c r="D49" s="11">
        <f>C48*D47</f>
        <v>152.8511084668142</v>
      </c>
      <c r="E49" s="162"/>
    </row>
    <row r="50" spans="1:5" ht="17" thickBot="1" x14ac:dyDescent="0.25">
      <c r="A50" s="69"/>
    </row>
    <row r="51" spans="1:5" ht="17" thickBot="1" x14ac:dyDescent="0.25">
      <c r="A51" s="69"/>
      <c r="B51" s="127" t="s">
        <v>38</v>
      </c>
      <c r="C51" s="128"/>
      <c r="D51" s="129"/>
      <c r="E51" s="154"/>
    </row>
    <row r="52" spans="1:5" ht="17" thickBot="1" x14ac:dyDescent="0.25">
      <c r="A52" s="69"/>
      <c r="B52" s="19" t="s">
        <v>56</v>
      </c>
      <c r="C52" s="16" t="s">
        <v>54</v>
      </c>
      <c r="D52" s="17" t="s">
        <v>55</v>
      </c>
      <c r="E52" s="70" t="s">
        <v>251</v>
      </c>
    </row>
    <row r="53" spans="1:5" ht="17" thickBot="1" x14ac:dyDescent="0.25">
      <c r="A53" s="143" t="s">
        <v>29</v>
      </c>
      <c r="B53" s="2" t="s">
        <v>89</v>
      </c>
      <c r="C53" s="9">
        <v>0.1</v>
      </c>
      <c r="D53" s="66"/>
      <c r="E53" s="160"/>
    </row>
    <row r="54" spans="1:5" ht="17" thickBot="1" x14ac:dyDescent="0.25">
      <c r="A54" s="144"/>
      <c r="B54" s="2" t="s">
        <v>91</v>
      </c>
      <c r="C54" s="45"/>
      <c r="D54" s="10">
        <f>D45*C53</f>
        <v>0.18719967227028717</v>
      </c>
      <c r="E54" s="161"/>
    </row>
    <row r="55" spans="1:5" ht="17" thickBot="1" x14ac:dyDescent="0.25">
      <c r="A55" s="143" t="s">
        <v>29</v>
      </c>
      <c r="B55" s="2" t="s">
        <v>90</v>
      </c>
      <c r="C55" s="9">
        <v>0.05</v>
      </c>
      <c r="D55" s="60"/>
      <c r="E55" s="161"/>
    </row>
    <row r="56" spans="1:5" x14ac:dyDescent="0.2">
      <c r="A56" s="145"/>
      <c r="B56" s="2" t="s">
        <v>92</v>
      </c>
      <c r="C56" s="45"/>
      <c r="D56" s="10">
        <f>D49*C55</f>
        <v>7.6425554233407098</v>
      </c>
      <c r="E56" s="161"/>
    </row>
    <row r="57" spans="1:5" x14ac:dyDescent="0.2">
      <c r="A57" s="69"/>
      <c r="B57" s="2" t="s">
        <v>42</v>
      </c>
      <c r="C57" s="41"/>
      <c r="D57" s="10">
        <f>D54+D56</f>
        <v>7.8297550956109969</v>
      </c>
      <c r="E57" s="161"/>
    </row>
    <row r="58" spans="1:5" x14ac:dyDescent="0.2">
      <c r="A58" s="69"/>
      <c r="B58" s="22" t="s">
        <v>49</v>
      </c>
      <c r="C58" s="23">
        <v>3.1E-2</v>
      </c>
      <c r="D58" s="67"/>
      <c r="E58" s="5" t="s">
        <v>247</v>
      </c>
    </row>
    <row r="59" spans="1:5" x14ac:dyDescent="0.2">
      <c r="A59" s="69"/>
      <c r="B59" s="24" t="s">
        <v>43</v>
      </c>
      <c r="C59" s="51"/>
      <c r="D59" s="25">
        <f>D57*(1 + C58)^(2050-2024)</f>
        <v>17.317032638232458</v>
      </c>
      <c r="E59" s="5"/>
    </row>
    <row r="60" spans="1:5" x14ac:dyDescent="0.2">
      <c r="A60" s="69"/>
      <c r="B60" s="2" t="s">
        <v>21</v>
      </c>
      <c r="C60" s="7">
        <v>100</v>
      </c>
      <c r="D60" s="68"/>
      <c r="E60" s="5"/>
    </row>
    <row r="61" spans="1:5" x14ac:dyDescent="0.2">
      <c r="A61" s="69"/>
      <c r="B61" s="2" t="s">
        <v>37</v>
      </c>
      <c r="C61" s="9">
        <v>0.7</v>
      </c>
      <c r="D61" s="49"/>
      <c r="E61" s="5"/>
    </row>
    <row r="62" spans="1:5" ht="17" thickBot="1" x14ac:dyDescent="0.25">
      <c r="A62" s="69"/>
      <c r="B62" s="2" t="s">
        <v>50</v>
      </c>
      <c r="C62" s="41"/>
      <c r="D62" s="28">
        <f>D59*100000/(C60*C61)</f>
        <v>24738.618054617797</v>
      </c>
      <c r="E62" s="5"/>
    </row>
    <row r="63" spans="1:5" ht="17" thickBot="1" x14ac:dyDescent="0.25">
      <c r="A63" s="69"/>
      <c r="B63" s="18" t="s">
        <v>58</v>
      </c>
      <c r="C63" s="44" t="s">
        <v>54</v>
      </c>
      <c r="D63" s="42" t="s">
        <v>55</v>
      </c>
      <c r="E63" s="5"/>
    </row>
    <row r="64" spans="1:5" ht="17" thickBot="1" x14ac:dyDescent="0.25">
      <c r="A64" s="69"/>
      <c r="B64" s="2" t="s">
        <v>44</v>
      </c>
      <c r="C64" s="12">
        <v>132</v>
      </c>
      <c r="D64" s="60"/>
      <c r="E64" s="5" t="s">
        <v>248</v>
      </c>
    </row>
    <row r="65" spans="1:5" ht="17" thickBot="1" x14ac:dyDescent="0.25">
      <c r="A65" s="146" t="s">
        <v>29</v>
      </c>
      <c r="B65" s="2" t="s">
        <v>169</v>
      </c>
      <c r="C65" s="27">
        <f>(170-132)/132</f>
        <v>0.2878787878787879</v>
      </c>
      <c r="D65" s="60"/>
      <c r="E65" s="5" t="s">
        <v>249</v>
      </c>
    </row>
    <row r="66" spans="1:5" ht="17" thickBot="1" x14ac:dyDescent="0.25">
      <c r="A66" s="69"/>
      <c r="B66" s="24" t="s">
        <v>46</v>
      </c>
      <c r="C66" s="51"/>
      <c r="D66" s="31">
        <f>C64*(1+C65)^(2050-2024)</f>
        <v>94912.557434043076</v>
      </c>
      <c r="E66" s="161"/>
    </row>
    <row r="67" spans="1:5" ht="17" thickBot="1" x14ac:dyDescent="0.25">
      <c r="A67" s="146" t="s">
        <v>29</v>
      </c>
      <c r="B67" s="2" t="s">
        <v>288</v>
      </c>
      <c r="C67" s="32">
        <v>0.5</v>
      </c>
      <c r="D67" s="46"/>
      <c r="E67" s="161"/>
    </row>
    <row r="68" spans="1:5" ht="17" thickBot="1" x14ac:dyDescent="0.25">
      <c r="A68" s="69"/>
      <c r="B68" s="3" t="s">
        <v>289</v>
      </c>
      <c r="C68" s="37"/>
      <c r="D68" s="30">
        <f>D66*C67</f>
        <v>47456.278717021538</v>
      </c>
      <c r="E68" s="162"/>
    </row>
    <row r="69" spans="1:5" ht="17" thickBot="1" x14ac:dyDescent="0.25">
      <c r="A69" s="69"/>
    </row>
    <row r="70" spans="1:5" ht="17" thickBot="1" x14ac:dyDescent="0.25">
      <c r="A70" s="69"/>
      <c r="B70" s="127" t="s">
        <v>170</v>
      </c>
      <c r="C70" s="128"/>
      <c r="D70" s="129"/>
      <c r="E70" s="154"/>
    </row>
    <row r="71" spans="1:5" ht="17" thickBot="1" x14ac:dyDescent="0.25">
      <c r="A71" s="69"/>
      <c r="B71" s="19" t="s">
        <v>108</v>
      </c>
      <c r="C71" s="43" t="s">
        <v>54</v>
      </c>
      <c r="D71" s="17" t="s">
        <v>55</v>
      </c>
      <c r="E71" s="70" t="s">
        <v>251</v>
      </c>
    </row>
    <row r="72" spans="1:5" x14ac:dyDescent="0.2">
      <c r="A72" s="69"/>
      <c r="B72" s="2" t="s">
        <v>280</v>
      </c>
      <c r="C72" s="36"/>
      <c r="D72" s="10">
        <f>D59/C83</f>
        <v>1.1544688425488305</v>
      </c>
      <c r="E72" s="4"/>
    </row>
    <row r="73" spans="1:5" ht="17" thickBot="1" x14ac:dyDescent="0.25">
      <c r="A73" s="69"/>
      <c r="B73" s="2" t="s">
        <v>279</v>
      </c>
      <c r="C73" s="39"/>
      <c r="D73" s="28">
        <f>D72*1000000/365</f>
        <v>3162.9283357502204</v>
      </c>
      <c r="E73" s="5"/>
    </row>
    <row r="74" spans="1:5" ht="17" thickBot="1" x14ac:dyDescent="0.25">
      <c r="A74" s="146" t="s">
        <v>29</v>
      </c>
      <c r="B74" s="2" t="s">
        <v>106</v>
      </c>
      <c r="C74" s="27">
        <v>0.8</v>
      </c>
      <c r="D74" s="61"/>
      <c r="E74" s="5"/>
    </row>
    <row r="75" spans="1:5" x14ac:dyDescent="0.2">
      <c r="A75" s="69"/>
      <c r="B75" s="2" t="s">
        <v>290</v>
      </c>
      <c r="C75" s="12">
        <v>76</v>
      </c>
      <c r="D75" s="61"/>
      <c r="E75" s="5" t="s">
        <v>250</v>
      </c>
    </row>
    <row r="76" spans="1:5" x14ac:dyDescent="0.2">
      <c r="A76" s="69"/>
      <c r="B76" s="2" t="s">
        <v>291</v>
      </c>
      <c r="C76" s="39"/>
      <c r="D76" s="28">
        <f>(D73*C74)/C75</f>
        <v>33.293982481581274</v>
      </c>
      <c r="E76" s="5"/>
    </row>
    <row r="77" spans="1:5" ht="17" thickBot="1" x14ac:dyDescent="0.25">
      <c r="A77" s="69"/>
      <c r="B77" s="2" t="s">
        <v>113</v>
      </c>
      <c r="C77" s="39"/>
      <c r="D77" s="28">
        <f>D76*2/24</f>
        <v>2.774498540131773</v>
      </c>
      <c r="E77" s="5"/>
    </row>
    <row r="78" spans="1:5" ht="17" thickBot="1" x14ac:dyDescent="0.25">
      <c r="A78" s="146" t="s">
        <v>29</v>
      </c>
      <c r="B78" s="2" t="s">
        <v>292</v>
      </c>
      <c r="C78" s="71">
        <f>'Airport Sizing'!B37</f>
        <v>35.134651125785808</v>
      </c>
      <c r="D78" s="61"/>
      <c r="E78" s="5"/>
    </row>
    <row r="79" spans="1:5" x14ac:dyDescent="0.2">
      <c r="A79" s="145"/>
      <c r="B79" s="2" t="s">
        <v>112</v>
      </c>
      <c r="C79" s="41"/>
      <c r="D79" s="28">
        <f>C78*C75*24</f>
        <v>64085.603653433311</v>
      </c>
      <c r="E79" s="5"/>
    </row>
    <row r="80" spans="1:5" ht="17" thickBot="1" x14ac:dyDescent="0.25">
      <c r="A80" s="145"/>
      <c r="B80" s="2" t="s">
        <v>107</v>
      </c>
      <c r="C80" s="37"/>
      <c r="D80" s="64">
        <f>D77/C78</f>
        <v>7.8967584741307703E-2</v>
      </c>
      <c r="E80" s="5"/>
    </row>
    <row r="81" spans="1:5" ht="17" thickBot="1" x14ac:dyDescent="0.25">
      <c r="A81" s="145"/>
      <c r="B81" s="63" t="s">
        <v>109</v>
      </c>
      <c r="C81" s="43" t="s">
        <v>54</v>
      </c>
      <c r="D81" s="17" t="s">
        <v>55</v>
      </c>
      <c r="E81" s="5"/>
    </row>
    <row r="82" spans="1:5" ht="17" thickBot="1" x14ac:dyDescent="0.25">
      <c r="A82" s="69"/>
      <c r="B82" s="35" t="s">
        <v>47</v>
      </c>
      <c r="C82" s="40"/>
      <c r="D82" s="73">
        <f>D62+D68</f>
        <v>72194.896771639338</v>
      </c>
      <c r="E82" s="5"/>
    </row>
    <row r="83" spans="1:5" ht="17" thickBot="1" x14ac:dyDescent="0.25">
      <c r="A83" s="146" t="s">
        <v>29</v>
      </c>
      <c r="B83" s="2" t="s">
        <v>293</v>
      </c>
      <c r="C83" s="7">
        <v>15</v>
      </c>
      <c r="D83" s="49"/>
      <c r="E83" s="5"/>
    </row>
    <row r="84" spans="1:5" x14ac:dyDescent="0.2">
      <c r="A84" s="69"/>
      <c r="B84" s="22" t="s">
        <v>281</v>
      </c>
      <c r="C84" s="62"/>
      <c r="D84" s="29">
        <f>D62/C83</f>
        <v>1649.2412036411865</v>
      </c>
      <c r="E84" s="5"/>
    </row>
    <row r="85" spans="1:5" x14ac:dyDescent="0.2">
      <c r="A85" s="69"/>
      <c r="B85" s="2" t="s">
        <v>282</v>
      </c>
      <c r="C85" s="39"/>
      <c r="D85" s="28">
        <f>D84/365</f>
        <v>4.5184690510717438</v>
      </c>
      <c r="E85" s="5"/>
    </row>
    <row r="86" spans="1:5" x14ac:dyDescent="0.2">
      <c r="A86" s="69"/>
      <c r="B86" s="33" t="s">
        <v>283</v>
      </c>
      <c r="C86" s="65"/>
      <c r="D86" s="29">
        <f>D68/C83</f>
        <v>3163.7519144681023</v>
      </c>
      <c r="E86" s="5"/>
    </row>
    <row r="87" spans="1:5" x14ac:dyDescent="0.2">
      <c r="A87" s="69"/>
      <c r="B87" s="34" t="s">
        <v>284</v>
      </c>
      <c r="C87" s="38"/>
      <c r="D87" s="28">
        <f>D86/365</f>
        <v>8.6678134642961702</v>
      </c>
      <c r="E87" s="5"/>
    </row>
    <row r="88" spans="1:5" ht="17" thickBot="1" x14ac:dyDescent="0.25">
      <c r="A88" s="69"/>
      <c r="B88" s="22" t="s">
        <v>285</v>
      </c>
      <c r="C88" s="62"/>
      <c r="D88" s="29">
        <f>D87+D85</f>
        <v>13.186282515367914</v>
      </c>
      <c r="E88" s="5"/>
    </row>
    <row r="89" spans="1:5" x14ac:dyDescent="0.2">
      <c r="A89" s="147" t="s">
        <v>29</v>
      </c>
      <c r="B89" s="2" t="s">
        <v>286</v>
      </c>
      <c r="C89" s="71">
        <v>0.5</v>
      </c>
      <c r="D89" s="26">
        <v>5</v>
      </c>
      <c r="E89" s="5"/>
    </row>
    <row r="90" spans="1:5" x14ac:dyDescent="0.2">
      <c r="A90" s="148" t="s">
        <v>29</v>
      </c>
      <c r="B90" s="2" t="s">
        <v>40</v>
      </c>
      <c r="C90" s="7">
        <f>24*C89</f>
        <v>12</v>
      </c>
      <c r="D90" s="49"/>
      <c r="E90" s="5"/>
    </row>
    <row r="91" spans="1:5" ht="17" thickBot="1" x14ac:dyDescent="0.25">
      <c r="A91" s="149" t="s">
        <v>29</v>
      </c>
      <c r="B91" s="2" t="s">
        <v>287</v>
      </c>
      <c r="C91" s="7">
        <v>4</v>
      </c>
      <c r="D91" s="49"/>
      <c r="E91" s="5"/>
    </row>
    <row r="92" spans="1:5" x14ac:dyDescent="0.2">
      <c r="B92" s="2" t="s">
        <v>36</v>
      </c>
      <c r="C92" s="41"/>
      <c r="D92" s="26">
        <f>C90*C91</f>
        <v>48</v>
      </c>
      <c r="E92" s="5"/>
    </row>
    <row r="93" spans="1:5" ht="17" thickBot="1" x14ac:dyDescent="0.25">
      <c r="B93" s="3" t="s">
        <v>51</v>
      </c>
      <c r="C93" s="72"/>
      <c r="D93" s="64">
        <f>D88/D92</f>
        <v>0.27471421907016486</v>
      </c>
      <c r="E93" s="6"/>
    </row>
  </sheetData>
  <mergeCells count="4">
    <mergeCell ref="B1:E1"/>
    <mergeCell ref="B70:D70"/>
    <mergeCell ref="B37:D37"/>
    <mergeCell ref="B51:D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8A5A-6C00-A743-9F0C-AB329C3FD5D3}">
  <dimension ref="A1:N45"/>
  <sheetViews>
    <sheetView topLeftCell="A22" workbookViewId="0">
      <selection activeCell="E43" sqref="E43"/>
    </sheetView>
  </sheetViews>
  <sheetFormatPr baseColWidth="10" defaultRowHeight="16" x14ac:dyDescent="0.2"/>
  <sheetData>
    <row r="1" spans="1:14" x14ac:dyDescent="0.2">
      <c r="A1" t="s">
        <v>194</v>
      </c>
      <c r="B1" s="1" t="s">
        <v>136</v>
      </c>
    </row>
    <row r="2" spans="1:14" x14ac:dyDescent="0.2">
      <c r="A2" s="1" t="s">
        <v>172</v>
      </c>
      <c r="B2" s="136" t="s">
        <v>210</v>
      </c>
    </row>
    <row r="3" spans="1:14" x14ac:dyDescent="0.2">
      <c r="A3" s="1" t="s">
        <v>173</v>
      </c>
      <c r="B3" s="135" t="s">
        <v>212</v>
      </c>
    </row>
    <row r="4" spans="1:14" x14ac:dyDescent="0.2">
      <c r="A4" s="1" t="s">
        <v>174</v>
      </c>
      <c r="B4" t="s">
        <v>216</v>
      </c>
    </row>
    <row r="5" spans="1:14" x14ac:dyDescent="0.2">
      <c r="A5" s="1" t="s">
        <v>175</v>
      </c>
      <c r="B5" t="s">
        <v>217</v>
      </c>
    </row>
    <row r="6" spans="1:14" x14ac:dyDescent="0.2">
      <c r="A6" s="1" t="s">
        <v>176</v>
      </c>
      <c r="B6" t="s">
        <v>218</v>
      </c>
    </row>
    <row r="7" spans="1:14" x14ac:dyDescent="0.2">
      <c r="A7" s="1" t="s">
        <v>177</v>
      </c>
      <c r="B7" s="135" t="s">
        <v>225</v>
      </c>
    </row>
    <row r="8" spans="1:14" x14ac:dyDescent="0.2">
      <c r="A8" s="1" t="s">
        <v>178</v>
      </c>
      <c r="B8" t="s">
        <v>232</v>
      </c>
      <c r="N8" t="s">
        <v>0</v>
      </c>
    </row>
    <row r="9" spans="1:14" x14ac:dyDescent="0.2">
      <c r="A9" s="1" t="s">
        <v>179</v>
      </c>
      <c r="B9" t="s">
        <v>233</v>
      </c>
      <c r="N9" t="s">
        <v>4</v>
      </c>
    </row>
    <row r="10" spans="1:14" x14ac:dyDescent="0.2">
      <c r="A10" s="1" t="s">
        <v>180</v>
      </c>
      <c r="B10" t="s">
        <v>234</v>
      </c>
      <c r="N10" t="s">
        <v>5</v>
      </c>
    </row>
    <row r="11" spans="1:14" x14ac:dyDescent="0.2">
      <c r="A11" s="1" t="s">
        <v>181</v>
      </c>
      <c r="B11" t="s">
        <v>235</v>
      </c>
      <c r="N11" t="s">
        <v>6</v>
      </c>
    </row>
    <row r="12" spans="1:14" x14ac:dyDescent="0.2">
      <c r="A12" s="1" t="s">
        <v>182</v>
      </c>
      <c r="B12" t="s">
        <v>236</v>
      </c>
      <c r="N12" t="s">
        <v>2</v>
      </c>
    </row>
    <row r="13" spans="1:14" x14ac:dyDescent="0.2">
      <c r="A13" s="1" t="s">
        <v>183</v>
      </c>
      <c r="B13" t="s">
        <v>237</v>
      </c>
      <c r="N13" t="s">
        <v>7</v>
      </c>
    </row>
    <row r="14" spans="1:14" x14ac:dyDescent="0.2">
      <c r="A14" s="1" t="s">
        <v>184</v>
      </c>
      <c r="B14" t="s">
        <v>238</v>
      </c>
      <c r="N14" t="s">
        <v>3</v>
      </c>
    </row>
    <row r="15" spans="1:14" x14ac:dyDescent="0.2">
      <c r="A15" s="1" t="s">
        <v>185</v>
      </c>
      <c r="B15" t="s">
        <v>239</v>
      </c>
      <c r="N15" t="s">
        <v>1</v>
      </c>
    </row>
    <row r="16" spans="1:14" x14ac:dyDescent="0.2">
      <c r="A16" s="1" t="s">
        <v>186</v>
      </c>
      <c r="B16" t="s">
        <v>240</v>
      </c>
      <c r="N16" t="s">
        <v>8</v>
      </c>
    </row>
    <row r="17" spans="1:14" x14ac:dyDescent="0.2">
      <c r="A17" s="1" t="s">
        <v>187</v>
      </c>
      <c r="B17" t="s">
        <v>241</v>
      </c>
      <c r="N17" t="s">
        <v>11</v>
      </c>
    </row>
    <row r="18" spans="1:14" x14ac:dyDescent="0.2">
      <c r="A18" s="1" t="s">
        <v>188</v>
      </c>
      <c r="B18" t="s">
        <v>242</v>
      </c>
      <c r="N18" t="s">
        <v>9</v>
      </c>
    </row>
    <row r="19" spans="1:14" x14ac:dyDescent="0.2">
      <c r="A19" s="1" t="s">
        <v>189</v>
      </c>
      <c r="B19" t="s">
        <v>243</v>
      </c>
      <c r="N19" t="s">
        <v>10</v>
      </c>
    </row>
    <row r="20" spans="1:14" x14ac:dyDescent="0.2">
      <c r="A20" s="1" t="s">
        <v>190</v>
      </c>
      <c r="B20" t="s">
        <v>244</v>
      </c>
      <c r="N20" t="s">
        <v>12</v>
      </c>
    </row>
    <row r="21" spans="1:14" x14ac:dyDescent="0.2">
      <c r="A21" s="1" t="s">
        <v>191</v>
      </c>
      <c r="B21" t="s">
        <v>253</v>
      </c>
      <c r="N21" t="s">
        <v>13</v>
      </c>
    </row>
    <row r="22" spans="1:14" x14ac:dyDescent="0.2">
      <c r="A22" s="1" t="s">
        <v>192</v>
      </c>
      <c r="B22" t="s">
        <v>255</v>
      </c>
      <c r="N22" t="s">
        <v>17</v>
      </c>
    </row>
    <row r="23" spans="1:14" x14ac:dyDescent="0.2">
      <c r="A23" s="1" t="s">
        <v>193</v>
      </c>
      <c r="B23" t="s">
        <v>254</v>
      </c>
      <c r="N23" t="s">
        <v>16</v>
      </c>
    </row>
    <row r="24" spans="1:14" x14ac:dyDescent="0.2">
      <c r="A24" s="1" t="s">
        <v>195</v>
      </c>
      <c r="B24" t="s">
        <v>256</v>
      </c>
      <c r="N24" t="s">
        <v>15</v>
      </c>
    </row>
    <row r="25" spans="1:14" x14ac:dyDescent="0.2">
      <c r="A25" s="1" t="s">
        <v>196</v>
      </c>
      <c r="B25" t="s">
        <v>257</v>
      </c>
      <c r="N25" t="s">
        <v>14</v>
      </c>
    </row>
    <row r="26" spans="1:14" x14ac:dyDescent="0.2">
      <c r="A26" s="1" t="s">
        <v>197</v>
      </c>
      <c r="B26" t="s">
        <v>259</v>
      </c>
      <c r="N26" t="s">
        <v>24</v>
      </c>
    </row>
    <row r="27" spans="1:14" x14ac:dyDescent="0.2">
      <c r="A27" s="1" t="s">
        <v>198</v>
      </c>
      <c r="B27" t="s">
        <v>258</v>
      </c>
      <c r="N27" t="s">
        <v>26</v>
      </c>
    </row>
    <row r="28" spans="1:14" x14ac:dyDescent="0.2">
      <c r="A28" s="1" t="s">
        <v>199</v>
      </c>
      <c r="B28" t="s">
        <v>260</v>
      </c>
      <c r="N28" t="s">
        <v>25</v>
      </c>
    </row>
    <row r="29" spans="1:14" x14ac:dyDescent="0.2">
      <c r="A29" s="1" t="s">
        <v>200</v>
      </c>
      <c r="B29" t="s">
        <v>261</v>
      </c>
      <c r="N29" t="s">
        <v>28</v>
      </c>
    </row>
    <row r="30" spans="1:14" x14ac:dyDescent="0.2">
      <c r="A30" s="1" t="s">
        <v>201</v>
      </c>
      <c r="B30" t="s">
        <v>262</v>
      </c>
      <c r="N30" t="s">
        <v>27</v>
      </c>
    </row>
    <row r="31" spans="1:14" x14ac:dyDescent="0.2">
      <c r="A31" s="1" t="s">
        <v>202</v>
      </c>
      <c r="B31" t="s">
        <v>263</v>
      </c>
      <c r="N31" t="s">
        <v>30</v>
      </c>
    </row>
    <row r="32" spans="1:14" x14ac:dyDescent="0.2">
      <c r="A32" s="1" t="s">
        <v>203</v>
      </c>
      <c r="B32" t="s">
        <v>264</v>
      </c>
      <c r="N32" t="s">
        <v>31</v>
      </c>
    </row>
    <row r="33" spans="1:14" x14ac:dyDescent="0.2">
      <c r="A33" s="1" t="s">
        <v>204</v>
      </c>
      <c r="B33" t="s">
        <v>266</v>
      </c>
      <c r="N33" t="s">
        <v>33</v>
      </c>
    </row>
    <row r="34" spans="1:14" x14ac:dyDescent="0.2">
      <c r="A34" s="1" t="s">
        <v>205</v>
      </c>
      <c r="B34" t="s">
        <v>267</v>
      </c>
      <c r="N34" t="s">
        <v>32</v>
      </c>
    </row>
    <row r="35" spans="1:14" x14ac:dyDescent="0.2">
      <c r="A35" s="1" t="s">
        <v>206</v>
      </c>
      <c r="B35" t="s">
        <v>268</v>
      </c>
      <c r="N35" t="s">
        <v>265</v>
      </c>
    </row>
    <row r="36" spans="1:14" x14ac:dyDescent="0.2">
      <c r="A36" s="1" t="s">
        <v>207</v>
      </c>
      <c r="B36" t="s">
        <v>269</v>
      </c>
      <c r="N36" t="s">
        <v>34</v>
      </c>
    </row>
    <row r="37" spans="1:14" x14ac:dyDescent="0.2">
      <c r="A37" s="1" t="s">
        <v>208</v>
      </c>
      <c r="B37" t="s">
        <v>270</v>
      </c>
      <c r="N37" t="s">
        <v>23</v>
      </c>
    </row>
    <row r="38" spans="1:14" x14ac:dyDescent="0.2">
      <c r="A38" s="1" t="s">
        <v>231</v>
      </c>
      <c r="B38" t="s">
        <v>272</v>
      </c>
      <c r="N38" t="s">
        <v>271</v>
      </c>
    </row>
    <row r="39" spans="1:14" x14ac:dyDescent="0.2">
      <c r="A39" s="1" t="s">
        <v>245</v>
      </c>
      <c r="B39" t="s">
        <v>273</v>
      </c>
      <c r="N39" t="s">
        <v>35</v>
      </c>
    </row>
    <row r="40" spans="1:14" x14ac:dyDescent="0.2">
      <c r="A40" s="1" t="s">
        <v>246</v>
      </c>
      <c r="B40" t="s">
        <v>274</v>
      </c>
      <c r="N40" t="s">
        <v>20</v>
      </c>
    </row>
    <row r="41" spans="1:14" x14ac:dyDescent="0.2">
      <c r="A41" s="1" t="s">
        <v>247</v>
      </c>
      <c r="B41" t="s">
        <v>275</v>
      </c>
      <c r="N41" t="s">
        <v>41</v>
      </c>
    </row>
    <row r="42" spans="1:14" x14ac:dyDescent="0.2">
      <c r="A42" s="1" t="s">
        <v>248</v>
      </c>
      <c r="B42" t="s">
        <v>276</v>
      </c>
      <c r="N42" s="159" t="s">
        <v>48</v>
      </c>
    </row>
    <row r="43" spans="1:14" x14ac:dyDescent="0.2">
      <c r="A43" s="1" t="s">
        <v>249</v>
      </c>
      <c r="B43" t="s">
        <v>277</v>
      </c>
      <c r="N43" s="159" t="s">
        <v>45</v>
      </c>
    </row>
    <row r="44" spans="1:14" x14ac:dyDescent="0.2">
      <c r="A44" s="1" t="s">
        <v>250</v>
      </c>
      <c r="B44" t="s">
        <v>278</v>
      </c>
      <c r="N44" t="s">
        <v>111</v>
      </c>
    </row>
    <row r="45" spans="1:14" x14ac:dyDescent="0.2">
      <c r="A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Airport Sizing</vt:lpstr>
      <vt:lpstr>Traffic Forecasting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Eskenazi</dc:creator>
  <cp:lastModifiedBy>Andy Guido Eskenazi</cp:lastModifiedBy>
  <dcterms:created xsi:type="dcterms:W3CDTF">2025-04-08T17:38:56Z</dcterms:created>
  <dcterms:modified xsi:type="dcterms:W3CDTF">2025-05-13T01:16:20Z</dcterms:modified>
</cp:coreProperties>
</file>