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IT\"/>
    </mc:Choice>
  </mc:AlternateContent>
  <xr:revisionPtr revIDLastSave="0" documentId="13_ncr:1_{FD755327-AF40-4719-A87A-7E3192092DE5}" xr6:coauthVersionLast="47" xr6:coauthVersionMax="47" xr10:uidLastSave="{00000000-0000-0000-0000-000000000000}"/>
  <bookViews>
    <workbookView xWindow="4176" yWindow="4296" windowWidth="10332" windowHeight="60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Sheet2!$A$1:$G$31</definedName>
    <definedName name="_xlnm._FilterDatabase" localSheetId="2" hidden="1">Sheet3!$A$96:$G$104</definedName>
    <definedName name="_xlnm.Criteria" localSheetId="1">Sheet2!$A$72:$A$73</definedName>
    <definedName name="_xlnm.Criteria" localSheetId="2">Sheet3!$A$114:$A$115</definedName>
    <definedName name="_xlnm.Extract" localSheetId="1">Sheet2!$A$74:$G$74</definedName>
    <definedName name="_xlnm.Extract" localSheetId="2">Sheet3!$A$122:$G$122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8" i="3" l="1"/>
  <c r="P114" i="3"/>
  <c r="P115" i="3"/>
  <c r="P116" i="3"/>
  <c r="P117" i="3"/>
  <c r="P118" i="3"/>
  <c r="P119" i="3"/>
  <c r="P120" i="3"/>
  <c r="P121" i="3"/>
  <c r="P123" i="3"/>
  <c r="P124" i="3"/>
  <c r="P125" i="3"/>
  <c r="P126" i="3"/>
  <c r="P127" i="3"/>
  <c r="P128" i="3"/>
  <c r="P129" i="3"/>
  <c r="P130" i="3"/>
  <c r="P131" i="3"/>
  <c r="P132" i="3"/>
  <c r="P133" i="3"/>
  <c r="B129" i="3"/>
  <c r="B130" i="3"/>
  <c r="B128" i="3"/>
  <c r="Q35" i="4"/>
  <c r="Q30" i="4"/>
  <c r="Q28" i="4"/>
  <c r="P35" i="4"/>
  <c r="P33" i="4"/>
  <c r="P31" i="4"/>
  <c r="P28" i="4"/>
  <c r="P25" i="4"/>
  <c r="P26" i="4"/>
  <c r="P29" i="4"/>
  <c r="P30" i="4"/>
  <c r="P34" i="4"/>
  <c r="P36" i="4"/>
  <c r="G37" i="4"/>
  <c r="P18" i="4"/>
  <c r="P19" i="4"/>
  <c r="P20" i="4"/>
  <c r="P21" i="4"/>
  <c r="P22" i="4"/>
  <c r="P23" i="4"/>
  <c r="P24" i="4"/>
  <c r="P15" i="4"/>
  <c r="P17" i="4"/>
  <c r="G22" i="4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C110" i="3"/>
  <c r="C109" i="3"/>
  <c r="C108" i="3"/>
  <c r="P75" i="3"/>
  <c r="P76" i="3"/>
  <c r="P77" i="3"/>
  <c r="P78" i="3"/>
  <c r="P79" i="3"/>
  <c r="P80" i="3"/>
  <c r="P81" i="3"/>
  <c r="P82" i="3"/>
  <c r="P83" i="3"/>
  <c r="P84" i="3"/>
  <c r="P85" i="3"/>
  <c r="P66" i="3"/>
  <c r="P67" i="3"/>
  <c r="L74" i="3"/>
  <c r="P74" i="3" s="1"/>
  <c r="L73" i="3"/>
  <c r="P73" i="3" s="1"/>
  <c r="C92" i="3"/>
  <c r="C91" i="3"/>
  <c r="C90" i="3"/>
  <c r="L60" i="3"/>
  <c r="M65" i="3"/>
  <c r="P65" i="3" s="1"/>
  <c r="N63" i="3"/>
  <c r="O63" i="3"/>
  <c r="O62" i="3"/>
  <c r="N62" i="3"/>
  <c r="M64" i="3"/>
  <c r="M63" i="3"/>
  <c r="M62" i="3"/>
  <c r="L64" i="3"/>
  <c r="L63" i="3"/>
  <c r="L62" i="3"/>
  <c r="O61" i="3"/>
  <c r="O60" i="3"/>
  <c r="M61" i="3"/>
  <c r="N61" i="3"/>
  <c r="N60" i="3"/>
  <c r="M60" i="3"/>
  <c r="L61" i="3"/>
  <c r="O57" i="3"/>
  <c r="O59" i="3"/>
  <c r="N59" i="3"/>
  <c r="N57" i="3"/>
  <c r="M57" i="3"/>
  <c r="M58" i="3"/>
  <c r="M59" i="3"/>
  <c r="O58" i="3"/>
  <c r="N58" i="3"/>
  <c r="L57" i="3"/>
  <c r="L59" i="3"/>
  <c r="L58" i="3"/>
  <c r="O56" i="3"/>
  <c r="N56" i="3"/>
  <c r="M56" i="3"/>
  <c r="O55" i="3"/>
  <c r="N55" i="3"/>
  <c r="M55" i="3"/>
  <c r="L56" i="3"/>
  <c r="L55" i="3"/>
  <c r="C68" i="3"/>
  <c r="C67" i="3"/>
  <c r="C66" i="3"/>
  <c r="B47" i="3"/>
  <c r="E9" i="3"/>
  <c r="C11" i="3"/>
  <c r="E34" i="3"/>
  <c r="D34" i="3"/>
  <c r="C34" i="3"/>
  <c r="E33" i="3"/>
  <c r="D33" i="3"/>
  <c r="C33" i="3"/>
  <c r="E32" i="3"/>
  <c r="D32" i="3"/>
  <c r="C32" i="3"/>
  <c r="B34" i="3"/>
  <c r="B33" i="3"/>
  <c r="B32" i="3"/>
  <c r="E28" i="3"/>
  <c r="D28" i="3"/>
  <c r="C28" i="3"/>
  <c r="E27" i="3"/>
  <c r="D27" i="3"/>
  <c r="C27" i="3"/>
  <c r="E26" i="3"/>
  <c r="D26" i="3"/>
  <c r="C26" i="3"/>
  <c r="B28" i="3"/>
  <c r="B26" i="3"/>
  <c r="E22" i="3"/>
  <c r="E21" i="3"/>
  <c r="E20" i="3"/>
  <c r="D22" i="3"/>
  <c r="D21" i="3"/>
  <c r="D20" i="3"/>
  <c r="B21" i="3"/>
  <c r="B20" i="3"/>
  <c r="B22" i="3"/>
  <c r="C22" i="3"/>
  <c r="C21" i="3"/>
  <c r="C20" i="3"/>
  <c r="D16" i="3"/>
  <c r="E16" i="3"/>
  <c r="E15" i="3"/>
  <c r="D15" i="3"/>
  <c r="C16" i="3"/>
  <c r="C15" i="3"/>
  <c r="B16" i="3"/>
  <c r="B15" i="3"/>
  <c r="E11" i="3"/>
  <c r="D11" i="3"/>
  <c r="E10" i="3"/>
  <c r="D10" i="3"/>
  <c r="C10" i="3"/>
  <c r="D9" i="3"/>
  <c r="C9" i="3"/>
  <c r="C4" i="3"/>
  <c r="B11" i="3"/>
  <c r="B10" i="3"/>
  <c r="B9" i="3"/>
  <c r="B4" i="3"/>
  <c r="E5" i="3"/>
  <c r="D5" i="3"/>
  <c r="C5" i="3"/>
  <c r="E4" i="3"/>
  <c r="D4" i="3"/>
  <c r="B5" i="3"/>
  <c r="B36" i="2"/>
  <c r="B37" i="2"/>
  <c r="B35" i="2"/>
  <c r="D90" i="3" l="1"/>
  <c r="Q83" i="3" s="1"/>
  <c r="D108" i="3"/>
  <c r="Q107" i="3" s="1"/>
  <c r="P58" i="3"/>
  <c r="P62" i="3"/>
  <c r="P64" i="3"/>
  <c r="P57" i="3"/>
  <c r="D66" i="3"/>
  <c r="P56" i="3"/>
  <c r="P59" i="3"/>
  <c r="P61" i="3"/>
  <c r="P55" i="3"/>
  <c r="Q97" i="3"/>
  <c r="Q17" i="4"/>
  <c r="Q22" i="4"/>
  <c r="Q20" i="4"/>
  <c r="P63" i="3"/>
  <c r="P60" i="3"/>
  <c r="F34" i="3"/>
  <c r="F28" i="3"/>
  <c r="F33" i="3"/>
  <c r="F27" i="3"/>
  <c r="F20" i="3"/>
  <c r="F22" i="3"/>
  <c r="F32" i="3"/>
  <c r="F26" i="3"/>
  <c r="F21" i="3"/>
  <c r="B38" i="2"/>
  <c r="C37" i="2" s="1"/>
  <c r="D37" i="2" s="1"/>
  <c r="F5" i="3"/>
  <c r="F11" i="3"/>
  <c r="F16" i="3"/>
  <c r="F4" i="3"/>
  <c r="G4" i="3" s="1"/>
  <c r="F10" i="3"/>
  <c r="F9" i="3"/>
  <c r="F15" i="3"/>
  <c r="Q78" i="3" l="1"/>
  <c r="Q102" i="3"/>
  <c r="Q73" i="3"/>
  <c r="Q75" i="3"/>
  <c r="Q80" i="3"/>
  <c r="Q99" i="3"/>
  <c r="Q104" i="3"/>
  <c r="Q62" i="3"/>
  <c r="Q60" i="3"/>
  <c r="Q65" i="3"/>
  <c r="Q57" i="3"/>
  <c r="Q55" i="3"/>
  <c r="C35" i="2"/>
  <c r="D35" i="2" s="1"/>
  <c r="C36" i="2"/>
  <c r="D36" i="2" s="1"/>
  <c r="D38" i="2" l="1"/>
  <c r="G9" i="3" s="1"/>
  <c r="G32" i="3" l="1"/>
  <c r="G15" i="3"/>
  <c r="G26" i="3"/>
  <c r="G20" i="3"/>
</calcChain>
</file>

<file path=xl/sharedStrings.xml><?xml version="1.0" encoding="utf-8"?>
<sst xmlns="http://schemas.openxmlformats.org/spreadsheetml/2006/main" count="2431" uniqueCount="65">
  <si>
    <t>Giới tính của Anh/Chị là:</t>
  </si>
  <si>
    <t>Tình trạng hiện tại</t>
  </si>
  <si>
    <t>Bạn có sử dụng thiết bị điện tử trước khi ngủ</t>
  </si>
  <si>
    <t>Thời gian ngủ trong một đêm</t>
  </si>
  <si>
    <t>Bạn có tỉnh giấc giữa đêm không</t>
  </si>
  <si>
    <t>Mức độ căng thẳng trong ngày:</t>
  </si>
  <si>
    <t>Chất lượng giấc ngủ hiện tại:</t>
  </si>
  <si>
    <t>Nữ</t>
  </si>
  <si>
    <t>Nam</t>
  </si>
  <si>
    <t>Sinh viên</t>
  </si>
  <si>
    <t>Người đi làm</t>
  </si>
  <si>
    <t>Học sinh</t>
  </si>
  <si>
    <t>Có</t>
  </si>
  <si>
    <t>Không</t>
  </si>
  <si>
    <t>Dưới 6 tiếng</t>
  </si>
  <si>
    <t>Từ 6 đến 8 tiếng</t>
  </si>
  <si>
    <t>Trên 8 tiếng</t>
  </si>
  <si>
    <t>Thi thoảng</t>
  </si>
  <si>
    <t>Không tỉnh giấc</t>
  </si>
  <si>
    <t>Thường xuyên</t>
  </si>
  <si>
    <t>Thấp</t>
  </si>
  <si>
    <t>Trung Bình</t>
  </si>
  <si>
    <t>Cao</t>
  </si>
  <si>
    <t>Tốt</t>
  </si>
  <si>
    <t>Trung bình</t>
  </si>
  <si>
    <t>Kém</t>
  </si>
  <si>
    <t>Tình trạng sử dụng thiết bị điện tử trước khi ngủ</t>
  </si>
  <si>
    <t>Tình trạng tỉnh giấc giữa đêm</t>
  </si>
  <si>
    <t>Total</t>
  </si>
  <si>
    <t>Số lượng</t>
  </si>
  <si>
    <t>Xác suất (p)</t>
  </si>
  <si>
    <t>Entropy</t>
  </si>
  <si>
    <t>Giới tính</t>
  </si>
  <si>
    <t>Giới Tính</t>
  </si>
  <si>
    <t xml:space="preserve">Tốt </t>
  </si>
  <si>
    <t>IG</t>
  </si>
  <si>
    <t>Học Sinh</t>
  </si>
  <si>
    <t xml:space="preserve">Thỉnh thoảng </t>
  </si>
  <si>
    <t>Mức độ Căng thẳng</t>
  </si>
  <si>
    <t xml:space="preserve">Thuộc tính </t>
  </si>
  <si>
    <t>Tình trạng Công việc</t>
  </si>
  <si>
    <t>Thói quen sử dụng điện thoại trước khi ngủ</t>
  </si>
  <si>
    <t>Thời gian trong 1 đêm</t>
  </si>
  <si>
    <t>Mức độ căng thẳng</t>
  </si>
  <si>
    <t>Chất lượng giấc ngủ</t>
  </si>
  <si>
    <t>Mức độ căng thẳng thấp</t>
  </si>
  <si>
    <t>Thuộc tính</t>
  </si>
  <si>
    <t>Giá trị</t>
  </si>
  <si>
    <t>Tình trạng công việc</t>
  </si>
  <si>
    <t>Thói quen sử dụng điện thoại</t>
  </si>
  <si>
    <t>Entropy tổng</t>
  </si>
  <si>
    <t>Thời gian ngủ trong 1 đêm</t>
  </si>
  <si>
    <t xml:space="preserve">Thi thoảng </t>
  </si>
  <si>
    <t>Thấp - Thi Thoảng</t>
  </si>
  <si>
    <t>Thi Thoảng</t>
  </si>
  <si>
    <t>Thuộc Tính</t>
  </si>
  <si>
    <t xml:space="preserve">Học sinh </t>
  </si>
  <si>
    <t xml:space="preserve">Có </t>
  </si>
  <si>
    <t xml:space="preserve">Dưới 6 tiếng </t>
  </si>
  <si>
    <t>Tôt</t>
  </si>
  <si>
    <t>Xác xuất</t>
  </si>
  <si>
    <t xml:space="preserve">Từ 6 đến 8 tiếng </t>
  </si>
  <si>
    <t>Tình trạng tỉnh giấc</t>
  </si>
  <si>
    <t>Không bao giờ</t>
  </si>
  <si>
    <t>Ngườ di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</si>
</sst>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8F9FA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F8F9FA"/>
      </right>
      <top/>
      <bottom style="medium">
        <color rgb="FFF8F9FA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6" xfId="0" applyFill="1" applyBorder="1" applyAlignment="1">
      <alignment horizontal="center" vertical="top" wrapText="1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opLeftCell="A7" workbookViewId="0"/>
  </sheetViews>
  <sheetFormatPr defaultRowHeight="14.4" x14ac:dyDescent="0.3"/>
  <cols>
    <col min="1" max="1" width="28.33203125" customWidth="1"/>
    <col min="2" max="2" width="22.5546875" customWidth="1"/>
    <col min="3" max="3" width="17.77734375" customWidth="1"/>
    <col min="4" max="4" width="22.77734375" customWidth="1"/>
    <col min="5" max="5" width="22.109375" customWidth="1"/>
    <col min="6" max="6" width="15.88671875" customWidth="1"/>
    <col min="7" max="7" width="17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10</v>
      </c>
      <c r="C2" t="s">
        <v>12</v>
      </c>
      <c r="D2" t="s">
        <v>14</v>
      </c>
      <c r="E2" t="s">
        <v>17</v>
      </c>
      <c r="F2" t="s">
        <v>20</v>
      </c>
      <c r="G2" t="s">
        <v>24</v>
      </c>
    </row>
    <row r="3" spans="1:7" x14ac:dyDescent="0.3">
      <c r="A3" t="s">
        <v>7</v>
      </c>
      <c r="B3" t="s">
        <v>9</v>
      </c>
      <c r="C3" t="s">
        <v>12</v>
      </c>
      <c r="D3" t="s">
        <v>15</v>
      </c>
      <c r="E3" t="s">
        <v>18</v>
      </c>
      <c r="F3" t="s">
        <v>21</v>
      </c>
      <c r="G3" t="s">
        <v>23</v>
      </c>
    </row>
    <row r="4" spans="1:7" x14ac:dyDescent="0.3">
      <c r="A4" t="s">
        <v>8</v>
      </c>
      <c r="B4" t="s">
        <v>9</v>
      </c>
      <c r="C4" t="s">
        <v>12</v>
      </c>
      <c r="D4" t="s">
        <v>14</v>
      </c>
      <c r="E4" t="s">
        <v>17</v>
      </c>
      <c r="F4" t="s">
        <v>20</v>
      </c>
      <c r="G4" t="s">
        <v>24</v>
      </c>
    </row>
    <row r="5" spans="1:7" x14ac:dyDescent="0.3">
      <c r="A5" t="s">
        <v>8</v>
      </c>
      <c r="B5" t="s">
        <v>9</v>
      </c>
      <c r="C5" t="s">
        <v>12</v>
      </c>
      <c r="D5" t="s">
        <v>15</v>
      </c>
      <c r="E5" t="s">
        <v>18</v>
      </c>
      <c r="F5" t="s">
        <v>20</v>
      </c>
      <c r="G5" t="s">
        <v>23</v>
      </c>
    </row>
    <row r="6" spans="1:7" x14ac:dyDescent="0.3">
      <c r="A6" t="s">
        <v>8</v>
      </c>
      <c r="B6" t="s">
        <v>9</v>
      </c>
      <c r="C6" t="s">
        <v>12</v>
      </c>
      <c r="D6" t="s">
        <v>14</v>
      </c>
      <c r="E6" t="s">
        <v>17</v>
      </c>
      <c r="F6" t="s">
        <v>22</v>
      </c>
      <c r="G6" t="s">
        <v>24</v>
      </c>
    </row>
    <row r="7" spans="1:7" x14ac:dyDescent="0.3">
      <c r="A7" t="s">
        <v>8</v>
      </c>
      <c r="B7" t="s">
        <v>10</v>
      </c>
      <c r="C7" t="s">
        <v>12</v>
      </c>
      <c r="D7" t="s">
        <v>15</v>
      </c>
      <c r="E7" t="s">
        <v>18</v>
      </c>
      <c r="F7" t="s">
        <v>21</v>
      </c>
      <c r="G7" t="s">
        <v>23</v>
      </c>
    </row>
    <row r="8" spans="1:7" x14ac:dyDescent="0.3">
      <c r="A8" t="s">
        <v>8</v>
      </c>
      <c r="B8" t="s">
        <v>10</v>
      </c>
      <c r="C8" t="s">
        <v>13</v>
      </c>
      <c r="D8" t="s">
        <v>15</v>
      </c>
      <c r="E8" t="s">
        <v>18</v>
      </c>
      <c r="F8" t="s">
        <v>21</v>
      </c>
      <c r="G8" t="s">
        <v>23</v>
      </c>
    </row>
    <row r="9" spans="1:7" x14ac:dyDescent="0.3">
      <c r="A9" t="s">
        <v>7</v>
      </c>
      <c r="B9" t="s">
        <v>9</v>
      </c>
      <c r="C9" t="s">
        <v>12</v>
      </c>
      <c r="D9" t="s">
        <v>15</v>
      </c>
      <c r="E9" t="s">
        <v>17</v>
      </c>
      <c r="F9" t="s">
        <v>21</v>
      </c>
      <c r="G9" t="s">
        <v>24</v>
      </c>
    </row>
    <row r="10" spans="1:7" x14ac:dyDescent="0.3">
      <c r="A10" t="s">
        <v>7</v>
      </c>
      <c r="B10" t="s">
        <v>9</v>
      </c>
      <c r="C10" t="s">
        <v>12</v>
      </c>
      <c r="D10" t="s">
        <v>14</v>
      </c>
      <c r="E10" t="s">
        <v>17</v>
      </c>
      <c r="F10" t="s">
        <v>21</v>
      </c>
      <c r="G10" t="s">
        <v>24</v>
      </c>
    </row>
    <row r="11" spans="1:7" x14ac:dyDescent="0.3">
      <c r="A11" t="s">
        <v>7</v>
      </c>
      <c r="B11" t="s">
        <v>9</v>
      </c>
      <c r="C11" t="s">
        <v>12</v>
      </c>
      <c r="D11" t="s">
        <v>14</v>
      </c>
      <c r="E11" t="s">
        <v>19</v>
      </c>
      <c r="F11" t="s">
        <v>21</v>
      </c>
      <c r="G11" t="s">
        <v>24</v>
      </c>
    </row>
    <row r="12" spans="1:7" x14ac:dyDescent="0.3">
      <c r="A12" t="s">
        <v>7</v>
      </c>
      <c r="B12" t="s">
        <v>9</v>
      </c>
      <c r="C12" t="s">
        <v>13</v>
      </c>
      <c r="D12" t="s">
        <v>14</v>
      </c>
      <c r="E12" t="s">
        <v>19</v>
      </c>
      <c r="F12" t="s">
        <v>21</v>
      </c>
      <c r="G12" t="s">
        <v>24</v>
      </c>
    </row>
    <row r="13" spans="1:7" x14ac:dyDescent="0.3">
      <c r="A13" t="s">
        <v>7</v>
      </c>
      <c r="B13" t="s">
        <v>9</v>
      </c>
      <c r="C13" t="s">
        <v>12</v>
      </c>
      <c r="D13" t="s">
        <v>14</v>
      </c>
      <c r="E13" t="s">
        <v>17</v>
      </c>
      <c r="F13" t="s">
        <v>22</v>
      </c>
      <c r="G13" t="s">
        <v>25</v>
      </c>
    </row>
    <row r="14" spans="1:7" x14ac:dyDescent="0.3">
      <c r="A14" t="s">
        <v>7</v>
      </c>
      <c r="B14" t="s">
        <v>9</v>
      </c>
      <c r="C14" t="s">
        <v>12</v>
      </c>
      <c r="D14" t="s">
        <v>15</v>
      </c>
      <c r="E14" t="s">
        <v>18</v>
      </c>
      <c r="F14" t="s">
        <v>21</v>
      </c>
      <c r="G14" t="s">
        <v>23</v>
      </c>
    </row>
    <row r="15" spans="1:7" x14ac:dyDescent="0.3">
      <c r="A15" t="s">
        <v>7</v>
      </c>
      <c r="B15" t="s">
        <v>11</v>
      </c>
      <c r="C15" t="s">
        <v>12</v>
      </c>
      <c r="D15" t="s">
        <v>14</v>
      </c>
      <c r="E15" t="s">
        <v>18</v>
      </c>
      <c r="F15" t="s">
        <v>20</v>
      </c>
      <c r="G15" t="s">
        <v>23</v>
      </c>
    </row>
    <row r="16" spans="1:7" x14ac:dyDescent="0.3">
      <c r="A16" t="s">
        <v>8</v>
      </c>
      <c r="B16" t="s">
        <v>9</v>
      </c>
      <c r="C16" t="s">
        <v>12</v>
      </c>
      <c r="D16" t="s">
        <v>15</v>
      </c>
      <c r="E16" t="s">
        <v>18</v>
      </c>
      <c r="F16" t="s">
        <v>22</v>
      </c>
      <c r="G16" t="s">
        <v>24</v>
      </c>
    </row>
    <row r="17" spans="1:7" x14ac:dyDescent="0.3">
      <c r="A17" t="s">
        <v>8</v>
      </c>
      <c r="B17" t="s">
        <v>10</v>
      </c>
      <c r="C17" t="s">
        <v>12</v>
      </c>
      <c r="D17" t="s">
        <v>14</v>
      </c>
      <c r="E17" t="s">
        <v>17</v>
      </c>
      <c r="F17" t="s">
        <v>21</v>
      </c>
      <c r="G17" t="s">
        <v>24</v>
      </c>
    </row>
    <row r="18" spans="1:7" x14ac:dyDescent="0.3">
      <c r="A18" t="s">
        <v>8</v>
      </c>
      <c r="B18" t="s">
        <v>10</v>
      </c>
      <c r="C18" t="s">
        <v>12</v>
      </c>
      <c r="D18" t="s">
        <v>16</v>
      </c>
      <c r="E18" t="s">
        <v>18</v>
      </c>
      <c r="F18" t="s">
        <v>20</v>
      </c>
      <c r="G18" t="s">
        <v>23</v>
      </c>
    </row>
    <row r="19" spans="1:7" x14ac:dyDescent="0.3">
      <c r="A19" t="s">
        <v>7</v>
      </c>
      <c r="B19" t="s">
        <v>9</v>
      </c>
      <c r="C19" t="s">
        <v>12</v>
      </c>
      <c r="D19" t="s">
        <v>15</v>
      </c>
      <c r="E19" t="s">
        <v>18</v>
      </c>
      <c r="F19" t="s">
        <v>20</v>
      </c>
      <c r="G19" t="s">
        <v>24</v>
      </c>
    </row>
    <row r="20" spans="1:7" x14ac:dyDescent="0.3">
      <c r="A20" t="s">
        <v>7</v>
      </c>
      <c r="B20" t="s">
        <v>9</v>
      </c>
      <c r="C20" t="s">
        <v>12</v>
      </c>
      <c r="D20" t="s">
        <v>14</v>
      </c>
      <c r="E20" t="s">
        <v>18</v>
      </c>
      <c r="F20" t="s">
        <v>21</v>
      </c>
      <c r="G20" t="s">
        <v>24</v>
      </c>
    </row>
    <row r="21" spans="1:7" x14ac:dyDescent="0.3">
      <c r="A21" t="s">
        <v>7</v>
      </c>
      <c r="B21" t="s">
        <v>9</v>
      </c>
      <c r="C21" t="s">
        <v>12</v>
      </c>
      <c r="D21" t="s">
        <v>14</v>
      </c>
      <c r="E21" t="s">
        <v>17</v>
      </c>
      <c r="F21" t="s">
        <v>22</v>
      </c>
      <c r="G21" t="s">
        <v>25</v>
      </c>
    </row>
    <row r="22" spans="1:7" x14ac:dyDescent="0.3">
      <c r="A22" t="s">
        <v>8</v>
      </c>
      <c r="B22" t="s">
        <v>10</v>
      </c>
      <c r="C22" t="s">
        <v>12</v>
      </c>
      <c r="D22" t="s">
        <v>15</v>
      </c>
      <c r="E22" t="s">
        <v>17</v>
      </c>
      <c r="F22" t="s">
        <v>22</v>
      </c>
      <c r="G22" t="s">
        <v>25</v>
      </c>
    </row>
    <row r="23" spans="1:7" x14ac:dyDescent="0.3">
      <c r="A23" t="s">
        <v>8</v>
      </c>
      <c r="B23" t="s">
        <v>11</v>
      </c>
      <c r="C23" t="s">
        <v>13</v>
      </c>
      <c r="D23" t="s">
        <v>16</v>
      </c>
      <c r="E23" t="s">
        <v>18</v>
      </c>
      <c r="F23" t="s">
        <v>20</v>
      </c>
      <c r="G23" t="s">
        <v>23</v>
      </c>
    </row>
    <row r="24" spans="1:7" x14ac:dyDescent="0.3">
      <c r="A24" t="s">
        <v>7</v>
      </c>
      <c r="B24" t="s">
        <v>9</v>
      </c>
      <c r="C24" t="s">
        <v>12</v>
      </c>
      <c r="D24" t="s">
        <v>15</v>
      </c>
      <c r="E24" t="s">
        <v>17</v>
      </c>
      <c r="F24" t="s">
        <v>21</v>
      </c>
      <c r="G24" t="s">
        <v>23</v>
      </c>
    </row>
    <row r="25" spans="1:7" x14ac:dyDescent="0.3">
      <c r="A25" t="s">
        <v>7</v>
      </c>
      <c r="B25" t="s">
        <v>11</v>
      </c>
      <c r="C25" t="s">
        <v>12</v>
      </c>
      <c r="D25" t="s">
        <v>14</v>
      </c>
      <c r="E25" t="s">
        <v>18</v>
      </c>
      <c r="F25" t="s">
        <v>21</v>
      </c>
      <c r="G25" t="s">
        <v>24</v>
      </c>
    </row>
    <row r="26" spans="1:7" x14ac:dyDescent="0.3">
      <c r="A26" t="s">
        <v>7</v>
      </c>
      <c r="B26" t="s">
        <v>9</v>
      </c>
      <c r="C26" t="s">
        <v>12</v>
      </c>
      <c r="D26" t="s">
        <v>15</v>
      </c>
      <c r="E26" t="s">
        <v>18</v>
      </c>
      <c r="F26" t="s">
        <v>21</v>
      </c>
      <c r="G26" t="s">
        <v>24</v>
      </c>
    </row>
    <row r="27" spans="1:7" x14ac:dyDescent="0.3">
      <c r="A27" t="s">
        <v>7</v>
      </c>
      <c r="B27" t="s">
        <v>9</v>
      </c>
      <c r="C27" t="s">
        <v>13</v>
      </c>
      <c r="D27" t="s">
        <v>15</v>
      </c>
      <c r="E27" t="s">
        <v>17</v>
      </c>
      <c r="F27" t="s">
        <v>22</v>
      </c>
      <c r="G27" t="s">
        <v>24</v>
      </c>
    </row>
    <row r="28" spans="1:7" x14ac:dyDescent="0.3">
      <c r="A28" t="s">
        <v>7</v>
      </c>
      <c r="B28" t="s">
        <v>9</v>
      </c>
      <c r="C28" t="s">
        <v>12</v>
      </c>
      <c r="D28" t="s">
        <v>15</v>
      </c>
      <c r="E28" t="s">
        <v>18</v>
      </c>
      <c r="F28" t="s">
        <v>22</v>
      </c>
      <c r="G28" t="s">
        <v>25</v>
      </c>
    </row>
    <row r="29" spans="1:7" x14ac:dyDescent="0.3">
      <c r="A29" t="s">
        <v>8</v>
      </c>
      <c r="B29" t="s">
        <v>11</v>
      </c>
      <c r="C29" t="s">
        <v>12</v>
      </c>
      <c r="D29" t="s">
        <v>14</v>
      </c>
      <c r="E29" t="s">
        <v>18</v>
      </c>
      <c r="F29" t="s">
        <v>21</v>
      </c>
      <c r="G29" t="s">
        <v>24</v>
      </c>
    </row>
    <row r="30" spans="1:7" x14ac:dyDescent="0.3">
      <c r="A30" t="s">
        <v>7</v>
      </c>
      <c r="B30" t="s">
        <v>9</v>
      </c>
      <c r="C30" t="s">
        <v>12</v>
      </c>
      <c r="D30" t="s">
        <v>15</v>
      </c>
      <c r="E30" t="s">
        <v>17</v>
      </c>
      <c r="F30" t="s">
        <v>22</v>
      </c>
      <c r="G30" t="s">
        <v>24</v>
      </c>
    </row>
    <row r="31" spans="1:7" x14ac:dyDescent="0.3">
      <c r="A31" t="s">
        <v>7</v>
      </c>
      <c r="B31" t="s">
        <v>11</v>
      </c>
      <c r="C31" t="s">
        <v>12</v>
      </c>
      <c r="D31" t="s">
        <v>16</v>
      </c>
      <c r="E31" t="s">
        <v>17</v>
      </c>
      <c r="F31" t="s">
        <v>21</v>
      </c>
      <c r="G31" t="s">
        <v>24</v>
      </c>
    </row>
    <row r="32" spans="1:7" x14ac:dyDescent="0.3">
      <c r="A32" t="s">
        <v>8</v>
      </c>
      <c r="B32" t="s">
        <v>10</v>
      </c>
      <c r="C32" t="s">
        <v>12</v>
      </c>
      <c r="D32" t="s">
        <v>15</v>
      </c>
      <c r="E32" t="s">
        <v>17</v>
      </c>
      <c r="F32" t="s">
        <v>22</v>
      </c>
      <c r="G32" t="s">
        <v>25</v>
      </c>
    </row>
    <row r="33" spans="1:7" x14ac:dyDescent="0.3">
      <c r="A33" t="s">
        <v>7</v>
      </c>
      <c r="B33" t="s">
        <v>9</v>
      </c>
      <c r="C33" t="s">
        <v>12</v>
      </c>
      <c r="D33" t="s">
        <v>15</v>
      </c>
      <c r="E33" t="s">
        <v>17</v>
      </c>
      <c r="F33" t="s">
        <v>21</v>
      </c>
      <c r="G33" t="s">
        <v>24</v>
      </c>
    </row>
    <row r="34" spans="1:7" x14ac:dyDescent="0.3">
      <c r="A34" t="s">
        <v>7</v>
      </c>
      <c r="B34" t="s">
        <v>9</v>
      </c>
      <c r="C34" t="s">
        <v>12</v>
      </c>
      <c r="D34" t="s">
        <v>14</v>
      </c>
      <c r="E34" t="s">
        <v>18</v>
      </c>
      <c r="F34" t="s">
        <v>21</v>
      </c>
      <c r="G34" t="s">
        <v>24</v>
      </c>
    </row>
    <row r="35" spans="1:7" x14ac:dyDescent="0.3">
      <c r="A35" t="s">
        <v>8</v>
      </c>
      <c r="B35" t="s">
        <v>9</v>
      </c>
      <c r="C35" t="s">
        <v>13</v>
      </c>
      <c r="D35" t="s">
        <v>15</v>
      </c>
      <c r="E35" t="s">
        <v>18</v>
      </c>
      <c r="F35" t="s">
        <v>20</v>
      </c>
      <c r="G35" t="s">
        <v>23</v>
      </c>
    </row>
    <row r="36" spans="1:7" x14ac:dyDescent="0.3">
      <c r="A36" t="s">
        <v>7</v>
      </c>
      <c r="B36" t="s">
        <v>9</v>
      </c>
      <c r="C36" t="s">
        <v>12</v>
      </c>
      <c r="D36" t="s">
        <v>15</v>
      </c>
      <c r="E36" t="s">
        <v>18</v>
      </c>
      <c r="F36" t="s">
        <v>20</v>
      </c>
      <c r="G36" t="s">
        <v>23</v>
      </c>
    </row>
    <row r="37" spans="1:7" x14ac:dyDescent="0.3">
      <c r="A37" t="s">
        <v>8</v>
      </c>
      <c r="B37" t="s">
        <v>9</v>
      </c>
      <c r="C37" t="s">
        <v>12</v>
      </c>
      <c r="D37" t="s">
        <v>15</v>
      </c>
      <c r="E37" t="s">
        <v>19</v>
      </c>
      <c r="F37" t="s">
        <v>21</v>
      </c>
      <c r="G37" t="s">
        <v>25</v>
      </c>
    </row>
    <row r="38" spans="1:7" x14ac:dyDescent="0.3">
      <c r="A38" t="s">
        <v>7</v>
      </c>
      <c r="B38" t="s">
        <v>9</v>
      </c>
      <c r="C38" t="s">
        <v>12</v>
      </c>
      <c r="D38" t="s">
        <v>15</v>
      </c>
      <c r="E38" t="s">
        <v>18</v>
      </c>
      <c r="F38" t="s">
        <v>21</v>
      </c>
      <c r="G38" t="s">
        <v>24</v>
      </c>
    </row>
    <row r="39" spans="1:7" x14ac:dyDescent="0.3">
      <c r="A39" t="s">
        <v>8</v>
      </c>
      <c r="B39" t="s">
        <v>9</v>
      </c>
      <c r="C39" t="s">
        <v>12</v>
      </c>
      <c r="D39" t="s">
        <v>15</v>
      </c>
      <c r="E39" t="s">
        <v>18</v>
      </c>
      <c r="F39" t="s">
        <v>21</v>
      </c>
      <c r="G39" t="s">
        <v>23</v>
      </c>
    </row>
    <row r="40" spans="1:7" x14ac:dyDescent="0.3">
      <c r="A40" t="s">
        <v>8</v>
      </c>
      <c r="B40" t="s">
        <v>9</v>
      </c>
      <c r="C40" t="s">
        <v>12</v>
      </c>
      <c r="D40" t="s">
        <v>15</v>
      </c>
      <c r="E40" t="s">
        <v>17</v>
      </c>
      <c r="F40" t="s">
        <v>21</v>
      </c>
      <c r="G40" t="s">
        <v>24</v>
      </c>
    </row>
    <row r="41" spans="1:7" x14ac:dyDescent="0.3">
      <c r="A41" t="s">
        <v>7</v>
      </c>
      <c r="B41" t="s">
        <v>9</v>
      </c>
      <c r="C41" t="s">
        <v>12</v>
      </c>
      <c r="D41" t="s">
        <v>14</v>
      </c>
      <c r="E41" t="s">
        <v>17</v>
      </c>
      <c r="F41" t="s">
        <v>21</v>
      </c>
      <c r="G41" t="s">
        <v>24</v>
      </c>
    </row>
    <row r="42" spans="1:7" x14ac:dyDescent="0.3">
      <c r="A42" t="s">
        <v>7</v>
      </c>
      <c r="B42" t="s">
        <v>9</v>
      </c>
      <c r="C42" t="s">
        <v>12</v>
      </c>
      <c r="D42" t="s">
        <v>15</v>
      </c>
      <c r="E42" t="s">
        <v>17</v>
      </c>
      <c r="F42" t="s">
        <v>21</v>
      </c>
      <c r="G42" t="s">
        <v>23</v>
      </c>
    </row>
    <row r="43" spans="1:7" x14ac:dyDescent="0.3">
      <c r="A43" t="s">
        <v>7</v>
      </c>
      <c r="B43" t="s">
        <v>9</v>
      </c>
      <c r="C43" t="s">
        <v>12</v>
      </c>
      <c r="D43" t="s">
        <v>14</v>
      </c>
      <c r="E43" t="s">
        <v>17</v>
      </c>
      <c r="F43" t="s">
        <v>21</v>
      </c>
      <c r="G43" t="s">
        <v>24</v>
      </c>
    </row>
    <row r="44" spans="1:7" x14ac:dyDescent="0.3">
      <c r="A44" t="s">
        <v>7</v>
      </c>
      <c r="B44" t="s">
        <v>9</v>
      </c>
      <c r="C44" t="s">
        <v>12</v>
      </c>
      <c r="D44" t="s">
        <v>15</v>
      </c>
      <c r="E44" t="s">
        <v>17</v>
      </c>
      <c r="F44" t="s">
        <v>21</v>
      </c>
      <c r="G44" t="s">
        <v>24</v>
      </c>
    </row>
    <row r="45" spans="1:7" x14ac:dyDescent="0.3">
      <c r="A45" t="s">
        <v>7</v>
      </c>
      <c r="B45" t="s">
        <v>9</v>
      </c>
      <c r="C45" t="s">
        <v>12</v>
      </c>
      <c r="D45" t="s">
        <v>15</v>
      </c>
      <c r="E45" t="s">
        <v>18</v>
      </c>
      <c r="F45" t="s">
        <v>21</v>
      </c>
      <c r="G45" t="s">
        <v>23</v>
      </c>
    </row>
    <row r="46" spans="1:7" x14ac:dyDescent="0.3">
      <c r="A46" t="s">
        <v>8</v>
      </c>
      <c r="B46" t="s">
        <v>9</v>
      </c>
      <c r="C46" t="s">
        <v>12</v>
      </c>
      <c r="D46" t="s">
        <v>16</v>
      </c>
      <c r="E46" t="s">
        <v>18</v>
      </c>
      <c r="F46" t="s">
        <v>21</v>
      </c>
      <c r="G46" t="s">
        <v>24</v>
      </c>
    </row>
    <row r="47" spans="1:7" x14ac:dyDescent="0.3">
      <c r="A47" t="s">
        <v>7</v>
      </c>
      <c r="B47" t="s">
        <v>9</v>
      </c>
      <c r="C47" t="s">
        <v>12</v>
      </c>
      <c r="D47" t="s">
        <v>15</v>
      </c>
      <c r="E47" t="s">
        <v>17</v>
      </c>
      <c r="F47" t="s">
        <v>21</v>
      </c>
      <c r="G47" t="s">
        <v>24</v>
      </c>
    </row>
    <row r="48" spans="1:7" x14ac:dyDescent="0.3">
      <c r="A48" t="s">
        <v>7</v>
      </c>
      <c r="B48" t="s">
        <v>10</v>
      </c>
      <c r="C48" t="s">
        <v>13</v>
      </c>
      <c r="D48" t="s">
        <v>15</v>
      </c>
      <c r="E48" t="s">
        <v>17</v>
      </c>
      <c r="F48" t="s">
        <v>20</v>
      </c>
      <c r="G48" t="s">
        <v>24</v>
      </c>
    </row>
    <row r="49" spans="1:7" x14ac:dyDescent="0.3">
      <c r="A49" t="s">
        <v>8</v>
      </c>
      <c r="B49" t="s">
        <v>9</v>
      </c>
      <c r="C49" t="s">
        <v>12</v>
      </c>
      <c r="D49" t="s">
        <v>15</v>
      </c>
      <c r="E49" t="s">
        <v>17</v>
      </c>
      <c r="F49" t="s">
        <v>22</v>
      </c>
      <c r="G49" t="s">
        <v>24</v>
      </c>
    </row>
    <row r="50" spans="1:7" x14ac:dyDescent="0.3">
      <c r="A50" t="s">
        <v>7</v>
      </c>
      <c r="B50" t="s">
        <v>9</v>
      </c>
      <c r="C50" t="s">
        <v>12</v>
      </c>
      <c r="D50" t="s">
        <v>15</v>
      </c>
      <c r="E50" t="s">
        <v>17</v>
      </c>
      <c r="F50" t="s">
        <v>21</v>
      </c>
      <c r="G50" t="s">
        <v>24</v>
      </c>
    </row>
    <row r="51" spans="1:7" x14ac:dyDescent="0.3">
      <c r="A51" t="s">
        <v>7</v>
      </c>
      <c r="B51" t="s">
        <v>9</v>
      </c>
      <c r="C51" t="s">
        <v>12</v>
      </c>
      <c r="D51" t="s">
        <v>15</v>
      </c>
      <c r="E51" t="s">
        <v>17</v>
      </c>
      <c r="F51" t="s">
        <v>20</v>
      </c>
      <c r="G51" t="s">
        <v>23</v>
      </c>
    </row>
    <row r="52" spans="1:7" x14ac:dyDescent="0.3">
      <c r="A52" t="s">
        <v>7</v>
      </c>
      <c r="B52" t="s">
        <v>9</v>
      </c>
      <c r="C52" t="s">
        <v>12</v>
      </c>
      <c r="D52" t="s">
        <v>15</v>
      </c>
      <c r="E52" t="s">
        <v>17</v>
      </c>
      <c r="F52" t="s">
        <v>21</v>
      </c>
      <c r="G52" t="s">
        <v>24</v>
      </c>
    </row>
    <row r="53" spans="1:7" x14ac:dyDescent="0.3">
      <c r="A53" t="s">
        <v>7</v>
      </c>
      <c r="B53" t="s">
        <v>9</v>
      </c>
      <c r="C53" t="s">
        <v>12</v>
      </c>
      <c r="D53" t="s">
        <v>15</v>
      </c>
      <c r="E53" t="s">
        <v>17</v>
      </c>
      <c r="F53" t="s">
        <v>21</v>
      </c>
      <c r="G53" t="s">
        <v>23</v>
      </c>
    </row>
    <row r="54" spans="1:7" x14ac:dyDescent="0.3">
      <c r="A54" t="s">
        <v>7</v>
      </c>
      <c r="B54" t="s">
        <v>9</v>
      </c>
      <c r="C54" t="s">
        <v>12</v>
      </c>
      <c r="D54" t="s">
        <v>15</v>
      </c>
      <c r="E54" t="s">
        <v>17</v>
      </c>
      <c r="F54" t="s">
        <v>20</v>
      </c>
      <c r="G54" t="s">
        <v>23</v>
      </c>
    </row>
    <row r="55" spans="1:7" x14ac:dyDescent="0.3">
      <c r="A55" t="s">
        <v>8</v>
      </c>
      <c r="B55" t="s">
        <v>10</v>
      </c>
      <c r="C55" t="s">
        <v>12</v>
      </c>
      <c r="D55" t="s">
        <v>15</v>
      </c>
      <c r="E55" t="s">
        <v>17</v>
      </c>
      <c r="F55" t="s">
        <v>21</v>
      </c>
      <c r="G55" t="s">
        <v>24</v>
      </c>
    </row>
    <row r="56" spans="1:7" x14ac:dyDescent="0.3">
      <c r="A56" t="s">
        <v>7</v>
      </c>
      <c r="B56" t="s">
        <v>9</v>
      </c>
      <c r="C56" t="s">
        <v>12</v>
      </c>
      <c r="D56" t="s">
        <v>15</v>
      </c>
      <c r="E56" t="s">
        <v>17</v>
      </c>
      <c r="F56" t="s">
        <v>20</v>
      </c>
      <c r="G56" t="s">
        <v>24</v>
      </c>
    </row>
    <row r="57" spans="1:7" x14ac:dyDescent="0.3">
      <c r="A57" t="s">
        <v>8</v>
      </c>
      <c r="B57" t="s">
        <v>9</v>
      </c>
      <c r="C57" t="s">
        <v>12</v>
      </c>
      <c r="D57" t="s">
        <v>15</v>
      </c>
      <c r="E57" t="s">
        <v>18</v>
      </c>
      <c r="F57" t="s">
        <v>21</v>
      </c>
      <c r="G57" t="s">
        <v>23</v>
      </c>
    </row>
    <row r="58" spans="1:7" x14ac:dyDescent="0.3">
      <c r="A58" t="s">
        <v>8</v>
      </c>
      <c r="B58" t="s">
        <v>9</v>
      </c>
      <c r="C58" t="s">
        <v>12</v>
      </c>
      <c r="D58" t="s">
        <v>16</v>
      </c>
      <c r="E58" t="s">
        <v>17</v>
      </c>
      <c r="F58" t="s">
        <v>22</v>
      </c>
      <c r="G58" t="s">
        <v>24</v>
      </c>
    </row>
    <row r="59" spans="1:7" x14ac:dyDescent="0.3">
      <c r="A59" t="s">
        <v>7</v>
      </c>
      <c r="B59" t="s">
        <v>9</v>
      </c>
      <c r="C59" t="s">
        <v>12</v>
      </c>
      <c r="D59" t="s">
        <v>15</v>
      </c>
      <c r="E59" t="s">
        <v>17</v>
      </c>
      <c r="F59" t="s">
        <v>21</v>
      </c>
      <c r="G59" t="s">
        <v>24</v>
      </c>
    </row>
    <row r="60" spans="1:7" x14ac:dyDescent="0.3">
      <c r="A60" t="s">
        <v>8</v>
      </c>
      <c r="B60" t="s">
        <v>9</v>
      </c>
      <c r="C60" t="s">
        <v>12</v>
      </c>
      <c r="D60" t="s">
        <v>15</v>
      </c>
      <c r="E60" t="s">
        <v>17</v>
      </c>
      <c r="F60" t="s">
        <v>20</v>
      </c>
      <c r="G60" t="s">
        <v>23</v>
      </c>
    </row>
    <row r="61" spans="1:7" x14ac:dyDescent="0.3">
      <c r="A61" t="s">
        <v>7</v>
      </c>
      <c r="B61" t="s">
        <v>9</v>
      </c>
      <c r="C61" t="s">
        <v>12</v>
      </c>
      <c r="D61" t="s">
        <v>14</v>
      </c>
      <c r="E61" t="s">
        <v>17</v>
      </c>
      <c r="F61" t="s">
        <v>21</v>
      </c>
      <c r="G61" t="s">
        <v>24</v>
      </c>
    </row>
    <row r="62" spans="1:7" x14ac:dyDescent="0.3">
      <c r="A62" t="s">
        <v>8</v>
      </c>
      <c r="B62" t="s">
        <v>10</v>
      </c>
      <c r="C62" t="s">
        <v>12</v>
      </c>
      <c r="D62" t="s">
        <v>14</v>
      </c>
      <c r="E62" t="s">
        <v>17</v>
      </c>
      <c r="F62" t="s">
        <v>21</v>
      </c>
      <c r="G62" t="s">
        <v>24</v>
      </c>
    </row>
    <row r="63" spans="1:7" x14ac:dyDescent="0.3">
      <c r="A63" t="s">
        <v>7</v>
      </c>
      <c r="B63" t="s">
        <v>9</v>
      </c>
      <c r="C63" t="s">
        <v>12</v>
      </c>
      <c r="D63" t="s">
        <v>15</v>
      </c>
      <c r="E63" t="s">
        <v>17</v>
      </c>
      <c r="F63" t="s">
        <v>22</v>
      </c>
      <c r="G63" t="s">
        <v>25</v>
      </c>
    </row>
    <row r="64" spans="1:7" x14ac:dyDescent="0.3">
      <c r="A64" t="s">
        <v>7</v>
      </c>
      <c r="B64" t="s">
        <v>9</v>
      </c>
      <c r="C64" t="s">
        <v>12</v>
      </c>
      <c r="D64" t="s">
        <v>15</v>
      </c>
      <c r="E64" t="s">
        <v>18</v>
      </c>
      <c r="F64" t="s">
        <v>21</v>
      </c>
      <c r="G64" t="s">
        <v>23</v>
      </c>
    </row>
    <row r="65" spans="1:7" x14ac:dyDescent="0.3">
      <c r="A65" t="s">
        <v>8</v>
      </c>
      <c r="B65" t="s">
        <v>9</v>
      </c>
      <c r="C65" t="s">
        <v>12</v>
      </c>
      <c r="D65" t="s">
        <v>15</v>
      </c>
      <c r="E65" t="s">
        <v>17</v>
      </c>
      <c r="F65" t="s">
        <v>22</v>
      </c>
      <c r="G65" t="s">
        <v>24</v>
      </c>
    </row>
    <row r="66" spans="1:7" x14ac:dyDescent="0.3">
      <c r="A66" t="s">
        <v>7</v>
      </c>
      <c r="B66" t="s">
        <v>11</v>
      </c>
      <c r="C66" t="s">
        <v>12</v>
      </c>
      <c r="D66" t="s">
        <v>15</v>
      </c>
      <c r="E66" t="s">
        <v>17</v>
      </c>
      <c r="F66" t="s">
        <v>22</v>
      </c>
      <c r="G66" t="s">
        <v>25</v>
      </c>
    </row>
    <row r="67" spans="1:7" x14ac:dyDescent="0.3">
      <c r="A67" t="s">
        <v>7</v>
      </c>
      <c r="B67" t="s">
        <v>10</v>
      </c>
      <c r="C67" t="s">
        <v>12</v>
      </c>
      <c r="D67" t="s">
        <v>15</v>
      </c>
      <c r="E67" t="s">
        <v>17</v>
      </c>
      <c r="F67" t="s">
        <v>21</v>
      </c>
      <c r="G67" t="s">
        <v>23</v>
      </c>
    </row>
    <row r="68" spans="1:7" x14ac:dyDescent="0.3">
      <c r="A68" t="s">
        <v>7</v>
      </c>
      <c r="B68" t="s">
        <v>9</v>
      </c>
      <c r="C68" t="s">
        <v>12</v>
      </c>
      <c r="D68" t="s">
        <v>15</v>
      </c>
      <c r="E68" t="s">
        <v>18</v>
      </c>
      <c r="F68" t="s">
        <v>22</v>
      </c>
      <c r="G68" t="s">
        <v>23</v>
      </c>
    </row>
    <row r="69" spans="1:7" x14ac:dyDescent="0.3">
      <c r="A69" t="s">
        <v>7</v>
      </c>
      <c r="B69" t="s">
        <v>9</v>
      </c>
      <c r="C69" t="s">
        <v>12</v>
      </c>
      <c r="D69" t="s">
        <v>15</v>
      </c>
      <c r="E69" t="s">
        <v>19</v>
      </c>
      <c r="F69" t="s">
        <v>21</v>
      </c>
      <c r="G69" t="s">
        <v>24</v>
      </c>
    </row>
    <row r="70" spans="1:7" x14ac:dyDescent="0.3">
      <c r="A70" t="s">
        <v>7</v>
      </c>
      <c r="B70" t="s">
        <v>9</v>
      </c>
      <c r="C70" t="s">
        <v>13</v>
      </c>
      <c r="D70" t="s">
        <v>15</v>
      </c>
      <c r="E70" t="s">
        <v>18</v>
      </c>
      <c r="F70" t="s">
        <v>20</v>
      </c>
      <c r="G70" t="s">
        <v>24</v>
      </c>
    </row>
    <row r="71" spans="1:7" x14ac:dyDescent="0.3">
      <c r="A71" t="s">
        <v>7</v>
      </c>
      <c r="B71" t="s">
        <v>9</v>
      </c>
      <c r="C71" t="s">
        <v>12</v>
      </c>
      <c r="D71" t="s">
        <v>14</v>
      </c>
      <c r="E71" t="s">
        <v>17</v>
      </c>
      <c r="F71" t="s">
        <v>20</v>
      </c>
      <c r="G71" t="s">
        <v>24</v>
      </c>
    </row>
    <row r="72" spans="1:7" x14ac:dyDescent="0.3">
      <c r="A72" t="s">
        <v>7</v>
      </c>
      <c r="B72" t="s">
        <v>9</v>
      </c>
      <c r="C72" t="s">
        <v>12</v>
      </c>
      <c r="D72" t="s">
        <v>15</v>
      </c>
      <c r="E72" t="s">
        <v>17</v>
      </c>
      <c r="F72" t="s">
        <v>21</v>
      </c>
      <c r="G72" t="s">
        <v>23</v>
      </c>
    </row>
    <row r="73" spans="1:7" x14ac:dyDescent="0.3">
      <c r="A73" t="s">
        <v>7</v>
      </c>
      <c r="B73" t="s">
        <v>9</v>
      </c>
      <c r="C73" t="s">
        <v>12</v>
      </c>
      <c r="D73" t="s">
        <v>15</v>
      </c>
      <c r="E73" t="s">
        <v>19</v>
      </c>
      <c r="F73" t="s">
        <v>21</v>
      </c>
      <c r="G73" t="s">
        <v>24</v>
      </c>
    </row>
    <row r="74" spans="1:7" x14ac:dyDescent="0.3">
      <c r="A74" t="s">
        <v>7</v>
      </c>
      <c r="B74" t="s">
        <v>9</v>
      </c>
      <c r="C74" t="s">
        <v>12</v>
      </c>
      <c r="D74" t="s">
        <v>15</v>
      </c>
      <c r="E74" t="s">
        <v>17</v>
      </c>
      <c r="F74" t="s">
        <v>21</v>
      </c>
      <c r="G74" t="s">
        <v>23</v>
      </c>
    </row>
    <row r="75" spans="1:7" x14ac:dyDescent="0.3">
      <c r="A75" t="s">
        <v>7</v>
      </c>
      <c r="B75" t="s">
        <v>9</v>
      </c>
      <c r="C75" t="s">
        <v>12</v>
      </c>
      <c r="D75" t="s">
        <v>15</v>
      </c>
      <c r="E75" t="s">
        <v>18</v>
      </c>
      <c r="F75" t="s">
        <v>21</v>
      </c>
      <c r="G75" t="s">
        <v>24</v>
      </c>
    </row>
    <row r="76" spans="1:7" x14ac:dyDescent="0.3">
      <c r="A76" t="s">
        <v>8</v>
      </c>
      <c r="B76" t="s">
        <v>9</v>
      </c>
      <c r="C76" t="s">
        <v>12</v>
      </c>
      <c r="D76" t="s">
        <v>15</v>
      </c>
      <c r="E76" t="s">
        <v>18</v>
      </c>
      <c r="F76" t="s">
        <v>20</v>
      </c>
      <c r="G76" t="s">
        <v>24</v>
      </c>
    </row>
    <row r="77" spans="1:7" x14ac:dyDescent="0.3">
      <c r="A77" t="s">
        <v>8</v>
      </c>
      <c r="B77" t="s">
        <v>11</v>
      </c>
      <c r="C77" t="s">
        <v>12</v>
      </c>
      <c r="D77" t="s">
        <v>15</v>
      </c>
      <c r="E77" t="s">
        <v>17</v>
      </c>
      <c r="F77" t="s">
        <v>22</v>
      </c>
      <c r="G77" t="s">
        <v>24</v>
      </c>
    </row>
    <row r="78" spans="1:7" x14ac:dyDescent="0.3">
      <c r="A78" t="s">
        <v>7</v>
      </c>
      <c r="B78" t="s">
        <v>9</v>
      </c>
      <c r="C78" t="s">
        <v>12</v>
      </c>
      <c r="D78" t="s">
        <v>14</v>
      </c>
      <c r="E78" t="s">
        <v>17</v>
      </c>
      <c r="F78" t="s">
        <v>22</v>
      </c>
      <c r="G78" t="s">
        <v>25</v>
      </c>
    </row>
    <row r="79" spans="1:7" x14ac:dyDescent="0.3">
      <c r="A79" t="s">
        <v>7</v>
      </c>
      <c r="B79" t="s">
        <v>10</v>
      </c>
      <c r="C79" t="s">
        <v>12</v>
      </c>
      <c r="D79" t="s">
        <v>15</v>
      </c>
      <c r="E79" t="s">
        <v>17</v>
      </c>
      <c r="F79" t="s">
        <v>22</v>
      </c>
      <c r="G79" t="s">
        <v>25</v>
      </c>
    </row>
    <row r="80" spans="1:7" x14ac:dyDescent="0.3">
      <c r="A80" t="s">
        <v>8</v>
      </c>
      <c r="B80" t="s">
        <v>11</v>
      </c>
      <c r="C80" t="s">
        <v>12</v>
      </c>
      <c r="D80" t="s">
        <v>15</v>
      </c>
      <c r="E80" t="s">
        <v>17</v>
      </c>
      <c r="F80" t="s">
        <v>22</v>
      </c>
      <c r="G80" t="s">
        <v>24</v>
      </c>
    </row>
    <row r="81" spans="1:7" x14ac:dyDescent="0.3">
      <c r="A81" t="s">
        <v>8</v>
      </c>
      <c r="B81" t="s">
        <v>9</v>
      </c>
      <c r="C81" t="s">
        <v>12</v>
      </c>
      <c r="D81" t="s">
        <v>15</v>
      </c>
      <c r="E81" t="s">
        <v>17</v>
      </c>
      <c r="F81" t="s">
        <v>21</v>
      </c>
      <c r="G81" t="s">
        <v>24</v>
      </c>
    </row>
    <row r="82" spans="1:7" x14ac:dyDescent="0.3">
      <c r="A82" t="s">
        <v>7</v>
      </c>
      <c r="B82" t="s">
        <v>9</v>
      </c>
      <c r="C82" t="s">
        <v>12</v>
      </c>
      <c r="D82" t="s">
        <v>14</v>
      </c>
      <c r="E82" t="s">
        <v>19</v>
      </c>
      <c r="F82" t="s">
        <v>22</v>
      </c>
      <c r="G82" t="s">
        <v>25</v>
      </c>
    </row>
    <row r="83" spans="1:7" x14ac:dyDescent="0.3">
      <c r="A83" t="s">
        <v>8</v>
      </c>
      <c r="B83" t="s">
        <v>10</v>
      </c>
      <c r="C83" t="s">
        <v>12</v>
      </c>
      <c r="D83" t="s">
        <v>15</v>
      </c>
      <c r="E83" t="s">
        <v>17</v>
      </c>
      <c r="F83" t="s">
        <v>22</v>
      </c>
      <c r="G83" t="s">
        <v>24</v>
      </c>
    </row>
    <row r="84" spans="1:7" x14ac:dyDescent="0.3">
      <c r="A84" t="s">
        <v>7</v>
      </c>
      <c r="B84" t="s">
        <v>9</v>
      </c>
      <c r="C84" t="s">
        <v>12</v>
      </c>
      <c r="D84" t="s">
        <v>15</v>
      </c>
      <c r="E84" t="s">
        <v>19</v>
      </c>
      <c r="F84" t="s">
        <v>21</v>
      </c>
      <c r="G84" t="s">
        <v>24</v>
      </c>
    </row>
    <row r="85" spans="1:7" x14ac:dyDescent="0.3">
      <c r="A85" t="s">
        <v>8</v>
      </c>
      <c r="B85" t="s">
        <v>9</v>
      </c>
      <c r="C85" t="s">
        <v>12</v>
      </c>
      <c r="D85" t="s">
        <v>15</v>
      </c>
      <c r="E85" t="s">
        <v>19</v>
      </c>
      <c r="F85" t="s">
        <v>21</v>
      </c>
      <c r="G85" t="s">
        <v>23</v>
      </c>
    </row>
    <row r="86" spans="1:7" x14ac:dyDescent="0.3">
      <c r="A86" t="s">
        <v>7</v>
      </c>
      <c r="B86" t="s">
        <v>9</v>
      </c>
      <c r="C86" t="s">
        <v>12</v>
      </c>
      <c r="D86" t="s">
        <v>15</v>
      </c>
      <c r="E86" t="s">
        <v>17</v>
      </c>
      <c r="F86" t="s">
        <v>21</v>
      </c>
      <c r="G86" t="s">
        <v>23</v>
      </c>
    </row>
    <row r="87" spans="1:7" x14ac:dyDescent="0.3">
      <c r="A87" t="s">
        <v>7</v>
      </c>
      <c r="B87" t="s">
        <v>9</v>
      </c>
      <c r="C87" t="s">
        <v>12</v>
      </c>
      <c r="D87" t="s">
        <v>16</v>
      </c>
      <c r="E87" t="s">
        <v>17</v>
      </c>
      <c r="F87" t="s">
        <v>21</v>
      </c>
      <c r="G87" t="s">
        <v>24</v>
      </c>
    </row>
    <row r="88" spans="1:7" x14ac:dyDescent="0.3">
      <c r="A88" t="s">
        <v>7</v>
      </c>
      <c r="B88" t="s">
        <v>9</v>
      </c>
      <c r="C88" t="s">
        <v>12</v>
      </c>
      <c r="D88" t="s">
        <v>15</v>
      </c>
      <c r="E88" t="s">
        <v>17</v>
      </c>
      <c r="F88" t="s">
        <v>20</v>
      </c>
      <c r="G88" t="s">
        <v>23</v>
      </c>
    </row>
    <row r="89" spans="1:7" x14ac:dyDescent="0.3">
      <c r="A89" t="s">
        <v>7</v>
      </c>
      <c r="B89" t="s">
        <v>10</v>
      </c>
      <c r="C89" t="s">
        <v>12</v>
      </c>
      <c r="D89" t="s">
        <v>15</v>
      </c>
      <c r="E89" t="s">
        <v>17</v>
      </c>
      <c r="F89" t="s">
        <v>21</v>
      </c>
      <c r="G89" t="s">
        <v>24</v>
      </c>
    </row>
    <row r="90" spans="1:7" x14ac:dyDescent="0.3">
      <c r="A90" t="s">
        <v>8</v>
      </c>
      <c r="B90" t="s">
        <v>11</v>
      </c>
      <c r="C90" t="s">
        <v>12</v>
      </c>
      <c r="D90" t="s">
        <v>14</v>
      </c>
      <c r="E90" t="s">
        <v>18</v>
      </c>
      <c r="F90" t="s">
        <v>20</v>
      </c>
      <c r="G90" t="s">
        <v>24</v>
      </c>
    </row>
    <row r="91" spans="1:7" x14ac:dyDescent="0.3">
      <c r="A91" t="s">
        <v>8</v>
      </c>
      <c r="B91" t="s">
        <v>11</v>
      </c>
      <c r="C91" t="s">
        <v>12</v>
      </c>
      <c r="D91" t="s">
        <v>14</v>
      </c>
      <c r="E91" t="s">
        <v>17</v>
      </c>
      <c r="F91" t="s">
        <v>22</v>
      </c>
      <c r="G91" t="s">
        <v>24</v>
      </c>
    </row>
    <row r="92" spans="1:7" x14ac:dyDescent="0.3">
      <c r="A92" t="s">
        <v>8</v>
      </c>
      <c r="B92" t="s">
        <v>9</v>
      </c>
      <c r="C92" t="s">
        <v>12</v>
      </c>
      <c r="D92" t="s">
        <v>15</v>
      </c>
      <c r="E92" t="s">
        <v>17</v>
      </c>
      <c r="F92" t="s">
        <v>22</v>
      </c>
      <c r="G92" t="s">
        <v>25</v>
      </c>
    </row>
    <row r="93" spans="1:7" x14ac:dyDescent="0.3">
      <c r="A93" t="s">
        <v>8</v>
      </c>
      <c r="B93" t="s">
        <v>11</v>
      </c>
      <c r="C93" t="s">
        <v>12</v>
      </c>
      <c r="D93" t="s">
        <v>15</v>
      </c>
      <c r="E93" t="s">
        <v>17</v>
      </c>
      <c r="F93" t="s">
        <v>21</v>
      </c>
      <c r="G93" t="s">
        <v>23</v>
      </c>
    </row>
    <row r="94" spans="1:7" x14ac:dyDescent="0.3">
      <c r="A94" t="s">
        <v>8</v>
      </c>
      <c r="B94" t="s">
        <v>11</v>
      </c>
      <c r="C94" t="s">
        <v>12</v>
      </c>
      <c r="D94" t="s">
        <v>14</v>
      </c>
      <c r="E94" t="s">
        <v>18</v>
      </c>
      <c r="F94" t="s">
        <v>21</v>
      </c>
      <c r="G94" t="s">
        <v>24</v>
      </c>
    </row>
    <row r="95" spans="1:7" x14ac:dyDescent="0.3">
      <c r="A95" t="s">
        <v>8</v>
      </c>
      <c r="B95" t="s">
        <v>9</v>
      </c>
      <c r="C95" t="s">
        <v>12</v>
      </c>
      <c r="D95" t="s">
        <v>15</v>
      </c>
      <c r="E95" t="s">
        <v>19</v>
      </c>
      <c r="F95" t="s">
        <v>20</v>
      </c>
      <c r="G95" t="s">
        <v>24</v>
      </c>
    </row>
    <row r="96" spans="1:7" x14ac:dyDescent="0.3">
      <c r="A96" t="s">
        <v>8</v>
      </c>
      <c r="B96" t="s">
        <v>11</v>
      </c>
      <c r="C96" t="s">
        <v>12</v>
      </c>
      <c r="D96" t="s">
        <v>15</v>
      </c>
      <c r="E96" t="s">
        <v>19</v>
      </c>
      <c r="F96" t="s">
        <v>21</v>
      </c>
      <c r="G96" t="s">
        <v>24</v>
      </c>
    </row>
    <row r="97" spans="1:7" x14ac:dyDescent="0.3">
      <c r="A97" t="s">
        <v>8</v>
      </c>
      <c r="B97" t="s">
        <v>11</v>
      </c>
      <c r="C97" t="s">
        <v>12</v>
      </c>
      <c r="D97" t="s">
        <v>14</v>
      </c>
      <c r="E97" t="s">
        <v>19</v>
      </c>
      <c r="F97" t="s">
        <v>21</v>
      </c>
      <c r="G97" t="s">
        <v>23</v>
      </c>
    </row>
    <row r="98" spans="1:7" x14ac:dyDescent="0.3">
      <c r="A98" t="s">
        <v>8</v>
      </c>
      <c r="B98" t="s">
        <v>9</v>
      </c>
      <c r="C98" t="s">
        <v>12</v>
      </c>
      <c r="D98" t="s">
        <v>15</v>
      </c>
      <c r="E98" t="s">
        <v>19</v>
      </c>
      <c r="F98" t="s">
        <v>22</v>
      </c>
      <c r="G98" t="s">
        <v>25</v>
      </c>
    </row>
    <row r="99" spans="1:7" x14ac:dyDescent="0.3">
      <c r="A99" t="s">
        <v>8</v>
      </c>
      <c r="B99" t="s">
        <v>9</v>
      </c>
      <c r="C99" t="s">
        <v>12</v>
      </c>
      <c r="D99" t="s">
        <v>15</v>
      </c>
      <c r="E99" t="s">
        <v>17</v>
      </c>
      <c r="F99" t="s">
        <v>21</v>
      </c>
      <c r="G99" t="s">
        <v>24</v>
      </c>
    </row>
    <row r="100" spans="1:7" x14ac:dyDescent="0.3">
      <c r="A100" t="s">
        <v>8</v>
      </c>
      <c r="B100" t="s">
        <v>10</v>
      </c>
      <c r="C100" t="s">
        <v>13</v>
      </c>
      <c r="D100" t="s">
        <v>15</v>
      </c>
      <c r="E100" t="s">
        <v>18</v>
      </c>
      <c r="F100" t="s">
        <v>20</v>
      </c>
      <c r="G100" t="s">
        <v>23</v>
      </c>
    </row>
    <row r="101" spans="1:7" x14ac:dyDescent="0.3">
      <c r="A101" t="s">
        <v>8</v>
      </c>
      <c r="B101" t="s">
        <v>9</v>
      </c>
      <c r="C101" t="s">
        <v>12</v>
      </c>
      <c r="D101" t="s">
        <v>15</v>
      </c>
      <c r="E101" t="s">
        <v>19</v>
      </c>
      <c r="F101" t="s">
        <v>21</v>
      </c>
      <c r="G101" t="s">
        <v>25</v>
      </c>
    </row>
    <row r="102" spans="1:7" x14ac:dyDescent="0.3">
      <c r="A102" t="s">
        <v>7</v>
      </c>
      <c r="B102" t="s">
        <v>9</v>
      </c>
      <c r="C102" t="s">
        <v>12</v>
      </c>
      <c r="D102" t="s">
        <v>16</v>
      </c>
      <c r="E102" t="s">
        <v>18</v>
      </c>
      <c r="F102" t="s">
        <v>20</v>
      </c>
      <c r="G102" t="s">
        <v>23</v>
      </c>
    </row>
    <row r="103" spans="1:7" x14ac:dyDescent="0.3">
      <c r="A103" t="s">
        <v>7</v>
      </c>
      <c r="B103" t="s">
        <v>9</v>
      </c>
      <c r="C103" t="s">
        <v>12</v>
      </c>
      <c r="D103" t="s">
        <v>14</v>
      </c>
      <c r="E103" t="s">
        <v>17</v>
      </c>
      <c r="F103" t="s">
        <v>22</v>
      </c>
      <c r="G103" t="s">
        <v>24</v>
      </c>
    </row>
    <row r="104" spans="1:7" x14ac:dyDescent="0.3">
      <c r="A104" t="s">
        <v>8</v>
      </c>
      <c r="B104" t="s">
        <v>10</v>
      </c>
      <c r="C104" t="s">
        <v>12</v>
      </c>
      <c r="D104" t="s">
        <v>15</v>
      </c>
      <c r="E104" t="s">
        <v>19</v>
      </c>
      <c r="F104" t="s">
        <v>20</v>
      </c>
      <c r="G104" t="s">
        <v>25</v>
      </c>
    </row>
    <row r="105" spans="1:7" x14ac:dyDescent="0.3">
      <c r="A105" t="s">
        <v>8</v>
      </c>
      <c r="B105" t="s">
        <v>9</v>
      </c>
      <c r="C105" t="s">
        <v>12</v>
      </c>
      <c r="D105" t="s">
        <v>15</v>
      </c>
      <c r="E105" t="s">
        <v>17</v>
      </c>
      <c r="F105" t="s">
        <v>21</v>
      </c>
      <c r="G105" t="s">
        <v>24</v>
      </c>
    </row>
    <row r="106" spans="1:7" x14ac:dyDescent="0.3">
      <c r="A106" t="s">
        <v>8</v>
      </c>
      <c r="B106" t="s">
        <v>11</v>
      </c>
      <c r="C106" t="s">
        <v>12</v>
      </c>
      <c r="D106" t="s">
        <v>15</v>
      </c>
      <c r="E106" t="s">
        <v>18</v>
      </c>
      <c r="F106" t="s">
        <v>20</v>
      </c>
      <c r="G106" t="s">
        <v>23</v>
      </c>
    </row>
    <row r="107" spans="1:7" x14ac:dyDescent="0.3">
      <c r="A107" t="s">
        <v>8</v>
      </c>
      <c r="B107" t="s">
        <v>10</v>
      </c>
      <c r="C107" t="s">
        <v>12</v>
      </c>
      <c r="D107" t="s">
        <v>14</v>
      </c>
      <c r="E107" t="s">
        <v>17</v>
      </c>
      <c r="F107" t="s">
        <v>22</v>
      </c>
      <c r="G107" t="s">
        <v>25</v>
      </c>
    </row>
    <row r="108" spans="1:7" x14ac:dyDescent="0.3">
      <c r="A108" t="s">
        <v>8</v>
      </c>
      <c r="B108" t="s">
        <v>9</v>
      </c>
      <c r="C108" t="s">
        <v>12</v>
      </c>
      <c r="D108" t="s">
        <v>15</v>
      </c>
      <c r="E108" t="s">
        <v>18</v>
      </c>
      <c r="F108" t="s">
        <v>21</v>
      </c>
      <c r="G108" t="s">
        <v>23</v>
      </c>
    </row>
    <row r="109" spans="1:7" x14ac:dyDescent="0.3">
      <c r="A109" t="s">
        <v>7</v>
      </c>
      <c r="B109" t="s">
        <v>11</v>
      </c>
      <c r="C109" t="s">
        <v>13</v>
      </c>
      <c r="D109" t="s">
        <v>16</v>
      </c>
      <c r="E109" t="s">
        <v>18</v>
      </c>
      <c r="F109" t="s">
        <v>20</v>
      </c>
      <c r="G109" t="s">
        <v>23</v>
      </c>
    </row>
    <row r="110" spans="1:7" x14ac:dyDescent="0.3">
      <c r="A110" t="s">
        <v>7</v>
      </c>
      <c r="B110" t="s">
        <v>11</v>
      </c>
      <c r="C110" t="s">
        <v>12</v>
      </c>
      <c r="D110" t="s">
        <v>15</v>
      </c>
      <c r="E110" t="s">
        <v>18</v>
      </c>
      <c r="F110" t="s">
        <v>22</v>
      </c>
      <c r="G110" t="s">
        <v>24</v>
      </c>
    </row>
    <row r="111" spans="1:7" x14ac:dyDescent="0.3">
      <c r="A111" t="s">
        <v>8</v>
      </c>
      <c r="B111" t="s">
        <v>10</v>
      </c>
      <c r="C111" t="s">
        <v>13</v>
      </c>
      <c r="D111" t="s">
        <v>14</v>
      </c>
      <c r="E111" t="s">
        <v>18</v>
      </c>
      <c r="F111" t="s">
        <v>21</v>
      </c>
      <c r="G111" t="s">
        <v>24</v>
      </c>
    </row>
    <row r="112" spans="1:7" x14ac:dyDescent="0.3">
      <c r="A112" t="s">
        <v>8</v>
      </c>
      <c r="B112" t="s">
        <v>9</v>
      </c>
      <c r="C112" t="s">
        <v>12</v>
      </c>
      <c r="D112" t="s">
        <v>15</v>
      </c>
      <c r="E112" t="s">
        <v>17</v>
      </c>
      <c r="F112" t="s">
        <v>22</v>
      </c>
      <c r="G112" t="s">
        <v>25</v>
      </c>
    </row>
    <row r="113" spans="1:7" x14ac:dyDescent="0.3">
      <c r="A113" t="s">
        <v>8</v>
      </c>
      <c r="B113" t="s">
        <v>10</v>
      </c>
      <c r="C113" t="s">
        <v>12</v>
      </c>
      <c r="D113" t="s">
        <v>15</v>
      </c>
      <c r="E113" t="s">
        <v>18</v>
      </c>
      <c r="F113" t="s">
        <v>21</v>
      </c>
      <c r="G113" t="s">
        <v>23</v>
      </c>
    </row>
    <row r="114" spans="1:7" x14ac:dyDescent="0.3">
      <c r="A114" t="s">
        <v>7</v>
      </c>
      <c r="B114" t="s">
        <v>10</v>
      </c>
      <c r="C114" t="s">
        <v>12</v>
      </c>
      <c r="D114" t="s">
        <v>14</v>
      </c>
      <c r="E114" t="s">
        <v>19</v>
      </c>
      <c r="F114" t="s">
        <v>22</v>
      </c>
      <c r="G114" t="s">
        <v>25</v>
      </c>
    </row>
    <row r="115" spans="1:7" x14ac:dyDescent="0.3">
      <c r="A115" t="s">
        <v>7</v>
      </c>
      <c r="B115" t="s">
        <v>10</v>
      </c>
      <c r="C115" t="s">
        <v>12</v>
      </c>
      <c r="D115" t="s">
        <v>16</v>
      </c>
      <c r="E115" t="s">
        <v>18</v>
      </c>
      <c r="F115" t="s">
        <v>21</v>
      </c>
      <c r="G115" t="s">
        <v>23</v>
      </c>
    </row>
    <row r="116" spans="1:7" x14ac:dyDescent="0.3">
      <c r="A116" t="s">
        <v>8</v>
      </c>
      <c r="B116" t="s">
        <v>11</v>
      </c>
      <c r="C116" t="s">
        <v>12</v>
      </c>
      <c r="D116" t="s">
        <v>16</v>
      </c>
      <c r="E116" t="s">
        <v>18</v>
      </c>
      <c r="F116" t="s">
        <v>21</v>
      </c>
      <c r="G116" t="s">
        <v>24</v>
      </c>
    </row>
    <row r="117" spans="1:7" x14ac:dyDescent="0.3">
      <c r="A117" t="s">
        <v>7</v>
      </c>
      <c r="B117" t="s">
        <v>9</v>
      </c>
      <c r="C117" t="s">
        <v>12</v>
      </c>
      <c r="D117" t="s">
        <v>15</v>
      </c>
      <c r="E117" t="s">
        <v>17</v>
      </c>
      <c r="F117" t="s">
        <v>22</v>
      </c>
      <c r="G117" t="s">
        <v>24</v>
      </c>
    </row>
    <row r="118" spans="1:7" x14ac:dyDescent="0.3">
      <c r="A118" t="s">
        <v>8</v>
      </c>
      <c r="B118" t="s">
        <v>10</v>
      </c>
      <c r="C118" t="s">
        <v>12</v>
      </c>
      <c r="D118" t="s">
        <v>14</v>
      </c>
      <c r="E118" t="s">
        <v>19</v>
      </c>
      <c r="F118" t="s">
        <v>21</v>
      </c>
      <c r="G118" t="s">
        <v>24</v>
      </c>
    </row>
    <row r="119" spans="1:7" x14ac:dyDescent="0.3">
      <c r="A119" t="s">
        <v>8</v>
      </c>
      <c r="B119" t="s">
        <v>10</v>
      </c>
      <c r="C119" t="s">
        <v>12</v>
      </c>
      <c r="D119" t="s">
        <v>15</v>
      </c>
      <c r="E119" t="s">
        <v>19</v>
      </c>
      <c r="F119" t="s">
        <v>22</v>
      </c>
      <c r="G119" t="s">
        <v>25</v>
      </c>
    </row>
    <row r="120" spans="1:7" x14ac:dyDescent="0.3">
      <c r="A120" t="s">
        <v>8</v>
      </c>
      <c r="B120" t="s">
        <v>9</v>
      </c>
      <c r="C120" t="s">
        <v>12</v>
      </c>
      <c r="D120" t="s">
        <v>14</v>
      </c>
      <c r="E120" t="s">
        <v>17</v>
      </c>
      <c r="F120" t="s">
        <v>21</v>
      </c>
      <c r="G120" t="s">
        <v>24</v>
      </c>
    </row>
    <row r="121" spans="1:7" x14ac:dyDescent="0.3">
      <c r="A121" t="s">
        <v>8</v>
      </c>
      <c r="B121" t="s">
        <v>9</v>
      </c>
      <c r="C121" t="s">
        <v>12</v>
      </c>
      <c r="D121" t="s">
        <v>15</v>
      </c>
      <c r="E121" t="s">
        <v>17</v>
      </c>
      <c r="F121" t="s">
        <v>21</v>
      </c>
      <c r="G121" t="s">
        <v>24</v>
      </c>
    </row>
    <row r="122" spans="1:7" x14ac:dyDescent="0.3">
      <c r="A122" t="s">
        <v>8</v>
      </c>
      <c r="B122" t="s">
        <v>9</v>
      </c>
      <c r="C122" t="s">
        <v>12</v>
      </c>
      <c r="D122" t="s">
        <v>14</v>
      </c>
      <c r="E122" t="s">
        <v>17</v>
      </c>
      <c r="F122" t="s">
        <v>21</v>
      </c>
      <c r="G122" t="s">
        <v>24</v>
      </c>
    </row>
    <row r="123" spans="1:7" x14ac:dyDescent="0.3">
      <c r="A123" t="s">
        <v>7</v>
      </c>
      <c r="B123" t="s">
        <v>9</v>
      </c>
      <c r="C123" t="s">
        <v>12</v>
      </c>
      <c r="D123" t="s">
        <v>14</v>
      </c>
      <c r="E123" t="s">
        <v>18</v>
      </c>
      <c r="F123" t="s">
        <v>21</v>
      </c>
      <c r="G123" t="s">
        <v>23</v>
      </c>
    </row>
    <row r="124" spans="1:7" x14ac:dyDescent="0.3">
      <c r="A124" t="s">
        <v>7</v>
      </c>
      <c r="B124" t="s">
        <v>9</v>
      </c>
      <c r="C124" t="s">
        <v>12</v>
      </c>
      <c r="D124" t="s">
        <v>14</v>
      </c>
      <c r="E124" t="s">
        <v>18</v>
      </c>
      <c r="F124" t="s">
        <v>21</v>
      </c>
      <c r="G124" t="s">
        <v>23</v>
      </c>
    </row>
    <row r="125" spans="1:7" x14ac:dyDescent="0.3">
      <c r="A125" t="s">
        <v>8</v>
      </c>
      <c r="B125" t="s">
        <v>9</v>
      </c>
      <c r="C125" t="s">
        <v>12</v>
      </c>
      <c r="D125" t="s">
        <v>15</v>
      </c>
      <c r="E125" t="s">
        <v>18</v>
      </c>
      <c r="F125" t="s">
        <v>22</v>
      </c>
      <c r="G125" t="s">
        <v>24</v>
      </c>
    </row>
    <row r="126" spans="1:7" x14ac:dyDescent="0.3">
      <c r="A126" t="s">
        <v>7</v>
      </c>
      <c r="B126" t="s">
        <v>10</v>
      </c>
      <c r="C126" t="s">
        <v>12</v>
      </c>
      <c r="D126" t="s">
        <v>15</v>
      </c>
      <c r="E126" t="s">
        <v>17</v>
      </c>
      <c r="F126" t="s">
        <v>22</v>
      </c>
      <c r="G126" t="s">
        <v>24</v>
      </c>
    </row>
    <row r="127" spans="1:7" x14ac:dyDescent="0.3">
      <c r="A127" t="s">
        <v>8</v>
      </c>
      <c r="B127" t="s">
        <v>11</v>
      </c>
      <c r="C127" t="s">
        <v>12</v>
      </c>
      <c r="D127" t="s">
        <v>14</v>
      </c>
      <c r="E127" t="s">
        <v>18</v>
      </c>
      <c r="F127" t="s">
        <v>22</v>
      </c>
      <c r="G127" t="s">
        <v>24</v>
      </c>
    </row>
    <row r="128" spans="1:7" x14ac:dyDescent="0.3">
      <c r="A128" t="s">
        <v>8</v>
      </c>
      <c r="B128" t="s">
        <v>11</v>
      </c>
      <c r="C128" t="s">
        <v>12</v>
      </c>
      <c r="D128" t="s">
        <v>15</v>
      </c>
      <c r="E128" t="s">
        <v>18</v>
      </c>
      <c r="F128" t="s">
        <v>21</v>
      </c>
      <c r="G128" t="s">
        <v>24</v>
      </c>
    </row>
    <row r="129" spans="1:7" x14ac:dyDescent="0.3">
      <c r="A129" t="s">
        <v>8</v>
      </c>
      <c r="B129" t="s">
        <v>10</v>
      </c>
      <c r="C129" t="s">
        <v>12</v>
      </c>
      <c r="D129" t="s">
        <v>15</v>
      </c>
      <c r="E129" t="s">
        <v>17</v>
      </c>
      <c r="F129" t="s">
        <v>22</v>
      </c>
      <c r="G129" t="s">
        <v>24</v>
      </c>
    </row>
    <row r="130" spans="1:7" x14ac:dyDescent="0.3">
      <c r="A130" t="s">
        <v>8</v>
      </c>
      <c r="B130" t="s">
        <v>9</v>
      </c>
      <c r="C130" t="s">
        <v>12</v>
      </c>
      <c r="D130" t="s">
        <v>16</v>
      </c>
      <c r="E130" t="s">
        <v>17</v>
      </c>
      <c r="F130" t="s">
        <v>22</v>
      </c>
      <c r="G130" t="s">
        <v>24</v>
      </c>
    </row>
    <row r="131" spans="1:7" x14ac:dyDescent="0.3">
      <c r="A131" t="s">
        <v>8</v>
      </c>
      <c r="B131" t="s">
        <v>9</v>
      </c>
      <c r="C131" t="s">
        <v>12</v>
      </c>
      <c r="D131" t="s">
        <v>16</v>
      </c>
      <c r="E131" t="s">
        <v>19</v>
      </c>
      <c r="F131" t="s">
        <v>22</v>
      </c>
      <c r="G131" t="s">
        <v>23</v>
      </c>
    </row>
    <row r="132" spans="1:7" x14ac:dyDescent="0.3">
      <c r="A132" t="s">
        <v>8</v>
      </c>
      <c r="B132" t="s">
        <v>9</v>
      </c>
      <c r="C132" t="s">
        <v>13</v>
      </c>
      <c r="D132" t="s">
        <v>15</v>
      </c>
      <c r="E132" t="s">
        <v>19</v>
      </c>
      <c r="F132" t="s">
        <v>22</v>
      </c>
      <c r="G132" t="s">
        <v>23</v>
      </c>
    </row>
    <row r="133" spans="1:7" x14ac:dyDescent="0.3">
      <c r="A133" t="s">
        <v>8</v>
      </c>
      <c r="B133" t="s">
        <v>10</v>
      </c>
      <c r="C133" t="s">
        <v>12</v>
      </c>
      <c r="D133" t="s">
        <v>15</v>
      </c>
      <c r="E133" t="s">
        <v>19</v>
      </c>
      <c r="F133" t="s">
        <v>22</v>
      </c>
      <c r="G133" t="s">
        <v>23</v>
      </c>
    </row>
    <row r="134" spans="1:7" x14ac:dyDescent="0.3">
      <c r="A134" t="s">
        <v>8</v>
      </c>
      <c r="B134" t="s">
        <v>11</v>
      </c>
      <c r="C134" t="s">
        <v>12</v>
      </c>
      <c r="D134" t="s">
        <v>14</v>
      </c>
      <c r="E134" t="s">
        <v>18</v>
      </c>
      <c r="F134" t="s">
        <v>20</v>
      </c>
      <c r="G134" t="s">
        <v>24</v>
      </c>
    </row>
    <row r="135" spans="1:7" x14ac:dyDescent="0.3">
      <c r="A135" t="s">
        <v>8</v>
      </c>
      <c r="B135" t="s">
        <v>11</v>
      </c>
      <c r="C135" t="s">
        <v>13</v>
      </c>
      <c r="D135" t="s">
        <v>15</v>
      </c>
      <c r="E135" t="s">
        <v>17</v>
      </c>
      <c r="F135" t="s">
        <v>21</v>
      </c>
      <c r="G135" t="s">
        <v>24</v>
      </c>
    </row>
    <row r="136" spans="1:7" x14ac:dyDescent="0.3">
      <c r="A136" t="s">
        <v>8</v>
      </c>
      <c r="B136" t="s">
        <v>11</v>
      </c>
      <c r="C136" t="s">
        <v>12</v>
      </c>
      <c r="D136" t="s">
        <v>16</v>
      </c>
      <c r="E136" t="s">
        <v>19</v>
      </c>
      <c r="F136" t="s">
        <v>21</v>
      </c>
      <c r="G136" t="s">
        <v>23</v>
      </c>
    </row>
    <row r="137" spans="1:7" x14ac:dyDescent="0.3">
      <c r="A137" t="s">
        <v>8</v>
      </c>
      <c r="B137" t="s">
        <v>11</v>
      </c>
      <c r="C137" t="s">
        <v>12</v>
      </c>
      <c r="D137" t="s">
        <v>15</v>
      </c>
      <c r="E137" t="s">
        <v>18</v>
      </c>
      <c r="F137" t="s">
        <v>20</v>
      </c>
      <c r="G137" t="s">
        <v>23</v>
      </c>
    </row>
    <row r="138" spans="1:7" x14ac:dyDescent="0.3">
      <c r="A138" t="s">
        <v>7</v>
      </c>
      <c r="B138" t="s">
        <v>9</v>
      </c>
      <c r="C138" t="s">
        <v>13</v>
      </c>
      <c r="D138" t="s">
        <v>14</v>
      </c>
      <c r="E138" t="s">
        <v>17</v>
      </c>
      <c r="F138" t="s">
        <v>22</v>
      </c>
      <c r="G138" t="s">
        <v>24</v>
      </c>
    </row>
    <row r="139" spans="1:7" x14ac:dyDescent="0.3">
      <c r="A139" t="s">
        <v>8</v>
      </c>
      <c r="B139" t="s">
        <v>9</v>
      </c>
      <c r="C139" t="s">
        <v>13</v>
      </c>
      <c r="D139" t="s">
        <v>14</v>
      </c>
      <c r="E139" t="s">
        <v>17</v>
      </c>
      <c r="F139" t="s">
        <v>22</v>
      </c>
      <c r="G139" t="s">
        <v>23</v>
      </c>
    </row>
    <row r="140" spans="1:7" x14ac:dyDescent="0.3">
      <c r="A140" t="s">
        <v>8</v>
      </c>
      <c r="B140" t="s">
        <v>11</v>
      </c>
      <c r="C140" t="s">
        <v>12</v>
      </c>
      <c r="D140" t="s">
        <v>14</v>
      </c>
      <c r="E140" t="s">
        <v>17</v>
      </c>
      <c r="F140" t="s">
        <v>21</v>
      </c>
      <c r="G140" t="s">
        <v>24</v>
      </c>
    </row>
    <row r="141" spans="1:7" x14ac:dyDescent="0.3">
      <c r="A141" t="s">
        <v>7</v>
      </c>
      <c r="B141" t="s">
        <v>9</v>
      </c>
      <c r="C141" t="s">
        <v>13</v>
      </c>
      <c r="D141" t="s">
        <v>15</v>
      </c>
      <c r="E141" t="s">
        <v>19</v>
      </c>
      <c r="F141" t="s">
        <v>22</v>
      </c>
      <c r="G141" t="s">
        <v>24</v>
      </c>
    </row>
    <row r="142" spans="1:7" x14ac:dyDescent="0.3">
      <c r="A142" t="s">
        <v>8</v>
      </c>
      <c r="B142" t="s">
        <v>11</v>
      </c>
      <c r="C142" t="s">
        <v>12</v>
      </c>
      <c r="D142" t="s">
        <v>14</v>
      </c>
      <c r="E142" t="s">
        <v>18</v>
      </c>
      <c r="F142" t="s">
        <v>20</v>
      </c>
      <c r="G142" t="s">
        <v>23</v>
      </c>
    </row>
    <row r="143" spans="1:7" x14ac:dyDescent="0.3">
      <c r="A143" t="s">
        <v>8</v>
      </c>
      <c r="B143" t="s">
        <v>11</v>
      </c>
      <c r="C143" t="s">
        <v>12</v>
      </c>
      <c r="D143" t="s">
        <v>15</v>
      </c>
      <c r="E143" t="s">
        <v>17</v>
      </c>
      <c r="F143" t="s">
        <v>21</v>
      </c>
      <c r="G143" t="s">
        <v>24</v>
      </c>
    </row>
    <row r="144" spans="1:7" x14ac:dyDescent="0.3">
      <c r="A144" t="s">
        <v>7</v>
      </c>
      <c r="B144" t="s">
        <v>10</v>
      </c>
      <c r="C144" t="s">
        <v>13</v>
      </c>
      <c r="D144" t="s">
        <v>14</v>
      </c>
      <c r="E144" t="s">
        <v>19</v>
      </c>
      <c r="F144" t="s">
        <v>22</v>
      </c>
      <c r="G144" t="s">
        <v>23</v>
      </c>
    </row>
    <row r="145" spans="1:7" x14ac:dyDescent="0.3">
      <c r="A145" t="s">
        <v>7</v>
      </c>
      <c r="B145" t="s">
        <v>10</v>
      </c>
      <c r="C145" t="s">
        <v>12</v>
      </c>
      <c r="D145" t="s">
        <v>14</v>
      </c>
      <c r="E145" t="s">
        <v>17</v>
      </c>
      <c r="F145" t="s">
        <v>20</v>
      </c>
      <c r="G145" t="s">
        <v>23</v>
      </c>
    </row>
    <row r="146" spans="1:7" x14ac:dyDescent="0.3">
      <c r="A146" t="s">
        <v>7</v>
      </c>
      <c r="B146" t="s">
        <v>10</v>
      </c>
      <c r="C146" t="s">
        <v>12</v>
      </c>
      <c r="D146" t="s">
        <v>14</v>
      </c>
      <c r="E146" t="s">
        <v>17</v>
      </c>
      <c r="F146" t="s">
        <v>21</v>
      </c>
      <c r="G146" t="s">
        <v>24</v>
      </c>
    </row>
    <row r="147" spans="1:7" x14ac:dyDescent="0.3">
      <c r="A147" t="s">
        <v>7</v>
      </c>
      <c r="B147" t="s">
        <v>10</v>
      </c>
      <c r="C147" t="s">
        <v>13</v>
      </c>
      <c r="D147" t="s">
        <v>15</v>
      </c>
      <c r="E147" t="s">
        <v>18</v>
      </c>
      <c r="F147" t="s">
        <v>20</v>
      </c>
      <c r="G147" t="s">
        <v>23</v>
      </c>
    </row>
    <row r="148" spans="1:7" x14ac:dyDescent="0.3">
      <c r="A148" t="s">
        <v>7</v>
      </c>
      <c r="B148" t="s">
        <v>10</v>
      </c>
      <c r="C148" t="s">
        <v>12</v>
      </c>
      <c r="D148" t="s">
        <v>14</v>
      </c>
      <c r="E148" t="s">
        <v>17</v>
      </c>
      <c r="F148" t="s">
        <v>22</v>
      </c>
      <c r="G148" t="s">
        <v>25</v>
      </c>
    </row>
    <row r="149" spans="1:7" x14ac:dyDescent="0.3">
      <c r="A149" t="s">
        <v>8</v>
      </c>
      <c r="B149" t="s">
        <v>10</v>
      </c>
      <c r="C149" t="s">
        <v>12</v>
      </c>
      <c r="D149" t="s">
        <v>16</v>
      </c>
      <c r="E149" t="s">
        <v>18</v>
      </c>
      <c r="F149" t="s">
        <v>20</v>
      </c>
      <c r="G149" t="s">
        <v>23</v>
      </c>
    </row>
    <row r="150" spans="1:7" x14ac:dyDescent="0.3">
      <c r="A150" t="s">
        <v>7</v>
      </c>
      <c r="B150" t="s">
        <v>10</v>
      </c>
      <c r="C150" t="s">
        <v>12</v>
      </c>
      <c r="D150" t="s">
        <v>14</v>
      </c>
      <c r="E150" t="s">
        <v>18</v>
      </c>
      <c r="F150" t="s">
        <v>21</v>
      </c>
      <c r="G150" t="s">
        <v>24</v>
      </c>
    </row>
    <row r="151" spans="1:7" x14ac:dyDescent="0.3">
      <c r="A151" t="s">
        <v>7</v>
      </c>
      <c r="B151" t="s">
        <v>10</v>
      </c>
      <c r="C151" t="s">
        <v>13</v>
      </c>
      <c r="D151" t="s">
        <v>16</v>
      </c>
      <c r="E151" t="s">
        <v>18</v>
      </c>
      <c r="F151" t="s">
        <v>21</v>
      </c>
      <c r="G151" t="s">
        <v>23</v>
      </c>
    </row>
    <row r="152" spans="1:7" x14ac:dyDescent="0.3">
      <c r="A152" t="s">
        <v>7</v>
      </c>
      <c r="B152" t="s">
        <v>9</v>
      </c>
      <c r="C152" t="s">
        <v>12</v>
      </c>
      <c r="D152" t="s">
        <v>14</v>
      </c>
      <c r="E152" t="s">
        <v>19</v>
      </c>
      <c r="F152" t="s">
        <v>22</v>
      </c>
      <c r="G152" t="s">
        <v>25</v>
      </c>
    </row>
    <row r="153" spans="1:7" x14ac:dyDescent="0.3">
      <c r="A153" t="s">
        <v>7</v>
      </c>
      <c r="B153" t="s">
        <v>10</v>
      </c>
      <c r="C153" t="s">
        <v>12</v>
      </c>
      <c r="D153" t="s">
        <v>14</v>
      </c>
      <c r="E153" t="s">
        <v>19</v>
      </c>
      <c r="F153" t="s">
        <v>22</v>
      </c>
      <c r="G153" t="s">
        <v>25</v>
      </c>
    </row>
    <row r="154" spans="1:7" x14ac:dyDescent="0.3">
      <c r="A154" t="s">
        <v>8</v>
      </c>
      <c r="B154" t="s">
        <v>9</v>
      </c>
      <c r="C154" t="s">
        <v>12</v>
      </c>
      <c r="D154" t="s">
        <v>15</v>
      </c>
      <c r="E154" t="s">
        <v>19</v>
      </c>
      <c r="F154" t="s">
        <v>21</v>
      </c>
      <c r="G154" t="s">
        <v>25</v>
      </c>
    </row>
    <row r="155" spans="1:7" x14ac:dyDescent="0.3">
      <c r="A155" s="3" t="s">
        <v>8</v>
      </c>
      <c r="B155" s="3" t="s">
        <v>9</v>
      </c>
      <c r="C155" s="3" t="s">
        <v>12</v>
      </c>
      <c r="D155" s="4" t="s">
        <v>14</v>
      </c>
      <c r="E155" s="3" t="s">
        <v>17</v>
      </c>
      <c r="F155" s="3" t="s">
        <v>20</v>
      </c>
      <c r="G155" s="3" t="s">
        <v>24</v>
      </c>
    </row>
    <row r="156" spans="1:7" x14ac:dyDescent="0.3">
      <c r="A156" s="5" t="s">
        <v>7</v>
      </c>
      <c r="B156" s="5" t="s">
        <v>9</v>
      </c>
      <c r="C156" s="5" t="s">
        <v>12</v>
      </c>
      <c r="D156" s="5" t="s">
        <v>15</v>
      </c>
      <c r="E156" s="5" t="s">
        <v>18</v>
      </c>
      <c r="F156" s="5" t="s">
        <v>21</v>
      </c>
      <c r="G156" s="5" t="s">
        <v>23</v>
      </c>
    </row>
    <row r="157" spans="1:7" x14ac:dyDescent="0.3">
      <c r="A157" s="5" t="s">
        <v>7</v>
      </c>
      <c r="B157" s="5" t="s">
        <v>9</v>
      </c>
      <c r="C157" s="5" t="s">
        <v>12</v>
      </c>
      <c r="D157" s="5" t="s">
        <v>14</v>
      </c>
      <c r="E157" s="5" t="s">
        <v>19</v>
      </c>
      <c r="F157" s="5" t="s">
        <v>21</v>
      </c>
      <c r="G157" s="5" t="s">
        <v>24</v>
      </c>
    </row>
    <row r="158" spans="1:7" x14ac:dyDescent="0.3">
      <c r="A158" s="5" t="s">
        <v>8</v>
      </c>
      <c r="B158" s="5" t="s">
        <v>10</v>
      </c>
      <c r="C158" s="5" t="s">
        <v>12</v>
      </c>
      <c r="D158" s="5" t="s">
        <v>14</v>
      </c>
      <c r="E158" s="5" t="s">
        <v>19</v>
      </c>
      <c r="F158" s="5" t="s">
        <v>20</v>
      </c>
      <c r="G158" s="5" t="s">
        <v>25</v>
      </c>
    </row>
    <row r="159" spans="1:7" x14ac:dyDescent="0.3">
      <c r="A159" s="5" t="s">
        <v>7</v>
      </c>
      <c r="B159" s="5" t="s">
        <v>11</v>
      </c>
      <c r="C159" s="5" t="s">
        <v>12</v>
      </c>
      <c r="D159" s="5" t="s">
        <v>14</v>
      </c>
      <c r="E159" s="5" t="s">
        <v>18</v>
      </c>
      <c r="F159" s="5" t="s">
        <v>21</v>
      </c>
      <c r="G159" s="5" t="s">
        <v>24</v>
      </c>
    </row>
    <row r="160" spans="1:7" x14ac:dyDescent="0.3">
      <c r="A160" s="5" t="s">
        <v>8</v>
      </c>
      <c r="B160" s="5" t="s">
        <v>9</v>
      </c>
      <c r="C160" s="5" t="s">
        <v>13</v>
      </c>
      <c r="D160" s="5" t="s">
        <v>15</v>
      </c>
      <c r="E160" s="5" t="s">
        <v>18</v>
      </c>
      <c r="F160" s="5" t="s">
        <v>20</v>
      </c>
      <c r="G160" s="5" t="s">
        <v>23</v>
      </c>
    </row>
    <row r="161" spans="1:7" x14ac:dyDescent="0.3">
      <c r="A161" s="5" t="s">
        <v>7</v>
      </c>
      <c r="B161" s="5" t="s">
        <v>9</v>
      </c>
      <c r="C161" s="5" t="s">
        <v>12</v>
      </c>
      <c r="D161" s="5" t="s">
        <v>15</v>
      </c>
      <c r="E161" s="5" t="s">
        <v>17</v>
      </c>
      <c r="F161" s="5" t="s">
        <v>21</v>
      </c>
      <c r="G161" s="5" t="s">
        <v>24</v>
      </c>
    </row>
    <row r="162" spans="1:7" x14ac:dyDescent="0.3">
      <c r="A162" s="5" t="s">
        <v>7</v>
      </c>
      <c r="B162" s="5" t="s">
        <v>9</v>
      </c>
      <c r="C162" s="5" t="s">
        <v>12</v>
      </c>
      <c r="D162" s="5" t="s">
        <v>15</v>
      </c>
      <c r="E162" s="5" t="s">
        <v>19</v>
      </c>
      <c r="F162" s="5" t="s">
        <v>21</v>
      </c>
      <c r="G162" s="5" t="s">
        <v>24</v>
      </c>
    </row>
    <row r="163" spans="1:7" x14ac:dyDescent="0.3">
      <c r="A163" s="5" t="s">
        <v>7</v>
      </c>
      <c r="B163" s="5" t="s">
        <v>11</v>
      </c>
      <c r="C163" s="5" t="s">
        <v>12</v>
      </c>
      <c r="D163" s="5" t="s">
        <v>15</v>
      </c>
      <c r="E163" s="5" t="s">
        <v>17</v>
      </c>
      <c r="F163" s="5" t="s">
        <v>22</v>
      </c>
      <c r="G163" s="5" t="s">
        <v>25</v>
      </c>
    </row>
    <row r="164" spans="1:7" x14ac:dyDescent="0.3">
      <c r="A164" s="5" t="s">
        <v>8</v>
      </c>
      <c r="B164" s="5" t="s">
        <v>9</v>
      </c>
      <c r="C164" s="5" t="s">
        <v>12</v>
      </c>
      <c r="D164" s="5" t="s">
        <v>16</v>
      </c>
      <c r="E164" s="5" t="s">
        <v>17</v>
      </c>
      <c r="F164" s="5" t="s">
        <v>22</v>
      </c>
      <c r="G164" s="5" t="s">
        <v>25</v>
      </c>
    </row>
    <row r="165" spans="1:7" x14ac:dyDescent="0.3">
      <c r="A165" s="5" t="s">
        <v>8</v>
      </c>
      <c r="B165" s="5" t="s">
        <v>10</v>
      </c>
      <c r="C165" s="5" t="s">
        <v>13</v>
      </c>
      <c r="D165" s="5" t="s">
        <v>15</v>
      </c>
      <c r="E165" s="5" t="s">
        <v>18</v>
      </c>
      <c r="F165" s="5" t="s">
        <v>20</v>
      </c>
      <c r="G165" s="5" t="s">
        <v>23</v>
      </c>
    </row>
    <row r="166" spans="1:7" x14ac:dyDescent="0.3">
      <c r="A166" s="5" t="s">
        <v>7</v>
      </c>
      <c r="B166" s="5" t="s">
        <v>11</v>
      </c>
      <c r="C166" s="5" t="s">
        <v>13</v>
      </c>
      <c r="D166" s="5" t="s">
        <v>16</v>
      </c>
      <c r="E166" s="5" t="s">
        <v>18</v>
      </c>
      <c r="F166" s="5" t="s">
        <v>20</v>
      </c>
      <c r="G166" s="5" t="s">
        <v>23</v>
      </c>
    </row>
    <row r="167" spans="1:7" x14ac:dyDescent="0.3">
      <c r="A167" s="5" t="s">
        <v>8</v>
      </c>
      <c r="B167" s="5" t="s">
        <v>10</v>
      </c>
      <c r="C167" s="5" t="s">
        <v>12</v>
      </c>
      <c r="D167" s="5" t="s">
        <v>15</v>
      </c>
      <c r="E167" s="5" t="s">
        <v>19</v>
      </c>
      <c r="F167" s="5" t="s">
        <v>22</v>
      </c>
      <c r="G167" s="5" t="s">
        <v>25</v>
      </c>
    </row>
    <row r="168" spans="1:7" x14ac:dyDescent="0.3">
      <c r="A168" s="5" t="s">
        <v>7</v>
      </c>
      <c r="B168" s="5" t="s">
        <v>10</v>
      </c>
      <c r="C168" s="5" t="s">
        <v>12</v>
      </c>
      <c r="D168" s="5" t="s">
        <v>14</v>
      </c>
      <c r="E168" s="5" t="s">
        <v>17</v>
      </c>
      <c r="F168" s="5" t="s">
        <v>20</v>
      </c>
      <c r="G168" s="5" t="s">
        <v>23</v>
      </c>
    </row>
    <row r="169" spans="1:7" x14ac:dyDescent="0.3">
      <c r="A169" s="5" t="s">
        <v>8</v>
      </c>
      <c r="B169" s="5" t="s">
        <v>9</v>
      </c>
      <c r="C169" s="5" t="s">
        <v>13</v>
      </c>
      <c r="D169" s="5" t="s">
        <v>14</v>
      </c>
      <c r="E169" s="5" t="s">
        <v>17</v>
      </c>
      <c r="F169" s="5" t="s">
        <v>22</v>
      </c>
      <c r="G169" s="5" t="s">
        <v>23</v>
      </c>
    </row>
    <row r="170" spans="1:7" x14ac:dyDescent="0.3">
      <c r="A170" s="5" t="s">
        <v>8</v>
      </c>
      <c r="B170" s="5" t="s">
        <v>11</v>
      </c>
      <c r="C170" s="5" t="s">
        <v>12</v>
      </c>
      <c r="D170" s="5" t="s">
        <v>14</v>
      </c>
      <c r="E170" s="5" t="s">
        <v>17</v>
      </c>
      <c r="F170" s="5" t="s">
        <v>21</v>
      </c>
      <c r="G170" s="5" t="s">
        <v>24</v>
      </c>
    </row>
    <row r="171" spans="1:7" x14ac:dyDescent="0.3">
      <c r="A171" s="5" t="s">
        <v>7</v>
      </c>
      <c r="B171" s="5" t="s">
        <v>9</v>
      </c>
      <c r="C171" s="5" t="s">
        <v>13</v>
      </c>
      <c r="D171" s="5" t="s">
        <v>15</v>
      </c>
      <c r="E171" s="5" t="s">
        <v>19</v>
      </c>
      <c r="F171" s="5" t="s">
        <v>22</v>
      </c>
      <c r="G171" s="5" t="s">
        <v>24</v>
      </c>
    </row>
    <row r="172" spans="1:7" x14ac:dyDescent="0.3">
      <c r="A172" s="5" t="s">
        <v>8</v>
      </c>
      <c r="B172" s="5" t="s">
        <v>11</v>
      </c>
      <c r="C172" s="5" t="s">
        <v>12</v>
      </c>
      <c r="D172" s="5" t="s">
        <v>14</v>
      </c>
      <c r="E172" s="5" t="s">
        <v>18</v>
      </c>
      <c r="F172" s="5" t="s">
        <v>20</v>
      </c>
      <c r="G172" s="5" t="s">
        <v>23</v>
      </c>
    </row>
    <row r="173" spans="1:7" x14ac:dyDescent="0.3">
      <c r="A173" s="5" t="s">
        <v>8</v>
      </c>
      <c r="B173" s="5" t="s">
        <v>11</v>
      </c>
      <c r="C173" s="5" t="s">
        <v>12</v>
      </c>
      <c r="D173" s="5" t="s">
        <v>15</v>
      </c>
      <c r="E173" s="5" t="s">
        <v>17</v>
      </c>
      <c r="F173" s="5" t="s">
        <v>21</v>
      </c>
      <c r="G173" s="5" t="s">
        <v>24</v>
      </c>
    </row>
    <row r="174" spans="1:7" x14ac:dyDescent="0.3">
      <c r="A174" s="5" t="s">
        <v>7</v>
      </c>
      <c r="B174" s="5" t="s">
        <v>10</v>
      </c>
      <c r="C174" s="5" t="s">
        <v>13</v>
      </c>
      <c r="D174" s="5" t="s">
        <v>14</v>
      </c>
      <c r="E174" s="5" t="s">
        <v>19</v>
      </c>
      <c r="F174" s="5" t="s">
        <v>22</v>
      </c>
      <c r="G174" s="5" t="s">
        <v>25</v>
      </c>
    </row>
    <row r="175" spans="1:7" x14ac:dyDescent="0.3">
      <c r="A175" s="5" t="s">
        <v>7</v>
      </c>
      <c r="B175" s="5" t="s">
        <v>10</v>
      </c>
      <c r="C175" s="5" t="s">
        <v>12</v>
      </c>
      <c r="D175" s="5" t="s">
        <v>14</v>
      </c>
      <c r="E175" s="5" t="s">
        <v>17</v>
      </c>
      <c r="F175" s="5" t="s">
        <v>22</v>
      </c>
      <c r="G175" s="5" t="s">
        <v>25</v>
      </c>
    </row>
    <row r="176" spans="1:7" x14ac:dyDescent="0.3">
      <c r="A176" s="5" t="s">
        <v>8</v>
      </c>
      <c r="B176" s="5" t="s">
        <v>10</v>
      </c>
      <c r="C176" s="5" t="s">
        <v>12</v>
      </c>
      <c r="D176" s="5" t="s">
        <v>16</v>
      </c>
      <c r="E176" s="5" t="s">
        <v>18</v>
      </c>
      <c r="F176" s="5" t="s">
        <v>20</v>
      </c>
      <c r="G176" s="5" t="s">
        <v>23</v>
      </c>
    </row>
    <row r="177" spans="1:7" x14ac:dyDescent="0.3">
      <c r="A177" s="5" t="s">
        <v>7</v>
      </c>
      <c r="B177" s="5" t="s">
        <v>10</v>
      </c>
      <c r="C177" s="5" t="s">
        <v>12</v>
      </c>
      <c r="D177" s="5" t="s">
        <v>14</v>
      </c>
      <c r="E177" s="5" t="s">
        <v>18</v>
      </c>
      <c r="F177" s="5" t="s">
        <v>21</v>
      </c>
      <c r="G177" s="5" t="s">
        <v>24</v>
      </c>
    </row>
    <row r="178" spans="1:7" x14ac:dyDescent="0.3">
      <c r="A178" s="5" t="s">
        <v>7</v>
      </c>
      <c r="B178" s="5" t="s">
        <v>10</v>
      </c>
      <c r="C178" s="5" t="s">
        <v>13</v>
      </c>
      <c r="D178" s="5" t="s">
        <v>16</v>
      </c>
      <c r="E178" s="5" t="s">
        <v>18</v>
      </c>
      <c r="F178" s="5" t="s">
        <v>21</v>
      </c>
      <c r="G178" s="5" t="s">
        <v>23</v>
      </c>
    </row>
    <row r="179" spans="1:7" x14ac:dyDescent="0.3">
      <c r="A179" s="5" t="s">
        <v>8</v>
      </c>
      <c r="B179" s="5" t="s">
        <v>9</v>
      </c>
      <c r="C179" s="5" t="s">
        <v>12</v>
      </c>
      <c r="D179" s="5" t="s">
        <v>14</v>
      </c>
      <c r="E179" s="5" t="s">
        <v>17</v>
      </c>
      <c r="F179" s="5" t="s">
        <v>21</v>
      </c>
      <c r="G179" s="5" t="s">
        <v>24</v>
      </c>
    </row>
    <row r="180" spans="1:7" x14ac:dyDescent="0.3">
      <c r="A180" s="5" t="s">
        <v>8</v>
      </c>
      <c r="B180" s="5" t="s">
        <v>9</v>
      </c>
      <c r="C180" s="5" t="s">
        <v>12</v>
      </c>
      <c r="D180" s="5" t="s">
        <v>15</v>
      </c>
      <c r="E180" s="5" t="s">
        <v>17</v>
      </c>
      <c r="F180" s="5" t="s">
        <v>21</v>
      </c>
      <c r="G180" s="5" t="s">
        <v>24</v>
      </c>
    </row>
    <row r="181" spans="1:7" x14ac:dyDescent="0.3">
      <c r="A181" s="5" t="s">
        <v>8</v>
      </c>
      <c r="B181" s="5" t="s">
        <v>9</v>
      </c>
      <c r="C181" s="5" t="s">
        <v>12</v>
      </c>
      <c r="D181" s="5" t="s">
        <v>14</v>
      </c>
      <c r="E181" s="5" t="s">
        <v>17</v>
      </c>
      <c r="F181" s="5" t="s">
        <v>21</v>
      </c>
      <c r="G181" s="5" t="s">
        <v>24</v>
      </c>
    </row>
    <row r="182" spans="1:7" x14ac:dyDescent="0.3">
      <c r="A182" s="5" t="s">
        <v>7</v>
      </c>
      <c r="B182" s="5" t="s">
        <v>9</v>
      </c>
      <c r="C182" s="5" t="s">
        <v>12</v>
      </c>
      <c r="D182" s="5" t="s">
        <v>14</v>
      </c>
      <c r="E182" s="5" t="s">
        <v>18</v>
      </c>
      <c r="F182" s="5" t="s">
        <v>21</v>
      </c>
      <c r="G182" s="5" t="s">
        <v>23</v>
      </c>
    </row>
    <row r="183" spans="1:7" ht="15" thickBot="1" x14ac:dyDescent="0.35">
      <c r="A183" s="5" t="s">
        <v>7</v>
      </c>
      <c r="B183" s="5" t="s">
        <v>9</v>
      </c>
      <c r="C183" s="5" t="s">
        <v>12</v>
      </c>
      <c r="D183" s="5" t="s">
        <v>14</v>
      </c>
      <c r="E183" s="5" t="s">
        <v>18</v>
      </c>
      <c r="F183" s="5" t="s">
        <v>21</v>
      </c>
      <c r="G183" s="5" t="s">
        <v>23</v>
      </c>
    </row>
    <row r="184" spans="1:7" ht="15" thickBot="1" x14ac:dyDescent="0.35">
      <c r="A184" s="6" t="s">
        <v>7</v>
      </c>
      <c r="B184" s="7" t="s">
        <v>9</v>
      </c>
      <c r="C184" s="7" t="s">
        <v>12</v>
      </c>
      <c r="D184" s="7" t="s">
        <v>14</v>
      </c>
      <c r="E184" s="7" t="s">
        <v>17</v>
      </c>
      <c r="F184" s="7" t="s">
        <v>22</v>
      </c>
      <c r="G184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25B4-3616-4265-A872-BEA1720BF4C8}">
  <dimension ref="A1:M82"/>
  <sheetViews>
    <sheetView topLeftCell="A25" zoomScale="85" zoomScaleNormal="85" workbookViewId="0">
      <selection activeCell="A34" sqref="A34:D38"/>
    </sheetView>
  </sheetViews>
  <sheetFormatPr defaultRowHeight="14.4" x14ac:dyDescent="0.3"/>
  <cols>
    <col min="1" max="1" width="10.6640625" customWidth="1"/>
    <col min="2" max="2" width="14.33203125" customWidth="1"/>
    <col min="3" max="3" width="12.5546875" customWidth="1"/>
    <col min="4" max="4" width="16.77734375" customWidth="1"/>
    <col min="5" max="5" width="15.44140625" customWidth="1"/>
    <col min="6" max="6" width="13.6640625" customWidth="1"/>
    <col min="7" max="7" width="11.77734375" customWidth="1"/>
  </cols>
  <sheetData>
    <row r="1" spans="1:7" ht="57.6" x14ac:dyDescent="0.3">
      <c r="A1" s="10" t="s">
        <v>32</v>
      </c>
      <c r="B1" s="10" t="s">
        <v>40</v>
      </c>
      <c r="C1" s="10" t="s">
        <v>41</v>
      </c>
      <c r="D1" s="10" t="s">
        <v>42</v>
      </c>
      <c r="E1" s="10" t="s">
        <v>27</v>
      </c>
      <c r="F1" s="10" t="s">
        <v>43</v>
      </c>
      <c r="G1" s="10" t="s">
        <v>44</v>
      </c>
    </row>
    <row r="2" spans="1:7" x14ac:dyDescent="0.3">
      <c r="A2" s="3" t="s">
        <v>8</v>
      </c>
      <c r="B2" s="3" t="s">
        <v>9</v>
      </c>
      <c r="C2" s="3" t="s">
        <v>12</v>
      </c>
      <c r="D2" s="4" t="s">
        <v>14</v>
      </c>
      <c r="E2" s="3" t="s">
        <v>17</v>
      </c>
      <c r="F2" s="3" t="s">
        <v>20</v>
      </c>
      <c r="G2" s="3" t="s">
        <v>24</v>
      </c>
    </row>
    <row r="3" spans="1:7" x14ac:dyDescent="0.3">
      <c r="A3" s="5" t="s">
        <v>7</v>
      </c>
      <c r="B3" s="5" t="s">
        <v>9</v>
      </c>
      <c r="C3" s="5" t="s">
        <v>12</v>
      </c>
      <c r="D3" s="5" t="s">
        <v>15</v>
      </c>
      <c r="E3" s="5" t="s">
        <v>18</v>
      </c>
      <c r="F3" s="5" t="s">
        <v>21</v>
      </c>
      <c r="G3" s="5" t="s">
        <v>23</v>
      </c>
    </row>
    <row r="4" spans="1:7" x14ac:dyDescent="0.3">
      <c r="A4" s="5" t="s">
        <v>7</v>
      </c>
      <c r="B4" s="5" t="s">
        <v>9</v>
      </c>
      <c r="C4" s="5" t="s">
        <v>12</v>
      </c>
      <c r="D4" s="5" t="s">
        <v>14</v>
      </c>
      <c r="E4" s="5" t="s">
        <v>19</v>
      </c>
      <c r="F4" s="5" t="s">
        <v>21</v>
      </c>
      <c r="G4" s="5" t="s">
        <v>24</v>
      </c>
    </row>
    <row r="5" spans="1:7" x14ac:dyDescent="0.3">
      <c r="A5" s="5" t="s">
        <v>8</v>
      </c>
      <c r="B5" s="5" t="s">
        <v>10</v>
      </c>
      <c r="C5" s="5" t="s">
        <v>12</v>
      </c>
      <c r="D5" s="5" t="s">
        <v>14</v>
      </c>
      <c r="E5" s="5" t="s">
        <v>19</v>
      </c>
      <c r="F5" s="5" t="s">
        <v>20</v>
      </c>
      <c r="G5" s="5" t="s">
        <v>25</v>
      </c>
    </row>
    <row r="6" spans="1:7" x14ac:dyDescent="0.3">
      <c r="A6" s="5" t="s">
        <v>7</v>
      </c>
      <c r="B6" s="5" t="s">
        <v>11</v>
      </c>
      <c r="C6" s="5" t="s">
        <v>12</v>
      </c>
      <c r="D6" s="5" t="s">
        <v>14</v>
      </c>
      <c r="E6" s="5" t="s">
        <v>18</v>
      </c>
      <c r="F6" s="5" t="s">
        <v>21</v>
      </c>
      <c r="G6" s="5" t="s">
        <v>24</v>
      </c>
    </row>
    <row r="7" spans="1:7" x14ac:dyDescent="0.3">
      <c r="A7" s="5" t="s">
        <v>8</v>
      </c>
      <c r="B7" s="5" t="s">
        <v>9</v>
      </c>
      <c r="C7" s="5" t="s">
        <v>13</v>
      </c>
      <c r="D7" s="5" t="s">
        <v>15</v>
      </c>
      <c r="E7" s="5" t="s">
        <v>18</v>
      </c>
      <c r="F7" s="5" t="s">
        <v>20</v>
      </c>
      <c r="G7" s="5" t="s">
        <v>23</v>
      </c>
    </row>
    <row r="8" spans="1:7" x14ac:dyDescent="0.3">
      <c r="A8" s="5" t="s">
        <v>7</v>
      </c>
      <c r="B8" s="5" t="s">
        <v>9</v>
      </c>
      <c r="C8" s="5" t="s">
        <v>12</v>
      </c>
      <c r="D8" s="5" t="s">
        <v>15</v>
      </c>
      <c r="E8" s="5" t="s">
        <v>17</v>
      </c>
      <c r="F8" s="5" t="s">
        <v>21</v>
      </c>
      <c r="G8" s="5" t="s">
        <v>24</v>
      </c>
    </row>
    <row r="9" spans="1:7" x14ac:dyDescent="0.3">
      <c r="A9" s="5" t="s">
        <v>7</v>
      </c>
      <c r="B9" s="5" t="s">
        <v>9</v>
      </c>
      <c r="C9" s="5" t="s">
        <v>12</v>
      </c>
      <c r="D9" s="5" t="s">
        <v>15</v>
      </c>
      <c r="E9" s="5" t="s">
        <v>19</v>
      </c>
      <c r="F9" s="5" t="s">
        <v>21</v>
      </c>
      <c r="G9" s="5" t="s">
        <v>24</v>
      </c>
    </row>
    <row r="10" spans="1:7" x14ac:dyDescent="0.3">
      <c r="A10" s="5" t="s">
        <v>7</v>
      </c>
      <c r="B10" s="5" t="s">
        <v>11</v>
      </c>
      <c r="C10" s="5" t="s">
        <v>12</v>
      </c>
      <c r="D10" s="5" t="s">
        <v>15</v>
      </c>
      <c r="E10" s="5" t="s">
        <v>17</v>
      </c>
      <c r="F10" s="5" t="s">
        <v>22</v>
      </c>
      <c r="G10" s="5" t="s">
        <v>25</v>
      </c>
    </row>
    <row r="11" spans="1:7" x14ac:dyDescent="0.3">
      <c r="A11" s="5" t="s">
        <v>8</v>
      </c>
      <c r="B11" s="5" t="s">
        <v>9</v>
      </c>
      <c r="C11" s="5" t="s">
        <v>12</v>
      </c>
      <c r="D11" s="5" t="s">
        <v>16</v>
      </c>
      <c r="E11" s="5" t="s">
        <v>17</v>
      </c>
      <c r="F11" s="5" t="s">
        <v>22</v>
      </c>
      <c r="G11" s="5" t="s">
        <v>25</v>
      </c>
    </row>
    <row r="12" spans="1:7" x14ac:dyDescent="0.3">
      <c r="A12" s="5" t="s">
        <v>8</v>
      </c>
      <c r="B12" s="5" t="s">
        <v>10</v>
      </c>
      <c r="C12" s="5" t="s">
        <v>13</v>
      </c>
      <c r="D12" s="5" t="s">
        <v>15</v>
      </c>
      <c r="E12" s="5" t="s">
        <v>18</v>
      </c>
      <c r="F12" s="5" t="s">
        <v>20</v>
      </c>
      <c r="G12" s="5" t="s">
        <v>23</v>
      </c>
    </row>
    <row r="13" spans="1:7" x14ac:dyDescent="0.3">
      <c r="A13" s="5" t="s">
        <v>7</v>
      </c>
      <c r="B13" s="5" t="s">
        <v>11</v>
      </c>
      <c r="C13" s="5" t="s">
        <v>13</v>
      </c>
      <c r="D13" s="5" t="s">
        <v>16</v>
      </c>
      <c r="E13" s="5" t="s">
        <v>18</v>
      </c>
      <c r="F13" s="5" t="s">
        <v>20</v>
      </c>
      <c r="G13" s="5" t="s">
        <v>23</v>
      </c>
    </row>
    <row r="14" spans="1:7" x14ac:dyDescent="0.3">
      <c r="A14" s="5" t="s">
        <v>8</v>
      </c>
      <c r="B14" s="5" t="s">
        <v>10</v>
      </c>
      <c r="C14" s="5" t="s">
        <v>12</v>
      </c>
      <c r="D14" s="5" t="s">
        <v>15</v>
      </c>
      <c r="E14" s="5" t="s">
        <v>19</v>
      </c>
      <c r="F14" s="5" t="s">
        <v>22</v>
      </c>
      <c r="G14" s="5" t="s">
        <v>25</v>
      </c>
    </row>
    <row r="15" spans="1:7" x14ac:dyDescent="0.3">
      <c r="A15" s="5" t="s">
        <v>7</v>
      </c>
      <c r="B15" s="5" t="s">
        <v>10</v>
      </c>
      <c r="C15" s="5" t="s">
        <v>12</v>
      </c>
      <c r="D15" s="5" t="s">
        <v>14</v>
      </c>
      <c r="E15" s="5" t="s">
        <v>17</v>
      </c>
      <c r="F15" s="5" t="s">
        <v>20</v>
      </c>
      <c r="G15" s="5" t="s">
        <v>23</v>
      </c>
    </row>
    <row r="16" spans="1:7" x14ac:dyDescent="0.3">
      <c r="A16" s="5" t="s">
        <v>8</v>
      </c>
      <c r="B16" s="5" t="s">
        <v>9</v>
      </c>
      <c r="C16" s="5" t="s">
        <v>13</v>
      </c>
      <c r="D16" s="5" t="s">
        <v>14</v>
      </c>
      <c r="E16" s="5" t="s">
        <v>17</v>
      </c>
      <c r="F16" s="5" t="s">
        <v>22</v>
      </c>
      <c r="G16" s="5" t="s">
        <v>23</v>
      </c>
    </row>
    <row r="17" spans="1:13" x14ac:dyDescent="0.3">
      <c r="A17" s="5" t="s">
        <v>8</v>
      </c>
      <c r="B17" s="5" t="s">
        <v>11</v>
      </c>
      <c r="C17" s="5" t="s">
        <v>12</v>
      </c>
      <c r="D17" s="5" t="s">
        <v>14</v>
      </c>
      <c r="E17" s="5" t="s">
        <v>17</v>
      </c>
      <c r="F17" s="5" t="s">
        <v>21</v>
      </c>
      <c r="G17" s="5" t="s">
        <v>24</v>
      </c>
    </row>
    <row r="18" spans="1:13" x14ac:dyDescent="0.3">
      <c r="A18" s="5" t="s">
        <v>7</v>
      </c>
      <c r="B18" s="5" t="s">
        <v>9</v>
      </c>
      <c r="C18" s="5" t="s">
        <v>13</v>
      </c>
      <c r="D18" s="5" t="s">
        <v>15</v>
      </c>
      <c r="E18" s="5" t="s">
        <v>19</v>
      </c>
      <c r="F18" s="5" t="s">
        <v>22</v>
      </c>
      <c r="G18" s="5" t="s">
        <v>24</v>
      </c>
    </row>
    <row r="19" spans="1:13" x14ac:dyDescent="0.3">
      <c r="A19" s="5" t="s">
        <v>8</v>
      </c>
      <c r="B19" s="5" t="s">
        <v>11</v>
      </c>
      <c r="C19" s="5" t="s">
        <v>12</v>
      </c>
      <c r="D19" s="5" t="s">
        <v>14</v>
      </c>
      <c r="E19" s="5" t="s">
        <v>18</v>
      </c>
      <c r="F19" s="5" t="s">
        <v>20</v>
      </c>
      <c r="G19" s="5" t="s">
        <v>23</v>
      </c>
    </row>
    <row r="20" spans="1:13" x14ac:dyDescent="0.3">
      <c r="A20" s="5" t="s">
        <v>8</v>
      </c>
      <c r="B20" s="5" t="s">
        <v>11</v>
      </c>
      <c r="C20" s="5" t="s">
        <v>12</v>
      </c>
      <c r="D20" s="5" t="s">
        <v>15</v>
      </c>
      <c r="E20" s="5" t="s">
        <v>17</v>
      </c>
      <c r="F20" s="5" t="s">
        <v>21</v>
      </c>
      <c r="G20" s="5" t="s">
        <v>24</v>
      </c>
    </row>
    <row r="21" spans="1:13" x14ac:dyDescent="0.3">
      <c r="A21" s="5" t="s">
        <v>7</v>
      </c>
      <c r="B21" s="5" t="s">
        <v>10</v>
      </c>
      <c r="C21" s="5" t="s">
        <v>13</v>
      </c>
      <c r="D21" s="5" t="s">
        <v>14</v>
      </c>
      <c r="E21" s="5" t="s">
        <v>19</v>
      </c>
      <c r="F21" s="5" t="s">
        <v>22</v>
      </c>
      <c r="G21" s="5" t="s">
        <v>25</v>
      </c>
    </row>
    <row r="22" spans="1:13" x14ac:dyDescent="0.3">
      <c r="A22" s="5" t="s">
        <v>7</v>
      </c>
      <c r="B22" s="5" t="s">
        <v>10</v>
      </c>
      <c r="C22" s="5" t="s">
        <v>12</v>
      </c>
      <c r="D22" s="5" t="s">
        <v>14</v>
      </c>
      <c r="E22" s="5" t="s">
        <v>17</v>
      </c>
      <c r="F22" s="5" t="s">
        <v>22</v>
      </c>
      <c r="G22" s="5" t="s">
        <v>25</v>
      </c>
    </row>
    <row r="23" spans="1:13" x14ac:dyDescent="0.3">
      <c r="A23" s="5" t="s">
        <v>8</v>
      </c>
      <c r="B23" s="5" t="s">
        <v>10</v>
      </c>
      <c r="C23" s="5" t="s">
        <v>12</v>
      </c>
      <c r="D23" s="5" t="s">
        <v>16</v>
      </c>
      <c r="E23" s="5" t="s">
        <v>18</v>
      </c>
      <c r="F23" s="5" t="s">
        <v>20</v>
      </c>
      <c r="G23" s="5" t="s">
        <v>23</v>
      </c>
    </row>
    <row r="24" spans="1:13" x14ac:dyDescent="0.3">
      <c r="A24" s="5" t="s">
        <v>7</v>
      </c>
      <c r="B24" s="5" t="s">
        <v>10</v>
      </c>
      <c r="C24" s="5" t="s">
        <v>12</v>
      </c>
      <c r="D24" s="5" t="s">
        <v>14</v>
      </c>
      <c r="E24" s="5" t="s">
        <v>18</v>
      </c>
      <c r="F24" s="5" t="s">
        <v>21</v>
      </c>
      <c r="G24" s="5" t="s">
        <v>24</v>
      </c>
    </row>
    <row r="25" spans="1:13" x14ac:dyDescent="0.3">
      <c r="A25" s="5" t="s">
        <v>7</v>
      </c>
      <c r="B25" s="5" t="s">
        <v>10</v>
      </c>
      <c r="C25" s="5" t="s">
        <v>13</v>
      </c>
      <c r="D25" s="5" t="s">
        <v>16</v>
      </c>
      <c r="E25" s="5" t="s">
        <v>18</v>
      </c>
      <c r="F25" s="5" t="s">
        <v>21</v>
      </c>
      <c r="G25" s="5" t="s">
        <v>24</v>
      </c>
    </row>
    <row r="26" spans="1:13" x14ac:dyDescent="0.3">
      <c r="A26" s="5" t="s">
        <v>8</v>
      </c>
      <c r="B26" s="5" t="s">
        <v>9</v>
      </c>
      <c r="C26" s="5" t="s">
        <v>12</v>
      </c>
      <c r="D26" s="5" t="s">
        <v>14</v>
      </c>
      <c r="E26" s="5" t="s">
        <v>17</v>
      </c>
      <c r="F26" s="5" t="s">
        <v>21</v>
      </c>
      <c r="G26" s="5" t="s">
        <v>24</v>
      </c>
    </row>
    <row r="27" spans="1:13" x14ac:dyDescent="0.3">
      <c r="A27" s="5" t="s">
        <v>8</v>
      </c>
      <c r="B27" s="5" t="s">
        <v>9</v>
      </c>
      <c r="C27" s="5" t="s">
        <v>12</v>
      </c>
      <c r="D27" s="5" t="s">
        <v>15</v>
      </c>
      <c r="E27" s="5" t="s">
        <v>17</v>
      </c>
      <c r="F27" s="5" t="s">
        <v>21</v>
      </c>
      <c r="G27" s="5" t="s">
        <v>24</v>
      </c>
    </row>
    <row r="28" spans="1:13" x14ac:dyDescent="0.3">
      <c r="A28" s="5" t="s">
        <v>8</v>
      </c>
      <c r="B28" s="5" t="s">
        <v>9</v>
      </c>
      <c r="C28" s="5" t="s">
        <v>12</v>
      </c>
      <c r="D28" s="5" t="s">
        <v>14</v>
      </c>
      <c r="E28" s="5" t="s">
        <v>17</v>
      </c>
      <c r="F28" s="5" t="s">
        <v>21</v>
      </c>
      <c r="G28" s="5" t="s">
        <v>24</v>
      </c>
    </row>
    <row r="29" spans="1:13" x14ac:dyDescent="0.3">
      <c r="A29" s="5" t="s">
        <v>7</v>
      </c>
      <c r="B29" s="5" t="s">
        <v>9</v>
      </c>
      <c r="C29" s="5" t="s">
        <v>12</v>
      </c>
      <c r="D29" s="5" t="s">
        <v>14</v>
      </c>
      <c r="E29" s="5" t="s">
        <v>18</v>
      </c>
      <c r="F29" s="5" t="s">
        <v>21</v>
      </c>
      <c r="G29" s="5" t="s">
        <v>24</v>
      </c>
    </row>
    <row r="30" spans="1:13" x14ac:dyDescent="0.3">
      <c r="A30" s="11" t="s">
        <v>7</v>
      </c>
      <c r="B30" s="11" t="s">
        <v>9</v>
      </c>
      <c r="C30" s="11" t="s">
        <v>12</v>
      </c>
      <c r="D30" s="11" t="s">
        <v>14</v>
      </c>
      <c r="E30" s="11" t="s">
        <v>17</v>
      </c>
      <c r="F30" s="11" t="s">
        <v>21</v>
      </c>
      <c r="G30" s="11" t="s">
        <v>25</v>
      </c>
    </row>
    <row r="31" spans="1:13" x14ac:dyDescent="0.3">
      <c r="A31" s="12" t="s">
        <v>7</v>
      </c>
      <c r="B31" s="12" t="s">
        <v>9</v>
      </c>
      <c r="C31" s="12" t="s">
        <v>12</v>
      </c>
      <c r="D31" s="12" t="s">
        <v>14</v>
      </c>
      <c r="E31" s="12" t="s">
        <v>17</v>
      </c>
      <c r="F31" s="12" t="s">
        <v>22</v>
      </c>
      <c r="G31" s="18" t="s">
        <v>25</v>
      </c>
      <c r="H31" s="15"/>
      <c r="I31" s="15"/>
      <c r="J31" s="15"/>
      <c r="K31" s="15"/>
      <c r="L31" s="15"/>
      <c r="M31" s="15"/>
    </row>
    <row r="32" spans="1:13" x14ac:dyDescent="0.3">
      <c r="G32" s="9"/>
      <c r="H32" s="9"/>
      <c r="I32" s="9"/>
      <c r="J32" s="16"/>
      <c r="K32" s="9"/>
      <c r="L32" s="9"/>
      <c r="M32" s="9"/>
    </row>
    <row r="33" spans="1:13" x14ac:dyDescent="0.3">
      <c r="G33" s="17"/>
      <c r="H33" s="17"/>
      <c r="I33" s="17"/>
      <c r="J33" s="17"/>
      <c r="K33" s="17"/>
      <c r="L33" s="17"/>
      <c r="M33" s="17"/>
    </row>
    <row r="34" spans="1:13" x14ac:dyDescent="0.3">
      <c r="B34" t="s">
        <v>29</v>
      </c>
      <c r="C34" t="s">
        <v>30</v>
      </c>
      <c r="D34" t="s">
        <v>31</v>
      </c>
      <c r="G34" s="17"/>
      <c r="H34" s="17"/>
      <c r="I34" s="17"/>
      <c r="J34" s="17"/>
      <c r="K34" s="17"/>
      <c r="L34" s="17"/>
      <c r="M34" s="17"/>
    </row>
    <row r="35" spans="1:13" x14ac:dyDescent="0.3">
      <c r="A35" t="s">
        <v>23</v>
      </c>
      <c r="B35">
        <f>COUNTIF(G1:G31,A35)</f>
        <v>8</v>
      </c>
      <c r="C35">
        <f>B35/B38</f>
        <v>0.26666666666666666</v>
      </c>
      <c r="D35">
        <f>-C35*LOG(C35,2)</f>
        <v>0.50850415882893829</v>
      </c>
      <c r="G35" s="17"/>
      <c r="H35" s="17"/>
      <c r="I35" s="17"/>
      <c r="J35" s="17"/>
      <c r="K35" s="17"/>
      <c r="L35" s="17"/>
      <c r="M35" s="17"/>
    </row>
    <row r="36" spans="1:13" x14ac:dyDescent="0.3">
      <c r="A36" t="s">
        <v>24</v>
      </c>
      <c r="B36">
        <f t="shared" ref="B36:B37" si="0">COUNTIF(G2:G32,A36)</f>
        <v>14</v>
      </c>
      <c r="C36">
        <f>B36/B38</f>
        <v>0.46666666666666667</v>
      </c>
      <c r="D36">
        <f t="shared" ref="D36:D37" si="1">-C36*LOG(C36,2)</f>
        <v>0.51311664765709331</v>
      </c>
      <c r="G36" s="17"/>
      <c r="H36" s="17"/>
      <c r="I36" s="17"/>
      <c r="J36" s="17"/>
      <c r="K36" s="17"/>
      <c r="L36" s="17"/>
      <c r="M36" s="17"/>
    </row>
    <row r="37" spans="1:13" x14ac:dyDescent="0.3">
      <c r="A37" t="s">
        <v>25</v>
      </c>
      <c r="B37">
        <f t="shared" si="0"/>
        <v>8</v>
      </c>
      <c r="C37">
        <f>B37/B38</f>
        <v>0.26666666666666666</v>
      </c>
      <c r="D37">
        <f t="shared" si="1"/>
        <v>0.50850415882893829</v>
      </c>
      <c r="G37" s="17"/>
      <c r="H37" s="17"/>
      <c r="I37" s="17"/>
      <c r="J37" s="17"/>
      <c r="K37" s="17"/>
      <c r="L37" s="17"/>
      <c r="M37" s="17"/>
    </row>
    <row r="38" spans="1:13" x14ac:dyDescent="0.3">
      <c r="A38" t="s">
        <v>28</v>
      </c>
      <c r="B38">
        <f>SUM(B35:B37)</f>
        <v>30</v>
      </c>
      <c r="D38">
        <f>SUM(D35:D37)</f>
        <v>1.53012496531497</v>
      </c>
      <c r="G38" s="17"/>
      <c r="H38" s="17"/>
      <c r="I38" s="17"/>
      <c r="J38" s="17"/>
      <c r="K38" s="17"/>
      <c r="L38" s="17"/>
      <c r="M38" s="17"/>
    </row>
    <row r="39" spans="1:13" x14ac:dyDescent="0.3">
      <c r="G39" s="17"/>
      <c r="H39" s="17"/>
      <c r="I39" s="17"/>
      <c r="J39" s="17"/>
      <c r="K39" s="17"/>
      <c r="L39" s="17"/>
      <c r="M39" s="17"/>
    </row>
    <row r="40" spans="1:13" x14ac:dyDescent="0.3">
      <c r="G40" s="17"/>
      <c r="H40" s="17"/>
      <c r="I40" s="17"/>
      <c r="J40" s="17"/>
      <c r="K40" s="17"/>
      <c r="L40" s="17"/>
      <c r="M40" s="17"/>
    </row>
    <row r="41" spans="1:13" x14ac:dyDescent="0.3">
      <c r="A41" t="s">
        <v>43</v>
      </c>
      <c r="G41" s="17"/>
      <c r="H41" s="17"/>
      <c r="I41" s="17"/>
      <c r="J41" s="17"/>
      <c r="K41" s="17"/>
      <c r="L41" s="17"/>
      <c r="M41" s="17"/>
    </row>
    <row r="42" spans="1:13" x14ac:dyDescent="0.3">
      <c r="A42" t="s">
        <v>20</v>
      </c>
      <c r="G42" s="17"/>
      <c r="H42" s="17"/>
      <c r="I42" s="17"/>
      <c r="J42" s="17"/>
      <c r="K42" s="17"/>
      <c r="L42" s="17"/>
      <c r="M42" s="17"/>
    </row>
    <row r="43" spans="1:13" ht="57.6" x14ac:dyDescent="0.3">
      <c r="A43" s="10" t="s">
        <v>32</v>
      </c>
      <c r="B43" s="10" t="s">
        <v>40</v>
      </c>
      <c r="C43" s="10" t="s">
        <v>41</v>
      </c>
      <c r="D43" s="10" t="s">
        <v>42</v>
      </c>
      <c r="E43" s="10" t="s">
        <v>27</v>
      </c>
      <c r="F43" s="10" t="s">
        <v>43</v>
      </c>
      <c r="G43" s="10" t="s">
        <v>44</v>
      </c>
      <c r="H43" s="17"/>
      <c r="I43" s="17"/>
      <c r="J43" s="17"/>
      <c r="K43" s="17"/>
      <c r="L43" s="17"/>
      <c r="M43" s="17"/>
    </row>
    <row r="44" spans="1:13" x14ac:dyDescent="0.3">
      <c r="A44" s="3" t="s">
        <v>8</v>
      </c>
      <c r="B44" s="3" t="s">
        <v>9</v>
      </c>
      <c r="C44" s="3" t="s">
        <v>12</v>
      </c>
      <c r="D44" s="4" t="s">
        <v>14</v>
      </c>
      <c r="E44" s="3" t="s">
        <v>17</v>
      </c>
      <c r="F44" s="3" t="s">
        <v>20</v>
      </c>
      <c r="G44" s="3" t="s">
        <v>24</v>
      </c>
      <c r="H44" s="17"/>
      <c r="I44" s="17"/>
      <c r="J44" s="17"/>
      <c r="K44" s="17"/>
      <c r="L44" s="17"/>
      <c r="M44" s="17"/>
    </row>
    <row r="45" spans="1:13" x14ac:dyDescent="0.3">
      <c r="A45" s="5" t="s">
        <v>8</v>
      </c>
      <c r="B45" s="5" t="s">
        <v>10</v>
      </c>
      <c r="C45" s="5" t="s">
        <v>12</v>
      </c>
      <c r="D45" s="5" t="s">
        <v>14</v>
      </c>
      <c r="E45" s="5" t="s">
        <v>19</v>
      </c>
      <c r="F45" s="5" t="s">
        <v>20</v>
      </c>
      <c r="G45" s="5" t="s">
        <v>25</v>
      </c>
      <c r="H45" s="17"/>
      <c r="I45" s="17"/>
      <c r="J45" s="17"/>
      <c r="K45" s="17"/>
      <c r="L45" s="17"/>
      <c r="M45" s="17"/>
    </row>
    <row r="46" spans="1:13" x14ac:dyDescent="0.3">
      <c r="A46" s="5" t="s">
        <v>8</v>
      </c>
      <c r="B46" s="5" t="s">
        <v>9</v>
      </c>
      <c r="C46" s="5" t="s">
        <v>13</v>
      </c>
      <c r="D46" s="5" t="s">
        <v>15</v>
      </c>
      <c r="E46" s="5" t="s">
        <v>18</v>
      </c>
      <c r="F46" s="5" t="s">
        <v>20</v>
      </c>
      <c r="G46" s="5" t="s">
        <v>23</v>
      </c>
      <c r="H46" s="17"/>
      <c r="I46" s="17"/>
      <c r="J46" s="17"/>
      <c r="K46" s="17"/>
      <c r="L46" s="17"/>
      <c r="M46" s="17"/>
    </row>
    <row r="47" spans="1:13" x14ac:dyDescent="0.3">
      <c r="A47" s="5" t="s">
        <v>8</v>
      </c>
      <c r="B47" s="5" t="s">
        <v>10</v>
      </c>
      <c r="C47" s="5" t="s">
        <v>13</v>
      </c>
      <c r="D47" s="5" t="s">
        <v>15</v>
      </c>
      <c r="E47" s="5" t="s">
        <v>18</v>
      </c>
      <c r="F47" s="5" t="s">
        <v>20</v>
      </c>
      <c r="G47" s="5" t="s">
        <v>23</v>
      </c>
      <c r="H47" s="17"/>
      <c r="I47" s="17"/>
      <c r="J47" s="17"/>
      <c r="K47" s="17"/>
      <c r="L47" s="17"/>
      <c r="M47" s="17"/>
    </row>
    <row r="48" spans="1:13" x14ac:dyDescent="0.3">
      <c r="A48" s="5" t="s">
        <v>7</v>
      </c>
      <c r="B48" s="5" t="s">
        <v>11</v>
      </c>
      <c r="C48" s="5" t="s">
        <v>13</v>
      </c>
      <c r="D48" s="5" t="s">
        <v>16</v>
      </c>
      <c r="E48" s="5" t="s">
        <v>18</v>
      </c>
      <c r="F48" s="5" t="s">
        <v>20</v>
      </c>
      <c r="G48" s="5" t="s">
        <v>23</v>
      </c>
      <c r="H48" s="17"/>
      <c r="I48" s="17"/>
      <c r="J48" s="17"/>
      <c r="K48" s="17"/>
      <c r="L48" s="17"/>
      <c r="M48" s="17"/>
    </row>
    <row r="49" spans="1:13" x14ac:dyDescent="0.3">
      <c r="A49" s="5" t="s">
        <v>7</v>
      </c>
      <c r="B49" s="5" t="s">
        <v>10</v>
      </c>
      <c r="C49" s="5" t="s">
        <v>12</v>
      </c>
      <c r="D49" s="5" t="s">
        <v>14</v>
      </c>
      <c r="E49" s="5" t="s">
        <v>17</v>
      </c>
      <c r="F49" s="5" t="s">
        <v>20</v>
      </c>
      <c r="G49" s="5" t="s">
        <v>23</v>
      </c>
      <c r="H49" s="17"/>
      <c r="I49" s="17"/>
      <c r="J49" s="17"/>
      <c r="K49" s="17"/>
      <c r="L49" s="17"/>
      <c r="M49" s="17"/>
    </row>
    <row r="50" spans="1:13" x14ac:dyDescent="0.3">
      <c r="A50" s="5" t="s">
        <v>8</v>
      </c>
      <c r="B50" s="5" t="s">
        <v>11</v>
      </c>
      <c r="C50" s="5" t="s">
        <v>12</v>
      </c>
      <c r="D50" s="5" t="s">
        <v>14</v>
      </c>
      <c r="E50" s="5" t="s">
        <v>18</v>
      </c>
      <c r="F50" s="5" t="s">
        <v>20</v>
      </c>
      <c r="G50" s="5" t="s">
        <v>23</v>
      </c>
      <c r="H50" s="17"/>
      <c r="I50" s="17"/>
      <c r="J50" s="17"/>
      <c r="K50" s="17"/>
      <c r="L50" s="17"/>
      <c r="M50" s="17"/>
    </row>
    <row r="51" spans="1:13" x14ac:dyDescent="0.3">
      <c r="A51" s="5" t="s">
        <v>8</v>
      </c>
      <c r="B51" s="5" t="s">
        <v>10</v>
      </c>
      <c r="C51" s="5" t="s">
        <v>12</v>
      </c>
      <c r="D51" s="5" t="s">
        <v>16</v>
      </c>
      <c r="E51" s="5" t="s">
        <v>18</v>
      </c>
      <c r="F51" s="5" t="s">
        <v>20</v>
      </c>
      <c r="G51" s="5" t="s">
        <v>23</v>
      </c>
      <c r="H51" s="17"/>
      <c r="I51" s="17"/>
      <c r="J51" s="17"/>
      <c r="K51" s="17"/>
      <c r="L51" s="17"/>
      <c r="M51" s="17"/>
    </row>
    <row r="52" spans="1:13" x14ac:dyDescent="0.3">
      <c r="G52" s="17"/>
      <c r="H52" s="17"/>
      <c r="I52" s="17"/>
      <c r="J52" s="17"/>
      <c r="K52" s="17"/>
      <c r="L52" s="17"/>
      <c r="M52" s="17"/>
    </row>
    <row r="53" spans="1:13" ht="26.4" x14ac:dyDescent="0.3">
      <c r="A53" s="14" t="s">
        <v>43</v>
      </c>
      <c r="G53" s="17"/>
      <c r="H53" s="17"/>
      <c r="I53" s="17"/>
      <c r="J53" s="17"/>
      <c r="K53" s="17"/>
      <c r="L53" s="17"/>
      <c r="M53" s="17"/>
    </row>
    <row r="54" spans="1:13" x14ac:dyDescent="0.3">
      <c r="A54" s="14" t="s">
        <v>21</v>
      </c>
      <c r="G54" s="17"/>
      <c r="H54" s="17"/>
      <c r="I54" s="17"/>
      <c r="J54" s="17"/>
      <c r="K54" s="17"/>
      <c r="L54" s="17"/>
      <c r="M54" s="17"/>
    </row>
    <row r="55" spans="1:13" ht="57.6" x14ac:dyDescent="0.3">
      <c r="A55" s="10" t="s">
        <v>32</v>
      </c>
      <c r="B55" s="10" t="s">
        <v>40</v>
      </c>
      <c r="C55" s="10" t="s">
        <v>41</v>
      </c>
      <c r="D55" s="10" t="s">
        <v>42</v>
      </c>
      <c r="E55" s="10" t="s">
        <v>27</v>
      </c>
      <c r="F55" s="10" t="s">
        <v>43</v>
      </c>
      <c r="G55" s="10" t="s">
        <v>44</v>
      </c>
      <c r="H55" s="17"/>
      <c r="I55" s="17"/>
      <c r="J55" s="17"/>
      <c r="K55" s="17"/>
      <c r="L55" s="17"/>
      <c r="M55" s="17"/>
    </row>
    <row r="56" spans="1:13" x14ac:dyDescent="0.3">
      <c r="A56" s="5" t="s">
        <v>7</v>
      </c>
      <c r="B56" s="5" t="s">
        <v>9</v>
      </c>
      <c r="C56" s="5" t="s">
        <v>12</v>
      </c>
      <c r="D56" s="5" t="s">
        <v>15</v>
      </c>
      <c r="E56" s="5" t="s">
        <v>18</v>
      </c>
      <c r="F56" s="5" t="s">
        <v>21</v>
      </c>
      <c r="G56" s="5" t="s">
        <v>23</v>
      </c>
      <c r="H56" s="17"/>
      <c r="I56" s="17"/>
      <c r="J56" s="17"/>
      <c r="K56" s="17"/>
      <c r="L56" s="17"/>
      <c r="M56" s="17"/>
    </row>
    <row r="57" spans="1:13" x14ac:dyDescent="0.3">
      <c r="A57" s="5" t="s">
        <v>7</v>
      </c>
      <c r="B57" s="5" t="s">
        <v>9</v>
      </c>
      <c r="C57" s="5" t="s">
        <v>12</v>
      </c>
      <c r="D57" s="5" t="s">
        <v>14</v>
      </c>
      <c r="E57" s="5" t="s">
        <v>19</v>
      </c>
      <c r="F57" s="5" t="s">
        <v>21</v>
      </c>
      <c r="G57" s="5" t="s">
        <v>24</v>
      </c>
      <c r="H57" s="17"/>
      <c r="I57" s="17"/>
      <c r="J57" s="17"/>
      <c r="K57" s="17"/>
      <c r="L57" s="17"/>
      <c r="M57" s="17"/>
    </row>
    <row r="58" spans="1:13" x14ac:dyDescent="0.3">
      <c r="A58" s="5" t="s">
        <v>7</v>
      </c>
      <c r="B58" s="5" t="s">
        <v>11</v>
      </c>
      <c r="C58" s="5" t="s">
        <v>12</v>
      </c>
      <c r="D58" s="5" t="s">
        <v>14</v>
      </c>
      <c r="E58" s="5" t="s">
        <v>18</v>
      </c>
      <c r="F58" s="5" t="s">
        <v>21</v>
      </c>
      <c r="G58" s="5" t="s">
        <v>24</v>
      </c>
      <c r="H58" s="17"/>
      <c r="I58" s="17"/>
      <c r="J58" s="17"/>
      <c r="K58" s="17"/>
      <c r="L58" s="17"/>
      <c r="M58" s="17"/>
    </row>
    <row r="59" spans="1:13" x14ac:dyDescent="0.3">
      <c r="A59" s="5" t="s">
        <v>7</v>
      </c>
      <c r="B59" s="5" t="s">
        <v>9</v>
      </c>
      <c r="C59" s="5" t="s">
        <v>12</v>
      </c>
      <c r="D59" s="5" t="s">
        <v>15</v>
      </c>
      <c r="E59" s="5" t="s">
        <v>17</v>
      </c>
      <c r="F59" s="5" t="s">
        <v>21</v>
      </c>
      <c r="G59" s="5" t="s">
        <v>24</v>
      </c>
      <c r="H59" s="17"/>
      <c r="I59" s="17"/>
      <c r="J59" s="17"/>
      <c r="K59" s="17"/>
      <c r="L59" s="17"/>
      <c r="M59" s="17"/>
    </row>
    <row r="60" spans="1:13" x14ac:dyDescent="0.3">
      <c r="A60" s="5" t="s">
        <v>7</v>
      </c>
      <c r="B60" s="5" t="s">
        <v>9</v>
      </c>
      <c r="C60" s="5" t="s">
        <v>12</v>
      </c>
      <c r="D60" s="5" t="s">
        <v>15</v>
      </c>
      <c r="E60" s="5" t="s">
        <v>19</v>
      </c>
      <c r="F60" s="5" t="s">
        <v>21</v>
      </c>
      <c r="G60" s="5" t="s">
        <v>24</v>
      </c>
      <c r="H60" s="17"/>
      <c r="I60" s="17"/>
      <c r="J60" s="17"/>
      <c r="K60" s="17"/>
      <c r="L60" s="17"/>
      <c r="M60" s="17"/>
    </row>
    <row r="61" spans="1:13" ht="15" thickBot="1" x14ac:dyDescent="0.35">
      <c r="A61" s="5" t="s">
        <v>8</v>
      </c>
      <c r="B61" s="5" t="s">
        <v>11</v>
      </c>
      <c r="C61" s="5" t="s">
        <v>12</v>
      </c>
      <c r="D61" s="5" t="s">
        <v>14</v>
      </c>
      <c r="E61" s="5" t="s">
        <v>17</v>
      </c>
      <c r="F61" s="5" t="s">
        <v>21</v>
      </c>
      <c r="G61" s="5" t="s">
        <v>24</v>
      </c>
      <c r="H61" s="13"/>
      <c r="I61" s="13"/>
      <c r="J61" s="13"/>
      <c r="K61" s="13"/>
      <c r="L61" s="13"/>
      <c r="M61" s="13"/>
    </row>
    <row r="62" spans="1:13" x14ac:dyDescent="0.3">
      <c r="A62" s="5" t="s">
        <v>8</v>
      </c>
      <c r="B62" s="5" t="s">
        <v>11</v>
      </c>
      <c r="C62" s="5" t="s">
        <v>12</v>
      </c>
      <c r="D62" s="5" t="s">
        <v>15</v>
      </c>
      <c r="E62" s="5" t="s">
        <v>17</v>
      </c>
      <c r="F62" s="5" t="s">
        <v>21</v>
      </c>
      <c r="G62" s="5" t="s">
        <v>24</v>
      </c>
    </row>
    <row r="63" spans="1:13" x14ac:dyDescent="0.3">
      <c r="A63" s="5" t="s">
        <v>7</v>
      </c>
      <c r="B63" s="5" t="s">
        <v>10</v>
      </c>
      <c r="C63" s="5" t="s">
        <v>12</v>
      </c>
      <c r="D63" s="5" t="s">
        <v>14</v>
      </c>
      <c r="E63" s="5" t="s">
        <v>18</v>
      </c>
      <c r="F63" s="5" t="s">
        <v>21</v>
      </c>
      <c r="G63" s="5" t="s">
        <v>24</v>
      </c>
    </row>
    <row r="64" spans="1:13" x14ac:dyDescent="0.3">
      <c r="A64" s="5" t="s">
        <v>7</v>
      </c>
      <c r="B64" s="5" t="s">
        <v>10</v>
      </c>
      <c r="C64" s="5" t="s">
        <v>13</v>
      </c>
      <c r="D64" s="5" t="s">
        <v>16</v>
      </c>
      <c r="E64" s="5" t="s">
        <v>18</v>
      </c>
      <c r="F64" s="5" t="s">
        <v>21</v>
      </c>
      <c r="G64" s="5" t="s">
        <v>24</v>
      </c>
    </row>
    <row r="65" spans="1:7" x14ac:dyDescent="0.3">
      <c r="A65" s="5" t="s">
        <v>8</v>
      </c>
      <c r="B65" s="5" t="s">
        <v>9</v>
      </c>
      <c r="C65" s="5" t="s">
        <v>12</v>
      </c>
      <c r="D65" s="5" t="s">
        <v>14</v>
      </c>
      <c r="E65" s="5" t="s">
        <v>17</v>
      </c>
      <c r="F65" s="5" t="s">
        <v>21</v>
      </c>
      <c r="G65" s="5" t="s">
        <v>24</v>
      </c>
    </row>
    <row r="66" spans="1:7" x14ac:dyDescent="0.3">
      <c r="A66" s="5" t="s">
        <v>8</v>
      </c>
      <c r="B66" s="5" t="s">
        <v>9</v>
      </c>
      <c r="C66" s="5" t="s">
        <v>12</v>
      </c>
      <c r="D66" s="5" t="s">
        <v>15</v>
      </c>
      <c r="E66" s="5" t="s">
        <v>17</v>
      </c>
      <c r="F66" s="5" t="s">
        <v>21</v>
      </c>
      <c r="G66" s="5" t="s">
        <v>24</v>
      </c>
    </row>
    <row r="67" spans="1:7" x14ac:dyDescent="0.3">
      <c r="A67" s="5" t="s">
        <v>8</v>
      </c>
      <c r="B67" s="5" t="s">
        <v>9</v>
      </c>
      <c r="C67" s="5" t="s">
        <v>12</v>
      </c>
      <c r="D67" s="5" t="s">
        <v>14</v>
      </c>
      <c r="E67" s="5" t="s">
        <v>17</v>
      </c>
      <c r="F67" s="5" t="s">
        <v>21</v>
      </c>
      <c r="G67" s="5" t="s">
        <v>24</v>
      </c>
    </row>
    <row r="68" spans="1:7" x14ac:dyDescent="0.3">
      <c r="A68" s="5" t="s">
        <v>7</v>
      </c>
      <c r="B68" s="5" t="s">
        <v>9</v>
      </c>
      <c r="C68" s="5" t="s">
        <v>12</v>
      </c>
      <c r="D68" s="5" t="s">
        <v>14</v>
      </c>
      <c r="E68" s="5" t="s">
        <v>18</v>
      </c>
      <c r="F68" s="5" t="s">
        <v>21</v>
      </c>
      <c r="G68" s="5" t="s">
        <v>24</v>
      </c>
    </row>
    <row r="69" spans="1:7" x14ac:dyDescent="0.3">
      <c r="A69" s="11" t="s">
        <v>7</v>
      </c>
      <c r="B69" s="11" t="s">
        <v>9</v>
      </c>
      <c r="C69" s="11" t="s">
        <v>12</v>
      </c>
      <c r="D69" s="11" t="s">
        <v>14</v>
      </c>
      <c r="E69" s="11" t="s">
        <v>17</v>
      </c>
      <c r="F69" s="11" t="s">
        <v>21</v>
      </c>
      <c r="G69" s="11" t="s">
        <v>25</v>
      </c>
    </row>
    <row r="72" spans="1:7" ht="26.4" x14ac:dyDescent="0.3">
      <c r="A72" s="14" t="s">
        <v>43</v>
      </c>
    </row>
    <row r="73" spans="1:7" x14ac:dyDescent="0.3">
      <c r="A73" s="14" t="s">
        <v>22</v>
      </c>
    </row>
    <row r="74" spans="1:7" ht="57.6" x14ac:dyDescent="0.3">
      <c r="A74" s="10" t="s">
        <v>32</v>
      </c>
      <c r="B74" s="10" t="s">
        <v>40</v>
      </c>
      <c r="C74" s="10" t="s">
        <v>41</v>
      </c>
      <c r="D74" s="10" t="s">
        <v>42</v>
      </c>
      <c r="E74" s="10" t="s">
        <v>27</v>
      </c>
      <c r="F74" s="10" t="s">
        <v>43</v>
      </c>
      <c r="G74" s="10" t="s">
        <v>44</v>
      </c>
    </row>
    <row r="75" spans="1:7" x14ac:dyDescent="0.3">
      <c r="A75" s="5" t="s">
        <v>7</v>
      </c>
      <c r="B75" s="5" t="s">
        <v>11</v>
      </c>
      <c r="C75" s="5" t="s">
        <v>12</v>
      </c>
      <c r="D75" s="5" t="s">
        <v>15</v>
      </c>
      <c r="E75" s="5" t="s">
        <v>17</v>
      </c>
      <c r="F75" s="5" t="s">
        <v>22</v>
      </c>
      <c r="G75" s="5" t="s">
        <v>25</v>
      </c>
    </row>
    <row r="76" spans="1:7" x14ac:dyDescent="0.3">
      <c r="A76" s="5" t="s">
        <v>8</v>
      </c>
      <c r="B76" s="5" t="s">
        <v>9</v>
      </c>
      <c r="C76" s="5" t="s">
        <v>12</v>
      </c>
      <c r="D76" s="5" t="s">
        <v>16</v>
      </c>
      <c r="E76" s="5" t="s">
        <v>17</v>
      </c>
      <c r="F76" s="5" t="s">
        <v>22</v>
      </c>
      <c r="G76" s="5" t="s">
        <v>25</v>
      </c>
    </row>
    <row r="77" spans="1:7" x14ac:dyDescent="0.3">
      <c r="A77" s="5" t="s">
        <v>8</v>
      </c>
      <c r="B77" s="5" t="s">
        <v>10</v>
      </c>
      <c r="C77" s="5" t="s">
        <v>12</v>
      </c>
      <c r="D77" s="5" t="s">
        <v>15</v>
      </c>
      <c r="E77" s="5" t="s">
        <v>19</v>
      </c>
      <c r="F77" s="5" t="s">
        <v>22</v>
      </c>
      <c r="G77" s="5" t="s">
        <v>25</v>
      </c>
    </row>
    <row r="78" spans="1:7" x14ac:dyDescent="0.3">
      <c r="A78" s="5" t="s">
        <v>8</v>
      </c>
      <c r="B78" s="5" t="s">
        <v>9</v>
      </c>
      <c r="C78" s="5" t="s">
        <v>13</v>
      </c>
      <c r="D78" s="5" t="s">
        <v>14</v>
      </c>
      <c r="E78" s="5" t="s">
        <v>17</v>
      </c>
      <c r="F78" s="5" t="s">
        <v>22</v>
      </c>
      <c r="G78" s="5" t="s">
        <v>23</v>
      </c>
    </row>
    <row r="79" spans="1:7" x14ac:dyDescent="0.3">
      <c r="A79" s="5" t="s">
        <v>7</v>
      </c>
      <c r="B79" s="5" t="s">
        <v>9</v>
      </c>
      <c r="C79" s="5" t="s">
        <v>13</v>
      </c>
      <c r="D79" s="5" t="s">
        <v>15</v>
      </c>
      <c r="E79" s="5" t="s">
        <v>19</v>
      </c>
      <c r="F79" s="5" t="s">
        <v>22</v>
      </c>
      <c r="G79" s="5" t="s">
        <v>24</v>
      </c>
    </row>
    <row r="80" spans="1:7" x14ac:dyDescent="0.3">
      <c r="A80" s="5" t="s">
        <v>7</v>
      </c>
      <c r="B80" s="5" t="s">
        <v>10</v>
      </c>
      <c r="C80" s="5" t="s">
        <v>13</v>
      </c>
      <c r="D80" s="5" t="s">
        <v>14</v>
      </c>
      <c r="E80" s="5" t="s">
        <v>19</v>
      </c>
      <c r="F80" s="5" t="s">
        <v>22</v>
      </c>
      <c r="G80" s="5" t="s">
        <v>25</v>
      </c>
    </row>
    <row r="81" spans="1:7" x14ac:dyDescent="0.3">
      <c r="A81" s="5" t="s">
        <v>7</v>
      </c>
      <c r="B81" s="5" t="s">
        <v>10</v>
      </c>
      <c r="C81" s="5" t="s">
        <v>12</v>
      </c>
      <c r="D81" s="5" t="s">
        <v>14</v>
      </c>
      <c r="E81" s="5" t="s">
        <v>17</v>
      </c>
      <c r="F81" s="5" t="s">
        <v>22</v>
      </c>
      <c r="G81" s="5" t="s">
        <v>25</v>
      </c>
    </row>
    <row r="82" spans="1:7" x14ac:dyDescent="0.3">
      <c r="A82" s="12" t="s">
        <v>7</v>
      </c>
      <c r="B82" s="12" t="s">
        <v>9</v>
      </c>
      <c r="C82" s="12" t="s">
        <v>12</v>
      </c>
      <c r="D82" s="12" t="s">
        <v>14</v>
      </c>
      <c r="E82" s="12" t="s">
        <v>17</v>
      </c>
      <c r="F82" s="12" t="s">
        <v>22</v>
      </c>
      <c r="G82" s="18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0F2-99AB-4387-B384-EC0E8A255D1E}">
  <dimension ref="A2:Q147"/>
  <sheetViews>
    <sheetView tabSelected="1" topLeftCell="D123" zoomScale="70" zoomScaleNormal="70" workbookViewId="0">
      <selection activeCell="J131" sqref="J131"/>
    </sheetView>
  </sheetViews>
  <sheetFormatPr defaultRowHeight="14.4" x14ac:dyDescent="0.3"/>
  <cols>
    <col min="1" max="1" width="25.109375" customWidth="1"/>
    <col min="2" max="2" width="13.109375" customWidth="1"/>
    <col min="3" max="3" width="11.21875" customWidth="1"/>
  </cols>
  <sheetData>
    <row r="2" spans="1:9" ht="16.8" x14ac:dyDescent="0.3">
      <c r="A2" s="26"/>
      <c r="B2" s="26"/>
      <c r="C2" s="26"/>
      <c r="D2" s="26"/>
      <c r="E2" s="26"/>
      <c r="F2" s="26"/>
      <c r="G2" s="26"/>
      <c r="H2" s="26"/>
      <c r="I2" s="26"/>
    </row>
    <row r="3" spans="1:9" ht="16.8" x14ac:dyDescent="0.3">
      <c r="A3" s="26" t="s">
        <v>33</v>
      </c>
      <c r="B3" s="26" t="s">
        <v>29</v>
      </c>
      <c r="C3" s="26" t="s">
        <v>34</v>
      </c>
      <c r="D3" s="26" t="s">
        <v>21</v>
      </c>
      <c r="E3" s="26" t="s">
        <v>25</v>
      </c>
      <c r="F3" s="26" t="s">
        <v>31</v>
      </c>
      <c r="G3" s="26" t="s">
        <v>35</v>
      </c>
      <c r="H3" s="26"/>
      <c r="I3" s="26"/>
    </row>
    <row r="4" spans="1:9" ht="16.8" x14ac:dyDescent="0.3">
      <c r="A4" s="26" t="s">
        <v>8</v>
      </c>
      <c r="B4" s="26">
        <f>COUNTIF(Sheet2!A2:A31,"Nam")</f>
        <v>14</v>
      </c>
      <c r="C4" s="26">
        <f>COUNTIFS(Sheet2!A2:A31,"Nam",Sheet2!G2:G31,"Tốt")</f>
        <v>5</v>
      </c>
      <c r="D4" s="26">
        <f>COUNTIFS(Sheet2!A2:A31,"Nam",Sheet2!G2:G31,"Trung bình")</f>
        <v>6</v>
      </c>
      <c r="E4" s="26">
        <f>COUNTIFS(Sheet2!A2:A31,"Nam",Sheet2!G2:G31,"kém")</f>
        <v>3</v>
      </c>
      <c r="F4" s="26">
        <f>-C4/B4*LOG(C4/B4,2)-D4/B4*LOG(D4/B4,2)-E4/B4*LOG(E4/B4,2)</f>
        <v>1.5306189948485172</v>
      </c>
      <c r="G4" s="35">
        <f>(Sheet2!D38) - SUM(Sheet3!B4:B5/SUM(Sheet3!B4:B5) * Sheet3!F4:F5)</f>
        <v>0.81583610105232862</v>
      </c>
      <c r="H4" s="26"/>
      <c r="I4" s="26"/>
    </row>
    <row r="5" spans="1:9" ht="16.8" x14ac:dyDescent="0.3">
      <c r="A5" s="26" t="s">
        <v>7</v>
      </c>
      <c r="B5" s="26">
        <f>COUNTIF(Sheet2!A2:A31,"Nữ")</f>
        <v>16</v>
      </c>
      <c r="C5" s="26">
        <f>COUNTIFS(Sheet2!A2:A31,"Nữ",Sheet2!G2:G31,"Tốt")</f>
        <v>3</v>
      </c>
      <c r="D5" s="26">
        <f>COUNTIFS(Sheet2!A2:A31,"Nữ",Sheet2!G2:G31,"Trung bình")</f>
        <v>8</v>
      </c>
      <c r="E5" s="26">
        <f>COUNTIFS(Sheet2!A2:A31,"Nữ",Sheet2!G2:G31,"Kém")</f>
        <v>5</v>
      </c>
      <c r="F5" s="26">
        <f>-C5/B5*LOG(C5/B5,2)-D5/B5*LOG(D5/B5,2)-E5/B5*LOG(E5/B5,2)</f>
        <v>1.4772170014624826</v>
      </c>
      <c r="G5" s="35"/>
      <c r="H5" s="26"/>
      <c r="I5" s="26"/>
    </row>
    <row r="6" spans="1:9" ht="16.8" x14ac:dyDescent="0.3">
      <c r="A6" s="26"/>
      <c r="B6" s="26"/>
      <c r="C6" s="26"/>
      <c r="D6" s="26"/>
      <c r="E6" s="26"/>
      <c r="F6" s="26"/>
      <c r="G6" s="26"/>
      <c r="H6" s="26"/>
      <c r="I6" s="26"/>
    </row>
    <row r="7" spans="1:9" ht="16.8" x14ac:dyDescent="0.3">
      <c r="A7" s="26"/>
      <c r="B7" s="26"/>
      <c r="C7" s="26"/>
      <c r="D7" s="26"/>
      <c r="E7" s="26"/>
      <c r="F7" s="26"/>
      <c r="G7" s="26"/>
      <c r="H7" s="26"/>
      <c r="I7" s="26"/>
    </row>
    <row r="8" spans="1:9" ht="16.8" x14ac:dyDescent="0.3">
      <c r="A8" s="26" t="s">
        <v>1</v>
      </c>
      <c r="B8" s="26" t="s">
        <v>29</v>
      </c>
      <c r="C8" s="26" t="s">
        <v>34</v>
      </c>
      <c r="D8" s="26" t="s">
        <v>21</v>
      </c>
      <c r="E8" s="26" t="s">
        <v>25</v>
      </c>
      <c r="F8" s="26" t="s">
        <v>31</v>
      </c>
      <c r="G8" s="26" t="s">
        <v>35</v>
      </c>
      <c r="H8" s="26"/>
      <c r="I8" s="26"/>
    </row>
    <row r="9" spans="1:9" ht="16.8" x14ac:dyDescent="0.3">
      <c r="A9" s="26" t="s">
        <v>36</v>
      </c>
      <c r="B9" s="26">
        <f>COUNTIF(Sheet2!B2:B31,"Học sinh")</f>
        <v>6</v>
      </c>
      <c r="C9" s="26">
        <f>COUNTIFS(Sheet2!B2:B31,"Học sinh",Sheet2!G2:G31,"Tốt")</f>
        <v>2</v>
      </c>
      <c r="D9" s="26">
        <f>COUNTIFS(Sheet2!B2:B31,"Học sinh",Sheet2!G2:G31,"Trung bình")</f>
        <v>3</v>
      </c>
      <c r="E9" s="26">
        <f>COUNTIFS(Sheet2!B2:B31,"Học sinh",Sheet2!G2:G31,"Kém")</f>
        <v>1</v>
      </c>
      <c r="F9" s="26">
        <f t="shared" ref="F9:F11" si="0">IF(B9=0, 0,
   -(IF(C9=0, 0, C9/B9*LOG(C9/B9,2))
   + IF(D9=0, 0, D9/B9*LOG(D9/B9,2))
   + IF(E9=0, 0, E9/B9*LOG(E9/B9,2))))</f>
        <v>1.4591479170272448</v>
      </c>
      <c r="G9" s="35">
        <f>(Sheet2!D38) - SUM(Sheet3!B9:B11/SUM(Sheet3!B9:B11) * Sheet3!F9:F11)</f>
        <v>1.238295381909521</v>
      </c>
      <c r="H9" s="26"/>
      <c r="I9" s="26"/>
    </row>
    <row r="10" spans="1:9" ht="16.8" x14ac:dyDescent="0.3">
      <c r="A10" s="26" t="s">
        <v>9</v>
      </c>
      <c r="B10" s="26">
        <f>COUNTIF(Sheet2!B2:B31,"Sinh viên")</f>
        <v>15</v>
      </c>
      <c r="C10" s="26">
        <f>COUNTIFS(Sheet2!B2:B31,"Sinh Viên",Sheet2!G2:G31,"Tốt")</f>
        <v>3</v>
      </c>
      <c r="D10" s="26">
        <f>COUNTIFS(Sheet2!B2:B31,"Sinh Viên",Sheet2!G2:G31,"Trung bình")</f>
        <v>9</v>
      </c>
      <c r="E10" s="26">
        <f>COUNTIFS(Sheet2!B2:B31,"Sinh Viên",Sheet2!G2:G31,"kém")</f>
        <v>3</v>
      </c>
      <c r="F10" s="26">
        <f t="shared" si="0"/>
        <v>1.3709505944546687</v>
      </c>
      <c r="G10" s="35"/>
      <c r="H10" s="26"/>
      <c r="I10" s="26"/>
    </row>
    <row r="11" spans="1:9" ht="16.8" x14ac:dyDescent="0.3">
      <c r="A11" s="26" t="s">
        <v>10</v>
      </c>
      <c r="B11" s="26">
        <f>COUNTIF(Sheet2!B2:B31,"Người đi làm")</f>
        <v>9</v>
      </c>
      <c r="C11" s="26">
        <f>COUNTIFS(Sheet2!B2:B31,"người đi làm",Sheet2!G2:G31,"Tốt")</f>
        <v>3</v>
      </c>
      <c r="D11" s="26">
        <f>COUNTIFS(Sheet2!B2:B31,"người đi làm",Sheet2!G2:G31,"Trung bình")</f>
        <v>2</v>
      </c>
      <c r="E11" s="26">
        <f>COUNTIFS(Sheet2!B2:B31,"người đi làm",Sheet2!G2:G31,"kém")</f>
        <v>4</v>
      </c>
      <c r="F11" s="26">
        <f t="shared" si="0"/>
        <v>1.5304930567574826</v>
      </c>
      <c r="G11" s="35"/>
      <c r="H11" s="26"/>
      <c r="I11" s="26"/>
    </row>
    <row r="12" spans="1:9" ht="16.8" x14ac:dyDescent="0.3">
      <c r="A12" s="26"/>
      <c r="B12" s="26"/>
      <c r="C12" s="26"/>
      <c r="D12" s="26"/>
      <c r="E12" s="26"/>
      <c r="F12" s="26"/>
      <c r="G12" s="26"/>
      <c r="H12" s="26"/>
      <c r="I12" s="26"/>
    </row>
    <row r="13" spans="1:9" ht="16.8" x14ac:dyDescent="0.3">
      <c r="A13" s="26"/>
      <c r="B13" s="26"/>
      <c r="C13" s="26"/>
      <c r="D13" s="26"/>
      <c r="E13" s="26"/>
      <c r="F13" s="26"/>
      <c r="G13" s="26"/>
      <c r="H13" s="26"/>
      <c r="I13" s="26"/>
    </row>
    <row r="14" spans="1:9" ht="16.8" x14ac:dyDescent="0.3">
      <c r="A14" s="25" t="s">
        <v>26</v>
      </c>
      <c r="B14" s="26" t="s">
        <v>29</v>
      </c>
      <c r="C14" s="26" t="s">
        <v>23</v>
      </c>
      <c r="D14" s="26" t="s">
        <v>21</v>
      </c>
      <c r="E14" s="26" t="s">
        <v>25</v>
      </c>
      <c r="F14" s="26" t="s">
        <v>31</v>
      </c>
      <c r="G14" s="26" t="s">
        <v>35</v>
      </c>
      <c r="H14" s="26"/>
      <c r="I14" s="26"/>
    </row>
    <row r="15" spans="1:9" ht="16.8" x14ac:dyDescent="0.3">
      <c r="A15" s="26" t="s">
        <v>12</v>
      </c>
      <c r="B15" s="26">
        <f>COUNTIF(Sheet2!C2:C31,"Có")</f>
        <v>23</v>
      </c>
      <c r="C15" s="26">
        <f>COUNTIFS(Sheet2!C2:C31,"có",Sheet2!G2:G31,"Tốt")</f>
        <v>4</v>
      </c>
      <c r="D15" s="26">
        <f>COUNTIFS(Sheet2!C2:C31,"có",Sheet2!G2:G31,"Trung bình")</f>
        <v>12</v>
      </c>
      <c r="E15" s="26">
        <f>COUNTIFS(Sheet2!C2:C31,"có",Sheet2!G2:G31,"Kém")</f>
        <v>7</v>
      </c>
      <c r="F15" s="26">
        <f>IF(B15=0, 0,
   -(IF(C15=0, 0, C15/B15*LOG(C15/B15,2))
   + IF(D15=0, 0, D15/B15*LOG(D15/B15,2))
   + IF(E15=0, 0, E15/B15*LOG(E15/B15,2))))</f>
        <v>1.4509082837501823</v>
      </c>
      <c r="G15" s="36">
        <f>(Sheet2!D38) - ((B15/SUM(B15:B16))*F15 + (B16/SUM(B15:B16))*F16)</f>
        <v>0.18962429669497616</v>
      </c>
      <c r="H15" s="26"/>
      <c r="I15" s="26"/>
    </row>
    <row r="16" spans="1:9" ht="16.8" x14ac:dyDescent="0.3">
      <c r="A16" s="26" t="s">
        <v>13</v>
      </c>
      <c r="B16" s="26">
        <f>COUNTIF(Sheet2!C2:C31,"Không")</f>
        <v>7</v>
      </c>
      <c r="C16" s="26">
        <f>COUNTIFS(Sheet2!C2:C31,"Không",Sheet2!G2:G31,"Tốt")</f>
        <v>4</v>
      </c>
      <c r="D16" s="26">
        <f>COUNTIFS(Sheet2!C2:C31,"Không",Sheet2!G2:G31,"Trung bình")</f>
        <v>2</v>
      </c>
      <c r="E16" s="26">
        <f>COUNTIFS(Sheet2!E2:E31,"Không",Sheet2!I2:I31,"Tốt")</f>
        <v>0</v>
      </c>
      <c r="F16" s="26">
        <f>IF(B16=0, 0,
   -(IF(C16=0, 0, C16/B16*LOG(C16/B16,2))
   + IF(D16=0, 0, D16/B16*LOG(D16/B16,2))
   + IF(E16=0, 0, E16/B16*LOG(E16/B16,2))))</f>
        <v>0.9777327903350892</v>
      </c>
      <c r="G16" s="36"/>
      <c r="H16" s="26"/>
      <c r="I16" s="26"/>
    </row>
    <row r="17" spans="1:9" ht="16.8" x14ac:dyDescent="0.3">
      <c r="A17" s="26"/>
      <c r="B17" s="26"/>
      <c r="C17" s="26"/>
      <c r="D17" s="26"/>
      <c r="E17" s="26"/>
      <c r="F17" s="26"/>
      <c r="G17" s="26"/>
      <c r="H17" s="26"/>
      <c r="I17" s="26"/>
    </row>
    <row r="18" spans="1:9" ht="16.8" x14ac:dyDescent="0.3">
      <c r="A18" s="26"/>
      <c r="B18" s="26"/>
      <c r="C18" s="26"/>
      <c r="D18" s="26"/>
      <c r="E18" s="26"/>
      <c r="F18" s="26"/>
      <c r="G18" s="26"/>
      <c r="H18" s="26"/>
      <c r="I18" s="26"/>
    </row>
    <row r="19" spans="1:9" ht="16.8" x14ac:dyDescent="0.3">
      <c r="A19" s="25" t="s">
        <v>3</v>
      </c>
      <c r="B19" s="26" t="s">
        <v>29</v>
      </c>
      <c r="C19" s="26" t="s">
        <v>23</v>
      </c>
      <c r="D19" s="26" t="s">
        <v>21</v>
      </c>
      <c r="E19" s="26" t="s">
        <v>25</v>
      </c>
      <c r="F19" s="26" t="s">
        <v>31</v>
      </c>
      <c r="G19" s="26" t="s">
        <v>35</v>
      </c>
      <c r="H19" s="26"/>
      <c r="I19" s="26"/>
    </row>
    <row r="20" spans="1:9" ht="16.8" x14ac:dyDescent="0.3">
      <c r="A20" s="26" t="s">
        <v>14</v>
      </c>
      <c r="B20" s="26">
        <f>COUNTIF(Sheet2!D2:D31, "Dưới 6 tiếng")</f>
        <v>16</v>
      </c>
      <c r="C20" s="26">
        <f>COUNTIFS(Sheet2!D2:D31, "Dưới 6 tiếng", Sheet2!G2:G31, "Tốt")</f>
        <v>3</v>
      </c>
      <c r="D20" s="26">
        <f>COUNTIFS(Sheet2!D2:D31, "Dưới 6 tiếng", Sheet2!G2:G31, "Trung Bình")</f>
        <v>8</v>
      </c>
      <c r="E20" s="26">
        <f>COUNTIFS(Sheet2!D2:D31, "Dưới 6 tiếng", Sheet2!G2:G31, "Kém")</f>
        <v>5</v>
      </c>
      <c r="F20" s="26">
        <f>IF(C20=0,0,-(C20/B20*LOG(C20/B20,2))) + IF(D20=0,0,-(D20/B20*LOG(D20/B20,2))) + IF(E20=0,0,-(E20/B20*LOG(E20/B20,2)))</f>
        <v>1.4772170014624826</v>
      </c>
      <c r="G20" s="35">
        <f>(Sheet2!D38) - SUM(Sheet3!B20:B22/SUM(Sheet3!B20:B22) * Sheet3!F20:F22)</f>
        <v>0.74227589786831261</v>
      </c>
      <c r="H20" s="26"/>
      <c r="I20" s="26"/>
    </row>
    <row r="21" spans="1:9" ht="16.8" x14ac:dyDescent="0.3">
      <c r="A21" s="26" t="s">
        <v>15</v>
      </c>
      <c r="B21" s="26">
        <f>COUNTIF(Sheet2!D2:D31, "Từ 6 đến 8 tiếng")</f>
        <v>10</v>
      </c>
      <c r="C21" s="26">
        <f>COUNTIFS(Sheet2!D2:D31, "Từ 6 đến 8 tiếng", Sheet2!G2:G31, "Tốt")</f>
        <v>3</v>
      </c>
      <c r="D21" s="26">
        <f>COUNTIFS(Sheet2!D2:D31, "Từ 6 đến 8 tiếng", Sheet2!G2:G31, "Trung Bình")</f>
        <v>5</v>
      </c>
      <c r="E21" s="26">
        <f>COUNTIFS(Sheet2!D2:D31, "Từ 6 đến 8 tiếng", Sheet2!G2:G31, "Kém")</f>
        <v>2</v>
      </c>
      <c r="F21" s="26">
        <f t="shared" ref="F21:F34" si="1">IF(C21=0,0,-(C21/B21*LOG(C21/B21,2))) + IF(D21=0,0,-(D21/B21*LOG(D21/B21,2))) + IF(E21=0,0,-(E21/B21*LOG(E21/B21,2)))</f>
        <v>1.4854752972273344</v>
      </c>
      <c r="G21" s="35"/>
      <c r="H21" s="26"/>
      <c r="I21" s="26"/>
    </row>
    <row r="22" spans="1:9" ht="16.8" x14ac:dyDescent="0.3">
      <c r="A22" s="26" t="s">
        <v>16</v>
      </c>
      <c r="B22" s="26">
        <f>COUNTIF(Sheet2!D2:D31, "Trên 8 tiếng")</f>
        <v>4</v>
      </c>
      <c r="C22" s="26">
        <f>COUNTIFS(Sheet2!D2:D31, "Trên 8 tiếng", Sheet2!G2:G31, "Tốt")</f>
        <v>2</v>
      </c>
      <c r="D22" s="26">
        <f>COUNTIFS(Sheet2!D2:D31, "Trên 8 tiếng", Sheet2!G2:G31, "Trung Bình")</f>
        <v>1</v>
      </c>
      <c r="E22" s="26">
        <f>COUNTIFS(Sheet2!D2:D31, "Trên 8 tiếng", Sheet2!G2:G31, "Kém")</f>
        <v>1</v>
      </c>
      <c r="F22" s="26">
        <f t="shared" si="1"/>
        <v>1.5</v>
      </c>
      <c r="G22" s="35"/>
      <c r="H22" s="26"/>
      <c r="I22" s="26"/>
    </row>
    <row r="23" spans="1:9" ht="16.8" x14ac:dyDescent="0.3">
      <c r="A23" s="26"/>
      <c r="B23" s="26"/>
      <c r="C23" s="26"/>
      <c r="D23" s="26"/>
      <c r="E23" s="26"/>
      <c r="F23" s="26"/>
      <c r="G23" s="26"/>
      <c r="H23" s="26"/>
      <c r="I23" s="26"/>
    </row>
    <row r="24" spans="1:9" ht="16.8" x14ac:dyDescent="0.3">
      <c r="A24" s="26"/>
      <c r="B24" s="26"/>
      <c r="C24" s="26"/>
      <c r="D24" s="26"/>
      <c r="E24" s="26"/>
      <c r="F24" s="26"/>
      <c r="G24" s="26"/>
      <c r="H24" s="26"/>
      <c r="I24" s="26"/>
    </row>
    <row r="25" spans="1:9" ht="16.8" x14ac:dyDescent="0.3">
      <c r="A25" s="25" t="s">
        <v>27</v>
      </c>
      <c r="B25" s="26" t="s">
        <v>29</v>
      </c>
      <c r="C25" s="26" t="s">
        <v>23</v>
      </c>
      <c r="D25" s="26" t="s">
        <v>21</v>
      </c>
      <c r="E25" s="26" t="s">
        <v>25</v>
      </c>
      <c r="F25" s="26" t="s">
        <v>31</v>
      </c>
      <c r="G25" s="26" t="s">
        <v>35</v>
      </c>
      <c r="H25" s="26"/>
      <c r="I25" s="26"/>
    </row>
    <row r="26" spans="1:9" ht="16.8" x14ac:dyDescent="0.3">
      <c r="A26" s="26" t="s">
        <v>18</v>
      </c>
      <c r="B26" s="26">
        <f>COUNTIF(Sheet2!E2:E31, "Không tỉnh giấc")</f>
        <v>10</v>
      </c>
      <c r="C26" s="27">
        <f>COUNTIFS(Sheet2!E2:E31, "Không tỉnh giấc", Sheet2!G2:G31, "Tốt")</f>
        <v>6</v>
      </c>
      <c r="D26" s="26">
        <f>COUNTIFS(Sheet2!E2:E31, "Không tỉnh giấc", Sheet2!G2:G31, "Trung Bình")</f>
        <v>4</v>
      </c>
      <c r="E26" s="26">
        <f>COUNTIFS(Sheet2!E2:E31, "Không tỉnh giấc", Sheet2!G2:G31, "Kém")</f>
        <v>0</v>
      </c>
      <c r="F26" s="26">
        <f t="shared" si="1"/>
        <v>0.97095059445466858</v>
      </c>
      <c r="G26" s="36">
        <f>IFERROR(Sheet2!D38 - (B26/SUM($B$26:$B$28)*F26 + B27/SUM($B$26:$B$28)*F27 + B28/SUM($B$26:$B$28)*F28), 0)</f>
        <v>0.38640556988427344</v>
      </c>
      <c r="H26" s="26"/>
      <c r="I26" s="26"/>
    </row>
    <row r="27" spans="1:9" ht="16.8" x14ac:dyDescent="0.3">
      <c r="A27" s="26" t="s">
        <v>37</v>
      </c>
      <c r="B27" s="28">
        <v>11</v>
      </c>
      <c r="C27" s="26">
        <f>COUNTIFS(Sheet2!E2:E31, "Thi thoảng", Sheet2!G2:G31, "Tốt")</f>
        <v>2</v>
      </c>
      <c r="D27" s="26">
        <f>COUNTIFS(Sheet2!E2:E31, "Thi thoảng", Sheet2!G2:G31, "Trung Bình")</f>
        <v>7</v>
      </c>
      <c r="E27" s="26">
        <f>COUNTIFS(Sheet2!E2:E31, "Thi thoảng", Sheet2!G2:G31, "Kém")</f>
        <v>5</v>
      </c>
      <c r="F27" s="26">
        <f t="shared" si="1"/>
        <v>1.3791743392801927</v>
      </c>
      <c r="G27" s="36"/>
      <c r="H27" s="26"/>
      <c r="I27" s="26"/>
    </row>
    <row r="28" spans="1:9" ht="16.8" x14ac:dyDescent="0.3">
      <c r="A28" s="26" t="s">
        <v>19</v>
      </c>
      <c r="B28" s="27">
        <f>COUNTIF(Sheet2!E2:E31, "Thường xuyên")</f>
        <v>6</v>
      </c>
      <c r="C28" s="26">
        <f>COUNTIFS(Sheet2!E2:E31, "Thường xuyên", Sheet2!G2:G31, "Tốt")</f>
        <v>0</v>
      </c>
      <c r="D28" s="26">
        <f>COUNTIFS(Sheet2!E2:E31, "Thường xuyên", Sheet2!G2:G31, "Trung Bình")</f>
        <v>3</v>
      </c>
      <c r="E28" s="26">
        <f>COUNTIFS(Sheet2!E2:E31, "Thường xuyên", Sheet2!G2:G31, "Kém")</f>
        <v>3</v>
      </c>
      <c r="F28" s="26">
        <f t="shared" si="1"/>
        <v>1</v>
      </c>
      <c r="G28" s="36"/>
      <c r="H28" s="26"/>
      <c r="I28" s="26"/>
    </row>
    <row r="29" spans="1:9" ht="16.8" x14ac:dyDescent="0.3">
      <c r="A29" s="26"/>
      <c r="B29" s="26"/>
      <c r="C29" s="26"/>
      <c r="D29" s="26"/>
      <c r="E29" s="26"/>
      <c r="F29" s="26"/>
      <c r="G29" s="26"/>
      <c r="H29" s="26"/>
      <c r="I29" s="26"/>
    </row>
    <row r="30" spans="1:9" ht="16.8" x14ac:dyDescent="0.3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16.8" x14ac:dyDescent="0.3">
      <c r="A31" s="26" t="s">
        <v>38</v>
      </c>
      <c r="B31" s="26" t="s">
        <v>29</v>
      </c>
      <c r="C31" s="26" t="s">
        <v>23</v>
      </c>
      <c r="D31" s="26" t="s">
        <v>21</v>
      </c>
      <c r="E31" s="26" t="s">
        <v>25</v>
      </c>
      <c r="F31" s="26" t="s">
        <v>31</v>
      </c>
      <c r="G31" s="26" t="s">
        <v>35</v>
      </c>
      <c r="H31" s="26"/>
      <c r="I31" s="26"/>
    </row>
    <row r="32" spans="1:9" ht="16.8" x14ac:dyDescent="0.3">
      <c r="A32" s="26" t="s">
        <v>22</v>
      </c>
      <c r="B32" s="26">
        <f>COUNTIF(Sheet2!F2:F31, "Cao")</f>
        <v>8</v>
      </c>
      <c r="C32" s="26">
        <f>COUNTIFS(Sheet2!F2:F31, "Cao", Sheet2!G2:G31, "Tốt")</f>
        <v>1</v>
      </c>
      <c r="D32" s="26">
        <f>COUNTIFS(Sheet2!F2:F31, "Cao", Sheet2!G2:G31, "Trung Bình")</f>
        <v>1</v>
      </c>
      <c r="E32" s="26">
        <f>COUNTIFS(Sheet2!F2:F31, "Cao", Sheet2!G2:G31, "Kém")</f>
        <v>6</v>
      </c>
      <c r="F32" s="26">
        <f t="shared" si="1"/>
        <v>1.0612781244591329</v>
      </c>
      <c r="G32" s="37">
        <f>Sheet2!D38 - SUM(Sheet3!B32:B34/SUM(Sheet3!B32:B34) * Sheet3!F32:F34)</f>
        <v>1.2471174654592012</v>
      </c>
      <c r="H32" s="26"/>
      <c r="I32" s="26"/>
    </row>
    <row r="33" spans="1:9" ht="16.8" x14ac:dyDescent="0.3">
      <c r="A33" s="26" t="s">
        <v>21</v>
      </c>
      <c r="B33" s="26">
        <f>COUNTIF(Sheet2!F2:F31, "Trung Bình")</f>
        <v>14</v>
      </c>
      <c r="C33" s="26">
        <f>COUNTIFS(Sheet2!F2:F31, "Trung Bình", Sheet2!G2:G31, "Tốt")</f>
        <v>1</v>
      </c>
      <c r="D33" s="26">
        <f>COUNTIFS(Sheet2!F2:F31, "Trung Bình", Sheet2!G2:G31, "Trung Bình")</f>
        <v>12</v>
      </c>
      <c r="E33" s="26">
        <f>COUNTIFS(Sheet2!F2:F31, "Trung Bình", Sheet2!G2:G31, "Kém")</f>
        <v>1</v>
      </c>
      <c r="F33" s="26">
        <f t="shared" si="1"/>
        <v>0.73452992143947027</v>
      </c>
      <c r="G33" s="37"/>
      <c r="H33" s="26"/>
      <c r="I33" s="26"/>
    </row>
    <row r="34" spans="1:9" ht="16.8" x14ac:dyDescent="0.3">
      <c r="A34" s="26" t="s">
        <v>20</v>
      </c>
      <c r="B34" s="26">
        <f>COUNTIF(Sheet2!F2:F31, "Thấp")</f>
        <v>8</v>
      </c>
      <c r="C34" s="26">
        <f>COUNTIFS(Sheet2!F2:F31, "Thấp", Sheet2!G2:G31, "Tốt")</f>
        <v>6</v>
      </c>
      <c r="D34" s="26">
        <f>COUNTIFS(Sheet2!F2:F31, "Thấp", Sheet2!G2:G31, "Trung Bình")</f>
        <v>1</v>
      </c>
      <c r="E34" s="26">
        <f>COUNTIFS(Sheet2!F2:F31, "Thấp", Sheet2!G2:G31, "Kém")</f>
        <v>1</v>
      </c>
      <c r="F34" s="26">
        <f t="shared" si="1"/>
        <v>1.0612781244591329</v>
      </c>
      <c r="G34" s="37"/>
      <c r="H34" s="26"/>
      <c r="I34" s="26"/>
    </row>
    <row r="35" spans="1:9" ht="16.8" x14ac:dyDescent="0.3">
      <c r="A35" s="26"/>
      <c r="B35" s="26"/>
      <c r="C35" s="26"/>
      <c r="D35" s="26"/>
      <c r="E35" s="26"/>
      <c r="F35" s="26"/>
      <c r="G35" s="26"/>
      <c r="H35" s="26"/>
      <c r="I35" s="26"/>
    </row>
    <row r="36" spans="1:9" ht="16.8" x14ac:dyDescent="0.3">
      <c r="A36" s="26" t="s">
        <v>39</v>
      </c>
      <c r="B36" s="26" t="s">
        <v>35</v>
      </c>
      <c r="C36" s="26"/>
      <c r="D36" s="26"/>
      <c r="E36" s="26"/>
      <c r="F36" s="26"/>
      <c r="G36" s="26"/>
      <c r="H36" s="26"/>
      <c r="I36" s="26"/>
    </row>
    <row r="37" spans="1:9" ht="16.8" x14ac:dyDescent="0.3">
      <c r="A37" s="26" t="s">
        <v>32</v>
      </c>
      <c r="B37" s="29">
        <v>0.81583600000000001</v>
      </c>
      <c r="C37" s="26"/>
      <c r="D37" s="26"/>
      <c r="E37" s="26"/>
      <c r="F37" s="26"/>
      <c r="G37" s="26"/>
      <c r="H37" s="26"/>
      <c r="I37" s="26"/>
    </row>
    <row r="38" spans="1:9" ht="16.8" x14ac:dyDescent="0.3">
      <c r="A38" s="26" t="s">
        <v>1</v>
      </c>
      <c r="B38" s="29">
        <v>1.2382949999999999</v>
      </c>
      <c r="C38" s="26"/>
      <c r="D38" s="26"/>
      <c r="E38" s="26"/>
      <c r="F38" s="26"/>
      <c r="G38" s="26"/>
      <c r="H38" s="26"/>
      <c r="I38" s="26"/>
    </row>
    <row r="39" spans="1:9" ht="16.8" x14ac:dyDescent="0.3">
      <c r="A39" s="25" t="s">
        <v>26</v>
      </c>
      <c r="B39" s="26">
        <v>0.18964200000000001</v>
      </c>
      <c r="C39" s="26"/>
      <c r="D39" s="26"/>
      <c r="E39" s="26"/>
      <c r="F39" s="26"/>
      <c r="G39" s="26"/>
      <c r="H39" s="26"/>
      <c r="I39" s="26"/>
    </row>
    <row r="40" spans="1:9" ht="16.8" x14ac:dyDescent="0.3">
      <c r="A40" s="25" t="s">
        <v>3</v>
      </c>
      <c r="B40" s="26">
        <v>0.74227600000000005</v>
      </c>
      <c r="C40" s="26"/>
      <c r="D40" s="26"/>
      <c r="E40" s="26"/>
      <c r="F40" s="26"/>
      <c r="G40" s="26"/>
      <c r="H40" s="26"/>
      <c r="I40" s="26"/>
    </row>
    <row r="41" spans="1:9" ht="16.8" x14ac:dyDescent="0.3">
      <c r="A41" s="25" t="s">
        <v>27</v>
      </c>
      <c r="B41" s="26">
        <v>0.38640600000000003</v>
      </c>
      <c r="C41" s="26"/>
      <c r="D41" s="26"/>
      <c r="E41" s="26"/>
      <c r="F41" s="26"/>
      <c r="G41" s="26"/>
      <c r="H41" s="26"/>
      <c r="I41" s="26"/>
    </row>
    <row r="42" spans="1:9" ht="16.8" x14ac:dyDescent="0.3">
      <c r="A42" s="26" t="s">
        <v>38</v>
      </c>
      <c r="B42" s="30">
        <v>1.247117</v>
      </c>
      <c r="C42" s="26"/>
      <c r="D42" s="26"/>
      <c r="E42" s="26"/>
      <c r="F42" s="26"/>
      <c r="G42" s="26"/>
      <c r="H42" s="26"/>
      <c r="I42" s="26"/>
    </row>
    <row r="43" spans="1:9" ht="16.8" x14ac:dyDescent="0.3">
      <c r="A43" s="26"/>
      <c r="B43" s="26"/>
      <c r="C43" s="26"/>
      <c r="D43" s="26"/>
      <c r="E43" s="26"/>
      <c r="F43" s="26"/>
      <c r="G43" s="26"/>
      <c r="H43" s="26"/>
      <c r="I43" s="26"/>
    </row>
    <row r="44" spans="1:9" ht="16.8" x14ac:dyDescent="0.3">
      <c r="A44" s="26"/>
      <c r="B44" s="26"/>
      <c r="C44" s="26"/>
      <c r="D44" s="26"/>
      <c r="E44" s="26"/>
      <c r="F44" s="26"/>
      <c r="G44" s="26"/>
      <c r="H44" s="26"/>
      <c r="I44" s="26"/>
    </row>
    <row r="45" spans="1:9" ht="16.8" x14ac:dyDescent="0.3">
      <c r="A45" s="26"/>
      <c r="B45" s="26"/>
      <c r="C45" s="26"/>
      <c r="D45" s="26"/>
      <c r="E45" s="26"/>
      <c r="F45" s="26"/>
      <c r="G45" s="26"/>
      <c r="H45" s="26"/>
      <c r="I45" s="26"/>
    </row>
    <row r="46" spans="1:9" ht="33.6" x14ac:dyDescent="0.3">
      <c r="A46" s="31" t="s">
        <v>43</v>
      </c>
      <c r="B46" s="31" t="s">
        <v>23</v>
      </c>
      <c r="C46" s="31" t="s">
        <v>24</v>
      </c>
      <c r="D46" s="31" t="s">
        <v>25</v>
      </c>
      <c r="E46" s="26"/>
      <c r="F46" s="26"/>
      <c r="G46" s="26"/>
      <c r="H46" s="26"/>
      <c r="I46" s="26"/>
    </row>
    <row r="47" spans="1:9" ht="16.8" x14ac:dyDescent="0.3">
      <c r="A47" s="27" t="s">
        <v>20</v>
      </c>
      <c r="B47" s="27">
        <f>COUNTIFS(Sheet2!$F$2:$F$31, "Thấp", Sheet2!$G$2:$G$31, "Tốt")</f>
        <v>6</v>
      </c>
      <c r="C47" s="27">
        <v>1</v>
      </c>
      <c r="D47" s="27">
        <v>1</v>
      </c>
      <c r="E47" s="26"/>
      <c r="F47" s="26"/>
      <c r="G47" s="26"/>
      <c r="H47" s="26"/>
      <c r="I47" s="26"/>
    </row>
    <row r="48" spans="1:9" ht="16.8" x14ac:dyDescent="0.3">
      <c r="A48" s="27" t="s">
        <v>21</v>
      </c>
      <c r="B48" s="27">
        <v>1</v>
      </c>
      <c r="C48" s="27">
        <v>12</v>
      </c>
      <c r="D48" s="27">
        <v>1</v>
      </c>
      <c r="E48" s="26"/>
      <c r="F48" s="26"/>
      <c r="G48" s="26"/>
      <c r="H48" s="26"/>
      <c r="I48" s="26"/>
    </row>
    <row r="49" spans="1:17" ht="16.8" x14ac:dyDescent="0.3">
      <c r="A49" s="27" t="s">
        <v>22</v>
      </c>
      <c r="B49" s="27">
        <v>1</v>
      </c>
      <c r="C49" s="27">
        <v>1</v>
      </c>
      <c r="D49" s="27">
        <v>6</v>
      </c>
      <c r="E49" s="26"/>
      <c r="F49" s="26"/>
      <c r="G49" s="26"/>
      <c r="H49" s="26"/>
      <c r="I49" s="26"/>
    </row>
    <row r="50" spans="1:17" ht="16.8" x14ac:dyDescent="0.3">
      <c r="A50" s="26"/>
      <c r="B50" s="28"/>
      <c r="C50" s="27"/>
      <c r="D50" s="27"/>
      <c r="E50" s="26"/>
      <c r="F50" s="26"/>
      <c r="G50" s="26"/>
      <c r="H50" s="26"/>
      <c r="I50" s="26"/>
    </row>
    <row r="51" spans="1:17" x14ac:dyDescent="0.3">
      <c r="A51" s="21" t="s">
        <v>45</v>
      </c>
      <c r="B51" s="21"/>
      <c r="C51" s="21"/>
      <c r="D51" s="21"/>
    </row>
    <row r="52" spans="1:17" x14ac:dyDescent="0.3">
      <c r="A52" s="21" t="s">
        <v>43</v>
      </c>
      <c r="B52" s="21"/>
      <c r="C52" s="21"/>
      <c r="D52" s="21"/>
    </row>
    <row r="53" spans="1:17" x14ac:dyDescent="0.3">
      <c r="A53" s="21" t="s">
        <v>20</v>
      </c>
      <c r="B53" s="2"/>
      <c r="C53" s="21"/>
      <c r="D53" s="21"/>
    </row>
    <row r="54" spans="1:17" ht="72" x14ac:dyDescent="0.3">
      <c r="A54" s="10" t="s">
        <v>32</v>
      </c>
      <c r="B54" s="10" t="s">
        <v>40</v>
      </c>
      <c r="C54" s="10" t="s">
        <v>41</v>
      </c>
      <c r="D54" s="10" t="s">
        <v>42</v>
      </c>
      <c r="E54" s="10" t="s">
        <v>27</v>
      </c>
      <c r="F54" s="10" t="s">
        <v>43</v>
      </c>
      <c r="G54" s="10" t="s">
        <v>44</v>
      </c>
      <c r="J54" s="20" t="s">
        <v>46</v>
      </c>
      <c r="K54" t="s">
        <v>47</v>
      </c>
      <c r="L54" t="s">
        <v>29</v>
      </c>
      <c r="M54" t="s">
        <v>23</v>
      </c>
      <c r="N54" t="s">
        <v>24</v>
      </c>
      <c r="O54" t="s">
        <v>25</v>
      </c>
      <c r="P54" t="s">
        <v>31</v>
      </c>
      <c r="Q54" t="s">
        <v>35</v>
      </c>
    </row>
    <row r="55" spans="1:17" ht="28.8" x14ac:dyDescent="0.3">
      <c r="A55" s="3" t="s">
        <v>8</v>
      </c>
      <c r="B55" s="3" t="s">
        <v>9</v>
      </c>
      <c r="C55" s="3" t="s">
        <v>12</v>
      </c>
      <c r="D55" s="4" t="s">
        <v>14</v>
      </c>
      <c r="E55" s="3" t="s">
        <v>17</v>
      </c>
      <c r="F55" s="3" t="s">
        <v>20</v>
      </c>
      <c r="G55" s="3" t="s">
        <v>24</v>
      </c>
      <c r="J55" s="10" t="s">
        <v>32</v>
      </c>
      <c r="K55" s="10" t="s">
        <v>8</v>
      </c>
      <c r="L55" s="10">
        <f>COUNTIF(A55:A62, "Nam")</f>
        <v>6</v>
      </c>
      <c r="M55" s="10">
        <f>COUNTIFS(A55:A62, "Nam", G55:G62, "Tốt")</f>
        <v>4</v>
      </c>
      <c r="N55" s="10">
        <f>COUNTIFS(A55:A62, "Nam", G55:G62, "Trung bình")</f>
        <v>1</v>
      </c>
      <c r="O55">
        <f>COUNTIFS(A55:A62, "Nam", G55:G62, "Kém")</f>
        <v>1</v>
      </c>
      <c r="P55">
        <f>IF(L55=0,0,-(M55/L55*LOG(M55/L55,2) + N55/L55*LOG(N55/L55,2) + O55/L55*LOG(O55/L55,2)))</f>
        <v>1.2516291673878228</v>
      </c>
      <c r="Q55" s="32">
        <f xml:space="preserve"> D66 - (L55/(L55+L56)*P55 + L56/(L55+L56)*P56)</f>
        <v>0.12255624891826589</v>
      </c>
    </row>
    <row r="56" spans="1:17" ht="26.4" x14ac:dyDescent="0.3">
      <c r="A56" s="5" t="s">
        <v>8</v>
      </c>
      <c r="B56" s="5" t="s">
        <v>10</v>
      </c>
      <c r="C56" s="5" t="s">
        <v>12</v>
      </c>
      <c r="D56" s="5" t="s">
        <v>14</v>
      </c>
      <c r="E56" s="5" t="s">
        <v>19</v>
      </c>
      <c r="F56" s="5" t="s">
        <v>20</v>
      </c>
      <c r="G56" s="5" t="s">
        <v>25</v>
      </c>
      <c r="J56" s="20"/>
      <c r="K56" t="s">
        <v>7</v>
      </c>
      <c r="L56">
        <f>COUNTIF(A55:A62, "Nữ")</f>
        <v>2</v>
      </c>
      <c r="M56">
        <f>COUNTIFS(A55:A62, "Nữ", G55:G62, "Tốt")</f>
        <v>2</v>
      </c>
      <c r="N56">
        <f>COUNTIFS(A55:A62, "Nữ", G55:G62, "Trung bình")</f>
        <v>0</v>
      </c>
      <c r="O56">
        <f>COUNTIFS(A55:A62, "Nữ", G55:G62, "Kém")</f>
        <v>0</v>
      </c>
      <c r="P56">
        <f>IF(L56=0,0,-(IF(M56=0,0,M56/L56*LOG(M56/L56,2)) + IF(N56=0,0,N56/L56*LOG(N56/L56,2)) + IF(O56=0,0,O56/L56*LOG(O56/L56,2))))</f>
        <v>0</v>
      </c>
      <c r="Q56" s="32"/>
    </row>
    <row r="57" spans="1:17" ht="52.8" x14ac:dyDescent="0.3">
      <c r="A57" s="5" t="s">
        <v>8</v>
      </c>
      <c r="B57" s="5" t="s">
        <v>9</v>
      </c>
      <c r="C57" s="5" t="s">
        <v>13</v>
      </c>
      <c r="D57" s="5" t="s">
        <v>15</v>
      </c>
      <c r="E57" s="5" t="s">
        <v>18</v>
      </c>
      <c r="F57" s="5" t="s">
        <v>20</v>
      </c>
      <c r="G57" s="5" t="s">
        <v>23</v>
      </c>
      <c r="J57" s="14" t="s">
        <v>48</v>
      </c>
      <c r="K57" s="14" t="s">
        <v>11</v>
      </c>
      <c r="L57">
        <f>COUNTIF(B55:B62,"Học sinh")</f>
        <v>2</v>
      </c>
      <c r="M57">
        <f>COUNTIFS(B54:B61,"Học sinh",G54:G61,"Tốt")</f>
        <v>2</v>
      </c>
      <c r="N57">
        <f>COUNTIFS(B54:B61,"Học sinh",G54:G61,"Trung bình")</f>
        <v>0</v>
      </c>
      <c r="O57">
        <f>COUNTIFS(B54:B61,"Học sinh",G54:G61,"Kém")</f>
        <v>0</v>
      </c>
      <c r="P57">
        <f t="shared" ref="P57:P120" si="2">IF(L57=0,0,-(IF(M57=0,0,M57/L57*LOG(M57/L57,2)) + IF(N57=0,0,N57/L57*LOG(N57/L57,2)) + IF(O57=0,0,O57/L57*LOG(O57/L57,2))))</f>
        <v>0</v>
      </c>
      <c r="Q57" s="34">
        <f xml:space="preserve"> D66 - (L57/(L57+L58+L59)*P57 + L58/(L57+L58+L59)*P58 + L59/(L57+L58+L59)*P59)</f>
        <v>0.40563906222956647</v>
      </c>
    </row>
    <row r="58" spans="1:17" ht="26.4" x14ac:dyDescent="0.3">
      <c r="A58" s="5" t="s">
        <v>8</v>
      </c>
      <c r="B58" s="5" t="s">
        <v>10</v>
      </c>
      <c r="C58" s="5" t="s">
        <v>13</v>
      </c>
      <c r="D58" s="5" t="s">
        <v>15</v>
      </c>
      <c r="E58" s="5" t="s">
        <v>18</v>
      </c>
      <c r="F58" s="5" t="s">
        <v>20</v>
      </c>
      <c r="G58" s="5" t="s">
        <v>23</v>
      </c>
      <c r="J58" s="14"/>
      <c r="K58" t="s">
        <v>9</v>
      </c>
      <c r="L58">
        <f>COUNTIF(B55:B62,"Sinh viên")</f>
        <v>2</v>
      </c>
      <c r="M58">
        <f>COUNTIFS(B55:B62,"Sinh viên",G55:G62,"Tốt")</f>
        <v>1</v>
      </c>
      <c r="N58">
        <f>COUNTIFS(B55:B62,"Sinh viên",G55:G62,"Trung bình")</f>
        <v>1</v>
      </c>
      <c r="O58">
        <f>COUNTIFS(B55:B62,"Sinh viên",G55:G62,"Kém")</f>
        <v>0</v>
      </c>
      <c r="P58" s="22">
        <f t="shared" si="2"/>
        <v>1</v>
      </c>
      <c r="Q58" s="34"/>
    </row>
    <row r="59" spans="1:17" ht="26.4" x14ac:dyDescent="0.3">
      <c r="A59" s="5" t="s">
        <v>7</v>
      </c>
      <c r="B59" s="5" t="s">
        <v>11</v>
      </c>
      <c r="C59" s="5" t="s">
        <v>13</v>
      </c>
      <c r="D59" s="5" t="s">
        <v>16</v>
      </c>
      <c r="E59" s="5" t="s">
        <v>18</v>
      </c>
      <c r="F59" s="5" t="s">
        <v>20</v>
      </c>
      <c r="G59" s="5" t="s">
        <v>23</v>
      </c>
      <c r="K59" t="s">
        <v>10</v>
      </c>
      <c r="L59">
        <f>COUNTIF(B55:B62,"Người đi làm")</f>
        <v>4</v>
      </c>
      <c r="M59">
        <f>COUNTIFS(B56:B63,"Người đi làm",G56:G63,"Tốt")</f>
        <v>3</v>
      </c>
      <c r="N59">
        <f>COUNTIFS(B56:B63,"Người đi làm",G56:G63,"Trung bình")</f>
        <v>0</v>
      </c>
      <c r="O59">
        <f>COUNTIFS(B56:B63,"Người đi làm",G56:G63,"Kém")</f>
        <v>1</v>
      </c>
      <c r="P59" s="22">
        <f t="shared" si="2"/>
        <v>0.81127812445913283</v>
      </c>
      <c r="Q59" s="34"/>
    </row>
    <row r="60" spans="1:17" ht="66" x14ac:dyDescent="0.3">
      <c r="A60" s="5" t="s">
        <v>7</v>
      </c>
      <c r="B60" s="5" t="s">
        <v>10</v>
      </c>
      <c r="C60" s="5" t="s">
        <v>12</v>
      </c>
      <c r="D60" s="5" t="s">
        <v>14</v>
      </c>
      <c r="E60" s="5" t="s">
        <v>17</v>
      </c>
      <c r="F60" s="5" t="s">
        <v>20</v>
      </c>
      <c r="G60" s="5" t="s">
        <v>23</v>
      </c>
      <c r="J60" s="14" t="s">
        <v>49</v>
      </c>
      <c r="K60" s="14" t="s">
        <v>12</v>
      </c>
      <c r="L60">
        <f>COUNTIF(C55:C62,"Có")</f>
        <v>5</v>
      </c>
      <c r="M60">
        <f>COUNTIFS(C55:C62,"Có",G55:G62,"Tốt")</f>
        <v>3</v>
      </c>
      <c r="N60">
        <f>COUNTIFS(C55:C62,"Có",G55:G62,"Kém")</f>
        <v>1</v>
      </c>
      <c r="O60">
        <f>COUNTIFS(C55:C62,"Có",G55:G62,"Kém")</f>
        <v>1</v>
      </c>
      <c r="P60">
        <f t="shared" si="2"/>
        <v>1.3709505944546687</v>
      </c>
      <c r="Q60" s="32">
        <f xml:space="preserve"> D66 - (L60/(L60+L61)*P60 + L61/(L60+L61)*P61)</f>
        <v>0.20443400292496494</v>
      </c>
    </row>
    <row r="61" spans="1:17" ht="26.4" x14ac:dyDescent="0.3">
      <c r="A61" s="5" t="s">
        <v>8</v>
      </c>
      <c r="B61" s="5" t="s">
        <v>11</v>
      </c>
      <c r="C61" s="5" t="s">
        <v>12</v>
      </c>
      <c r="D61" s="5" t="s">
        <v>14</v>
      </c>
      <c r="E61" s="5" t="s">
        <v>18</v>
      </c>
      <c r="F61" s="5" t="s">
        <v>20</v>
      </c>
      <c r="G61" s="5" t="s">
        <v>23</v>
      </c>
      <c r="K61" t="s">
        <v>13</v>
      </c>
      <c r="L61">
        <f>COUNTIF(C55:C62,"Không")</f>
        <v>3</v>
      </c>
      <c r="M61">
        <f>COUNTIFS(C55:C63,"Không",G55:G63,"Tốt")</f>
        <v>3</v>
      </c>
      <c r="N61">
        <f>COUNTIFS(C55:C62,"Không",G55:G62,"Kém")</f>
        <v>0</v>
      </c>
      <c r="O61">
        <f>COUNTIFS(C55:C62,"Không",G55:G62,"Kém")</f>
        <v>0</v>
      </c>
      <c r="P61">
        <f t="shared" si="2"/>
        <v>0</v>
      </c>
      <c r="Q61" s="32"/>
    </row>
    <row r="62" spans="1:17" ht="52.8" x14ac:dyDescent="0.3">
      <c r="A62" s="5" t="s">
        <v>8</v>
      </c>
      <c r="B62" s="5" t="s">
        <v>10</v>
      </c>
      <c r="C62" s="5" t="s">
        <v>12</v>
      </c>
      <c r="D62" s="5" t="s">
        <v>16</v>
      </c>
      <c r="E62" s="5" t="s">
        <v>18</v>
      </c>
      <c r="F62" s="5" t="s">
        <v>20</v>
      </c>
      <c r="G62" s="5" t="s">
        <v>23</v>
      </c>
      <c r="J62" s="14" t="s">
        <v>51</v>
      </c>
      <c r="K62" s="14" t="s">
        <v>14</v>
      </c>
      <c r="L62">
        <f>COUNTIF(D$55:D$62, "Dưới 6 tiếng")</f>
        <v>4</v>
      </c>
      <c r="M62">
        <f>COUNTIFS(D$55:D$62, "Dưới 6 tiếng", G$55:G$62, "Tốt")</f>
        <v>2</v>
      </c>
      <c r="N62">
        <f>COUNTIFS(D$55:D$62, "Dưới 6 tiếng", G$55:G$62, "Trung bình")</f>
        <v>1</v>
      </c>
      <c r="O62">
        <f>COUNTIFS(D$55:D$62, "Dưới 6 tiếng", G$55:G$62, "Kém")</f>
        <v>1</v>
      </c>
      <c r="P62">
        <f t="shared" si="2"/>
        <v>1.5</v>
      </c>
      <c r="Q62" s="32">
        <f>D66-(L62/(L62+L63+L64)*P62+L63/(L62+L63+L64)*P63+L64/(L62+L63+L64)*P64)</f>
        <v>0.31127812445913294</v>
      </c>
    </row>
    <row r="63" spans="1:17" x14ac:dyDescent="0.3">
      <c r="K63" t="s">
        <v>15</v>
      </c>
      <c r="L63">
        <f>COUNTIF(D$55:D$62, "Từ 6 đến 8 tiếng")</f>
        <v>2</v>
      </c>
      <c r="M63">
        <f>COUNTIFS(D$55:D$62, "Từ 6 đến 8 tiếng", G$55:G$62, "Tốt")</f>
        <v>2</v>
      </c>
      <c r="N63">
        <f>COUNTIFS(D$55:D$62, "Từ 6 đến 8 tiếng", G$55:G$62, "Trung bình")</f>
        <v>0</v>
      </c>
      <c r="O63">
        <f t="shared" ref="O63" si="3">COUNTIFS(F$55:F$62, "Từ 6 đến 8 tiếng", I$55:I$62, "Tốt")</f>
        <v>0</v>
      </c>
      <c r="P63">
        <f t="shared" si="2"/>
        <v>0</v>
      </c>
      <c r="Q63" s="32"/>
    </row>
    <row r="64" spans="1:17" ht="26.4" x14ac:dyDescent="0.3">
      <c r="K64" s="14" t="s">
        <v>16</v>
      </c>
      <c r="L64">
        <f>COUNTIF(D$55:D$62, "Trên 8 tiếng")</f>
        <v>2</v>
      </c>
      <c r="M64">
        <f>COUNTIFS(D$55:D$62, "Trên 8 tiếng", G$55:G$62, "Tốt")</f>
        <v>2</v>
      </c>
      <c r="N64">
        <v>0</v>
      </c>
      <c r="O64">
        <v>0</v>
      </c>
      <c r="P64">
        <f t="shared" si="2"/>
        <v>0</v>
      </c>
      <c r="Q64" s="32"/>
    </row>
    <row r="65" spans="1:17" ht="26.4" x14ac:dyDescent="0.3">
      <c r="C65" s="14" t="s">
        <v>30</v>
      </c>
      <c r="D65" s="14" t="s">
        <v>50</v>
      </c>
      <c r="J65" t="s">
        <v>27</v>
      </c>
      <c r="K65" t="s">
        <v>18</v>
      </c>
      <c r="L65">
        <v>5</v>
      </c>
      <c r="M65">
        <f>COUNTIFS($E$55:$E$62, K65, $G$55:$G$62, "Trung bình")</f>
        <v>0</v>
      </c>
      <c r="N65">
        <v>5</v>
      </c>
      <c r="O65">
        <v>0</v>
      </c>
      <c r="P65">
        <f t="shared" si="2"/>
        <v>0</v>
      </c>
      <c r="Q65" s="33">
        <f>D66-(L65/(L65+L66+L67)*P65+L66/(L65+L66+L67)*P66+L67/(L65+L66+L67)*P67)</f>
        <v>0.81127812445913294</v>
      </c>
    </row>
    <row r="66" spans="1:17" ht="26.4" x14ac:dyDescent="0.3">
      <c r="B66" t="s">
        <v>34</v>
      </c>
      <c r="C66">
        <f>COUNTIF(G55:G62, "Tốt") / COUNTA(G55:G62)</f>
        <v>0.75</v>
      </c>
      <c r="D66">
        <f>-C66*LOG(C66,2) - C67*LOG(C67,2) - C68*LOG(C68,2)</f>
        <v>1.0612781244591329</v>
      </c>
      <c r="K66" s="14" t="s">
        <v>52</v>
      </c>
      <c r="L66">
        <v>2</v>
      </c>
      <c r="M66">
        <v>1</v>
      </c>
      <c r="N66">
        <v>1</v>
      </c>
      <c r="P66" s="19">
        <f t="shared" si="2"/>
        <v>1</v>
      </c>
      <c r="Q66" s="33"/>
    </row>
    <row r="67" spans="1:17" x14ac:dyDescent="0.3">
      <c r="B67" t="s">
        <v>24</v>
      </c>
      <c r="C67">
        <f>COUNTIF(G55:G62, "Trung bình") / COUNTA(G55:G62)</f>
        <v>0.125</v>
      </c>
      <c r="K67" t="s">
        <v>19</v>
      </c>
      <c r="L67">
        <v>1</v>
      </c>
      <c r="M67">
        <v>0</v>
      </c>
      <c r="N67">
        <v>0</v>
      </c>
      <c r="O67">
        <v>1</v>
      </c>
      <c r="P67">
        <f t="shared" si="2"/>
        <v>0</v>
      </c>
      <c r="Q67" s="33"/>
    </row>
    <row r="68" spans="1:17" x14ac:dyDescent="0.3">
      <c r="B68" t="s">
        <v>25</v>
      </c>
      <c r="C68">
        <f>COUNTIF(G55:G62, "Kém") / COUNTA(G55:G62)</f>
        <v>0.125</v>
      </c>
    </row>
    <row r="69" spans="1:17" x14ac:dyDescent="0.3">
      <c r="D69" s="8"/>
    </row>
    <row r="72" spans="1:17" ht="72" x14ac:dyDescent="0.3">
      <c r="A72" s="10" t="s">
        <v>32</v>
      </c>
      <c r="B72" s="10" t="s">
        <v>40</v>
      </c>
      <c r="C72" s="10" t="s">
        <v>41</v>
      </c>
      <c r="D72" s="10" t="s">
        <v>42</v>
      </c>
      <c r="E72" s="10" t="s">
        <v>27</v>
      </c>
      <c r="F72" s="10" t="s">
        <v>43</v>
      </c>
      <c r="G72" s="10" t="s">
        <v>44</v>
      </c>
      <c r="J72" s="20" t="s">
        <v>46</v>
      </c>
      <c r="K72" t="s">
        <v>47</v>
      </c>
      <c r="L72" t="s">
        <v>29</v>
      </c>
      <c r="M72" t="s">
        <v>23</v>
      </c>
      <c r="N72" t="s">
        <v>24</v>
      </c>
      <c r="O72" t="s">
        <v>25</v>
      </c>
      <c r="P72" t="s">
        <v>31</v>
      </c>
      <c r="Q72" t="s">
        <v>35</v>
      </c>
    </row>
    <row r="73" spans="1:17" ht="26.4" x14ac:dyDescent="0.3">
      <c r="A73" s="5" t="s">
        <v>7</v>
      </c>
      <c r="B73" s="5" t="s">
        <v>9</v>
      </c>
      <c r="C73" s="5" t="s">
        <v>12</v>
      </c>
      <c r="D73" s="5" t="s">
        <v>15</v>
      </c>
      <c r="E73" s="5" t="s">
        <v>18</v>
      </c>
      <c r="F73" s="5" t="s">
        <v>21</v>
      </c>
      <c r="G73" s="5" t="s">
        <v>23</v>
      </c>
      <c r="J73" s="10" t="s">
        <v>32</v>
      </c>
      <c r="K73" s="10" t="s">
        <v>8</v>
      </c>
      <c r="L73">
        <f>COUNTIF($A$73:$A$86,K73)</f>
        <v>5</v>
      </c>
      <c r="M73">
        <v>0</v>
      </c>
      <c r="N73">
        <v>5</v>
      </c>
      <c r="O73">
        <v>0</v>
      </c>
      <c r="P73">
        <f>IF(L73=0,0,-(IF(M73=0,0,M73/L73*LOG(M73/L73,2)) + IF(N73=0,0,N73/L73*LOG(N73/L73,2)) + IF(O73=0,0,O73/L73*LOG(O73/L73,2))))</f>
        <v>0</v>
      </c>
      <c r="Q73" s="32">
        <f xml:space="preserve"> D90-((9/14) * P74)</f>
        <v>0.100398452969643</v>
      </c>
    </row>
    <row r="74" spans="1:17" ht="26.4" x14ac:dyDescent="0.3">
      <c r="A74" s="5" t="s">
        <v>7</v>
      </c>
      <c r="B74" s="5" t="s">
        <v>9</v>
      </c>
      <c r="C74" s="5" t="s">
        <v>12</v>
      </c>
      <c r="D74" s="5" t="s">
        <v>14</v>
      </c>
      <c r="E74" s="5" t="s">
        <v>19</v>
      </c>
      <c r="F74" s="5" t="s">
        <v>21</v>
      </c>
      <c r="G74" s="5" t="s">
        <v>24</v>
      </c>
      <c r="J74" s="20"/>
      <c r="K74" t="s">
        <v>7</v>
      </c>
      <c r="L74">
        <f>COUNTIF($A$73:$A$86,K74)</f>
        <v>9</v>
      </c>
      <c r="M74">
        <v>1</v>
      </c>
      <c r="N74">
        <v>7</v>
      </c>
      <c r="O74">
        <v>1</v>
      </c>
      <c r="P74">
        <f t="shared" si="2"/>
        <v>0.98642672873084236</v>
      </c>
      <c r="Q74" s="32"/>
    </row>
    <row r="75" spans="1:17" ht="52.8" x14ac:dyDescent="0.3">
      <c r="A75" s="5" t="s">
        <v>7</v>
      </c>
      <c r="B75" s="5" t="s">
        <v>11</v>
      </c>
      <c r="C75" s="5" t="s">
        <v>12</v>
      </c>
      <c r="D75" s="5" t="s">
        <v>14</v>
      </c>
      <c r="E75" s="5" t="s">
        <v>18</v>
      </c>
      <c r="F75" s="5" t="s">
        <v>21</v>
      </c>
      <c r="G75" s="5" t="s">
        <v>24</v>
      </c>
      <c r="J75" s="14" t="s">
        <v>48</v>
      </c>
      <c r="K75" s="14" t="s">
        <v>11</v>
      </c>
      <c r="L75">
        <v>3</v>
      </c>
      <c r="M75">
        <v>0</v>
      </c>
      <c r="N75">
        <v>3</v>
      </c>
      <c r="O75">
        <v>0</v>
      </c>
      <c r="P75">
        <f t="shared" si="2"/>
        <v>0</v>
      </c>
      <c r="Q75" s="32">
        <f xml:space="preserve"> D90 - (L75/$J$86 * P75 + L76/$J$86 * P76 + L77/$J$86 * P77)</f>
        <v>0.100398452969643</v>
      </c>
    </row>
    <row r="76" spans="1:17" ht="26.4" x14ac:dyDescent="0.3">
      <c r="A76" s="5" t="s">
        <v>7</v>
      </c>
      <c r="B76" s="5" t="s">
        <v>9</v>
      </c>
      <c r="C76" s="5" t="s">
        <v>12</v>
      </c>
      <c r="D76" s="5" t="s">
        <v>15</v>
      </c>
      <c r="E76" s="5" t="s">
        <v>17</v>
      </c>
      <c r="F76" s="5" t="s">
        <v>21</v>
      </c>
      <c r="G76" s="5" t="s">
        <v>24</v>
      </c>
      <c r="J76" s="14"/>
      <c r="K76" t="s">
        <v>9</v>
      </c>
      <c r="L76">
        <v>9</v>
      </c>
      <c r="M76">
        <v>1</v>
      </c>
      <c r="N76">
        <v>7</v>
      </c>
      <c r="O76">
        <v>1</v>
      </c>
      <c r="P76">
        <f t="shared" si="2"/>
        <v>0.98642672873084236</v>
      </c>
      <c r="Q76" s="32"/>
    </row>
    <row r="77" spans="1:17" ht="26.4" x14ac:dyDescent="0.3">
      <c r="A77" s="5" t="s">
        <v>7</v>
      </c>
      <c r="B77" s="5" t="s">
        <v>9</v>
      </c>
      <c r="C77" s="5" t="s">
        <v>12</v>
      </c>
      <c r="D77" s="5" t="s">
        <v>15</v>
      </c>
      <c r="E77" s="5" t="s">
        <v>19</v>
      </c>
      <c r="F77" s="5" t="s">
        <v>21</v>
      </c>
      <c r="G77" s="5" t="s">
        <v>24</v>
      </c>
      <c r="K77" t="s">
        <v>10</v>
      </c>
      <c r="L77">
        <v>2</v>
      </c>
      <c r="M77">
        <v>0</v>
      </c>
      <c r="N77">
        <v>2</v>
      </c>
      <c r="O77">
        <v>0</v>
      </c>
      <c r="P77">
        <f t="shared" si="2"/>
        <v>0</v>
      </c>
      <c r="Q77" s="32"/>
    </row>
    <row r="78" spans="1:17" ht="66" x14ac:dyDescent="0.3">
      <c r="A78" s="5" t="s">
        <v>8</v>
      </c>
      <c r="B78" s="5" t="s">
        <v>11</v>
      </c>
      <c r="C78" s="5" t="s">
        <v>12</v>
      </c>
      <c r="D78" s="5" t="s">
        <v>14</v>
      </c>
      <c r="E78" s="5" t="s">
        <v>17</v>
      </c>
      <c r="F78" s="5" t="s">
        <v>21</v>
      </c>
      <c r="G78" s="5" t="s">
        <v>24</v>
      </c>
      <c r="J78" s="14" t="s">
        <v>49</v>
      </c>
      <c r="K78" s="14" t="s">
        <v>12</v>
      </c>
      <c r="L78">
        <v>13</v>
      </c>
      <c r="M78">
        <v>1</v>
      </c>
      <c r="N78">
        <v>11</v>
      </c>
      <c r="O78">
        <v>1</v>
      </c>
      <c r="P78">
        <f t="shared" si="2"/>
        <v>0.77322834852491762</v>
      </c>
      <c r="Q78" s="32">
        <f xml:space="preserve"> D90 - (L78/$J$86 * P78 + L79/$J$86 * P79)</f>
        <v>1.6532169237761019E-2</v>
      </c>
    </row>
    <row r="79" spans="1:17" ht="26.4" x14ac:dyDescent="0.3">
      <c r="A79" s="5" t="s">
        <v>8</v>
      </c>
      <c r="B79" s="5" t="s">
        <v>11</v>
      </c>
      <c r="C79" s="5" t="s">
        <v>12</v>
      </c>
      <c r="D79" s="5" t="s">
        <v>15</v>
      </c>
      <c r="E79" s="5" t="s">
        <v>17</v>
      </c>
      <c r="F79" s="5" t="s">
        <v>21</v>
      </c>
      <c r="G79" s="5" t="s">
        <v>24</v>
      </c>
      <c r="K79" t="s">
        <v>13</v>
      </c>
      <c r="L79">
        <v>1</v>
      </c>
      <c r="M79">
        <v>0</v>
      </c>
      <c r="N79">
        <v>1</v>
      </c>
      <c r="O79">
        <v>0</v>
      </c>
      <c r="P79">
        <f t="shared" si="2"/>
        <v>0</v>
      </c>
      <c r="Q79" s="32"/>
    </row>
    <row r="80" spans="1:17" ht="52.8" x14ac:dyDescent="0.3">
      <c r="A80" s="5" t="s">
        <v>7</v>
      </c>
      <c r="B80" s="5" t="s">
        <v>10</v>
      </c>
      <c r="C80" s="5" t="s">
        <v>12</v>
      </c>
      <c r="D80" s="5" t="s">
        <v>14</v>
      </c>
      <c r="E80" s="5" t="s">
        <v>18</v>
      </c>
      <c r="F80" s="5" t="s">
        <v>21</v>
      </c>
      <c r="G80" s="5" t="s">
        <v>24</v>
      </c>
      <c r="J80" s="14" t="s">
        <v>51</v>
      </c>
      <c r="K80" s="14" t="s">
        <v>14</v>
      </c>
      <c r="L80">
        <v>8</v>
      </c>
      <c r="M80">
        <v>0</v>
      </c>
      <c r="N80">
        <v>7</v>
      </c>
      <c r="O80">
        <v>1</v>
      </c>
      <c r="P80">
        <f t="shared" si="2"/>
        <v>0.5435644431995964</v>
      </c>
      <c r="Q80" s="32">
        <f xml:space="preserve"> D90 - (L80/$J$86 * P80 + L81/$J$86 * P81 + L82/$J$86 * P82)</f>
        <v>0.16609020572278577</v>
      </c>
    </row>
    <row r="81" spans="1:17" ht="26.4" x14ac:dyDescent="0.3">
      <c r="A81" s="5" t="s">
        <v>7</v>
      </c>
      <c r="B81" s="5" t="s">
        <v>10</v>
      </c>
      <c r="C81" s="5" t="s">
        <v>13</v>
      </c>
      <c r="D81" s="5" t="s">
        <v>16</v>
      </c>
      <c r="E81" s="5" t="s">
        <v>18</v>
      </c>
      <c r="F81" s="5" t="s">
        <v>21</v>
      </c>
      <c r="G81" s="5" t="s">
        <v>24</v>
      </c>
      <c r="K81" t="s">
        <v>15</v>
      </c>
      <c r="L81">
        <v>5</v>
      </c>
      <c r="M81">
        <v>1</v>
      </c>
      <c r="N81">
        <v>4</v>
      </c>
      <c r="O81">
        <v>0</v>
      </c>
      <c r="P81">
        <f t="shared" si="2"/>
        <v>0.72192809488736231</v>
      </c>
      <c r="Q81" s="32"/>
    </row>
    <row r="82" spans="1:17" ht="26.4" x14ac:dyDescent="0.3">
      <c r="A82" s="5" t="s">
        <v>8</v>
      </c>
      <c r="B82" s="5" t="s">
        <v>9</v>
      </c>
      <c r="C82" s="5" t="s">
        <v>12</v>
      </c>
      <c r="D82" s="5" t="s">
        <v>14</v>
      </c>
      <c r="E82" s="5" t="s">
        <v>17</v>
      </c>
      <c r="F82" s="5" t="s">
        <v>21</v>
      </c>
      <c r="G82" s="5" t="s">
        <v>24</v>
      </c>
      <c r="K82" s="14" t="s">
        <v>16</v>
      </c>
      <c r="L82">
        <v>1</v>
      </c>
      <c r="M82">
        <v>0</v>
      </c>
      <c r="N82">
        <v>1</v>
      </c>
      <c r="O82">
        <v>0</v>
      </c>
      <c r="P82">
        <f t="shared" si="2"/>
        <v>0</v>
      </c>
      <c r="Q82" s="32"/>
    </row>
    <row r="83" spans="1:17" ht="26.4" x14ac:dyDescent="0.3">
      <c r="A83" s="5" t="s">
        <v>8</v>
      </c>
      <c r="B83" s="5" t="s">
        <v>9</v>
      </c>
      <c r="C83" s="5" t="s">
        <v>12</v>
      </c>
      <c r="D83" s="5" t="s">
        <v>15</v>
      </c>
      <c r="E83" s="5" t="s">
        <v>17</v>
      </c>
      <c r="F83" s="5" t="s">
        <v>21</v>
      </c>
      <c r="G83" s="5" t="s">
        <v>24</v>
      </c>
      <c r="J83" t="s">
        <v>27</v>
      </c>
      <c r="K83" t="s">
        <v>18</v>
      </c>
      <c r="L83">
        <v>5</v>
      </c>
      <c r="M83">
        <v>1</v>
      </c>
      <c r="N83">
        <v>4</v>
      </c>
      <c r="O83">
        <v>0</v>
      </c>
      <c r="P83">
        <f t="shared" si="2"/>
        <v>0.72192809488736231</v>
      </c>
      <c r="Q83" s="33">
        <f xml:space="preserve"> D90 - (L83/$J$86 * P83 + L84/$J$86 * P84 + L85/$J$86 * P85)</f>
        <v>0.18086206968853424</v>
      </c>
    </row>
    <row r="84" spans="1:17" ht="26.4" x14ac:dyDescent="0.3">
      <c r="A84" s="5" t="s">
        <v>8</v>
      </c>
      <c r="B84" s="5" t="s">
        <v>9</v>
      </c>
      <c r="C84" s="5" t="s">
        <v>12</v>
      </c>
      <c r="D84" s="5" t="s">
        <v>14</v>
      </c>
      <c r="E84" s="5" t="s">
        <v>17</v>
      </c>
      <c r="F84" s="5" t="s">
        <v>21</v>
      </c>
      <c r="G84" s="5" t="s">
        <v>24</v>
      </c>
      <c r="K84" s="14" t="s">
        <v>52</v>
      </c>
      <c r="L84">
        <v>7</v>
      </c>
      <c r="M84">
        <v>0</v>
      </c>
      <c r="N84">
        <v>6</v>
      </c>
      <c r="O84">
        <v>1</v>
      </c>
      <c r="P84">
        <f t="shared" si="2"/>
        <v>0.59167277858232747</v>
      </c>
      <c r="Q84" s="33"/>
    </row>
    <row r="85" spans="1:17" ht="26.4" x14ac:dyDescent="0.3">
      <c r="A85" s="5" t="s">
        <v>7</v>
      </c>
      <c r="B85" s="5" t="s">
        <v>9</v>
      </c>
      <c r="C85" s="5" t="s">
        <v>12</v>
      </c>
      <c r="D85" s="5" t="s">
        <v>14</v>
      </c>
      <c r="E85" s="5" t="s">
        <v>18</v>
      </c>
      <c r="F85" s="5" t="s">
        <v>21</v>
      </c>
      <c r="G85" s="5" t="s">
        <v>24</v>
      </c>
      <c r="K85" t="s">
        <v>19</v>
      </c>
      <c r="L85">
        <v>2</v>
      </c>
      <c r="M85">
        <v>0</v>
      </c>
      <c r="N85">
        <v>2</v>
      </c>
      <c r="O85">
        <v>0</v>
      </c>
      <c r="P85">
        <f t="shared" si="2"/>
        <v>0</v>
      </c>
      <c r="Q85" s="33"/>
    </row>
    <row r="86" spans="1:17" ht="26.4" x14ac:dyDescent="0.3">
      <c r="A86" s="11" t="s">
        <v>7</v>
      </c>
      <c r="B86" s="11" t="s">
        <v>9</v>
      </c>
      <c r="C86" s="11" t="s">
        <v>12</v>
      </c>
      <c r="D86" s="11" t="s">
        <v>14</v>
      </c>
      <c r="E86" s="11" t="s">
        <v>17</v>
      </c>
      <c r="F86" s="11" t="s">
        <v>21</v>
      </c>
      <c r="G86" s="11" t="s">
        <v>25</v>
      </c>
      <c r="J86">
        <v>14</v>
      </c>
    </row>
    <row r="89" spans="1:17" ht="26.4" x14ac:dyDescent="0.3">
      <c r="C89" s="14" t="s">
        <v>30</v>
      </c>
      <c r="D89" s="14" t="s">
        <v>50</v>
      </c>
    </row>
    <row r="90" spans="1:17" x14ac:dyDescent="0.3">
      <c r="B90" t="s">
        <v>34</v>
      </c>
      <c r="C90">
        <f>COUNTIF(G73:G86, "Tốt")/COUNTA(G73:G86)</f>
        <v>7.1428571428571425E-2</v>
      </c>
      <c r="D90">
        <f>-(IF(C90=0,0,C90*LOG(C90,2)) + IF(C91=0,0,C91*LOG(C91,2)) + IF(C92=0,0,C92*LOG(C92,2)))</f>
        <v>0.73452992143947027</v>
      </c>
    </row>
    <row r="91" spans="1:17" x14ac:dyDescent="0.3">
      <c r="B91" t="s">
        <v>25</v>
      </c>
      <c r="C91">
        <f>COUNTIF(G73:G86, "Trung bình")/COUNTA(G73:G86)</f>
        <v>0.8571428571428571</v>
      </c>
    </row>
    <row r="92" spans="1:17" x14ac:dyDescent="0.3">
      <c r="B92" t="s">
        <v>24</v>
      </c>
      <c r="C92">
        <f>COUNTIF(G73:G86, "Kém")/COUNTA(G73:G86)</f>
        <v>7.1428571428571425E-2</v>
      </c>
    </row>
    <row r="96" spans="1:17" ht="72" x14ac:dyDescent="0.3">
      <c r="A96" s="10" t="s">
        <v>32</v>
      </c>
      <c r="B96" s="10" t="s">
        <v>40</v>
      </c>
      <c r="C96" s="10" t="s">
        <v>41</v>
      </c>
      <c r="D96" s="10" t="s">
        <v>42</v>
      </c>
      <c r="E96" s="10" t="s">
        <v>27</v>
      </c>
      <c r="F96" s="10" t="s">
        <v>43</v>
      </c>
      <c r="G96" s="10" t="s">
        <v>44</v>
      </c>
      <c r="J96" s="20" t="s">
        <v>46</v>
      </c>
      <c r="K96" t="s">
        <v>47</v>
      </c>
      <c r="L96" t="s">
        <v>29</v>
      </c>
      <c r="M96" t="s">
        <v>23</v>
      </c>
      <c r="N96" t="s">
        <v>24</v>
      </c>
      <c r="O96" t="s">
        <v>25</v>
      </c>
      <c r="P96" t="s">
        <v>31</v>
      </c>
      <c r="Q96" t="s">
        <v>35</v>
      </c>
    </row>
    <row r="97" spans="1:17" ht="26.4" x14ac:dyDescent="0.3">
      <c r="A97" s="5" t="s">
        <v>7</v>
      </c>
      <c r="B97" s="5" t="s">
        <v>11</v>
      </c>
      <c r="C97" s="5" t="s">
        <v>12</v>
      </c>
      <c r="D97" s="5" t="s">
        <v>15</v>
      </c>
      <c r="E97" s="5" t="s">
        <v>17</v>
      </c>
      <c r="F97" s="5" t="s">
        <v>22</v>
      </c>
      <c r="G97" s="5" t="s">
        <v>25</v>
      </c>
      <c r="J97" s="10" t="s">
        <v>32</v>
      </c>
      <c r="K97" s="10" t="s">
        <v>8</v>
      </c>
      <c r="L97">
        <v>3</v>
      </c>
      <c r="M97">
        <v>1</v>
      </c>
      <c r="N97">
        <v>0</v>
      </c>
      <c r="O97">
        <v>2</v>
      </c>
      <c r="P97">
        <f t="shared" si="2"/>
        <v>0.91829583405448956</v>
      </c>
      <c r="Q97" s="32">
        <f>D108 - ((L97/(L97+L98))*P97 + (L98/(L97+L98))*P98)</f>
        <v>0.26571212738409788</v>
      </c>
    </row>
    <row r="98" spans="1:17" ht="26.4" x14ac:dyDescent="0.3">
      <c r="A98" s="5" t="s">
        <v>8</v>
      </c>
      <c r="B98" s="5" t="s">
        <v>9</v>
      </c>
      <c r="C98" s="5" t="s">
        <v>12</v>
      </c>
      <c r="D98" s="5" t="s">
        <v>16</v>
      </c>
      <c r="E98" s="5" t="s">
        <v>17</v>
      </c>
      <c r="F98" s="5" t="s">
        <v>22</v>
      </c>
      <c r="G98" s="5" t="s">
        <v>25</v>
      </c>
      <c r="J98" s="20"/>
      <c r="K98" t="s">
        <v>7</v>
      </c>
      <c r="L98">
        <v>5</v>
      </c>
      <c r="M98">
        <v>0</v>
      </c>
      <c r="N98">
        <v>1</v>
      </c>
      <c r="O98">
        <v>4</v>
      </c>
      <c r="P98">
        <f t="shared" si="2"/>
        <v>0.72192809488736231</v>
      </c>
      <c r="Q98" s="32"/>
    </row>
    <row r="99" spans="1:17" ht="52.8" x14ac:dyDescent="0.3">
      <c r="A99" s="5" t="s">
        <v>8</v>
      </c>
      <c r="B99" s="5" t="s">
        <v>10</v>
      </c>
      <c r="C99" s="5" t="s">
        <v>12</v>
      </c>
      <c r="D99" s="5" t="s">
        <v>15</v>
      </c>
      <c r="E99" s="5" t="s">
        <v>19</v>
      </c>
      <c r="F99" s="5" t="s">
        <v>22</v>
      </c>
      <c r="G99" s="5" t="s">
        <v>25</v>
      </c>
      <c r="J99" s="14" t="s">
        <v>48</v>
      </c>
      <c r="K99" s="14" t="s">
        <v>11</v>
      </c>
      <c r="L99">
        <v>1</v>
      </c>
      <c r="M99">
        <v>0</v>
      </c>
      <c r="N99">
        <v>0</v>
      </c>
      <c r="O99">
        <v>1</v>
      </c>
      <c r="P99">
        <f t="shared" si="2"/>
        <v>0</v>
      </c>
      <c r="Q99" s="32">
        <f>D108 - ((L99/(L101+L100+L99))*P99 + (L101/(L100+L101+L99))*P101 + (L100/(L100+L101+L99))*P100)</f>
        <v>0.31127812445913294</v>
      </c>
    </row>
    <row r="100" spans="1:17" ht="26.4" x14ac:dyDescent="0.3">
      <c r="A100" s="5" t="s">
        <v>8</v>
      </c>
      <c r="B100" s="5" t="s">
        <v>9</v>
      </c>
      <c r="C100" s="5" t="s">
        <v>13</v>
      </c>
      <c r="D100" s="5" t="s">
        <v>14</v>
      </c>
      <c r="E100" s="5" t="s">
        <v>17</v>
      </c>
      <c r="F100" s="5" t="s">
        <v>22</v>
      </c>
      <c r="G100" s="5" t="s">
        <v>23</v>
      </c>
      <c r="J100" s="14"/>
      <c r="K100" t="s">
        <v>9</v>
      </c>
      <c r="L100">
        <v>4</v>
      </c>
      <c r="M100">
        <v>1</v>
      </c>
      <c r="N100">
        <v>1</v>
      </c>
      <c r="O100">
        <v>2</v>
      </c>
      <c r="P100">
        <f t="shared" si="2"/>
        <v>1.5</v>
      </c>
      <c r="Q100" s="32"/>
    </row>
    <row r="101" spans="1:17" ht="26.4" x14ac:dyDescent="0.3">
      <c r="A101" s="5" t="s">
        <v>7</v>
      </c>
      <c r="B101" s="5" t="s">
        <v>9</v>
      </c>
      <c r="C101" s="5" t="s">
        <v>13</v>
      </c>
      <c r="D101" s="5" t="s">
        <v>15</v>
      </c>
      <c r="E101" s="5" t="s">
        <v>19</v>
      </c>
      <c r="F101" s="5" t="s">
        <v>22</v>
      </c>
      <c r="G101" s="5" t="s">
        <v>24</v>
      </c>
      <c r="K101" t="s">
        <v>10</v>
      </c>
      <c r="L101">
        <v>3</v>
      </c>
      <c r="M101">
        <v>0</v>
      </c>
      <c r="N101">
        <v>0</v>
      </c>
      <c r="O101">
        <v>3</v>
      </c>
      <c r="P101">
        <f t="shared" si="2"/>
        <v>0</v>
      </c>
      <c r="Q101" s="32"/>
    </row>
    <row r="102" spans="1:17" ht="66" x14ac:dyDescent="0.3">
      <c r="A102" s="5" t="s">
        <v>7</v>
      </c>
      <c r="B102" s="5" t="s">
        <v>10</v>
      </c>
      <c r="C102" s="5" t="s">
        <v>13</v>
      </c>
      <c r="D102" s="5" t="s">
        <v>14</v>
      </c>
      <c r="E102" s="5" t="s">
        <v>19</v>
      </c>
      <c r="F102" s="5" t="s">
        <v>22</v>
      </c>
      <c r="G102" s="5" t="s">
        <v>25</v>
      </c>
      <c r="J102" s="14" t="s">
        <v>49</v>
      </c>
      <c r="K102" s="14" t="s">
        <v>12</v>
      </c>
      <c r="L102">
        <v>5</v>
      </c>
      <c r="M102">
        <v>0</v>
      </c>
      <c r="N102">
        <v>0</v>
      </c>
      <c r="O102">
        <v>5</v>
      </c>
      <c r="P102">
        <f t="shared" si="2"/>
        <v>0</v>
      </c>
      <c r="Q102" s="33">
        <f>D108 - ((L102/(L102+L103))*P102 + (L103/(L102+L103))*P103)</f>
        <v>0.46691718668869941</v>
      </c>
    </row>
    <row r="103" spans="1:17" ht="26.4" x14ac:dyDescent="0.3">
      <c r="A103" s="5" t="s">
        <v>7</v>
      </c>
      <c r="B103" s="5" t="s">
        <v>10</v>
      </c>
      <c r="C103" s="5" t="s">
        <v>12</v>
      </c>
      <c r="D103" s="5" t="s">
        <v>14</v>
      </c>
      <c r="E103" s="5" t="s">
        <v>17</v>
      </c>
      <c r="F103" s="5" t="s">
        <v>22</v>
      </c>
      <c r="G103" s="5" t="s">
        <v>25</v>
      </c>
      <c r="K103" t="s">
        <v>13</v>
      </c>
      <c r="L103">
        <v>3</v>
      </c>
      <c r="M103">
        <v>1</v>
      </c>
      <c r="N103">
        <v>1</v>
      </c>
      <c r="O103">
        <v>1</v>
      </c>
      <c r="P103">
        <f t="shared" si="2"/>
        <v>1.5849625007211561</v>
      </c>
      <c r="Q103" s="33"/>
    </row>
    <row r="104" spans="1:17" ht="52.8" x14ac:dyDescent="0.3">
      <c r="A104" s="12" t="s">
        <v>7</v>
      </c>
      <c r="B104" s="12" t="s">
        <v>9</v>
      </c>
      <c r="C104" s="12" t="s">
        <v>12</v>
      </c>
      <c r="D104" s="12" t="s">
        <v>14</v>
      </c>
      <c r="E104" s="12" t="s">
        <v>17</v>
      </c>
      <c r="F104" s="12" t="s">
        <v>22</v>
      </c>
      <c r="G104" s="18" t="s">
        <v>25</v>
      </c>
      <c r="J104" s="14" t="s">
        <v>51</v>
      </c>
      <c r="K104" s="14" t="s">
        <v>14</v>
      </c>
      <c r="L104">
        <v>4</v>
      </c>
      <c r="M104">
        <v>1</v>
      </c>
      <c r="N104">
        <v>0</v>
      </c>
      <c r="O104">
        <v>3</v>
      </c>
      <c r="P104">
        <f t="shared" si="2"/>
        <v>0.81127812445913283</v>
      </c>
      <c r="Q104" s="32">
        <f>D108 - ((L104/(L104+L105+L106))*P104 + (L105/(L104+L105+L106))*P105 + (L106/(L104+L105+L106))*P106)</f>
        <v>0.31127812445913294</v>
      </c>
    </row>
    <row r="105" spans="1:17" x14ac:dyDescent="0.3">
      <c r="K105" t="s">
        <v>15</v>
      </c>
      <c r="L105">
        <v>3</v>
      </c>
      <c r="M105">
        <v>0</v>
      </c>
      <c r="N105">
        <v>1</v>
      </c>
      <c r="O105">
        <v>2</v>
      </c>
      <c r="P105">
        <f t="shared" si="2"/>
        <v>0.91829583405448956</v>
      </c>
      <c r="Q105" s="32"/>
    </row>
    <row r="106" spans="1:17" ht="26.4" x14ac:dyDescent="0.3">
      <c r="K106" s="14" t="s">
        <v>16</v>
      </c>
      <c r="L106">
        <v>1</v>
      </c>
      <c r="M106">
        <v>0</v>
      </c>
      <c r="N106">
        <v>0</v>
      </c>
      <c r="O106">
        <v>1</v>
      </c>
      <c r="P106">
        <f t="shared" si="2"/>
        <v>0</v>
      </c>
      <c r="Q106" s="32"/>
    </row>
    <row r="107" spans="1:17" x14ac:dyDescent="0.3">
      <c r="C107" t="s">
        <v>30</v>
      </c>
      <c r="D107" t="s">
        <v>31</v>
      </c>
      <c r="J107" t="s">
        <v>27</v>
      </c>
      <c r="K107" t="s">
        <v>18</v>
      </c>
      <c r="L107">
        <v>0</v>
      </c>
      <c r="M107">
        <v>0</v>
      </c>
      <c r="N107">
        <v>0</v>
      </c>
      <c r="O107">
        <v>0</v>
      </c>
      <c r="P107">
        <f t="shared" si="2"/>
        <v>0</v>
      </c>
      <c r="Q107" s="32">
        <f>D108 - ((L107/(L107+L108+L109))*P107 + (L108/(L107+L108+L109))*P108 + (L109/(L107+L108+L109))*P109)</f>
        <v>0.26571212738409788</v>
      </c>
    </row>
    <row r="108" spans="1:17" ht="26.4" x14ac:dyDescent="0.3">
      <c r="B108" t="s">
        <v>34</v>
      </c>
      <c r="C108">
        <f xml:space="preserve"> COUNTIF(G97:G104, "Tốt") / COUNTA(G97:G104)</f>
        <v>0.125</v>
      </c>
      <c r="D108">
        <f xml:space="preserve"> - (IF(C108=0, 0, C108 * LOG(C108, 2)) + IF(C109=0, 0, C109 * LOG(C109, 2)) + IF(C110=0, 0, C110 * LOG(C110, 2)))</f>
        <v>1.0612781244591329</v>
      </c>
      <c r="K108" s="14" t="s">
        <v>52</v>
      </c>
      <c r="L108">
        <v>5</v>
      </c>
      <c r="M108">
        <v>1</v>
      </c>
      <c r="N108">
        <v>0</v>
      </c>
      <c r="O108">
        <v>4</v>
      </c>
      <c r="P108">
        <f t="shared" si="2"/>
        <v>0.72192809488736231</v>
      </c>
      <c r="Q108" s="32"/>
    </row>
    <row r="109" spans="1:17" x14ac:dyDescent="0.3">
      <c r="B109" t="s">
        <v>21</v>
      </c>
      <c r="C109">
        <f xml:space="preserve"> COUNTIF(G97:G104, "Trung bình") / COUNTA(G97:G104)</f>
        <v>0.125</v>
      </c>
      <c r="K109" t="s">
        <v>19</v>
      </c>
      <c r="L109">
        <v>3</v>
      </c>
      <c r="M109">
        <v>0</v>
      </c>
      <c r="N109">
        <v>1</v>
      </c>
      <c r="O109">
        <v>2</v>
      </c>
      <c r="P109">
        <f t="shared" si="2"/>
        <v>0.91829583405448956</v>
      </c>
      <c r="Q109" s="32"/>
    </row>
    <row r="110" spans="1:17" x14ac:dyDescent="0.3">
      <c r="B110" t="s">
        <v>25</v>
      </c>
      <c r="C110">
        <f xml:space="preserve"> COUNTIF(G97:G104, "Kém") / COUNTA(G97:G104)</f>
        <v>0.75</v>
      </c>
    </row>
    <row r="114" spans="1:17" x14ac:dyDescent="0.3">
      <c r="A114" t="s">
        <v>41</v>
      </c>
      <c r="P114">
        <f t="shared" si="2"/>
        <v>0</v>
      </c>
    </row>
    <row r="115" spans="1:17" x14ac:dyDescent="0.3">
      <c r="A115" t="s">
        <v>13</v>
      </c>
      <c r="P115">
        <f t="shared" si="2"/>
        <v>0</v>
      </c>
    </row>
    <row r="116" spans="1:17" x14ac:dyDescent="0.3">
      <c r="P116">
        <f t="shared" si="2"/>
        <v>0</v>
      </c>
    </row>
    <row r="117" spans="1:17" ht="72" x14ac:dyDescent="0.3">
      <c r="A117" s="10"/>
      <c r="B117" s="10" t="s">
        <v>40</v>
      </c>
      <c r="C117" s="10" t="s">
        <v>41</v>
      </c>
      <c r="D117" s="10" t="s">
        <v>42</v>
      </c>
      <c r="E117" s="10" t="s">
        <v>27</v>
      </c>
      <c r="F117" s="10" t="s">
        <v>43</v>
      </c>
      <c r="G117" s="10" t="s">
        <v>44</v>
      </c>
      <c r="P117">
        <f t="shared" si="2"/>
        <v>0</v>
      </c>
    </row>
    <row r="118" spans="1:17" x14ac:dyDescent="0.3">
      <c r="A118" s="5" t="s">
        <v>8</v>
      </c>
      <c r="P118">
        <f t="shared" si="2"/>
        <v>0</v>
      </c>
    </row>
    <row r="119" spans="1:17" x14ac:dyDescent="0.3">
      <c r="A119" s="5" t="s">
        <v>7</v>
      </c>
      <c r="P119">
        <f t="shared" si="2"/>
        <v>0</v>
      </c>
    </row>
    <row r="120" spans="1:17" x14ac:dyDescent="0.3">
      <c r="A120" s="5" t="s">
        <v>7</v>
      </c>
      <c r="P120">
        <f t="shared" si="2"/>
        <v>0</v>
      </c>
    </row>
    <row r="121" spans="1:17" x14ac:dyDescent="0.3">
      <c r="P121">
        <f t="shared" ref="P121:P133" si="4">IF(L121=0,0,-(IF(M121=0,0,M121/L121*LOG(M121/L121,2)) + IF(N121=0,0,N121/L121*LOG(N121/L121,2)) + IF(O121=0,0,O121/L121*LOG(O121/L121,2))))</f>
        <v>0</v>
      </c>
    </row>
    <row r="122" spans="1:17" ht="72" x14ac:dyDescent="0.3">
      <c r="A122" s="10" t="s">
        <v>32</v>
      </c>
      <c r="B122" s="10" t="s">
        <v>40</v>
      </c>
      <c r="C122" s="10" t="s">
        <v>41</v>
      </c>
      <c r="D122" s="10" t="s">
        <v>42</v>
      </c>
      <c r="E122" s="10" t="s">
        <v>27</v>
      </c>
      <c r="F122" s="10" t="s">
        <v>43</v>
      </c>
      <c r="G122" s="10" t="s">
        <v>44</v>
      </c>
      <c r="J122" s="20" t="s">
        <v>46</v>
      </c>
      <c r="K122" t="s">
        <v>47</v>
      </c>
      <c r="L122" t="s">
        <v>29</v>
      </c>
      <c r="M122" t="s">
        <v>23</v>
      </c>
      <c r="N122" t="s">
        <v>24</v>
      </c>
      <c r="O122" t="s">
        <v>25</v>
      </c>
      <c r="P122" t="s">
        <v>31</v>
      </c>
      <c r="Q122" t="s">
        <v>35</v>
      </c>
    </row>
    <row r="123" spans="1:17" ht="26.4" x14ac:dyDescent="0.3">
      <c r="A123" s="5" t="s">
        <v>8</v>
      </c>
      <c r="B123" s="5" t="s">
        <v>9</v>
      </c>
      <c r="C123" s="5" t="s">
        <v>13</v>
      </c>
      <c r="D123" s="5" t="s">
        <v>14</v>
      </c>
      <c r="E123" s="5" t="s">
        <v>17</v>
      </c>
      <c r="F123" s="5" t="s">
        <v>22</v>
      </c>
      <c r="G123" s="5" t="s">
        <v>23</v>
      </c>
      <c r="J123" s="38" t="s">
        <v>33</v>
      </c>
      <c r="K123" s="38" t="s">
        <v>8</v>
      </c>
      <c r="L123">
        <v>1</v>
      </c>
      <c r="M123">
        <v>1</v>
      </c>
      <c r="N123">
        <v>0</v>
      </c>
      <c r="O123">
        <v>0</v>
      </c>
      <c r="P123">
        <f t="shared" si="4"/>
        <v>0</v>
      </c>
      <c r="Q123" s="32">
        <v>0.91800000000000004</v>
      </c>
    </row>
    <row r="124" spans="1:17" ht="26.4" x14ac:dyDescent="0.3">
      <c r="A124" s="5" t="s">
        <v>7</v>
      </c>
      <c r="B124" s="5" t="s">
        <v>9</v>
      </c>
      <c r="C124" s="5" t="s">
        <v>13</v>
      </c>
      <c r="D124" s="5" t="s">
        <v>15</v>
      </c>
      <c r="E124" s="5" t="s">
        <v>19</v>
      </c>
      <c r="F124" s="5" t="s">
        <v>22</v>
      </c>
      <c r="G124" s="5" t="s">
        <v>24</v>
      </c>
      <c r="K124" t="s">
        <v>7</v>
      </c>
      <c r="L124">
        <v>2</v>
      </c>
      <c r="M124">
        <v>0</v>
      </c>
      <c r="N124">
        <v>1</v>
      </c>
      <c r="O124">
        <v>1</v>
      </c>
      <c r="P124">
        <f t="shared" si="4"/>
        <v>1</v>
      </c>
      <c r="Q124" s="32"/>
    </row>
    <row r="125" spans="1:17" ht="52.8" x14ac:dyDescent="0.3">
      <c r="A125" s="5" t="s">
        <v>7</v>
      </c>
      <c r="B125" s="5" t="s">
        <v>10</v>
      </c>
      <c r="C125" s="5" t="s">
        <v>13</v>
      </c>
      <c r="D125" s="5" t="s">
        <v>14</v>
      </c>
      <c r="E125" s="5" t="s">
        <v>19</v>
      </c>
      <c r="F125" s="5" t="s">
        <v>22</v>
      </c>
      <c r="G125" s="5" t="s">
        <v>25</v>
      </c>
      <c r="J125" s="38" t="s">
        <v>48</v>
      </c>
      <c r="K125" s="38" t="s">
        <v>11</v>
      </c>
      <c r="L125">
        <v>0</v>
      </c>
      <c r="P125">
        <f t="shared" si="4"/>
        <v>0</v>
      </c>
      <c r="Q125" s="32">
        <v>0.91800000000000004</v>
      </c>
    </row>
    <row r="126" spans="1:17" x14ac:dyDescent="0.3">
      <c r="K126" t="s">
        <v>9</v>
      </c>
      <c r="L126">
        <v>2</v>
      </c>
      <c r="M126">
        <v>1</v>
      </c>
      <c r="N126">
        <v>1</v>
      </c>
      <c r="O126">
        <v>0</v>
      </c>
      <c r="P126">
        <f t="shared" si="4"/>
        <v>1</v>
      </c>
      <c r="Q126" s="32"/>
    </row>
    <row r="127" spans="1:17" ht="26.4" x14ac:dyDescent="0.3">
      <c r="B127" s="38" t="s">
        <v>60</v>
      </c>
      <c r="C127" s="38" t="s">
        <v>31</v>
      </c>
      <c r="K127" s="38" t="s">
        <v>10</v>
      </c>
      <c r="L127">
        <v>1</v>
      </c>
      <c r="M127">
        <v>0</v>
      </c>
      <c r="N127">
        <v>0</v>
      </c>
      <c r="O127">
        <v>1</v>
      </c>
      <c r="P127">
        <f t="shared" si="4"/>
        <v>0</v>
      </c>
      <c r="Q127" s="32"/>
    </row>
    <row r="128" spans="1:17" x14ac:dyDescent="0.3">
      <c r="A128" s="38" t="s">
        <v>59</v>
      </c>
      <c r="B128">
        <f>1/3</f>
        <v>0.33333333333333331</v>
      </c>
      <c r="C128" s="32">
        <f>-3*(1/3)*LOG((1/3),2)</f>
        <v>1.5849625007211563</v>
      </c>
      <c r="J128" t="s">
        <v>51</v>
      </c>
      <c r="K128" t="s">
        <v>14</v>
      </c>
      <c r="L128">
        <v>2</v>
      </c>
      <c r="M128">
        <v>1</v>
      </c>
      <c r="N128">
        <v>0</v>
      </c>
      <c r="O128">
        <v>1</v>
      </c>
      <c r="P128">
        <f t="shared" si="4"/>
        <v>1</v>
      </c>
      <c r="Q128" s="32">
        <v>0.91800000000000004</v>
      </c>
    </row>
    <row r="129" spans="1:17" ht="26.4" x14ac:dyDescent="0.3">
      <c r="A129" s="38" t="s">
        <v>21</v>
      </c>
      <c r="B129">
        <f t="shared" ref="B129:B130" si="5">1/3</f>
        <v>0.33333333333333331</v>
      </c>
      <c r="C129" s="32"/>
      <c r="K129" s="38" t="s">
        <v>61</v>
      </c>
      <c r="L129">
        <v>1</v>
      </c>
      <c r="M129">
        <v>0</v>
      </c>
      <c r="N129">
        <v>1</v>
      </c>
      <c r="O129">
        <v>0</v>
      </c>
      <c r="P129">
        <f t="shared" si="4"/>
        <v>0</v>
      </c>
      <c r="Q129" s="32"/>
    </row>
    <row r="130" spans="1:17" x14ac:dyDescent="0.3">
      <c r="A130" s="38" t="s">
        <v>25</v>
      </c>
      <c r="B130">
        <f t="shared" si="5"/>
        <v>0.33333333333333331</v>
      </c>
      <c r="C130" s="32"/>
      <c r="K130" t="s">
        <v>16</v>
      </c>
      <c r="L130">
        <v>0</v>
      </c>
      <c r="P130">
        <f t="shared" si="4"/>
        <v>0</v>
      </c>
      <c r="Q130" s="32"/>
    </row>
    <row r="131" spans="1:17" ht="26.4" x14ac:dyDescent="0.3">
      <c r="J131" t="s">
        <v>62</v>
      </c>
      <c r="K131" s="38" t="s">
        <v>63</v>
      </c>
      <c r="L131">
        <v>0</v>
      </c>
      <c r="P131">
        <f t="shared" si="4"/>
        <v>0</v>
      </c>
      <c r="Q131" s="32"/>
    </row>
    <row r="132" spans="1:17" x14ac:dyDescent="0.3">
      <c r="K132" t="s">
        <v>17</v>
      </c>
      <c r="L132">
        <v>1</v>
      </c>
      <c r="M132">
        <v>1</v>
      </c>
      <c r="N132">
        <v>0</v>
      </c>
      <c r="O132">
        <v>0</v>
      </c>
      <c r="P132">
        <f t="shared" si="4"/>
        <v>0</v>
      </c>
      <c r="Q132" s="32">
        <v>0.91800000000000004</v>
      </c>
    </row>
    <row r="133" spans="1:17" ht="26.4" x14ac:dyDescent="0.3">
      <c r="K133" s="38" t="s">
        <v>19</v>
      </c>
      <c r="L133">
        <v>2</v>
      </c>
      <c r="M133">
        <v>0</v>
      </c>
      <c r="N133">
        <v>1</v>
      </c>
      <c r="O133">
        <v>1</v>
      </c>
      <c r="P133">
        <f t="shared" si="4"/>
        <v>1</v>
      </c>
      <c r="Q133" s="32"/>
    </row>
    <row r="138" spans="1:17" ht="43.2" x14ac:dyDescent="0.3">
      <c r="A138" s="10" t="s">
        <v>32</v>
      </c>
      <c r="B138" s="10" t="s">
        <v>40</v>
      </c>
      <c r="C138" s="10" t="s">
        <v>42</v>
      </c>
      <c r="D138" s="10" t="s">
        <v>44</v>
      </c>
      <c r="J138" s="20" t="s">
        <v>46</v>
      </c>
      <c r="K138" t="s">
        <v>47</v>
      </c>
      <c r="L138" t="s">
        <v>29</v>
      </c>
      <c r="M138" t="s">
        <v>23</v>
      </c>
      <c r="N138" t="s">
        <v>24</v>
      </c>
      <c r="O138" t="s">
        <v>25</v>
      </c>
      <c r="P138" t="s">
        <v>31</v>
      </c>
      <c r="Q138" t="s">
        <v>35</v>
      </c>
    </row>
    <row r="139" spans="1:17" ht="26.4" x14ac:dyDescent="0.3">
      <c r="A139" s="5" t="s">
        <v>7</v>
      </c>
      <c r="B139" s="5" t="s">
        <v>9</v>
      </c>
      <c r="C139" s="5" t="s">
        <v>15</v>
      </c>
      <c r="D139" s="5" t="s">
        <v>24</v>
      </c>
      <c r="J139" t="s">
        <v>48</v>
      </c>
      <c r="K139" t="s">
        <v>11</v>
      </c>
      <c r="L139">
        <v>0</v>
      </c>
      <c r="Q139" s="32">
        <v>1</v>
      </c>
    </row>
    <row r="140" spans="1:17" ht="14.4" customHeight="1" x14ac:dyDescent="0.3">
      <c r="A140" s="5" t="s">
        <v>7</v>
      </c>
      <c r="B140" s="5" t="s">
        <v>10</v>
      </c>
      <c r="C140" s="5" t="s">
        <v>14</v>
      </c>
      <c r="D140" s="5" t="s">
        <v>25</v>
      </c>
      <c r="K140" t="s">
        <v>9</v>
      </c>
      <c r="L140">
        <v>1</v>
      </c>
      <c r="M140">
        <v>0</v>
      </c>
      <c r="N140">
        <v>1</v>
      </c>
      <c r="O140">
        <v>0</v>
      </c>
      <c r="P140">
        <v>0</v>
      </c>
      <c r="Q140" s="32"/>
    </row>
    <row r="141" spans="1:17" x14ac:dyDescent="0.3">
      <c r="K141" t="s">
        <v>64</v>
      </c>
      <c r="L141">
        <v>1</v>
      </c>
      <c r="M141">
        <v>0</v>
      </c>
      <c r="N141">
        <v>0</v>
      </c>
      <c r="O141">
        <v>1</v>
      </c>
      <c r="P141">
        <v>0</v>
      </c>
      <c r="Q141" s="32"/>
    </row>
    <row r="142" spans="1:17" x14ac:dyDescent="0.3">
      <c r="J142" t="s">
        <v>51</v>
      </c>
      <c r="K142" t="s">
        <v>14</v>
      </c>
      <c r="L142">
        <v>1</v>
      </c>
      <c r="M142">
        <v>0</v>
      </c>
      <c r="N142">
        <v>0</v>
      </c>
      <c r="O142">
        <v>1</v>
      </c>
      <c r="P142">
        <v>0</v>
      </c>
      <c r="Q142" s="32">
        <v>1</v>
      </c>
    </row>
    <row r="143" spans="1:17" x14ac:dyDescent="0.3">
      <c r="K143" t="s">
        <v>15</v>
      </c>
      <c r="L143">
        <v>1</v>
      </c>
      <c r="M143">
        <v>0</v>
      </c>
      <c r="N143">
        <v>1</v>
      </c>
      <c r="O143">
        <v>0</v>
      </c>
      <c r="P143">
        <v>0</v>
      </c>
      <c r="Q143" s="32"/>
    </row>
    <row r="144" spans="1:17" x14ac:dyDescent="0.3">
      <c r="C144" s="38" t="s">
        <v>60</v>
      </c>
      <c r="D144" s="38" t="s">
        <v>31</v>
      </c>
      <c r="K144" t="s">
        <v>16</v>
      </c>
      <c r="L144">
        <v>0</v>
      </c>
      <c r="Q144" s="32"/>
    </row>
    <row r="145" spans="2:4" x14ac:dyDescent="0.3">
      <c r="B145" s="38" t="s">
        <v>59</v>
      </c>
      <c r="C145">
        <v>0</v>
      </c>
      <c r="D145" s="32">
        <v>1</v>
      </c>
    </row>
    <row r="146" spans="2:4" x14ac:dyDescent="0.3">
      <c r="B146" s="38" t="s">
        <v>21</v>
      </c>
      <c r="C146">
        <v>0.5</v>
      </c>
      <c r="D146" s="32"/>
    </row>
    <row r="147" spans="2:4" x14ac:dyDescent="0.3">
      <c r="B147" s="38" t="s">
        <v>25</v>
      </c>
      <c r="C147">
        <v>0.5</v>
      </c>
      <c r="D147" s="32"/>
    </row>
  </sheetData>
  <mergeCells count="29">
    <mergeCell ref="D145:D147"/>
    <mergeCell ref="Q139:Q141"/>
    <mergeCell ref="Q142:Q144"/>
    <mergeCell ref="C128:C130"/>
    <mergeCell ref="Q123:Q124"/>
    <mergeCell ref="Q125:Q127"/>
    <mergeCell ref="Q128:Q131"/>
    <mergeCell ref="Q132:Q133"/>
    <mergeCell ref="Q60:Q61"/>
    <mergeCell ref="Q62:Q64"/>
    <mergeCell ref="Q55:Q56"/>
    <mergeCell ref="Q57:Q59"/>
    <mergeCell ref="G4:G5"/>
    <mergeCell ref="G9:G11"/>
    <mergeCell ref="G15:G16"/>
    <mergeCell ref="G20:G22"/>
    <mergeCell ref="G32:G34"/>
    <mergeCell ref="G26:G28"/>
    <mergeCell ref="Q83:Q85"/>
    <mergeCell ref="Q65:Q67"/>
    <mergeCell ref="Q73:Q74"/>
    <mergeCell ref="Q75:Q77"/>
    <mergeCell ref="Q78:Q79"/>
    <mergeCell ref="Q80:Q82"/>
    <mergeCell ref="Q97:Q98"/>
    <mergeCell ref="Q99:Q101"/>
    <mergeCell ref="Q102:Q103"/>
    <mergeCell ref="Q104:Q106"/>
    <mergeCell ref="Q107:Q10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4D1E9-C173-48C1-9376-D368CDA504BE}">
  <dimension ref="A1:Q37"/>
  <sheetViews>
    <sheetView topLeftCell="A28" zoomScale="85" zoomScaleNormal="85" workbookViewId="0">
      <selection activeCell="B36" sqref="B36:G37"/>
    </sheetView>
  </sheetViews>
  <sheetFormatPr defaultRowHeight="14.4" x14ac:dyDescent="0.3"/>
  <cols>
    <col min="1" max="1" width="11.77734375" customWidth="1"/>
    <col min="2" max="2" width="12.88671875" customWidth="1"/>
    <col min="4" max="4" width="12.109375" customWidth="1"/>
    <col min="16" max="16" width="12.6640625" bestFit="1" customWidth="1"/>
  </cols>
  <sheetData>
    <row r="1" spans="1:17" x14ac:dyDescent="0.3">
      <c r="B1" t="s">
        <v>53</v>
      </c>
    </row>
    <row r="3" spans="1:17" ht="86.4" x14ac:dyDescent="0.3">
      <c r="A3" s="10" t="s">
        <v>32</v>
      </c>
      <c r="B3" s="10" t="s">
        <v>40</v>
      </c>
      <c r="C3" s="10" t="s">
        <v>41</v>
      </c>
      <c r="D3" s="10" t="s">
        <v>42</v>
      </c>
      <c r="E3" s="10" t="s">
        <v>27</v>
      </c>
      <c r="F3" s="10" t="s">
        <v>44</v>
      </c>
      <c r="H3" t="s">
        <v>47</v>
      </c>
      <c r="I3" t="s">
        <v>29</v>
      </c>
      <c r="J3" t="s">
        <v>23</v>
      </c>
      <c r="K3" t="s">
        <v>24</v>
      </c>
      <c r="L3" t="s">
        <v>25</v>
      </c>
      <c r="M3" t="s">
        <v>31</v>
      </c>
    </row>
    <row r="4" spans="1:17" x14ac:dyDescent="0.3">
      <c r="A4" s="3" t="s">
        <v>8</v>
      </c>
      <c r="B4" s="3" t="s">
        <v>9</v>
      </c>
      <c r="C4" s="3" t="s">
        <v>12</v>
      </c>
      <c r="D4" s="4" t="s">
        <v>14</v>
      </c>
      <c r="E4" s="3" t="s">
        <v>17</v>
      </c>
      <c r="F4" s="3" t="s">
        <v>24</v>
      </c>
      <c r="H4" s="23" t="s">
        <v>54</v>
      </c>
      <c r="I4">
        <v>2</v>
      </c>
      <c r="J4">
        <v>1</v>
      </c>
      <c r="K4">
        <v>1</v>
      </c>
      <c r="L4">
        <v>0</v>
      </c>
      <c r="M4">
        <v>1</v>
      </c>
    </row>
    <row r="5" spans="1:17" ht="26.4" x14ac:dyDescent="0.3">
      <c r="A5" s="5" t="s">
        <v>7</v>
      </c>
      <c r="B5" s="5" t="s">
        <v>10</v>
      </c>
      <c r="C5" s="5" t="s">
        <v>12</v>
      </c>
      <c r="D5" s="5" t="s">
        <v>14</v>
      </c>
      <c r="E5" s="5" t="s">
        <v>17</v>
      </c>
      <c r="F5" s="5" t="s">
        <v>23</v>
      </c>
    </row>
    <row r="6" spans="1:17" x14ac:dyDescent="0.3">
      <c r="G6" t="s">
        <v>55</v>
      </c>
      <c r="H6" t="s">
        <v>47</v>
      </c>
      <c r="I6" t="s">
        <v>29</v>
      </c>
      <c r="J6" t="s">
        <v>23</v>
      </c>
      <c r="K6" t="s">
        <v>21</v>
      </c>
      <c r="L6" t="s">
        <v>25</v>
      </c>
      <c r="M6" t="s">
        <v>31</v>
      </c>
      <c r="N6" t="s">
        <v>35</v>
      </c>
    </row>
    <row r="7" spans="1:17" x14ac:dyDescent="0.3">
      <c r="G7" t="s">
        <v>40</v>
      </c>
      <c r="H7" t="s">
        <v>9</v>
      </c>
      <c r="I7">
        <v>1</v>
      </c>
      <c r="J7">
        <v>0</v>
      </c>
      <c r="K7">
        <v>1</v>
      </c>
      <c r="L7">
        <v>0</v>
      </c>
      <c r="M7">
        <v>0</v>
      </c>
      <c r="N7" s="33">
        <v>1</v>
      </c>
    </row>
    <row r="8" spans="1:17" x14ac:dyDescent="0.3">
      <c r="H8" t="s">
        <v>10</v>
      </c>
      <c r="I8">
        <v>1</v>
      </c>
      <c r="J8">
        <v>0</v>
      </c>
      <c r="K8">
        <v>0</v>
      </c>
      <c r="L8">
        <v>1</v>
      </c>
      <c r="M8">
        <v>0</v>
      </c>
      <c r="N8" s="33"/>
    </row>
    <row r="9" spans="1:17" x14ac:dyDescent="0.3">
      <c r="G9" t="s">
        <v>32</v>
      </c>
      <c r="H9" t="s">
        <v>8</v>
      </c>
      <c r="I9">
        <v>1</v>
      </c>
      <c r="J9">
        <v>0</v>
      </c>
      <c r="K9">
        <v>1</v>
      </c>
      <c r="L9">
        <v>0</v>
      </c>
      <c r="M9">
        <v>0</v>
      </c>
    </row>
    <row r="10" spans="1:17" x14ac:dyDescent="0.3">
      <c r="H10" t="s">
        <v>7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</row>
    <row r="13" spans="1:17" x14ac:dyDescent="0.3">
      <c r="L13">
        <v>12</v>
      </c>
    </row>
    <row r="14" spans="1:17" ht="86.4" x14ac:dyDescent="0.3">
      <c r="A14" s="10" t="s">
        <v>32</v>
      </c>
      <c r="B14" s="10" t="s">
        <v>40</v>
      </c>
      <c r="C14" s="10" t="s">
        <v>41</v>
      </c>
      <c r="D14" s="10" t="s">
        <v>42</v>
      </c>
      <c r="E14" s="10" t="s">
        <v>27</v>
      </c>
      <c r="F14" s="10" t="s">
        <v>44</v>
      </c>
      <c r="J14" t="s">
        <v>55</v>
      </c>
      <c r="K14" t="s">
        <v>47</v>
      </c>
      <c r="L14" t="s">
        <v>29</v>
      </c>
      <c r="M14" t="s">
        <v>23</v>
      </c>
      <c r="N14" t="s">
        <v>21</v>
      </c>
      <c r="O14" t="s">
        <v>25</v>
      </c>
      <c r="P14" t="s">
        <v>31</v>
      </c>
      <c r="Q14" t="s">
        <v>35</v>
      </c>
    </row>
    <row r="15" spans="1:17" ht="26.4" x14ac:dyDescent="0.3">
      <c r="A15" s="5" t="s">
        <v>7</v>
      </c>
      <c r="B15" s="5" t="s">
        <v>9</v>
      </c>
      <c r="C15" s="5" t="s">
        <v>12</v>
      </c>
      <c r="D15" s="5" t="s">
        <v>15</v>
      </c>
      <c r="E15" s="5" t="s">
        <v>18</v>
      </c>
      <c r="F15" s="5" t="s">
        <v>23</v>
      </c>
      <c r="J15" t="s">
        <v>32</v>
      </c>
      <c r="K15" t="s">
        <v>7</v>
      </c>
      <c r="L15">
        <v>5</v>
      </c>
      <c r="M15">
        <v>1</v>
      </c>
      <c r="N15">
        <v>4</v>
      </c>
      <c r="O15">
        <v>0</v>
      </c>
      <c r="P15">
        <f>-((1/5)*LOG((1/5),2) + (4/5)*LOG((4/5),2) )</f>
        <v>0.72192809488736231</v>
      </c>
      <c r="Q15" s="32">
        <v>0</v>
      </c>
    </row>
    <row r="16" spans="1:17" ht="26.4" x14ac:dyDescent="0.3">
      <c r="A16" s="5" t="s">
        <v>7</v>
      </c>
      <c r="B16" s="5" t="s">
        <v>11</v>
      </c>
      <c r="C16" s="5" t="s">
        <v>12</v>
      </c>
      <c r="D16" s="5" t="s">
        <v>14</v>
      </c>
      <c r="E16" s="5" t="s">
        <v>18</v>
      </c>
      <c r="F16" s="5" t="s">
        <v>24</v>
      </c>
      <c r="K16" t="s">
        <v>8</v>
      </c>
      <c r="Q16" s="32"/>
    </row>
    <row r="17" spans="1:17" ht="26.4" x14ac:dyDescent="0.3">
      <c r="A17" s="5" t="s">
        <v>7</v>
      </c>
      <c r="B17" s="5" t="s">
        <v>10</v>
      </c>
      <c r="C17" s="5" t="s">
        <v>12</v>
      </c>
      <c r="D17" s="5" t="s">
        <v>14</v>
      </c>
      <c r="E17" s="5" t="s">
        <v>18</v>
      </c>
      <c r="F17" s="5" t="s">
        <v>24</v>
      </c>
      <c r="J17" t="s">
        <v>48</v>
      </c>
      <c r="K17" t="s">
        <v>56</v>
      </c>
      <c r="L17">
        <v>1</v>
      </c>
      <c r="M17">
        <v>0</v>
      </c>
      <c r="N17">
        <v>1</v>
      </c>
      <c r="O17">
        <v>0</v>
      </c>
      <c r="P17">
        <f t="shared" ref="P17:P24" si="0">IF(L17=0,0,-(IF(M17=0,0,M17/L17*LOG(M17/L17,2)) + IF(N17=0,0,N17/L17*LOG(N17/L17,2)) + IF(O17=0,0,O17/L17*LOG(O61/L17,2))))</f>
        <v>0</v>
      </c>
      <c r="Q17" s="32">
        <f>G22 - (2/5)*P18</f>
        <v>0.32192809488736229</v>
      </c>
    </row>
    <row r="18" spans="1:17" ht="26.4" x14ac:dyDescent="0.3">
      <c r="A18" s="5" t="s">
        <v>7</v>
      </c>
      <c r="B18" s="5" t="s">
        <v>10</v>
      </c>
      <c r="C18" s="5" t="s">
        <v>13</v>
      </c>
      <c r="D18" s="5" t="s">
        <v>16</v>
      </c>
      <c r="E18" s="5" t="s">
        <v>18</v>
      </c>
      <c r="F18" s="5" t="s">
        <v>24</v>
      </c>
      <c r="K18" t="s">
        <v>9</v>
      </c>
      <c r="L18">
        <v>2</v>
      </c>
      <c r="M18">
        <v>1</v>
      </c>
      <c r="N18">
        <v>1</v>
      </c>
      <c r="O18">
        <v>0</v>
      </c>
      <c r="P18">
        <f t="shared" si="0"/>
        <v>1</v>
      </c>
      <c r="Q18" s="32"/>
    </row>
    <row r="19" spans="1:17" ht="26.4" x14ac:dyDescent="0.3">
      <c r="A19" s="5" t="s">
        <v>7</v>
      </c>
      <c r="B19" s="5" t="s">
        <v>9</v>
      </c>
      <c r="C19" s="5" t="s">
        <v>12</v>
      </c>
      <c r="D19" s="5" t="s">
        <v>14</v>
      </c>
      <c r="E19" s="5" t="s">
        <v>18</v>
      </c>
      <c r="F19" s="5" t="s">
        <v>24</v>
      </c>
      <c r="K19" t="s">
        <v>10</v>
      </c>
      <c r="L19">
        <v>2</v>
      </c>
      <c r="M19">
        <v>0</v>
      </c>
      <c r="N19">
        <v>2</v>
      </c>
      <c r="O19">
        <v>0</v>
      </c>
      <c r="P19">
        <f t="shared" si="0"/>
        <v>0</v>
      </c>
      <c r="Q19" s="32"/>
    </row>
    <row r="20" spans="1:17" x14ac:dyDescent="0.3">
      <c r="J20" t="s">
        <v>49</v>
      </c>
      <c r="K20" t="s">
        <v>57</v>
      </c>
      <c r="L20">
        <v>4</v>
      </c>
      <c r="M20">
        <v>1</v>
      </c>
      <c r="N20">
        <v>3</v>
      </c>
      <c r="O20">
        <v>0</v>
      </c>
      <c r="P20">
        <f t="shared" si="0"/>
        <v>0.81127812445913283</v>
      </c>
      <c r="Q20" s="32">
        <f>G22-(4/5)*P20</f>
        <v>7.2905595320056027E-2</v>
      </c>
    </row>
    <row r="21" spans="1:17" ht="26.4" x14ac:dyDescent="0.3">
      <c r="B21" s="14" t="s">
        <v>47</v>
      </c>
      <c r="C21" s="14" t="s">
        <v>29</v>
      </c>
      <c r="D21" s="14" t="s">
        <v>23</v>
      </c>
      <c r="E21" s="14" t="s">
        <v>21</v>
      </c>
      <c r="F21" s="14" t="s">
        <v>25</v>
      </c>
      <c r="G21" s="14" t="s">
        <v>31</v>
      </c>
      <c r="H21" s="14"/>
      <c r="K21" t="s">
        <v>13</v>
      </c>
      <c r="L21">
        <v>1</v>
      </c>
      <c r="M21">
        <v>0</v>
      </c>
      <c r="N21">
        <v>1</v>
      </c>
      <c r="O21">
        <v>0</v>
      </c>
      <c r="P21">
        <f t="shared" si="0"/>
        <v>0</v>
      </c>
      <c r="Q21" s="32"/>
    </row>
    <row r="22" spans="1:17" x14ac:dyDescent="0.3">
      <c r="B22" t="s">
        <v>18</v>
      </c>
      <c r="C22">
        <v>5</v>
      </c>
      <c r="D22">
        <v>1</v>
      </c>
      <c r="E22">
        <v>4</v>
      </c>
      <c r="F22">
        <v>0</v>
      </c>
      <c r="G22">
        <f t="shared" ref="G22" si="1">IF(C22=0,0,-(IF(D22=0,0,D22/C22*LOG(D22/C22,2)) + IF(E22=0,0,E22/C22*LOG(E22/C22,2)) + IF(F22=0,0,F22/C22*LOG(F22/C22,2))))</f>
        <v>0.72192809488736231</v>
      </c>
      <c r="J22" t="s">
        <v>51</v>
      </c>
      <c r="K22" t="s">
        <v>58</v>
      </c>
      <c r="L22">
        <v>3</v>
      </c>
      <c r="M22">
        <v>0</v>
      </c>
      <c r="N22">
        <v>3</v>
      </c>
      <c r="O22">
        <v>0</v>
      </c>
      <c r="P22">
        <f t="shared" si="0"/>
        <v>0</v>
      </c>
      <c r="Q22" s="33">
        <f>G22</f>
        <v>0.72192809488736231</v>
      </c>
    </row>
    <row r="23" spans="1:17" x14ac:dyDescent="0.3">
      <c r="K23" t="s">
        <v>15</v>
      </c>
      <c r="L23">
        <v>1</v>
      </c>
      <c r="M23">
        <v>1</v>
      </c>
      <c r="N23">
        <v>0</v>
      </c>
      <c r="O23">
        <v>0</v>
      </c>
      <c r="P23">
        <f t="shared" si="0"/>
        <v>0</v>
      </c>
      <c r="Q23" s="33"/>
    </row>
    <row r="24" spans="1:17" x14ac:dyDescent="0.3">
      <c r="K24" t="s">
        <v>16</v>
      </c>
      <c r="L24">
        <v>1</v>
      </c>
      <c r="M24">
        <v>0</v>
      </c>
      <c r="N24">
        <v>1</v>
      </c>
      <c r="O24">
        <v>0</v>
      </c>
      <c r="P24">
        <f t="shared" si="0"/>
        <v>0</v>
      </c>
      <c r="Q24" s="33"/>
    </row>
    <row r="25" spans="1:17" x14ac:dyDescent="0.3">
      <c r="P25">
        <f t="shared" ref="P25:P36" si="2">IF(L25=0,0,-(IF(M25=0,0,M25/L25*LOG(M25/L25,2)) + IF(N25=0,0,N25/L25*LOG(N25/L25,2)) + IF(O25=0,0,O25/L25*LOG(O69/L25,2))))</f>
        <v>0</v>
      </c>
    </row>
    <row r="26" spans="1:17" x14ac:dyDescent="0.3">
      <c r="P26">
        <f t="shared" si="2"/>
        <v>0</v>
      </c>
    </row>
    <row r="27" spans="1:17" ht="86.4" x14ac:dyDescent="0.3">
      <c r="A27" s="10" t="s">
        <v>32</v>
      </c>
      <c r="B27" s="10" t="s">
        <v>40</v>
      </c>
      <c r="C27" s="10" t="s">
        <v>41</v>
      </c>
      <c r="D27" s="10" t="s">
        <v>42</v>
      </c>
      <c r="E27" s="10" t="s">
        <v>27</v>
      </c>
      <c r="F27" s="10" t="s">
        <v>44</v>
      </c>
      <c r="J27" t="s">
        <v>55</v>
      </c>
      <c r="K27" t="s">
        <v>47</v>
      </c>
      <c r="L27" t="s">
        <v>29</v>
      </c>
      <c r="M27" t="s">
        <v>23</v>
      </c>
      <c r="N27" t="s">
        <v>21</v>
      </c>
      <c r="O27" t="s">
        <v>25</v>
      </c>
      <c r="P27" t="s">
        <v>31</v>
      </c>
      <c r="Q27" t="s">
        <v>35</v>
      </c>
    </row>
    <row r="28" spans="1:17" ht="26.4" x14ac:dyDescent="0.3">
      <c r="A28" s="5" t="s">
        <v>7</v>
      </c>
      <c r="B28" s="5" t="s">
        <v>9</v>
      </c>
      <c r="C28" s="5" t="s">
        <v>12</v>
      </c>
      <c r="D28" s="5" t="s">
        <v>15</v>
      </c>
      <c r="E28" s="5" t="s">
        <v>17</v>
      </c>
      <c r="F28" s="5" t="s">
        <v>24</v>
      </c>
      <c r="J28" t="s">
        <v>32</v>
      </c>
      <c r="K28" t="s">
        <v>7</v>
      </c>
      <c r="L28">
        <v>2</v>
      </c>
      <c r="M28">
        <v>0</v>
      </c>
      <c r="N28">
        <v>1</v>
      </c>
      <c r="O28">
        <v>1</v>
      </c>
      <c r="P28">
        <f>IF(L28=0,0,-(IF(M28=0,0,M28/L28*LOG(M28/L28,2)) + IF(N28=0,0,N28/L28*LOG(N28/L28,2)) + IF(O28=0,0,O28/L28*LOG(O28/L28,2))))</f>
        <v>1</v>
      </c>
      <c r="Q28" s="33">
        <f>G37-(2/7)*P28</f>
        <v>0.30595849286804178</v>
      </c>
    </row>
    <row r="29" spans="1:17" ht="26.4" x14ac:dyDescent="0.3">
      <c r="A29" s="5" t="s">
        <v>8</v>
      </c>
      <c r="B29" s="5" t="s">
        <v>11</v>
      </c>
      <c r="C29" s="5" t="s">
        <v>12</v>
      </c>
      <c r="D29" s="5" t="s">
        <v>14</v>
      </c>
      <c r="E29" s="5" t="s">
        <v>17</v>
      </c>
      <c r="F29" s="5" t="s">
        <v>24</v>
      </c>
      <c r="K29" t="s">
        <v>8</v>
      </c>
      <c r="L29">
        <v>5</v>
      </c>
      <c r="M29">
        <v>0</v>
      </c>
      <c r="N29">
        <v>5</v>
      </c>
      <c r="O29">
        <v>0</v>
      </c>
      <c r="P29">
        <f t="shared" si="2"/>
        <v>0</v>
      </c>
      <c r="Q29" s="33"/>
    </row>
    <row r="30" spans="1:17" ht="26.4" x14ac:dyDescent="0.3">
      <c r="A30" s="5" t="s">
        <v>8</v>
      </c>
      <c r="B30" s="5" t="s">
        <v>11</v>
      </c>
      <c r="C30" s="5" t="s">
        <v>12</v>
      </c>
      <c r="D30" s="5" t="s">
        <v>15</v>
      </c>
      <c r="E30" s="5" t="s">
        <v>17</v>
      </c>
      <c r="F30" s="5" t="s">
        <v>24</v>
      </c>
      <c r="J30" t="s">
        <v>48</v>
      </c>
      <c r="K30" t="s">
        <v>56</v>
      </c>
      <c r="L30">
        <v>2</v>
      </c>
      <c r="M30">
        <v>0</v>
      </c>
      <c r="N30">
        <v>2</v>
      </c>
      <c r="O30">
        <v>0</v>
      </c>
      <c r="P30">
        <f t="shared" si="2"/>
        <v>0</v>
      </c>
      <c r="Q30" s="32">
        <f>G37 -(5/7)*P31</f>
        <v>7.60098536627829E-2</v>
      </c>
    </row>
    <row r="31" spans="1:17" ht="26.4" x14ac:dyDescent="0.3">
      <c r="A31" s="5" t="s">
        <v>8</v>
      </c>
      <c r="B31" s="5" t="s">
        <v>9</v>
      </c>
      <c r="C31" s="5" t="s">
        <v>12</v>
      </c>
      <c r="D31" s="5" t="s">
        <v>14</v>
      </c>
      <c r="E31" s="5" t="s">
        <v>17</v>
      </c>
      <c r="F31" s="5" t="s">
        <v>24</v>
      </c>
      <c r="K31" t="s">
        <v>9</v>
      </c>
      <c r="L31">
        <v>5</v>
      </c>
      <c r="M31">
        <v>0</v>
      </c>
      <c r="N31">
        <v>4</v>
      </c>
      <c r="O31">
        <v>1</v>
      </c>
      <c r="P31">
        <f>IF(L31=0,0,-(IF(M31=0,0,M31/L31*LOG(M31/L31,2)) + IF(N31=0,0,N31/L31*LOG(N31/L31,2)) + IF(O31=0,0,O31/L31*LOG(O31/L31,2))))</f>
        <v>0.72192809488736231</v>
      </c>
      <c r="Q31" s="32"/>
    </row>
    <row r="32" spans="1:17" ht="26.4" x14ac:dyDescent="0.3">
      <c r="A32" s="5" t="s">
        <v>8</v>
      </c>
      <c r="B32" s="5" t="s">
        <v>9</v>
      </c>
      <c r="C32" s="5" t="s">
        <v>12</v>
      </c>
      <c r="D32" s="5" t="s">
        <v>15</v>
      </c>
      <c r="E32" s="5" t="s">
        <v>17</v>
      </c>
      <c r="F32" s="5" t="s">
        <v>24</v>
      </c>
      <c r="K32" t="s">
        <v>10</v>
      </c>
      <c r="Q32" s="32"/>
    </row>
    <row r="33" spans="1:17" ht="26.4" x14ac:dyDescent="0.3">
      <c r="A33" s="5" t="s">
        <v>8</v>
      </c>
      <c r="B33" s="5" t="s">
        <v>9</v>
      </c>
      <c r="C33" s="5" t="s">
        <v>12</v>
      </c>
      <c r="D33" s="5" t="s">
        <v>14</v>
      </c>
      <c r="E33" s="5" t="s">
        <v>17</v>
      </c>
      <c r="F33" s="5" t="s">
        <v>24</v>
      </c>
      <c r="J33" t="s">
        <v>49</v>
      </c>
      <c r="K33" t="s">
        <v>57</v>
      </c>
      <c r="L33">
        <v>7</v>
      </c>
      <c r="M33">
        <v>0</v>
      </c>
      <c r="N33">
        <v>6</v>
      </c>
      <c r="O33">
        <v>1</v>
      </c>
      <c r="P33">
        <f>IF(L33=0,0,-(IF(M33=0,0,M33/L33*LOG(M33/L33,2)) + IF(N33=0,0,N33/L33*LOG(N33/L33,2)) + IF(O33=0,0,O33/L33*LOG(O33/L33,2))))</f>
        <v>0.59167277858232747</v>
      </c>
      <c r="Q33" s="32">
        <v>0</v>
      </c>
    </row>
    <row r="34" spans="1:17" ht="26.4" x14ac:dyDescent="0.3">
      <c r="A34" s="11" t="s">
        <v>7</v>
      </c>
      <c r="B34" s="11" t="s">
        <v>9</v>
      </c>
      <c r="C34" s="11" t="s">
        <v>12</v>
      </c>
      <c r="D34" s="11" t="s">
        <v>14</v>
      </c>
      <c r="E34" s="11" t="s">
        <v>17</v>
      </c>
      <c r="F34" s="11" t="s">
        <v>25</v>
      </c>
      <c r="K34" t="s">
        <v>13</v>
      </c>
      <c r="P34">
        <f t="shared" si="2"/>
        <v>0</v>
      </c>
      <c r="Q34" s="32"/>
    </row>
    <row r="35" spans="1:17" x14ac:dyDescent="0.3">
      <c r="J35" t="s">
        <v>51</v>
      </c>
      <c r="K35" t="s">
        <v>58</v>
      </c>
      <c r="L35">
        <v>4</v>
      </c>
      <c r="M35">
        <v>0</v>
      </c>
      <c r="N35">
        <v>3</v>
      </c>
      <c r="O35">
        <v>1</v>
      </c>
      <c r="P35" s="24">
        <f>IF(L35=0,0,-(IF(M35=0,0,M35/L35*LOG(M35/L35,2)) + IF(N35=0,0,N35/L35*LOG(N35/L35,2)) + IF(O35=0,0,O35/L35*LOG(O35/L35,2))))</f>
        <v>0.81127812445913283</v>
      </c>
      <c r="Q35" s="32">
        <f>G37 - (4/7)*P35</f>
        <v>0.12808527889139443</v>
      </c>
    </row>
    <row r="36" spans="1:17" ht="26.4" x14ac:dyDescent="0.3">
      <c r="B36" s="14" t="s">
        <v>47</v>
      </c>
      <c r="C36" s="14" t="s">
        <v>29</v>
      </c>
      <c r="D36" s="14" t="s">
        <v>23</v>
      </c>
      <c r="E36" s="14" t="s">
        <v>21</v>
      </c>
      <c r="F36" s="14" t="s">
        <v>25</v>
      </c>
      <c r="G36" s="14" t="s">
        <v>31</v>
      </c>
      <c r="K36" t="s">
        <v>15</v>
      </c>
      <c r="L36">
        <v>3</v>
      </c>
      <c r="M36">
        <v>0</v>
      </c>
      <c r="N36">
        <v>3</v>
      </c>
      <c r="O36">
        <v>0</v>
      </c>
      <c r="P36">
        <f t="shared" si="2"/>
        <v>0</v>
      </c>
      <c r="Q36" s="32"/>
    </row>
    <row r="37" spans="1:17" x14ac:dyDescent="0.3">
      <c r="B37" s="14" t="s">
        <v>17</v>
      </c>
      <c r="C37">
        <v>7</v>
      </c>
      <c r="D37">
        <v>0</v>
      </c>
      <c r="E37">
        <v>6</v>
      </c>
      <c r="F37">
        <v>1</v>
      </c>
      <c r="G37">
        <f>IF(D37=0,0,-(D37/C37*LOG(D37/C37,2))) + IF(E37=0,0,-(E37/C37*LOG(E37/C37,2))) + IF(F37=0,0,-(F37/C37*LOG(F37/C37,2)))</f>
        <v>0.59167277858232747</v>
      </c>
      <c r="K37" t="s">
        <v>16</v>
      </c>
      <c r="Q37" s="32"/>
    </row>
  </sheetData>
  <mergeCells count="9">
    <mergeCell ref="Q28:Q29"/>
    <mergeCell ref="Q30:Q32"/>
    <mergeCell ref="Q33:Q34"/>
    <mergeCell ref="Q35:Q37"/>
    <mergeCell ref="N7:N8"/>
    <mergeCell ref="Q15:Q16"/>
    <mergeCell ref="Q22:Q24"/>
    <mergeCell ref="Q20:Q21"/>
    <mergeCell ref="Q17:Q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Sheet2!Criteria</vt:lpstr>
      <vt:lpstr>Sheet3!Criteria</vt:lpstr>
      <vt:lpstr>Sheet2!Extract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PC</cp:lastModifiedBy>
  <dcterms:created xsi:type="dcterms:W3CDTF">2025-03-11T09:41:12Z</dcterms:created>
  <dcterms:modified xsi:type="dcterms:W3CDTF">2025-03-13T18:59:36Z</dcterms:modified>
</cp:coreProperties>
</file>