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queryTables/queryTable1.xml" ContentType="application/vnd.openxmlformats-officedocument.spreadsheetml.queryTable+xml"/>
  <Override PartName="/xl/comments2.xml" ContentType="application/vnd.openxmlformats-officedocument.spreadsheetml.comments+xml"/>
  <Override PartName="/xl/drawings/drawing3.xml" ContentType="application/vnd.openxmlformats-officedocument.drawing+xml"/>
  <Override PartName="/xl/ctrlProps/ctrlProp13.xml" ContentType="application/vnd.ms-excel.controlproperties+xml"/>
  <Override PartName="/xl/drawings/drawing4.xml" ContentType="application/vnd.openxmlformats-officedocument.drawing+xml"/>
  <Override PartName="/xl/ctrlProps/ctrlProp14.xml" ContentType="application/vnd.ms-excel.controlproperties+xml"/>
  <Override PartName="/xl/queryTables/queryTable2.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trlProps/ctrlProp15.xml" ContentType="application/vnd.ms-excel.controlproperties+xml"/>
  <Override PartName="/xl/comments4.xml" ContentType="application/vnd.openxmlformats-officedocument.spreadsheetml.comments+xml"/>
  <Override PartName="/xl/comments5.xml" ContentType="application/vnd.openxmlformats-officedocument.spreadsheetml.comments+xml"/>
  <Override PartName="/xl/drawings/drawing7.xml" ContentType="application/vnd.openxmlformats-officedocument.drawing+xml"/>
  <Override PartName="/xl/ctrlProps/ctrlProp16.xml" ContentType="application/vnd.ms-excel.controlproperties+xml"/>
  <Override PartName="/xl/ctrlProps/ctrlProp17.xml" ContentType="application/vnd.ms-excel.controlproperties+xml"/>
  <Override PartName="/xl/tables/table4.xml" ContentType="application/vnd.openxmlformats-officedocument.spreadsheetml.table+xml"/>
  <Override PartName="/xl/drawings/drawing8.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drawings/drawing9.xml" ContentType="application/vnd.openxmlformats-officedocument.drawing+xml"/>
  <Override PartName="/xl/ctrlProps/ctrlProp18.xml" ContentType="application/vnd.ms-excel.controlproperties+xml"/>
  <Override PartName="/xl/comments9.xml" ContentType="application/vnd.openxmlformats-officedocument.spreadsheetml.comments+xml"/>
  <Override PartName="/xl/comments10.xml" ContentType="application/vnd.openxmlformats-officedocument.spreadsheetml.comments+xml"/>
  <Override PartName="/xl/threadedComments/threadedComment2.xml" ContentType="application/vnd.ms-excel.threadedcomments+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drawings/drawing10.xml" ContentType="application/vnd.openxmlformats-officedocument.drawing+xml"/>
  <Override PartName="/xl/ctrlProps/ctrlProp19.xml" ContentType="application/vnd.ms-excel.controlproperties+xml"/>
  <Override PartName="/xl/queryTables/queryTable3.xml" ContentType="application/vnd.openxmlformats-officedocument.spreadsheetml.queryTable+xml"/>
  <Override PartName="/xl/drawings/drawing11.xml" ContentType="application/vnd.openxmlformats-officedocument.drawing+xml"/>
  <Override PartName="/xl/ctrlProps/ctrlProp20.xml" ContentType="application/vnd.ms-excel.controlproperties+xml"/>
  <Override PartName="/xl/queryTables/queryTable4.xml" ContentType="application/vnd.openxmlformats-officedocument.spreadsheetml.query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updateLinks="never" codeName="ThisWorkbook" defaultThemeVersion="124226"/>
  <mc:AlternateContent xmlns:mc="http://schemas.openxmlformats.org/markup-compatibility/2006">
    <mc:Choice Requires="x15">
      <x15ac:absPath xmlns:x15ac="http://schemas.microsoft.com/office/spreadsheetml/2010/11/ac" url="C:\Users\Main\Desktop\Work\Jobs\304909\"/>
    </mc:Choice>
  </mc:AlternateContent>
  <xr:revisionPtr revIDLastSave="0" documentId="8_{4496B5D4-108E-4603-AB58-85E0DA953ECA}" xr6:coauthVersionLast="47" xr6:coauthVersionMax="47" xr10:uidLastSave="{00000000-0000-0000-0000-000000000000}"/>
  <bookViews>
    <workbookView xWindow="28680" yWindow="-120" windowWidth="29040" windowHeight="15840" activeTab="1" xr2:uid="{7612A2E1-8F0C-4E4B-B7C7-255FCFA1AC6E}"/>
  </bookViews>
  <sheets>
    <sheet name="Bill" sheetId="64" r:id="rId1"/>
    <sheet name="Addenda" sheetId="47" r:id="rId2"/>
    <sheet name="CSV GF" sheetId="24" r:id="rId3"/>
    <sheet name="CSV FF" sheetId="27" r:id="rId4"/>
    <sheet name="Contract PS" sheetId="69" r:id="rId5"/>
    <sheet name="Quotes" sheetId="70" r:id="rId6"/>
    <sheet name="Data Sheet" sheetId="2" r:id="rId7"/>
    <sheet name="Preliminaries" sheetId="12" r:id="rId8"/>
    <sheet name="Lintel Sheet" sheetId="7" r:id="rId9"/>
    <sheet name="Lintel &amp; Beam Summary" sheetId="18" r:id="rId10"/>
    <sheet name="Steel Beams and Columns" sheetId="9" r:id="rId11"/>
    <sheet name="Brickwork GF" sheetId="25" r:id="rId12"/>
    <sheet name="Brickwork FF" sheetId="26" r:id="rId13"/>
    <sheet name="Drywall Quants" sheetId="37" state="hidden" r:id="rId14"/>
    <sheet name="Plaster Ceilings Insulation" sheetId="11" r:id="rId15"/>
    <sheet name="Drywall Cladding" sheetId="31" state="hidden" r:id="rId16"/>
    <sheet name="Roof Formulas GF" sheetId="16" r:id="rId17"/>
    <sheet name="Roof Formulas FF" sheetId="30" r:id="rId18"/>
    <sheet name="External Cladding" sheetId="38" r:id="rId19"/>
    <sheet name="Roof Timber GF" sheetId="15" r:id="rId20"/>
    <sheet name="Roof Timber FF" sheetId="28" r:id="rId21"/>
    <sheet name="Mouldings" sheetId="13" r:id="rId22"/>
    <sheet name="Tiles" sheetId="52" r:id="rId23"/>
    <sheet name="Grano  Paving" sheetId="10" r:id="rId24"/>
    <sheet name="Lists &amp; Tables" sheetId="46" r:id="rId25"/>
    <sheet name="Lists" sheetId="17" r:id="rId26"/>
    <sheet name="Eng Full Cert" sheetId="54" r:id="rId27"/>
    <sheet name="Eng Site Report" sheetId="53" r:id="rId28"/>
  </sheets>
  <functionGroups builtInGroupCount="19"/>
  <definedNames>
    <definedName name="_xlnm._FilterDatabase" localSheetId="1" hidden="1">Addenda!$A$1:$A$889</definedName>
    <definedName name="_xlnm._FilterDatabase" localSheetId="0" hidden="1">Bill!$K$1:$L$2220</definedName>
    <definedName name="_xlnm._FilterDatabase" localSheetId="2" hidden="1">'CSV GF'!$A:$E</definedName>
    <definedName name="_xlnm._FilterDatabase" localSheetId="6" hidden="1">'Data Sheet'!$L$2:$L$19</definedName>
    <definedName name="_xlnm._FilterDatabase" localSheetId="26" hidden="1">'Eng Full Cert'!$A$1:$A$1506</definedName>
    <definedName name="_xlnm._FilterDatabase" localSheetId="27" hidden="1">'Eng Site Report'!$A$1:$A$309</definedName>
    <definedName name="_xlnm._FilterDatabase" localSheetId="21" hidden="1">Mouldings!$A$5:$AG$19</definedName>
    <definedName name="_xlnm._FilterDatabase" localSheetId="7" hidden="1">Preliminaries!$D$1:$D$43</definedName>
    <definedName name="_xlnm._FilterDatabase" localSheetId="5" hidden="1">Quotes!$A$30:$F$55</definedName>
    <definedName name="_xlnm._FilterDatabase" localSheetId="19" hidden="1">'Roof Timber GF'!$AP$5:$AP$53</definedName>
    <definedName name="_xlnm._FilterDatabase" localSheetId="22" hidden="1">Tiles!$A$195:$F$241</definedName>
    <definedName name="AccountName" hidden="1">#REF!</definedName>
    <definedName name="Addenda" localSheetId="1">Addenda!$A$1:$A$328</definedName>
    <definedName name="Addenda_Stormwater">Addenda!#REF!</definedName>
    <definedName name="Address">'Data Sheet'!$B$5</definedName>
    <definedName name="AHKFolder">Addenda!$F$13</definedName>
    <definedName name="Amount" hidden="1">#REF!</definedName>
    <definedName name="Answer">Lists!$J$85:$J$86</definedName>
    <definedName name="Area">'CSV GF'!$D$2:$D$1048576</definedName>
    <definedName name="Area_Code">'Lists &amp; Tables'!$A$411:$B$417</definedName>
    <definedName name="AreaFF">'CSV FF'!$F:$F</definedName>
    <definedName name="AreaLoading">'Lists &amp; Tables'!$A$511:$C$584</definedName>
    <definedName name="Backopening">Lists!$A$32:$A$33</definedName>
    <definedName name="BAL">'Data Sheet'!$B$29</definedName>
    <definedName name="BAL29_Trim">'Roof Formulas GF'!$B$50</definedName>
    <definedName name="BankBalance" hidden="1">#REF!</definedName>
    <definedName name="Bar_Chairs">Preliminaries!$C$39</definedName>
    <definedName name="Bath_Border_Height">Tiles!$T$7</definedName>
    <definedName name="Bath_Border_Width">Tiles!$U$7</definedName>
    <definedName name="Bath_Floor_Height">Tiles!$I$6</definedName>
    <definedName name="Bath_Floor_Width">Tiles!$K$6</definedName>
    <definedName name="Bath_Wall_Height">Tiles!$B$6</definedName>
    <definedName name="Bath_Wall_Width">Tiles!$D$6</definedName>
    <definedName name="Bath2_Wall_Height">Tiles!$B$230</definedName>
    <definedName name="Bath2_Wall_Width">Tiles!$D$230</definedName>
    <definedName name="Beamtypes">Lists!$J$32:$J$39</definedName>
    <definedName name="Brick_type">'Data Sheet'!$B$24</definedName>
    <definedName name="Brick_typeFF">'Data Sheet'!$D$24</definedName>
    <definedName name="Brickcourses">Lists!$D$44:$D$50</definedName>
    <definedName name="Bricklintels">Lists!$H$5:$H$12</definedName>
    <definedName name="BricksPerM2">'Data Sheet'!$P$2:$P$65413</definedName>
    <definedName name="Bricksupplier">Lists!$L$56:$L$61</definedName>
    <definedName name="BrickType">Addenda!$C$4</definedName>
    <definedName name="BrikmakersZone5">'Lists &amp; Tables'!#REF!</definedName>
    <definedName name="BunningsZone1">'Lists &amp; Tables'!$A$484:$A$498</definedName>
    <definedName name="BunningsZone2">'Lists &amp; Tables'!$B$484:$B$489</definedName>
    <definedName name="BunningsZone3">'Lists &amp; Tables'!$C$484:$C$490</definedName>
    <definedName name="BunningsZone4">'Lists &amp; Tables'!$D$484:$D$493</definedName>
    <definedName name="BunningsZone5">'Lists &amp; Tables'!$E$484:$E$486</definedName>
    <definedName name="BunningsZone6">'Lists &amp; Tables'!#REF!</definedName>
    <definedName name="BusinessSettings" hidden="1">#REF!</definedName>
    <definedName name="Ceilings_First">'Plaster Ceilings Insulation'!$J$30</definedName>
    <definedName name="Ceilings_Ground">'Plaster Ceilings Insulation'!$J$29</definedName>
    <definedName name="Check" hidden="1">#REF!</definedName>
    <definedName name="CheckAmount" hidden="1">#REF!</definedName>
    <definedName name="CheckAmountWrit" hidden="1">#REF!</definedName>
    <definedName name="CheckDate" hidden="1">#REF!</definedName>
    <definedName name="CheckDateF" hidden="1">#REF!</definedName>
    <definedName name="CheckDateRt" hidden="1">#REF!</definedName>
    <definedName name="CheckFormat" hidden="1">#REF!</definedName>
    <definedName name="CheckMemo" hidden="1">#REF!</definedName>
    <definedName name="CheckPayee" hidden="1">#REF!</definedName>
    <definedName name="CheckReg" hidden="1">#REF!</definedName>
    <definedName name="CheckStatus" hidden="1">#REF!</definedName>
    <definedName name="CheckYearF" hidden="1">#REF!</definedName>
    <definedName name="Cladding">Lists!$D$66:$I$81</definedName>
    <definedName name="Cladding_Type">Lists!$D$65:$D$76</definedName>
    <definedName name="clear">OFFSET(Bill!$F$31,0,0,COUNTA(OFFSET(Bill!$F$31,0,0,99)),4)</definedName>
    <definedName name="Cleared" hidden="1">#REF!</definedName>
    <definedName name="ClearedCriteria" hidden="1">#REF!</definedName>
    <definedName name="Coastal">'Data Sheet'!$B$23</definedName>
    <definedName name="Com_Wall">'Data Sheet'!$B$15</definedName>
    <definedName name="CommonsFaceM2">'Brickwork GF'!$D$41</definedName>
    <definedName name="CommonsRender">'Brickwork GF'!$I$76</definedName>
    <definedName name="CommonsRenderM2">'Brickwork GF'!$D$76</definedName>
    <definedName name="Concrete_Pump">Preliminaries!$H$40</definedName>
    <definedName name="Concrete_Total">Preliminaries!$H$34</definedName>
    <definedName name="ConcreteSlabThickness">Preliminaries!$F$26</definedName>
    <definedName name="ContractValue">'Data Sheet'!$B$27</definedName>
    <definedName name="Corrosion_Classification">'Data Sheet'!$B$25</definedName>
    <definedName name="CountFF">'CSV FF'!$D:$D</definedName>
    <definedName name="CourseStd">Lists!$AC$1</definedName>
    <definedName name="CourseTwo">Lists!$AC$2</definedName>
    <definedName name="CritBusiness" hidden="1">#REF!</definedName>
    <definedName name="CritCharity" hidden="1">#REF!</definedName>
    <definedName name="CritChildCare" hidden="1">#REF!</definedName>
    <definedName name="CritClothes" hidden="1">#REF!</definedName>
    <definedName name="CritDividend" hidden="1">#REF!</definedName>
    <definedName name="CritEntertainment" hidden="1">#REF!</definedName>
    <definedName name="_xlnm.Criteria" localSheetId="9">'Lintel &amp; Beam Summary'!$L$1:$L$2</definedName>
    <definedName name="CritFood" hidden="1">#REF!</definedName>
    <definedName name="CritHealth" hidden="1">#REF!</definedName>
    <definedName name="CritHomeImprov" hidden="1">#REF!</definedName>
    <definedName name="CritHomeMaint" hidden="1">#REF!</definedName>
    <definedName name="CritIncome" hidden="1">#REF!</definedName>
    <definedName name="CritInvest" hidden="1">#REF!</definedName>
    <definedName name="CritMisc" hidden="1">#REF!</definedName>
    <definedName name="CritOffice" hidden="1">#REF!</definedName>
    <definedName name="CritPersonal" hidden="1">#REF!</definedName>
    <definedName name="CritRent" hidden="1">#REF!</definedName>
    <definedName name="CritSchool" hidden="1">#REF!</definedName>
    <definedName name="CritTaxes" hidden="1">#REF!</definedName>
    <definedName name="CritTransportation" hidden="1">#REF!</definedName>
    <definedName name="CritTravel" hidden="1">#REF!</definedName>
    <definedName name="CritUtilities" hidden="1">#REF!</definedName>
    <definedName name="CritWages" hidden="1">#REF!</definedName>
    <definedName name="CSVtoBuildxFolder">Addenda!$F$14</definedName>
    <definedName name="DaysUsed" hidden="1">#REF!</definedName>
    <definedName name="DebtAssist">Addenda!$C$7</definedName>
    <definedName name="Deduct_Raking_Bulkheads">'Plaster Ceilings Insulation'!$J$34</definedName>
    <definedName name="Deduct_Square_Bulkheads">'Plaster Ceilings Insulation'!$J$35</definedName>
    <definedName name="Diagonal_Slab_Dimension">'Data Sheet'!$B$22</definedName>
    <definedName name="Dowells">Preliminaries!$C$42</definedName>
    <definedName name="Dummy_Handle_Count">Addenda!$C$5</definedName>
    <definedName name="DuraclayInternal">'Brickwork GF'!$I$100</definedName>
    <definedName name="DuraclayInternalM2">'Brickwork GF'!$D$100</definedName>
    <definedName name="DuraclayRender">'Brickwork GF'!$I$74</definedName>
    <definedName name="DuraclayVCRenderM2">'Brickwork GF'!$D$74</definedName>
    <definedName name="Duragaltype">Lists!$L$32:$L$34</definedName>
    <definedName name="Eng_Footing">'Data Sheet'!$B$21</definedName>
    <definedName name="Eng_Site_Report" localSheetId="26">'Eng Full Cert'!$A$1:$A$474</definedName>
    <definedName name="Eng_Site_Report" localSheetId="27">'Eng Site Report'!$A$1:$A$247</definedName>
    <definedName name="Eng_SlabMesh">Preliminaries!$G$38</definedName>
    <definedName name="Eng_SRP">Addenda!#REF!</definedName>
    <definedName name="Ens_Border_Height">Tiles!$T$6</definedName>
    <definedName name="Ens_Border_Width">Tiles!$U$6</definedName>
    <definedName name="Ens_Floor_Height">Tiles!$I$54</definedName>
    <definedName name="Ens_Floor_Width">Tiles!$K$54</definedName>
    <definedName name="Ens_Wall_Height">Tiles!$B$54</definedName>
    <definedName name="Ens_Wall_Width">Tiles!$D$54</definedName>
    <definedName name="Ens2_Wall_Height">Tiles!$B$278</definedName>
    <definedName name="Ens2_Wall_Width">Tiles!$D$278</definedName>
    <definedName name="EoBrickbondTiles">Tiles!#REF!</definedName>
    <definedName name="EoCheckerboard">Tiles!$B$384</definedName>
    <definedName name="EoHexagonal">Tiles!$B$385</definedName>
    <definedName name="EoLargeTiles">Tiles!$B$381</definedName>
    <definedName name="EoRectifiedTIles">Tiles!$B$382</definedName>
    <definedName name="EoSmallTiles">Tiles!$B$380</definedName>
    <definedName name="expAgg">'Lists &amp; Tables'!$A$437:$D$454</definedName>
    <definedName name="ExpDate" hidden="1">#REF!</definedName>
    <definedName name="ExpenseType" hidden="1">#REF!</definedName>
    <definedName name="Expired" hidden="1">#REF!</definedName>
    <definedName name="ExposedAggArea">'Grano  Paving'!$F$3</definedName>
    <definedName name="ExposedAggPerim">'Grano  Paving'!$F$4</definedName>
    <definedName name="Ext_Feature_Height">Tiles!$T$8</definedName>
    <definedName name="Ext_Feature_Width">Tiles!$U$8</definedName>
    <definedName name="Ext_Ren_Total" localSheetId="12">'Brickwork FF'!$K$59</definedName>
    <definedName name="_xlnm.Extract" localSheetId="9">'Lintel &amp; Beam Summary'!$A$316:$C$316</definedName>
    <definedName name="_xlnm.Extract" hidden="1">#REF!</definedName>
    <definedName name="FaceBlocks">'Brickwork GF'!$S$38</definedName>
    <definedName name="FaceBlocksM2">'Brickwork GF'!$N$38</definedName>
    <definedName name="FaceCommon">'Brickwork GF'!$I$41</definedName>
    <definedName name="FaceCored">'Brickwork GF'!$I$38</definedName>
    <definedName name="FaceSolid">'Brickwork GF'!$I$39</definedName>
    <definedName name="FaceVert76CoredM2">'Brickwork GF'!$N$40</definedName>
    <definedName name="FaceVert76SolidM2">'Brickwork GF'!$N$41</definedName>
    <definedName name="FasciaClipsEndFix">'Roof Formulas GF'!$B$43</definedName>
    <definedName name="FasciaClipsSideFix">'Roof Formulas GF'!$D$43</definedName>
    <definedName name="FasciaLengthTotal">'Roof Formulas GF'!$B$41</definedName>
    <definedName name="FasciaLengthTotalFF">'Roof Formulas FF'!$B$41</definedName>
    <definedName name="FasciaType">Addenda!$C$3</definedName>
    <definedName name="FF_Area">'Data Sheet'!$D$7</definedName>
    <definedName name="FF_Eave_Length">'Data Sheet'!$D$18</definedName>
    <definedName name="FF_Eaves">'Data Sheet'!$D$19</definedName>
    <definedName name="FF_Perim">'Data Sheet'!$D$8</definedName>
    <definedName name="FF_Roof_Area">'Data Sheet'!$D$9</definedName>
    <definedName name="FinishingBlocks">'Brickwork GF'!$S$42</definedName>
    <definedName name="FinishingBrick">'Data Sheet'!$L$1:$L$65509</definedName>
    <definedName name="FinishingBrickM2">'Brickwork GF'!$N$42</definedName>
    <definedName name="FirstAccount" hidden="1">#REF!</definedName>
    <definedName name="FirstCheck" hidden="1">#REF!</definedName>
    <definedName name="FirstTime" hidden="1">#REF!</definedName>
    <definedName name="FloorTileLabourTotal">Tiles!$B$379</definedName>
    <definedName name="Footing_Labour">Preliminaries!$G$22</definedName>
    <definedName name="Footing_Supply">Preliminaries!$G$23</definedName>
    <definedName name="Footing_Type">'Lists &amp; Tables'!$A$2:$Q$40</definedName>
    <definedName name="Footingdetail">Lists!$AE$2:$AE$32</definedName>
    <definedName name="FootingInspection">Addenda!#REF!</definedName>
    <definedName name="FromDate" hidden="1">#REF!</definedName>
    <definedName name="Garage_Area">'Data Sheet'!$B$10</definedName>
    <definedName name="Garage_Gyprock_Ceilings">'Data Sheet'!#REF!</definedName>
    <definedName name="Garage_Hardiflex_Ceilings">'Data Sheet'!#REF!</definedName>
    <definedName name="Garage_Wall_Area">'Brickwork GF'!$K$5</definedName>
    <definedName name="GarageAreaTimberFrame">Preliminaries!$G$30</definedName>
    <definedName name="GarageWallHeight">'Brickwork GF'!$H$5</definedName>
    <definedName name="GarageWallLength">'Brickwork GF'!$F$5</definedName>
    <definedName name="GF_Eave_Length">'Data Sheet'!$B$18</definedName>
    <definedName name="GF_Eaves">'Data Sheet'!$B$19</definedName>
    <definedName name="GranoAreas">'Grano  Paving'!$B$4</definedName>
    <definedName name="Gyprock_Ceilings">'Data Sheet'!$B$12</definedName>
    <definedName name="H_Area">'Data Sheet'!$B$7</definedName>
    <definedName name="H_Perim">'Data Sheet'!$B$8</definedName>
    <definedName name="Hardiflex_Ceilings">'Data Sheet'!$B$11</definedName>
    <definedName name="Header2cM2">'Brickwork GF'!$D$40</definedName>
    <definedName name="Height">'CSV GF'!$C$2:$C$1048576</definedName>
    <definedName name="HighBrickwork">'Brickwork GF'!$K$13</definedName>
    <definedName name="HighBrickworkArea">'Brickwork GF'!$K$13</definedName>
    <definedName name="HipValleyCount">Bill!$F$735</definedName>
    <definedName name="Insualtion_Main">'Plaster Ceilings Insulation'!$J$32</definedName>
    <definedName name="Insulation_Garage">'Plaster Ceilings Insulation'!$J$33</definedName>
    <definedName name="InternalDoorOpeningsFirst">'Brickwork FF'!$U$69</definedName>
    <definedName name="InternalDoorOpeningsGround">'Brickwork GF'!$U$81</definedName>
    <definedName name="InternalPerimeterLengthFirst">'Brickwork FF'!$F$68</definedName>
    <definedName name="InternalPerimeterLengthGround">'Brickwork GF'!$F$80</definedName>
    <definedName name="InternalPerimWallAreaGround">'Brickwork GF'!$K$80</definedName>
    <definedName name="InternalThickeningDepth">Preliminaries!$F$28</definedName>
    <definedName name="InternalThickeningLength">Preliminaries!$D$28</definedName>
    <definedName name="InternalWallAreaFirst">'Brickwork FF'!$K$69</definedName>
    <definedName name="InternalWallAreaGround">'Brickwork GF'!$K$81</definedName>
    <definedName name="InternalWallHeightCourses">'Brickwork GF'!$H$80</definedName>
    <definedName name="InternalWallInsulation?">'Plaster Ceilings Insulation'!$C$31</definedName>
    <definedName name="InternalWallLengthFirst">'Brickwork FF'!$F$69</definedName>
    <definedName name="InternalWallLengthGround">'Brickwork GF'!$F$81</definedName>
    <definedName name="InternalWallPaint?">Addenda!$C$6</definedName>
    <definedName name="Job_No">'Data Sheet'!$B$4</definedName>
    <definedName name="JobFolder">Addenda!$G$12</definedName>
    <definedName name="JobsFolder">Addenda!$F$12</definedName>
    <definedName name="KDPowerAugustaArea">'Lists &amp; Tables'!$B$468:$B$472</definedName>
    <definedName name="KDPowerBusseltonArea">'Lists &amp; Tables'!$A$468:$A$480</definedName>
    <definedName name="KDPowerDunsboroughArea">'Lists &amp; Tables'!$D$468:$D$472</definedName>
    <definedName name="KDPowerMargaretRiverCowaramup">'Lists &amp; Tables'!$C$468:$C$469</definedName>
    <definedName name="KDPowerYallingupArea">'Lists &amp; Tables'!$E$468:$E$469</definedName>
    <definedName name="Kitch_Border_Height">Tiles!$T$5</definedName>
    <definedName name="Kitch_Border_Width">Tiles!$U$5</definedName>
    <definedName name="Kitch_Wall_Height">Tiles!$B$166</definedName>
    <definedName name="Kitch_Wall_Width">Tiles!$D$166</definedName>
    <definedName name="LandRebate">Addenda!$C$8</definedName>
    <definedName name="LaserChecks" hidden="1">#REF!</definedName>
    <definedName name="Laundry_Floor_Height">Tiles!$I$102</definedName>
    <definedName name="Laundry_Floor_Width">Tiles!$K$102</definedName>
    <definedName name="Laundry_Wall_Height">Tiles!$B$102</definedName>
    <definedName name="Laundry_Wall_Width">Tiles!$D$102</definedName>
    <definedName name="LedgerBalance" hidden="1">#REF!</definedName>
    <definedName name="LedgerHome" hidden="1">#REF!</definedName>
    <definedName name="LedgerStyle" hidden="1">#REF!</definedName>
    <definedName name="Length">'CSV GF'!$B$2:$B$1048576</definedName>
    <definedName name="LengthFF">'CSV FF'!$C:$C</definedName>
    <definedName name="Lintel">Lists!$F$5:$F$21</definedName>
    <definedName name="Lintel_Area">'Lintel Sheet'!$O$5:$O$70</definedName>
    <definedName name="Lintel_Brick">'Lintel Sheet'!$C$5:$C$70</definedName>
    <definedName name="Lintel_Floor">'Lintel Sheet'!$B$5:$B$70</definedName>
    <definedName name="Lintel_Length">'Lintel Sheet'!$I$5:$I$70</definedName>
    <definedName name="Lintel_Location">'Lintel Sheet'!$J$5:$J$70</definedName>
    <definedName name="Lintel_Opening">'Lintel Sheet'!$M$5:$M$70</definedName>
    <definedName name="Lintel_Selection">'Lintel Sheet'!$H$5:$H$70</definedName>
    <definedName name="Lintels">Lists!$F$5:$F$22</definedName>
    <definedName name="Lintels_Details">'Lintel Sheet'!$C$5:$O$70</definedName>
    <definedName name="Locality">Addenda!$C$1</definedName>
    <definedName name="Locations">Lists!$D$5:$D$40</definedName>
    <definedName name="Longreach_Square_Bulkhead">'Brickwork GF'!$P$86</definedName>
    <definedName name="LongreachCoredRenderM2">'Brickwork GF'!$D$75</definedName>
    <definedName name="LongreachFaceBlockCored">'Brickwork GF'!$S$40</definedName>
    <definedName name="LongreachFaceBlockSolid">'Brickwork GF'!$S$41</definedName>
    <definedName name="LongreachInternal">'Brickwork GF'!$I$102</definedName>
    <definedName name="LongreachInternalM2">'Brickwork GF'!$D$102</definedName>
    <definedName name="LongreachRender">'Brickwork GF'!$I$75</definedName>
    <definedName name="LReach2cCored">'Data Sheet'!$J$2:$J$65413</definedName>
    <definedName name="LReach2cSolid">'Data Sheet'!$K$2:$K$65413</definedName>
    <definedName name="LReachInternalCored">'Data Sheet'!$H$2:$H$65413</definedName>
    <definedName name="LReachRenderCored">'Data Sheet'!$I$2:$I$65413</definedName>
    <definedName name="Main_Floor_Height">Tiles!$T$4</definedName>
    <definedName name="Main_Floor_Width">Tiles!$U$4</definedName>
    <definedName name="Material">'CSV GF'!$E$2:$E$1048576</definedName>
    <definedName name="MaterialFF">'CSV FF'!$B:$B</definedName>
    <definedName name="Memo" hidden="1">#REF!</definedName>
    <definedName name="MetalFrames">Lists!$L$5:$L$8</definedName>
    <definedName name="Mitres">Tiles!$B$416</definedName>
    <definedName name="Mouldingmaterials">Lists!$F$44:$F$49</definedName>
    <definedName name="Name">'CSV GF'!$A$2:$A$1048576</definedName>
    <definedName name="NameFF">'CSV FF'!$A:$A</definedName>
    <definedName name="Paverlocations">Lists!$E$56:$E$62</definedName>
    <definedName name="Pavers">Lists!$A$56:$A$63</definedName>
    <definedName name="Payment" hidden="1">#REF!</definedName>
    <definedName name="PersonalSettings" hidden="1">#REF!</definedName>
    <definedName name="Plaster_Over_31c_Ground">'Plaster Ceilings Insulation'!$J$5</definedName>
    <definedName name="Plaster_Sand_First">'Plaster Ceilings Insulation'!$G$24</definedName>
    <definedName name="Plaster_Sand_Ground">'Plaster Ceilings Insulation'!$G$23</definedName>
    <definedName name="Plaster_Total_First">'Plaster Ceilings Insulation'!$J$24</definedName>
    <definedName name="Plaster_Total_Ground">'Plaster Ceilings Insulation'!$J$23</definedName>
    <definedName name="Plaster_Upto_31c_Ground">'Plaster Ceilings Insulation'!$J$4</definedName>
    <definedName name="Plasterboard?">'Plaster Ceilings Insulation'!$C$23</definedName>
    <definedName name="Postbase">Lists!$O$32:$O$42</definedName>
    <definedName name="Posts">Lists!$E$32:$E$39</definedName>
    <definedName name="PreviewFirst" hidden="1">#REF!</definedName>
    <definedName name="PriceData">Lists!$K$114:$R$158</definedName>
    <definedName name="_xlnm.Print_Area" localSheetId="1">Addenda!$A$1</definedName>
    <definedName name="_xlnm.Print_Area" localSheetId="0">Bill!$A$1:$G$2223</definedName>
    <definedName name="_xlnm.Print_Area" localSheetId="12">'Brickwork FF'!$B$1:$V$108</definedName>
    <definedName name="_xlnm.Print_Area" localSheetId="11">'Brickwork GF'!$A$1:$V$117</definedName>
    <definedName name="_xlnm.Print_Area" localSheetId="3">'CSV FF'!$A$1:$F$168</definedName>
    <definedName name="_xlnm.Print_Area" localSheetId="6">'Data Sheet'!$A$1:$E$30</definedName>
    <definedName name="_xlnm.Print_Area" localSheetId="15">'Drywall Cladding'!$A$1:$K$76</definedName>
    <definedName name="_xlnm.Print_Area" localSheetId="13">'Drywall Quants'!$A$1:$L$76</definedName>
    <definedName name="_xlnm.Print_Area" localSheetId="27">'Eng Site Report'!$A$1</definedName>
    <definedName name="_xlnm.Print_Area" localSheetId="18">'External Cladding'!$B$1:$K$56</definedName>
    <definedName name="_xlnm.Print_Area" localSheetId="23">'Grano  Paving'!$A$1:$J$23</definedName>
    <definedName name="_xlnm.Print_Area" localSheetId="9">'Lintel &amp; Beam Summary'!$A$1:$E$3860</definedName>
    <definedName name="_xlnm.Print_Area" localSheetId="8">'Lintel Sheet'!$A$1:$P$72</definedName>
    <definedName name="_xlnm.Print_Area" localSheetId="25">Lists!$A$1</definedName>
    <definedName name="_xlnm.Print_Area" localSheetId="24">'Lists &amp; Tables'!$A$1</definedName>
    <definedName name="_xlnm.Print_Area" localSheetId="21">Mouldings!$A$1:$AH$47</definedName>
    <definedName name="_xlnm.Print_Area" localSheetId="14">'Plaster Ceilings Insulation'!$A$1:$J$36</definedName>
    <definedName name="_xlnm.Print_Area" localSheetId="17">'Roof Formulas FF'!$A$1:$F$52</definedName>
    <definedName name="_xlnm.Print_Area" localSheetId="16">'Roof Formulas GF'!$A$1:$F$52</definedName>
    <definedName name="_xlnm.Print_Area" localSheetId="20">'Roof Timber FF'!$A$1:$AP$54</definedName>
    <definedName name="_xlnm.Print_Area" localSheetId="19">'Roof Timber GF'!$A$1:$AP$55</definedName>
    <definedName name="_xlnm.Print_Area" localSheetId="10">'Steel Beams and Columns'!$A$1:$J$65</definedName>
    <definedName name="_xlnm.Print_Area" localSheetId="22">Tiles!$A$1:$M$417</definedName>
    <definedName name="_xlnm.Print_Titles" localSheetId="12">'Brickwork FF'!$1:$1</definedName>
    <definedName name="PrintLedger" hidden="1">#REF!</definedName>
    <definedName name="PrintReport" hidden="1">#REF!</definedName>
    <definedName name="Protection">Lists!$J$5:$J$8</definedName>
    <definedName name="Quantityless">OFFSET(Bill!#REF!,Bill!$M$27-1,0)</definedName>
    <definedName name="rBusiness" hidden="1">#REF!</definedName>
    <definedName name="rCharity" hidden="1">#REF!</definedName>
    <definedName name="rChildCare" hidden="1">#REF!</definedName>
    <definedName name="rClothes" hidden="1">#REF!</definedName>
    <definedName name="rCredits" hidden="1">#REF!</definedName>
    <definedName name="rDebits" hidden="1">#REF!</definedName>
    <definedName name="rDividend" hidden="1">#REF!</definedName>
    <definedName name="RebateMouldingTotal">Mouldings!$F$46</definedName>
    <definedName name="RedBricks">'Lists &amp; Tables'!$A$421:$A$428</definedName>
    <definedName name="ReEntry_Bars">Preliminaries!$C$38</definedName>
    <definedName name="Registered" hidden="1">#REF!</definedName>
    <definedName name="RegNo" hidden="1">#REF!</definedName>
    <definedName name="Render_Sand_First">'Plaster Ceilings Insulation'!$G$27</definedName>
    <definedName name="Render_Sand_Ground">'Plaster Ceilings Insulation'!$G$26</definedName>
    <definedName name="Render_Total_First">'Plaster Ceilings Insulation'!$J$27</definedName>
    <definedName name="Render_Total_Ground">'Plaster Ceilings Insulation'!$J$26</definedName>
    <definedName name="rEntertainment" hidden="1">#REF!</definedName>
    <definedName name="ReportCriteria" hidden="1">#REF!</definedName>
    <definedName name="ReportCriteriaArea" hidden="1">#REF!</definedName>
    <definedName name="ReportDatabase" hidden="1">#REF!</definedName>
    <definedName name="ReportHome" hidden="1">#REF!</definedName>
    <definedName name="ReportStyle" hidden="1">#REF!</definedName>
    <definedName name="ReticTermite">Preliminaries!$C$44</definedName>
    <definedName name="rExpenseTitles" hidden="1">#REF!</definedName>
    <definedName name="rFood" hidden="1">#REF!</definedName>
    <definedName name="rHealth" hidden="1">#REF!</definedName>
    <definedName name="rHomeImprov" hidden="1">#REF!</definedName>
    <definedName name="rHomeMaint" hidden="1">#REF!</definedName>
    <definedName name="rIncome" hidden="1">#REF!</definedName>
    <definedName name="rIncomeTitles" hidden="1">#REF!</definedName>
    <definedName name="rInvest" hidden="1">#REF!</definedName>
    <definedName name="rMisc" hidden="1">#REF!</definedName>
    <definedName name="Rod_Order">'Brickwork GF'!$D$117</definedName>
    <definedName name="Rods_Required">'Brickwork GF'!$D$107</definedName>
    <definedName name="rOffice" hidden="1">#REF!</definedName>
    <definedName name="Roof_Area">'Data Sheet'!$B$9</definedName>
    <definedName name="Roof_FF" localSheetId="3">'CSV FF'!$A$1:$F$193</definedName>
    <definedName name="Roof_Type">'Data Sheet'!$B$14</definedName>
    <definedName name="Rooftype">Lists!$O$5:$O$6</definedName>
    <definedName name="rPersonal" hidden="1">#REF!</definedName>
    <definedName name="rRent" hidden="1">#REF!</definedName>
    <definedName name="rSchool" hidden="1">#REF!</definedName>
    <definedName name="rTaxes" hidden="1">#REF!</definedName>
    <definedName name="rTransportation" hidden="1">#REF!</definedName>
    <definedName name="rTravel" hidden="1">#REF!</definedName>
    <definedName name="rUtilities" hidden="1">#REF!</definedName>
    <definedName name="rWages" hidden="1">#REF!</definedName>
    <definedName name="saleprn">OFFSET(Bill!$A$5,0,0,COUNTA(OFFSET(Bill!$A$5,0,0,9999))+3,7)</definedName>
    <definedName name="Sand_Brickies">'Brickwork GF'!$R$107</definedName>
    <definedName name="Sand_Brickies_FF">'Brickwork FF'!$R$97</definedName>
    <definedName name="SetupAccount" hidden="1">#REF!</definedName>
    <definedName name="Shelvinglist">Lists!$I$44:$I$54</definedName>
    <definedName name="ShelvingTotal">Mouldings!$AG$32</definedName>
    <definedName name="SiteReport_SlabMesh">Preliminaries!$H$38</definedName>
    <definedName name="Slab_Labour">Preliminaries!$H$32</definedName>
    <definedName name="Slab_Mesh">Preliminaries!$C$36</definedName>
    <definedName name="Slab_Supply">Preliminaries!$H$33</definedName>
    <definedName name="Slabthickness">Lists!$A$44:$A$47</definedName>
    <definedName name="SLedger">OFFSET(Bill!$A$3,0,0,COUNTA(OFFSET(Bill!$A$3,0,0,9999)),8)</definedName>
    <definedName name="SLedger2">OFFSET(#REF!,0,0,COUNTA(OFFSET(#REF!,0,0,9999)),10)</definedName>
    <definedName name="Snaps">'Brickwork GF'!$S$39</definedName>
    <definedName name="SnapsCount">'Brickwork GF'!$P$39</definedName>
    <definedName name="SnapsM2">'Brickwork GF'!$N$39</definedName>
    <definedName name="StandardFaceCoredM2">'Brickwork GF'!$D$38</definedName>
    <definedName name="StandardFaceSolidM2">'Brickwork GF'!$D$39</definedName>
    <definedName name="StartDate" hidden="1">#REF!</definedName>
    <definedName name="StartingBalance" hidden="1">#REF!</definedName>
    <definedName name="StartPrint" hidden="1">#REF!</definedName>
    <definedName name="Std_Brick">Lists!$T$1:$W$150</definedName>
    <definedName name="Steelbeams">Lists!$A$5:$A$16</definedName>
    <definedName name="stkarea">OFFSET(#REF!,0,0,COUNTA(OFFSET(#REF!,0,0,9999)),6)</definedName>
    <definedName name="stock">OFFSET(#REF!,0,0,COUNTA(OFFSET(#REF!,0,0,9999)),1)</definedName>
    <definedName name="stockminus">Bill!$M$28</definedName>
    <definedName name="stockrow">OFFSET(Bill!$L$28,COUNTA(Bill!$F$31:$F$56),0)</definedName>
    <definedName name="Survey_Package">'Data Sheet'!$B$28</definedName>
    <definedName name="TaxDed" hidden="1">#REF!</definedName>
    <definedName name="TBars">Lists!$F$14:$F$22</definedName>
    <definedName name="Termite_Treatment_Area">Preliminaries!$C$43</definedName>
    <definedName name="TerryWoodmanseyZone1">'Lists &amp; Tables'!$A$502:$A$507</definedName>
    <definedName name="TerryWoodmanseyZone10">'Lists &amp; Tables'!$J$502:$J$505</definedName>
    <definedName name="TerryWoodmanseyZone2">'Lists &amp; Tables'!$B$502:$B$508</definedName>
    <definedName name="TerryWoodmanseyZone3">'Lists &amp; Tables'!$C$502:$C$503</definedName>
    <definedName name="TerryWoodmanseyZone4">'Lists &amp; Tables'!$D$502:$D$504</definedName>
    <definedName name="TerryWoodmanseyZone5">'Lists &amp; Tables'!$E$502:$E$506</definedName>
    <definedName name="TerryWoodmanseyZone6">'Lists &amp; Tables'!$F$502:$F$505</definedName>
    <definedName name="TerryWoodmanseyZone7">'Lists &amp; Tables'!$G$502:$G$505</definedName>
    <definedName name="TerryWoodmanseyZone8">'Lists &amp; Tables'!$H$502:$H$504</definedName>
    <definedName name="TerryWoodmanseyZone9">'Lists &amp; Tables'!$I$502</definedName>
    <definedName name="TextureCoat?">'Plaster Ceilings Insulation'!$C$25</definedName>
    <definedName name="Tile_Supplier">Tiles!$H$1</definedName>
    <definedName name="TileHobs">Tiles!$B$383</definedName>
    <definedName name="TimberPrices">Lists!$D$113:$I$162</definedName>
    <definedName name="Timbersupplier">Lists!$J$94:$J$97</definedName>
    <definedName name="Timbertype">Lists!$J$100:$J$102</definedName>
    <definedName name="ToDate" hidden="1">#REF!</definedName>
    <definedName name="ToolBarPos" hidden="1">#REF!</definedName>
    <definedName name="TotalM2Paving">'Grano  Paving'!$I$22</definedName>
    <definedName name="TotalPavers">'Grano  Paving'!$H$22</definedName>
    <definedName name="TotalPavingPacks">'Grano  Paving'!$G$22</definedName>
    <definedName name="Trench_Mesh_Labour">Preliminaries!$D$37</definedName>
    <definedName name="Trench_Mesh_Supply">Preliminaries!$C$37</definedName>
    <definedName name="TrenchMeshType">Preliminaries!$B$37</definedName>
    <definedName name="UserFF">'CSV FF'!$E:$E</definedName>
    <definedName name="VerticlayInternal">'Brickwork GF'!$I$101</definedName>
    <definedName name="VerticlayInternalM2">'Brickwork GF'!$D$101</definedName>
    <definedName name="WallInsulation">'Plaster Ceilings Insulation'!$J$36</definedName>
    <definedName name="WallPerimeterAreaFirst">'Brickwork FF'!$K$4</definedName>
    <definedName name="WallPerimeterAreaGround">'Brickwork GF'!$K$4</definedName>
    <definedName name="WallTileLabourBath">Tiles!$D$49</definedName>
    <definedName name="WallTileLabourTotal">Tiles!$B$378</definedName>
    <definedName name="Walltype">Lists!$I$56:$I$60</definedName>
    <definedName name="WC_Floor_Height">Tiles!$I$134</definedName>
    <definedName name="WC_Floor_Width">Tiles!$K$134</definedName>
    <definedName name="WC_Wall_Height">Tiles!$B$134</definedName>
    <definedName name="WC_Wall_Width">Tiles!$D$134</definedName>
    <definedName name="Width">'Data Sheet'!$C$2:$C$65414</definedName>
    <definedName name="Wind_Rating">'Data Sheet'!$B$26</definedName>
    <definedName name="WindowOpeningsFirst">'Brickwork FF'!$U$68</definedName>
    <definedName name="WindowOpeningsGround">'Brickwork GF'!$U$80</definedName>
    <definedName name="ZBars_Labour">Preliminaries!$D$40</definedName>
    <definedName name="ZBars_Supply">Preliminaries!$C$40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1920" i="64" l="1"/>
  <c r="F748" i="64"/>
  <c r="F1883" i="64"/>
  <c r="F1786" i="64"/>
  <c r="F972" i="64"/>
  <c r="F976" i="64"/>
  <c r="B12" i="2" a="1"/>
  <c r="B12" i="2" s="1"/>
  <c r="B989" i="64"/>
  <c r="D989" i="64"/>
  <c r="F958" i="64"/>
  <c r="F957" i="64"/>
  <c r="F956" i="64"/>
  <c r="A10" i="10"/>
  <c r="D1933" i="64"/>
  <c r="D1929" i="64"/>
  <c r="D1928" i="64"/>
  <c r="F1815" i="64"/>
  <c r="J1815" i="64" s="1"/>
  <c r="F1588" i="64"/>
  <c r="F1249" i="64"/>
  <c r="F1248" i="64"/>
  <c r="F1247" i="64"/>
  <c r="F1246" i="64"/>
  <c r="J1246" i="64" s="1"/>
  <c r="F1245" i="64"/>
  <c r="J1245" i="64" s="1"/>
  <c r="F1244" i="64"/>
  <c r="J1244" i="64" s="1"/>
  <c r="D1249" i="64"/>
  <c r="C1249" i="64"/>
  <c r="B1249" i="64"/>
  <c r="D1248" i="64"/>
  <c r="B1248" i="64"/>
  <c r="D1247" i="64"/>
  <c r="B1247" i="64"/>
  <c r="D1246" i="64"/>
  <c r="C1246" i="64"/>
  <c r="B1246" i="64"/>
  <c r="D1245" i="64"/>
  <c r="B1245" i="64"/>
  <c r="D1244" i="64"/>
  <c r="B1244" i="64"/>
  <c r="F1099" i="64"/>
  <c r="F1095" i="64" s="1"/>
  <c r="J1095" i="64" s="1"/>
  <c r="F1098" i="64"/>
  <c r="F1094" i="64" s="1"/>
  <c r="J1094" i="64" s="1"/>
  <c r="F1097" i="64"/>
  <c r="F1093" i="64" s="1"/>
  <c r="J1093" i="64" s="1"/>
  <c r="F1096" i="64"/>
  <c r="F1092" i="64" s="1"/>
  <c r="J1092" i="64" s="1"/>
  <c r="D1099" i="64"/>
  <c r="C1099" i="64"/>
  <c r="B1099" i="64"/>
  <c r="D1098" i="64"/>
  <c r="C1098" i="64"/>
  <c r="B1098" i="64"/>
  <c r="D1097" i="64"/>
  <c r="C1097" i="64"/>
  <c r="B1097" i="64"/>
  <c r="D1096" i="64"/>
  <c r="C1096" i="64"/>
  <c r="B1096" i="64"/>
  <c r="D1095" i="64"/>
  <c r="C1095" i="64"/>
  <c r="B1095" i="64"/>
  <c r="D1094" i="64"/>
  <c r="C1094" i="64"/>
  <c r="B1094" i="64"/>
  <c r="D1093" i="64"/>
  <c r="C1093" i="64"/>
  <c r="B1093" i="64"/>
  <c r="D1092" i="64"/>
  <c r="C1092" i="64"/>
  <c r="B1092" i="64"/>
  <c r="F1087" i="64"/>
  <c r="F1086" i="64"/>
  <c r="D1087" i="64"/>
  <c r="C1087" i="64"/>
  <c r="B1087" i="64"/>
  <c r="C1086" i="64"/>
  <c r="B1086" i="64"/>
  <c r="F536" i="64"/>
  <c r="J536" i="64" s="1"/>
  <c r="D536" i="64"/>
  <c r="B536" i="64"/>
  <c r="F535" i="64"/>
  <c r="D535" i="64"/>
  <c r="B535" i="64"/>
  <c r="F26" i="18"/>
  <c r="F27" i="18"/>
  <c r="F28" i="18"/>
  <c r="F29" i="18"/>
  <c r="F30" i="18"/>
  <c r="F31" i="18"/>
  <c r="F32" i="18"/>
  <c r="F33" i="18"/>
  <c r="F34" i="18"/>
  <c r="F35" i="18"/>
  <c r="F36" i="18"/>
  <c r="F37" i="18"/>
  <c r="F38" i="18"/>
  <c r="F39" i="18"/>
  <c r="F40" i="18"/>
  <c r="F41" i="18"/>
  <c r="F42" i="18"/>
  <c r="F43" i="18"/>
  <c r="F44" i="18"/>
  <c r="F45" i="18"/>
  <c r="F46" i="18"/>
  <c r="F47" i="18"/>
  <c r="F48" i="18"/>
  <c r="F49" i="18"/>
  <c r="F50" i="18"/>
  <c r="F51" i="18"/>
  <c r="F52" i="18"/>
  <c r="F53" i="18"/>
  <c r="F54" i="18"/>
  <c r="F55" i="18"/>
  <c r="F56" i="18"/>
  <c r="F57" i="18"/>
  <c r="F58" i="18"/>
  <c r="F59" i="18"/>
  <c r="F60" i="18"/>
  <c r="F61" i="18"/>
  <c r="F62" i="18"/>
  <c r="F63" i="18"/>
  <c r="F64" i="18"/>
  <c r="F65" i="18"/>
  <c r="F66" i="18"/>
  <c r="F67" i="18"/>
  <c r="F68" i="18"/>
  <c r="F69" i="18"/>
  <c r="F70" i="18"/>
  <c r="F71" i="18"/>
  <c r="F72" i="18"/>
  <c r="F73" i="18"/>
  <c r="F74" i="18"/>
  <c r="F75" i="18"/>
  <c r="F76" i="18"/>
  <c r="F77" i="18"/>
  <c r="F78" i="18"/>
  <c r="F79" i="18"/>
  <c r="F80" i="18"/>
  <c r="F81" i="18"/>
  <c r="F82" i="18"/>
  <c r="F83" i="18"/>
  <c r="F84" i="18"/>
  <c r="F85" i="18"/>
  <c r="F86" i="18"/>
  <c r="F87" i="18"/>
  <c r="F88" i="18"/>
  <c r="F89" i="18"/>
  <c r="F90" i="18"/>
  <c r="F91" i="18"/>
  <c r="F92" i="18"/>
  <c r="F93" i="18"/>
  <c r="F94" i="18"/>
  <c r="F95" i="18"/>
  <c r="F96" i="18"/>
  <c r="F97" i="18"/>
  <c r="F98" i="18"/>
  <c r="F99" i="18"/>
  <c r="F100" i="18"/>
  <c r="F101" i="18"/>
  <c r="F102" i="18"/>
  <c r="F103" i="18"/>
  <c r="F104" i="18"/>
  <c r="F105" i="18"/>
  <c r="F106" i="18"/>
  <c r="F107" i="18"/>
  <c r="F108" i="18"/>
  <c r="F109" i="18"/>
  <c r="F110" i="18"/>
  <c r="F111" i="18"/>
  <c r="F112" i="18"/>
  <c r="F113" i="18"/>
  <c r="F114" i="18"/>
  <c r="F115" i="18"/>
  <c r="F116" i="18"/>
  <c r="F117" i="18"/>
  <c r="F118" i="18"/>
  <c r="F119" i="18"/>
  <c r="F120" i="18"/>
  <c r="F121" i="18"/>
  <c r="F122" i="18"/>
  <c r="F123" i="18"/>
  <c r="F124" i="18"/>
  <c r="F125" i="18"/>
  <c r="F126" i="18"/>
  <c r="F127" i="18"/>
  <c r="F128" i="18"/>
  <c r="F129" i="18"/>
  <c r="F130" i="18"/>
  <c r="F131" i="18"/>
  <c r="F132" i="18"/>
  <c r="F133" i="18"/>
  <c r="F134" i="18"/>
  <c r="F135" i="18"/>
  <c r="F136" i="18"/>
  <c r="F137" i="18"/>
  <c r="F138" i="18"/>
  <c r="F139" i="18"/>
  <c r="F140" i="18"/>
  <c r="F141" i="18"/>
  <c r="F142" i="18"/>
  <c r="F143" i="18"/>
  <c r="F144" i="18"/>
  <c r="F145" i="18"/>
  <c r="F146" i="18"/>
  <c r="F147" i="18"/>
  <c r="F148" i="18"/>
  <c r="F149" i="18"/>
  <c r="F150" i="18"/>
  <c r="F151" i="18"/>
  <c r="F152" i="18"/>
  <c r="F153" i="18"/>
  <c r="F154" i="18"/>
  <c r="F155" i="18"/>
  <c r="F156" i="18"/>
  <c r="F157" i="18"/>
  <c r="F158" i="18"/>
  <c r="F159" i="18"/>
  <c r="F160" i="18"/>
  <c r="F161" i="18"/>
  <c r="F162" i="18"/>
  <c r="F163" i="18"/>
  <c r="F164" i="18"/>
  <c r="F165" i="18"/>
  <c r="F166" i="18"/>
  <c r="F167" i="18"/>
  <c r="F168" i="18"/>
  <c r="F169" i="18"/>
  <c r="F170" i="18"/>
  <c r="F171" i="18"/>
  <c r="F172" i="18"/>
  <c r="F173" i="18"/>
  <c r="F174" i="18"/>
  <c r="F175" i="18"/>
  <c r="F176" i="18"/>
  <c r="F177" i="18"/>
  <c r="F178" i="18"/>
  <c r="F179" i="18"/>
  <c r="F180" i="18"/>
  <c r="F181" i="18"/>
  <c r="F182" i="18"/>
  <c r="F183" i="18"/>
  <c r="F184" i="18"/>
  <c r="F185" i="18"/>
  <c r="F186" i="18"/>
  <c r="F187" i="18"/>
  <c r="F188" i="18"/>
  <c r="F189" i="18"/>
  <c r="F190" i="18"/>
  <c r="F191" i="18"/>
  <c r="F192" i="18"/>
  <c r="F193" i="18"/>
  <c r="F194" i="18"/>
  <c r="F195" i="18"/>
  <c r="F196" i="18"/>
  <c r="F197" i="18"/>
  <c r="F198" i="18"/>
  <c r="F199" i="18"/>
  <c r="F200" i="18"/>
  <c r="F201" i="18"/>
  <c r="F202" i="18"/>
  <c r="F203" i="18"/>
  <c r="F204" i="18"/>
  <c r="F205" i="18"/>
  <c r="F206" i="18"/>
  <c r="F207" i="18"/>
  <c r="F208" i="18"/>
  <c r="F209" i="18"/>
  <c r="F210" i="18"/>
  <c r="F211" i="18"/>
  <c r="F212" i="18"/>
  <c r="F213" i="18"/>
  <c r="F214" i="18"/>
  <c r="F215" i="18"/>
  <c r="F216" i="18"/>
  <c r="F217" i="18"/>
  <c r="F218" i="18"/>
  <c r="F219" i="18"/>
  <c r="F220" i="18"/>
  <c r="F221" i="18"/>
  <c r="F222" i="18"/>
  <c r="F223" i="18"/>
  <c r="F224" i="18"/>
  <c r="F225" i="18"/>
  <c r="F226" i="18"/>
  <c r="F227" i="18"/>
  <c r="F228" i="18"/>
  <c r="F229" i="18"/>
  <c r="F230" i="18"/>
  <c r="F231" i="18"/>
  <c r="F232" i="18"/>
  <c r="F233" i="18"/>
  <c r="F234" i="18"/>
  <c r="F235" i="18"/>
  <c r="F236" i="18"/>
  <c r="F237" i="18"/>
  <c r="F238" i="18"/>
  <c r="F239" i="18"/>
  <c r="F240" i="18"/>
  <c r="F241" i="18"/>
  <c r="F242" i="18"/>
  <c r="F243" i="18"/>
  <c r="F244" i="18"/>
  <c r="F245" i="18"/>
  <c r="F246" i="18"/>
  <c r="F247" i="18"/>
  <c r="F248" i="18"/>
  <c r="F249" i="18"/>
  <c r="F250" i="18"/>
  <c r="F251" i="18"/>
  <c r="F252" i="18"/>
  <c r="F253" i="18"/>
  <c r="F254" i="18"/>
  <c r="F255" i="18"/>
  <c r="F256" i="18"/>
  <c r="F257" i="18"/>
  <c r="F258" i="18"/>
  <c r="F259" i="18"/>
  <c r="F260" i="18"/>
  <c r="F261" i="18"/>
  <c r="F262" i="18"/>
  <c r="F263" i="18"/>
  <c r="F264" i="18"/>
  <c r="F265" i="18"/>
  <c r="F266" i="18"/>
  <c r="F267" i="18"/>
  <c r="F268" i="18"/>
  <c r="F269" i="18"/>
  <c r="F270" i="18"/>
  <c r="F271" i="18"/>
  <c r="F272" i="18"/>
  <c r="F273" i="18"/>
  <c r="F274" i="18"/>
  <c r="F275" i="18"/>
  <c r="F276" i="18"/>
  <c r="F277" i="18"/>
  <c r="F278" i="18"/>
  <c r="F279" i="18"/>
  <c r="F280" i="18"/>
  <c r="F281" i="18"/>
  <c r="F282" i="18"/>
  <c r="F283" i="18"/>
  <c r="F284" i="18"/>
  <c r="F285" i="18"/>
  <c r="F286" i="18"/>
  <c r="F287" i="18"/>
  <c r="F288" i="18"/>
  <c r="F289" i="18"/>
  <c r="F290" i="18"/>
  <c r="F291" i="18"/>
  <c r="F292" i="18"/>
  <c r="F293" i="18"/>
  <c r="F294" i="18"/>
  <c r="F295" i="18"/>
  <c r="F296" i="18"/>
  <c r="F297" i="18"/>
  <c r="F298" i="18"/>
  <c r="F299" i="18"/>
  <c r="F300" i="18"/>
  <c r="F301" i="18"/>
  <c r="F302" i="18"/>
  <c r="F303" i="18"/>
  <c r="F304" i="18"/>
  <c r="F305" i="18"/>
  <c r="F306" i="18"/>
  <c r="F307" i="18"/>
  <c r="F308" i="18"/>
  <c r="F309" i="18"/>
  <c r="F310" i="18"/>
  <c r="F311" i="18"/>
  <c r="F312" i="18"/>
  <c r="F313" i="18"/>
  <c r="F314" i="18"/>
  <c r="F315" i="18"/>
  <c r="E315" i="18"/>
  <c r="C315" i="18"/>
  <c r="B315" i="18"/>
  <c r="A315" i="18"/>
  <c r="G315" i="18" s="1"/>
  <c r="E314" i="18"/>
  <c r="C314" i="18"/>
  <c r="B314" i="18"/>
  <c r="A314" i="18"/>
  <c r="D314" i="18" s="1"/>
  <c r="E313" i="18"/>
  <c r="C313" i="18"/>
  <c r="B313" i="18"/>
  <c r="A313" i="18"/>
  <c r="G313" i="18" s="1"/>
  <c r="E312" i="18"/>
  <c r="C312" i="18"/>
  <c r="B312" i="18"/>
  <c r="A312" i="18"/>
  <c r="G312" i="18" s="1"/>
  <c r="E311" i="18"/>
  <c r="C311" i="18"/>
  <c r="B311" i="18"/>
  <c r="A311" i="18"/>
  <c r="G311" i="18" s="1"/>
  <c r="E310" i="18"/>
  <c r="C310" i="18"/>
  <c r="B310" i="18"/>
  <c r="A310" i="18"/>
  <c r="D310" i="18" s="1"/>
  <c r="E309" i="18"/>
  <c r="C309" i="18"/>
  <c r="B309" i="18"/>
  <c r="A309" i="18"/>
  <c r="D309" i="18" s="1"/>
  <c r="E308" i="18"/>
  <c r="C308" i="18"/>
  <c r="B308" i="18"/>
  <c r="A308" i="18"/>
  <c r="G308" i="18" s="1"/>
  <c r="E307" i="18"/>
  <c r="C307" i="18"/>
  <c r="B307" i="18"/>
  <c r="A307" i="18"/>
  <c r="G307" i="18" s="1"/>
  <c r="E306" i="18"/>
  <c r="C306" i="18"/>
  <c r="B306" i="18"/>
  <c r="A306" i="18"/>
  <c r="D306" i="18" s="1"/>
  <c r="E305" i="18"/>
  <c r="C305" i="18"/>
  <c r="B305" i="18"/>
  <c r="A305" i="18"/>
  <c r="G305" i="18" s="1"/>
  <c r="E304" i="18"/>
  <c r="C304" i="18"/>
  <c r="B304" i="18"/>
  <c r="A304" i="18"/>
  <c r="G304" i="18" s="1"/>
  <c r="E303" i="18"/>
  <c r="C303" i="18"/>
  <c r="B303" i="18"/>
  <c r="A303" i="18"/>
  <c r="G303" i="18" s="1"/>
  <c r="E302" i="18"/>
  <c r="C302" i="18"/>
  <c r="B302" i="18"/>
  <c r="A302" i="18"/>
  <c r="D302" i="18" s="1"/>
  <c r="E301" i="18"/>
  <c r="C301" i="18"/>
  <c r="B301" i="18"/>
  <c r="A301" i="18"/>
  <c r="D301" i="18" s="1"/>
  <c r="E300" i="18"/>
  <c r="C300" i="18"/>
  <c r="B300" i="18"/>
  <c r="A300" i="18"/>
  <c r="G300" i="18" s="1"/>
  <c r="E299" i="18"/>
  <c r="C299" i="18"/>
  <c r="B299" i="18"/>
  <c r="A299" i="18"/>
  <c r="G299" i="18" s="1"/>
  <c r="E298" i="18"/>
  <c r="C298" i="18"/>
  <c r="B298" i="18"/>
  <c r="A298" i="18"/>
  <c r="G298" i="18" s="1"/>
  <c r="E297" i="18"/>
  <c r="C297" i="18"/>
  <c r="B297" i="18"/>
  <c r="A297" i="18"/>
  <c r="G297" i="18" s="1"/>
  <c r="E296" i="18"/>
  <c r="C296" i="18"/>
  <c r="B296" i="18"/>
  <c r="A296" i="18"/>
  <c r="G296" i="18" s="1"/>
  <c r="E295" i="18"/>
  <c r="C295" i="18"/>
  <c r="B295" i="18"/>
  <c r="A295" i="18"/>
  <c r="G295" i="18" s="1"/>
  <c r="E294" i="18"/>
  <c r="C294" i="18"/>
  <c r="B294" i="18"/>
  <c r="A294" i="18"/>
  <c r="G294" i="18" s="1"/>
  <c r="E293" i="18"/>
  <c r="C293" i="18"/>
  <c r="B293" i="18"/>
  <c r="A293" i="18"/>
  <c r="D293" i="18" s="1"/>
  <c r="E292" i="18"/>
  <c r="C292" i="18"/>
  <c r="B292" i="18"/>
  <c r="A292" i="18"/>
  <c r="G292" i="18" s="1"/>
  <c r="E291" i="18"/>
  <c r="C291" i="18"/>
  <c r="B291" i="18"/>
  <c r="A291" i="18"/>
  <c r="G291" i="18" s="1"/>
  <c r="E290" i="18"/>
  <c r="C290" i="18"/>
  <c r="B290" i="18"/>
  <c r="A290" i="18"/>
  <c r="G290" i="18" s="1"/>
  <c r="E289" i="18"/>
  <c r="C289" i="18"/>
  <c r="B289" i="18"/>
  <c r="A289" i="18"/>
  <c r="G289" i="18" s="1"/>
  <c r="E288" i="18"/>
  <c r="C288" i="18"/>
  <c r="B288" i="18"/>
  <c r="A288" i="18"/>
  <c r="G288" i="18" s="1"/>
  <c r="E287" i="18"/>
  <c r="C287" i="18"/>
  <c r="B287" i="18"/>
  <c r="A287" i="18"/>
  <c r="G287" i="18" s="1"/>
  <c r="E286" i="18"/>
  <c r="C286" i="18"/>
  <c r="B286" i="18"/>
  <c r="A286" i="18"/>
  <c r="D286" i="18" s="1"/>
  <c r="E285" i="18"/>
  <c r="C285" i="18"/>
  <c r="B285" i="18"/>
  <c r="A285" i="18"/>
  <c r="D285" i="18" s="1"/>
  <c r="E284" i="18"/>
  <c r="C284" i="18"/>
  <c r="B284" i="18"/>
  <c r="A284" i="18"/>
  <c r="G284" i="18" s="1"/>
  <c r="E283" i="18"/>
  <c r="C283" i="18"/>
  <c r="B283" i="18"/>
  <c r="A283" i="18"/>
  <c r="G283" i="18" s="1"/>
  <c r="E282" i="18"/>
  <c r="C282" i="18"/>
  <c r="B282" i="18"/>
  <c r="A282" i="18"/>
  <c r="G282" i="18" s="1"/>
  <c r="E281" i="18"/>
  <c r="C281" i="18"/>
  <c r="B281" i="18"/>
  <c r="A281" i="18"/>
  <c r="G281" i="18" s="1"/>
  <c r="E280" i="18"/>
  <c r="C280" i="18"/>
  <c r="B280" i="18"/>
  <c r="A280" i="18"/>
  <c r="G280" i="18" s="1"/>
  <c r="E279" i="18"/>
  <c r="C279" i="18"/>
  <c r="B279" i="18"/>
  <c r="A279" i="18"/>
  <c r="G279" i="18" s="1"/>
  <c r="E278" i="18"/>
  <c r="C278" i="18"/>
  <c r="B278" i="18"/>
  <c r="A278" i="18"/>
  <c r="D278" i="18" s="1"/>
  <c r="E277" i="18"/>
  <c r="C277" i="18"/>
  <c r="B277" i="18"/>
  <c r="A277" i="18"/>
  <c r="D277" i="18" s="1"/>
  <c r="E276" i="18"/>
  <c r="C276" i="18"/>
  <c r="B276" i="18"/>
  <c r="A276" i="18"/>
  <c r="G276" i="18" s="1"/>
  <c r="E275" i="18"/>
  <c r="C275" i="18"/>
  <c r="B275" i="18"/>
  <c r="A275" i="18"/>
  <c r="G275" i="18" s="1"/>
  <c r="E274" i="18"/>
  <c r="C274" i="18"/>
  <c r="B274" i="18"/>
  <c r="A274" i="18"/>
  <c r="G274" i="18" s="1"/>
  <c r="E273" i="18"/>
  <c r="C273" i="18"/>
  <c r="B273" i="18"/>
  <c r="A273" i="18"/>
  <c r="G273" i="18" s="1"/>
  <c r="E272" i="18"/>
  <c r="C272" i="18"/>
  <c r="B272" i="18"/>
  <c r="A272" i="18"/>
  <c r="G272" i="18" s="1"/>
  <c r="E271" i="18"/>
  <c r="C271" i="18"/>
  <c r="B271" i="18"/>
  <c r="A271" i="18"/>
  <c r="G271" i="18" s="1"/>
  <c r="E270" i="18"/>
  <c r="C270" i="18"/>
  <c r="B270" i="18"/>
  <c r="A270" i="18"/>
  <c r="D270" i="18" s="1"/>
  <c r="E269" i="18"/>
  <c r="C269" i="18"/>
  <c r="B269" i="18"/>
  <c r="A269" i="18"/>
  <c r="D269" i="18" s="1"/>
  <c r="E268" i="18"/>
  <c r="C268" i="18"/>
  <c r="B268" i="18"/>
  <c r="A268" i="18"/>
  <c r="G268" i="18" s="1"/>
  <c r="E267" i="18"/>
  <c r="C267" i="18"/>
  <c r="B267" i="18"/>
  <c r="A267" i="18"/>
  <c r="G267" i="18" s="1"/>
  <c r="E266" i="18"/>
  <c r="C266" i="18"/>
  <c r="B266" i="18"/>
  <c r="A266" i="18"/>
  <c r="G266" i="18" s="1"/>
  <c r="E265" i="18"/>
  <c r="C265" i="18"/>
  <c r="B265" i="18"/>
  <c r="A265" i="18"/>
  <c r="G265" i="18" s="1"/>
  <c r="E264" i="18"/>
  <c r="C264" i="18"/>
  <c r="B264" i="18"/>
  <c r="A264" i="18"/>
  <c r="G264" i="18" s="1"/>
  <c r="E263" i="18"/>
  <c r="C263" i="18"/>
  <c r="B263" i="18"/>
  <c r="A263" i="18"/>
  <c r="G263" i="18" s="1"/>
  <c r="E262" i="18"/>
  <c r="C262" i="18"/>
  <c r="B262" i="18"/>
  <c r="A262" i="18"/>
  <c r="G262" i="18" s="1"/>
  <c r="E261" i="18"/>
  <c r="C261" i="18"/>
  <c r="B261" i="18"/>
  <c r="A261" i="18"/>
  <c r="D261" i="18" s="1"/>
  <c r="E260" i="18"/>
  <c r="C260" i="18"/>
  <c r="B260" i="18"/>
  <c r="A260" i="18"/>
  <c r="G260" i="18" s="1"/>
  <c r="E259" i="18"/>
  <c r="C259" i="18"/>
  <c r="B259" i="18"/>
  <c r="A259" i="18"/>
  <c r="G259" i="18" s="1"/>
  <c r="E258" i="18"/>
  <c r="C258" i="18"/>
  <c r="B258" i="18"/>
  <c r="A258" i="18"/>
  <c r="G258" i="18" s="1"/>
  <c r="E257" i="18"/>
  <c r="C257" i="18"/>
  <c r="B257" i="18"/>
  <c r="A257" i="18"/>
  <c r="G257" i="18" s="1"/>
  <c r="E256" i="18"/>
  <c r="C256" i="18"/>
  <c r="B256" i="18"/>
  <c r="A256" i="18"/>
  <c r="G256" i="18" s="1"/>
  <c r="E255" i="18"/>
  <c r="C255" i="18"/>
  <c r="B255" i="18"/>
  <c r="A255" i="18"/>
  <c r="G255" i="18" s="1"/>
  <c r="E254" i="18"/>
  <c r="C254" i="18"/>
  <c r="B254" i="18"/>
  <c r="A254" i="18"/>
  <c r="G254" i="18" s="1"/>
  <c r="E253" i="18"/>
  <c r="C253" i="18"/>
  <c r="B253" i="18"/>
  <c r="A253" i="18"/>
  <c r="D253" i="18" s="1"/>
  <c r="E252" i="18"/>
  <c r="C252" i="18"/>
  <c r="B252" i="18"/>
  <c r="A252" i="18"/>
  <c r="G252" i="18" s="1"/>
  <c r="E251" i="18"/>
  <c r="C251" i="18"/>
  <c r="B251" i="18"/>
  <c r="A251" i="18"/>
  <c r="G251" i="18" s="1"/>
  <c r="E250" i="18"/>
  <c r="C250" i="18"/>
  <c r="B250" i="18"/>
  <c r="A250" i="18"/>
  <c r="G250" i="18" s="1"/>
  <c r="E249" i="18"/>
  <c r="C249" i="18"/>
  <c r="B249" i="18"/>
  <c r="A249" i="18"/>
  <c r="G249" i="18" s="1"/>
  <c r="E248" i="18"/>
  <c r="C248" i="18"/>
  <c r="B248" i="18"/>
  <c r="A248" i="18"/>
  <c r="G248" i="18" s="1"/>
  <c r="E247" i="18"/>
  <c r="C247" i="18"/>
  <c r="B247" i="18"/>
  <c r="A247" i="18"/>
  <c r="G247" i="18" s="1"/>
  <c r="E246" i="18"/>
  <c r="C246" i="18"/>
  <c r="B246" i="18"/>
  <c r="A246" i="18"/>
  <c r="G246" i="18" s="1"/>
  <c r="E245" i="18"/>
  <c r="C245" i="18"/>
  <c r="B245" i="18"/>
  <c r="A245" i="18"/>
  <c r="D245" i="18" s="1"/>
  <c r="E244" i="18"/>
  <c r="C244" i="18"/>
  <c r="B244" i="18"/>
  <c r="A244" i="18"/>
  <c r="G244" i="18" s="1"/>
  <c r="E243" i="18"/>
  <c r="C243" i="18"/>
  <c r="B243" i="18"/>
  <c r="A243" i="18"/>
  <c r="G243" i="18" s="1"/>
  <c r="E242" i="18"/>
  <c r="C242" i="18"/>
  <c r="B242" i="18"/>
  <c r="A242" i="18"/>
  <c r="G242" i="18" s="1"/>
  <c r="E241" i="18"/>
  <c r="C241" i="18"/>
  <c r="B241" i="18"/>
  <c r="A241" i="18"/>
  <c r="G241" i="18" s="1"/>
  <c r="E240" i="18"/>
  <c r="C240" i="18"/>
  <c r="B240" i="18"/>
  <c r="A240" i="18"/>
  <c r="G240" i="18" s="1"/>
  <c r="E239" i="18"/>
  <c r="C239" i="18"/>
  <c r="B239" i="18"/>
  <c r="A239" i="18"/>
  <c r="G239" i="18" s="1"/>
  <c r="E238" i="18"/>
  <c r="C238" i="18"/>
  <c r="B238" i="18"/>
  <c r="A238" i="18"/>
  <c r="G238" i="18" s="1"/>
  <c r="E237" i="18"/>
  <c r="C237" i="18"/>
  <c r="B237" i="18"/>
  <c r="A237" i="18"/>
  <c r="D237" i="18" s="1"/>
  <c r="E236" i="18"/>
  <c r="C236" i="18"/>
  <c r="B236" i="18"/>
  <c r="A236" i="18"/>
  <c r="G236" i="18" s="1"/>
  <c r="E235" i="18"/>
  <c r="C235" i="18"/>
  <c r="B235" i="18"/>
  <c r="A235" i="18"/>
  <c r="G235" i="18" s="1"/>
  <c r="E234" i="18"/>
  <c r="C234" i="18"/>
  <c r="B234" i="18"/>
  <c r="A234" i="18"/>
  <c r="G234" i="18" s="1"/>
  <c r="E233" i="18"/>
  <c r="C233" i="18"/>
  <c r="B233" i="18"/>
  <c r="A233" i="18"/>
  <c r="G233" i="18" s="1"/>
  <c r="E232" i="18"/>
  <c r="C232" i="18"/>
  <c r="B232" i="18"/>
  <c r="A232" i="18"/>
  <c r="G232" i="18" s="1"/>
  <c r="E231" i="18"/>
  <c r="C231" i="18"/>
  <c r="B231" i="18"/>
  <c r="A231" i="18"/>
  <c r="G231" i="18" s="1"/>
  <c r="E230" i="18"/>
  <c r="C230" i="18"/>
  <c r="B230" i="18"/>
  <c r="A230" i="18"/>
  <c r="G230" i="18" s="1"/>
  <c r="E229" i="18"/>
  <c r="C229" i="18"/>
  <c r="B229" i="18"/>
  <c r="A229" i="18"/>
  <c r="D229" i="18" s="1"/>
  <c r="E228" i="18"/>
  <c r="C228" i="18"/>
  <c r="B228" i="18"/>
  <c r="A228" i="18"/>
  <c r="G228" i="18" s="1"/>
  <c r="E227" i="18"/>
  <c r="C227" i="18"/>
  <c r="B227" i="18"/>
  <c r="A227" i="18"/>
  <c r="G227" i="18" s="1"/>
  <c r="E226" i="18"/>
  <c r="C226" i="18"/>
  <c r="B226" i="18"/>
  <c r="A226" i="18"/>
  <c r="G226" i="18" s="1"/>
  <c r="E225" i="18"/>
  <c r="C225" i="18"/>
  <c r="B225" i="18"/>
  <c r="A225" i="18"/>
  <c r="G225" i="18" s="1"/>
  <c r="E224" i="18"/>
  <c r="C224" i="18"/>
  <c r="B224" i="18"/>
  <c r="A224" i="18"/>
  <c r="G224" i="18" s="1"/>
  <c r="E223" i="18"/>
  <c r="C223" i="18"/>
  <c r="B223" i="18"/>
  <c r="A223" i="18"/>
  <c r="G223" i="18" s="1"/>
  <c r="E222" i="18"/>
  <c r="C222" i="18"/>
  <c r="B222" i="18"/>
  <c r="A222" i="18"/>
  <c r="G222" i="18" s="1"/>
  <c r="E221" i="18"/>
  <c r="C221" i="18"/>
  <c r="B221" i="18"/>
  <c r="A221" i="18"/>
  <c r="D221" i="18" s="1"/>
  <c r="E220" i="18"/>
  <c r="C220" i="18"/>
  <c r="B220" i="18"/>
  <c r="A220" i="18"/>
  <c r="G220" i="18" s="1"/>
  <c r="E219" i="18"/>
  <c r="C219" i="18"/>
  <c r="B219" i="18"/>
  <c r="A219" i="18"/>
  <c r="G219" i="18" s="1"/>
  <c r="E218" i="18"/>
  <c r="C218" i="18"/>
  <c r="B218" i="18"/>
  <c r="A218" i="18"/>
  <c r="G218" i="18" s="1"/>
  <c r="E217" i="18"/>
  <c r="C217" i="18"/>
  <c r="B217" i="18"/>
  <c r="A217" i="18"/>
  <c r="G217" i="18" s="1"/>
  <c r="E216" i="18"/>
  <c r="C216" i="18"/>
  <c r="B216" i="18"/>
  <c r="A216" i="18"/>
  <c r="G216" i="18" s="1"/>
  <c r="E215" i="18"/>
  <c r="C215" i="18"/>
  <c r="B215" i="18"/>
  <c r="A215" i="18"/>
  <c r="G215" i="18" s="1"/>
  <c r="E214" i="18"/>
  <c r="C214" i="18"/>
  <c r="B214" i="18"/>
  <c r="A214" i="18"/>
  <c r="G214" i="18" s="1"/>
  <c r="E213" i="18"/>
  <c r="C213" i="18"/>
  <c r="B213" i="18"/>
  <c r="A213" i="18"/>
  <c r="D213" i="18" s="1"/>
  <c r="E212" i="18"/>
  <c r="C212" i="18"/>
  <c r="B212" i="18"/>
  <c r="A212" i="18"/>
  <c r="G212" i="18" s="1"/>
  <c r="E211" i="18"/>
  <c r="C211" i="18"/>
  <c r="B211" i="18"/>
  <c r="A211" i="18"/>
  <c r="G211" i="18" s="1"/>
  <c r="E210" i="18"/>
  <c r="C210" i="18"/>
  <c r="B210" i="18"/>
  <c r="A210" i="18"/>
  <c r="G210" i="18" s="1"/>
  <c r="E209" i="18"/>
  <c r="C209" i="18"/>
  <c r="B209" i="18"/>
  <c r="A209" i="18"/>
  <c r="G209" i="18" s="1"/>
  <c r="E208" i="18"/>
  <c r="C208" i="18"/>
  <c r="B208" i="18"/>
  <c r="A208" i="18"/>
  <c r="G208" i="18" s="1"/>
  <c r="E207" i="18"/>
  <c r="C207" i="18"/>
  <c r="B207" i="18"/>
  <c r="A207" i="18"/>
  <c r="G207" i="18" s="1"/>
  <c r="E206" i="18"/>
  <c r="C206" i="18"/>
  <c r="B206" i="18"/>
  <c r="A206" i="18"/>
  <c r="G206" i="18" s="1"/>
  <c r="E205" i="18"/>
  <c r="C205" i="18"/>
  <c r="B205" i="18"/>
  <c r="A205" i="18"/>
  <c r="D205" i="18" s="1"/>
  <c r="E204" i="18"/>
  <c r="C204" i="18"/>
  <c r="B204" i="18"/>
  <c r="A204" i="18"/>
  <c r="G204" i="18" s="1"/>
  <c r="E203" i="18"/>
  <c r="C203" i="18"/>
  <c r="B203" i="18"/>
  <c r="A203" i="18"/>
  <c r="G203" i="18" s="1"/>
  <c r="E202" i="18"/>
  <c r="C202" i="18"/>
  <c r="B202" i="18"/>
  <c r="A202" i="18"/>
  <c r="G202" i="18" s="1"/>
  <c r="E201" i="18"/>
  <c r="C201" i="18"/>
  <c r="B201" i="18"/>
  <c r="A201" i="18"/>
  <c r="G201" i="18" s="1"/>
  <c r="E200" i="18"/>
  <c r="C200" i="18"/>
  <c r="B200" i="18"/>
  <c r="A200" i="18"/>
  <c r="G200" i="18" s="1"/>
  <c r="E199" i="18"/>
  <c r="C199" i="18"/>
  <c r="B199" i="18"/>
  <c r="A199" i="18"/>
  <c r="G199" i="18" s="1"/>
  <c r="E198" i="18"/>
  <c r="C198" i="18"/>
  <c r="B198" i="18"/>
  <c r="A198" i="18"/>
  <c r="G198" i="18" s="1"/>
  <c r="E197" i="18"/>
  <c r="C197" i="18"/>
  <c r="B197" i="18"/>
  <c r="A197" i="18"/>
  <c r="D197" i="18" s="1"/>
  <c r="E196" i="18"/>
  <c r="C196" i="18"/>
  <c r="B196" i="18"/>
  <c r="A196" i="18"/>
  <c r="G196" i="18" s="1"/>
  <c r="E195" i="18"/>
  <c r="C195" i="18"/>
  <c r="B195" i="18"/>
  <c r="A195" i="18"/>
  <c r="G195" i="18" s="1"/>
  <c r="E194" i="18"/>
  <c r="C194" i="18"/>
  <c r="B194" i="18"/>
  <c r="A194" i="18"/>
  <c r="G194" i="18" s="1"/>
  <c r="E193" i="18"/>
  <c r="C193" i="18"/>
  <c r="B193" i="18"/>
  <c r="A193" i="18"/>
  <c r="G193" i="18" s="1"/>
  <c r="E192" i="18"/>
  <c r="C192" i="18"/>
  <c r="B192" i="18"/>
  <c r="A192" i="18"/>
  <c r="G192" i="18" s="1"/>
  <c r="E191" i="18"/>
  <c r="C191" i="18"/>
  <c r="B191" i="18"/>
  <c r="A191" i="18"/>
  <c r="G191" i="18" s="1"/>
  <c r="E190" i="18"/>
  <c r="C190" i="18"/>
  <c r="B190" i="18"/>
  <c r="A190" i="18"/>
  <c r="G190" i="18" s="1"/>
  <c r="E189" i="18"/>
  <c r="C189" i="18"/>
  <c r="B189" i="18"/>
  <c r="A189" i="18"/>
  <c r="D189" i="18" s="1"/>
  <c r="E188" i="18"/>
  <c r="C188" i="18"/>
  <c r="B188" i="18"/>
  <c r="A188" i="18"/>
  <c r="G188" i="18" s="1"/>
  <c r="E187" i="18"/>
  <c r="C187" i="18"/>
  <c r="B187" i="18"/>
  <c r="A187" i="18"/>
  <c r="G187" i="18" s="1"/>
  <c r="E186" i="18"/>
  <c r="C186" i="18"/>
  <c r="B186" i="18"/>
  <c r="A186" i="18"/>
  <c r="G186" i="18" s="1"/>
  <c r="E185" i="18"/>
  <c r="C185" i="18"/>
  <c r="B185" i="18"/>
  <c r="A185" i="18"/>
  <c r="G185" i="18" s="1"/>
  <c r="E184" i="18"/>
  <c r="C184" i="18"/>
  <c r="B184" i="18"/>
  <c r="A184" i="18"/>
  <c r="G184" i="18" s="1"/>
  <c r="E183" i="18"/>
  <c r="C183" i="18"/>
  <c r="B183" i="18"/>
  <c r="A183" i="18"/>
  <c r="G183" i="18" s="1"/>
  <c r="E182" i="18"/>
  <c r="C182" i="18"/>
  <c r="B182" i="18"/>
  <c r="A182" i="18"/>
  <c r="G182" i="18" s="1"/>
  <c r="E181" i="18"/>
  <c r="C181" i="18"/>
  <c r="B181" i="18"/>
  <c r="A181" i="18"/>
  <c r="D181" i="18" s="1"/>
  <c r="E180" i="18"/>
  <c r="C180" i="18"/>
  <c r="B180" i="18"/>
  <c r="A180" i="18"/>
  <c r="G180" i="18" s="1"/>
  <c r="E179" i="18"/>
  <c r="C179" i="18"/>
  <c r="B179" i="18"/>
  <c r="A179" i="18"/>
  <c r="G179" i="18" s="1"/>
  <c r="E178" i="18"/>
  <c r="C178" i="18"/>
  <c r="B178" i="18"/>
  <c r="A178" i="18"/>
  <c r="G178" i="18" s="1"/>
  <c r="E177" i="18"/>
  <c r="C177" i="18"/>
  <c r="B177" i="18"/>
  <c r="A177" i="18"/>
  <c r="G177" i="18" s="1"/>
  <c r="E176" i="18"/>
  <c r="C176" i="18"/>
  <c r="B176" i="18"/>
  <c r="A176" i="18"/>
  <c r="G176" i="18" s="1"/>
  <c r="E175" i="18"/>
  <c r="C175" i="18"/>
  <c r="B175" i="18"/>
  <c r="A175" i="18"/>
  <c r="G175" i="18" s="1"/>
  <c r="E174" i="18"/>
  <c r="C174" i="18"/>
  <c r="B174" i="18"/>
  <c r="A174" i="18"/>
  <c r="G174" i="18" s="1"/>
  <c r="E173" i="18"/>
  <c r="C173" i="18"/>
  <c r="B173" i="18"/>
  <c r="A173" i="18"/>
  <c r="D173" i="18" s="1"/>
  <c r="E172" i="18"/>
  <c r="C172" i="18"/>
  <c r="B172" i="18"/>
  <c r="A172" i="18"/>
  <c r="G172" i="18" s="1"/>
  <c r="E171" i="18"/>
  <c r="C171" i="18"/>
  <c r="B171" i="18"/>
  <c r="A171" i="18"/>
  <c r="G171" i="18" s="1"/>
  <c r="E170" i="18"/>
  <c r="C170" i="18"/>
  <c r="B170" i="18"/>
  <c r="A170" i="18"/>
  <c r="G170" i="18" s="1"/>
  <c r="E169" i="18"/>
  <c r="C169" i="18"/>
  <c r="B169" i="18"/>
  <c r="A169" i="18"/>
  <c r="G169" i="18" s="1"/>
  <c r="E168" i="18"/>
  <c r="C168" i="18"/>
  <c r="B168" i="18"/>
  <c r="A168" i="18"/>
  <c r="G168" i="18" s="1"/>
  <c r="E167" i="18"/>
  <c r="C167" i="18"/>
  <c r="B167" i="18"/>
  <c r="A167" i="18"/>
  <c r="G167" i="18" s="1"/>
  <c r="E166" i="18"/>
  <c r="C166" i="18"/>
  <c r="B166" i="18"/>
  <c r="A166" i="18"/>
  <c r="G166" i="18" s="1"/>
  <c r="E165" i="18"/>
  <c r="C165" i="18"/>
  <c r="B165" i="18"/>
  <c r="A165" i="18"/>
  <c r="D165" i="18" s="1"/>
  <c r="E164" i="18"/>
  <c r="C164" i="18"/>
  <c r="B164" i="18"/>
  <c r="A164" i="18"/>
  <c r="G164" i="18" s="1"/>
  <c r="E163" i="18"/>
  <c r="C163" i="18"/>
  <c r="B163" i="18"/>
  <c r="A163" i="18"/>
  <c r="G163" i="18" s="1"/>
  <c r="E162" i="18"/>
  <c r="C162" i="18"/>
  <c r="B162" i="18"/>
  <c r="A162" i="18"/>
  <c r="G162" i="18" s="1"/>
  <c r="E161" i="18"/>
  <c r="C161" i="18"/>
  <c r="B161" i="18"/>
  <c r="A161" i="18"/>
  <c r="G161" i="18" s="1"/>
  <c r="E160" i="18"/>
  <c r="C160" i="18"/>
  <c r="B160" i="18"/>
  <c r="A160" i="18"/>
  <c r="G160" i="18" s="1"/>
  <c r="E159" i="18"/>
  <c r="C159" i="18"/>
  <c r="B159" i="18"/>
  <c r="A159" i="18"/>
  <c r="G159" i="18" s="1"/>
  <c r="E158" i="18"/>
  <c r="C158" i="18"/>
  <c r="B158" i="18"/>
  <c r="A158" i="18"/>
  <c r="G158" i="18" s="1"/>
  <c r="E157" i="18"/>
  <c r="C157" i="18"/>
  <c r="B157" i="18"/>
  <c r="A157" i="18"/>
  <c r="D157" i="18" s="1"/>
  <c r="E156" i="18"/>
  <c r="C156" i="18"/>
  <c r="B156" i="18"/>
  <c r="A156" i="18"/>
  <c r="G156" i="18" s="1"/>
  <c r="E155" i="18"/>
  <c r="C155" i="18"/>
  <c r="B155" i="18"/>
  <c r="A155" i="18"/>
  <c r="G155" i="18" s="1"/>
  <c r="E154" i="18"/>
  <c r="C154" i="18"/>
  <c r="B154" i="18"/>
  <c r="A154" i="18"/>
  <c r="G154" i="18" s="1"/>
  <c r="E153" i="18"/>
  <c r="C153" i="18"/>
  <c r="B153" i="18"/>
  <c r="A153" i="18"/>
  <c r="G153" i="18" s="1"/>
  <c r="E152" i="18"/>
  <c r="C152" i="18"/>
  <c r="B152" i="18"/>
  <c r="A152" i="18"/>
  <c r="G152" i="18" s="1"/>
  <c r="E151" i="18"/>
  <c r="C151" i="18"/>
  <c r="B151" i="18"/>
  <c r="A151" i="18"/>
  <c r="G151" i="18" s="1"/>
  <c r="E150" i="18"/>
  <c r="C150" i="18"/>
  <c r="B150" i="18"/>
  <c r="A150" i="18"/>
  <c r="G150" i="18" s="1"/>
  <c r="E149" i="18"/>
  <c r="C149" i="18"/>
  <c r="B149" i="18"/>
  <c r="A149" i="18"/>
  <c r="D149" i="18" s="1"/>
  <c r="E148" i="18"/>
  <c r="C148" i="18"/>
  <c r="B148" i="18"/>
  <c r="A148" i="18"/>
  <c r="G148" i="18" s="1"/>
  <c r="E147" i="18"/>
  <c r="C147" i="18"/>
  <c r="B147" i="18"/>
  <c r="A147" i="18"/>
  <c r="G147" i="18" s="1"/>
  <c r="E146" i="18"/>
  <c r="C146" i="18"/>
  <c r="B146" i="18"/>
  <c r="A146" i="18"/>
  <c r="G146" i="18" s="1"/>
  <c r="E145" i="18"/>
  <c r="C145" i="18"/>
  <c r="B145" i="18"/>
  <c r="A145" i="18"/>
  <c r="G145" i="18" s="1"/>
  <c r="E144" i="18"/>
  <c r="C144" i="18"/>
  <c r="B144" i="18"/>
  <c r="A144" i="18"/>
  <c r="G144" i="18" s="1"/>
  <c r="E143" i="18"/>
  <c r="C143" i="18"/>
  <c r="B143" i="18"/>
  <c r="A143" i="18"/>
  <c r="G143" i="18" s="1"/>
  <c r="E142" i="18"/>
  <c r="C142" i="18"/>
  <c r="B142" i="18"/>
  <c r="A142" i="18"/>
  <c r="G142" i="18" s="1"/>
  <c r="E141" i="18"/>
  <c r="C141" i="18"/>
  <c r="B141" i="18"/>
  <c r="A141" i="18"/>
  <c r="D141" i="18" s="1"/>
  <c r="E140" i="18"/>
  <c r="C140" i="18"/>
  <c r="B140" i="18"/>
  <c r="A140" i="18"/>
  <c r="G140" i="18" s="1"/>
  <c r="E139" i="18"/>
  <c r="C139" i="18"/>
  <c r="B139" i="18"/>
  <c r="A139" i="18"/>
  <c r="G139" i="18" s="1"/>
  <c r="E138" i="18"/>
  <c r="C138" i="18"/>
  <c r="B138" i="18"/>
  <c r="A138" i="18"/>
  <c r="G138" i="18" s="1"/>
  <c r="E137" i="18"/>
  <c r="C137" i="18"/>
  <c r="B137" i="18"/>
  <c r="A137" i="18"/>
  <c r="G137" i="18" s="1"/>
  <c r="E136" i="18"/>
  <c r="C136" i="18"/>
  <c r="B136" i="18"/>
  <c r="A136" i="18"/>
  <c r="G136" i="18" s="1"/>
  <c r="E135" i="18"/>
  <c r="C135" i="18"/>
  <c r="B135" i="18"/>
  <c r="A135" i="18"/>
  <c r="G135" i="18" s="1"/>
  <c r="E134" i="18"/>
  <c r="C134" i="18"/>
  <c r="B134" i="18"/>
  <c r="A134" i="18"/>
  <c r="G134" i="18" s="1"/>
  <c r="E133" i="18"/>
  <c r="C133" i="18"/>
  <c r="B133" i="18"/>
  <c r="A133" i="18"/>
  <c r="D133" i="18" s="1"/>
  <c r="E132" i="18"/>
  <c r="C132" i="18"/>
  <c r="B132" i="18"/>
  <c r="A132" i="18"/>
  <c r="G132" i="18" s="1"/>
  <c r="E131" i="18"/>
  <c r="C131" i="18"/>
  <c r="B131" i="18"/>
  <c r="A131" i="18"/>
  <c r="G131" i="18" s="1"/>
  <c r="E130" i="18"/>
  <c r="C130" i="18"/>
  <c r="B130" i="18"/>
  <c r="A130" i="18"/>
  <c r="G130" i="18" s="1"/>
  <c r="E129" i="18"/>
  <c r="C129" i="18"/>
  <c r="B129" i="18"/>
  <c r="A129" i="18"/>
  <c r="G129" i="18" s="1"/>
  <c r="E128" i="18"/>
  <c r="C128" i="18"/>
  <c r="B128" i="18"/>
  <c r="A128" i="18"/>
  <c r="G128" i="18" s="1"/>
  <c r="E127" i="18"/>
  <c r="C127" i="18"/>
  <c r="B127" i="18"/>
  <c r="A127" i="18"/>
  <c r="G127" i="18" s="1"/>
  <c r="E126" i="18"/>
  <c r="C126" i="18"/>
  <c r="B126" i="18"/>
  <c r="A126" i="18"/>
  <c r="G126" i="18" s="1"/>
  <c r="E125" i="18"/>
  <c r="C125" i="18"/>
  <c r="B125" i="18"/>
  <c r="A125" i="18"/>
  <c r="D125" i="18" s="1"/>
  <c r="E124" i="18"/>
  <c r="C124" i="18"/>
  <c r="B124" i="18"/>
  <c r="A124" i="18"/>
  <c r="G124" i="18" s="1"/>
  <c r="E123" i="18"/>
  <c r="C123" i="18"/>
  <c r="B123" i="18"/>
  <c r="A123" i="18"/>
  <c r="G123" i="18" s="1"/>
  <c r="E122" i="18"/>
  <c r="C122" i="18"/>
  <c r="B122" i="18"/>
  <c r="A122" i="18"/>
  <c r="G122" i="18" s="1"/>
  <c r="E121" i="18"/>
  <c r="C121" i="18"/>
  <c r="B121" i="18"/>
  <c r="A121" i="18"/>
  <c r="G121" i="18" s="1"/>
  <c r="E120" i="18"/>
  <c r="C120" i="18"/>
  <c r="B120" i="18"/>
  <c r="A120" i="18"/>
  <c r="G120" i="18" s="1"/>
  <c r="E119" i="18"/>
  <c r="C119" i="18"/>
  <c r="B119" i="18"/>
  <c r="A119" i="18"/>
  <c r="G119" i="18" s="1"/>
  <c r="E118" i="18"/>
  <c r="C118" i="18"/>
  <c r="B118" i="18"/>
  <c r="A118" i="18"/>
  <c r="G118" i="18" s="1"/>
  <c r="E117" i="18"/>
  <c r="C117" i="18"/>
  <c r="B117" i="18"/>
  <c r="A117" i="18"/>
  <c r="D117" i="18" s="1"/>
  <c r="E116" i="18"/>
  <c r="C116" i="18"/>
  <c r="B116" i="18"/>
  <c r="A116" i="18"/>
  <c r="G116" i="18" s="1"/>
  <c r="E115" i="18"/>
  <c r="C115" i="18"/>
  <c r="B115" i="18"/>
  <c r="A115" i="18"/>
  <c r="G115" i="18" s="1"/>
  <c r="E114" i="18"/>
  <c r="C114" i="18"/>
  <c r="B114" i="18"/>
  <c r="A114" i="18"/>
  <c r="G114" i="18" s="1"/>
  <c r="E113" i="18"/>
  <c r="C113" i="18"/>
  <c r="B113" i="18"/>
  <c r="A113" i="18"/>
  <c r="G113" i="18" s="1"/>
  <c r="E112" i="18"/>
  <c r="C112" i="18"/>
  <c r="B112" i="18"/>
  <c r="A112" i="18"/>
  <c r="G112" i="18" s="1"/>
  <c r="E111" i="18"/>
  <c r="C111" i="18"/>
  <c r="B111" i="18"/>
  <c r="A111" i="18"/>
  <c r="G111" i="18" s="1"/>
  <c r="E110" i="18"/>
  <c r="C110" i="18"/>
  <c r="B110" i="18"/>
  <c r="A110" i="18"/>
  <c r="G110" i="18" s="1"/>
  <c r="E109" i="18"/>
  <c r="C109" i="18"/>
  <c r="B109" i="18"/>
  <c r="A109" i="18"/>
  <c r="D109" i="18" s="1"/>
  <c r="E108" i="18"/>
  <c r="C108" i="18"/>
  <c r="B108" i="18"/>
  <c r="A108" i="18"/>
  <c r="G108" i="18" s="1"/>
  <c r="E107" i="18"/>
  <c r="C107" i="18"/>
  <c r="B107" i="18"/>
  <c r="A107" i="18"/>
  <c r="G107" i="18" s="1"/>
  <c r="E106" i="18"/>
  <c r="C106" i="18"/>
  <c r="B106" i="18"/>
  <c r="A106" i="18"/>
  <c r="G106" i="18" s="1"/>
  <c r="E105" i="18"/>
  <c r="C105" i="18"/>
  <c r="B105" i="18"/>
  <c r="A105" i="18"/>
  <c r="G105" i="18" s="1"/>
  <c r="E104" i="18"/>
  <c r="C104" i="18"/>
  <c r="B104" i="18"/>
  <c r="A104" i="18"/>
  <c r="G104" i="18" s="1"/>
  <c r="E103" i="18"/>
  <c r="C103" i="18"/>
  <c r="B103" i="18"/>
  <c r="A103" i="18"/>
  <c r="G103" i="18" s="1"/>
  <c r="E102" i="18"/>
  <c r="C102" i="18"/>
  <c r="B102" i="18"/>
  <c r="A102" i="18"/>
  <c r="G102" i="18" s="1"/>
  <c r="E101" i="18"/>
  <c r="C101" i="18"/>
  <c r="B101" i="18"/>
  <c r="A101" i="18"/>
  <c r="D101" i="18" s="1"/>
  <c r="E100" i="18"/>
  <c r="C100" i="18"/>
  <c r="B100" i="18"/>
  <c r="A100" i="18"/>
  <c r="G100" i="18" s="1"/>
  <c r="E99" i="18"/>
  <c r="C99" i="18"/>
  <c r="B99" i="18"/>
  <c r="A99" i="18"/>
  <c r="G99" i="18" s="1"/>
  <c r="E98" i="18"/>
  <c r="C98" i="18"/>
  <c r="B98" i="18"/>
  <c r="A98" i="18"/>
  <c r="G98" i="18" s="1"/>
  <c r="E97" i="18"/>
  <c r="C97" i="18"/>
  <c r="B97" i="18"/>
  <c r="A97" i="18"/>
  <c r="G97" i="18" s="1"/>
  <c r="E96" i="18"/>
  <c r="C96" i="18"/>
  <c r="B96" i="18"/>
  <c r="A96" i="18"/>
  <c r="G96" i="18" s="1"/>
  <c r="E95" i="18"/>
  <c r="C95" i="18"/>
  <c r="B95" i="18"/>
  <c r="A95" i="18"/>
  <c r="G95" i="18" s="1"/>
  <c r="E94" i="18"/>
  <c r="C94" i="18"/>
  <c r="B94" i="18"/>
  <c r="A94" i="18"/>
  <c r="G94" i="18" s="1"/>
  <c r="E93" i="18"/>
  <c r="C93" i="18"/>
  <c r="B93" i="18"/>
  <c r="A93" i="18"/>
  <c r="D93" i="18" s="1"/>
  <c r="E92" i="18"/>
  <c r="C92" i="18"/>
  <c r="B92" i="18"/>
  <c r="A92" i="18"/>
  <c r="G92" i="18" s="1"/>
  <c r="E91" i="18"/>
  <c r="C91" i="18"/>
  <c r="B91" i="18"/>
  <c r="A91" i="18"/>
  <c r="G91" i="18" s="1"/>
  <c r="E90" i="18"/>
  <c r="C90" i="18"/>
  <c r="B90" i="18"/>
  <c r="A90" i="18"/>
  <c r="G90" i="18" s="1"/>
  <c r="E89" i="18"/>
  <c r="C89" i="18"/>
  <c r="B89" i="18"/>
  <c r="A89" i="18"/>
  <c r="G89" i="18" s="1"/>
  <c r="E88" i="18"/>
  <c r="C88" i="18"/>
  <c r="B88" i="18"/>
  <c r="A88" i="18"/>
  <c r="G88" i="18" s="1"/>
  <c r="E87" i="18"/>
  <c r="C87" i="18"/>
  <c r="B87" i="18"/>
  <c r="A87" i="18"/>
  <c r="G87" i="18" s="1"/>
  <c r="E86" i="18"/>
  <c r="C86" i="18"/>
  <c r="B86" i="18"/>
  <c r="A86" i="18"/>
  <c r="G86" i="18" s="1"/>
  <c r="E85" i="18"/>
  <c r="C85" i="18"/>
  <c r="B85" i="18"/>
  <c r="A85" i="18"/>
  <c r="D85" i="18" s="1"/>
  <c r="E84" i="18"/>
  <c r="C84" i="18"/>
  <c r="B84" i="18"/>
  <c r="A84" i="18"/>
  <c r="G84" i="18" s="1"/>
  <c r="E83" i="18"/>
  <c r="C83" i="18"/>
  <c r="B83" i="18"/>
  <c r="A83" i="18"/>
  <c r="G83" i="18" s="1"/>
  <c r="E82" i="18"/>
  <c r="C82" i="18"/>
  <c r="B82" i="18"/>
  <c r="A82" i="18"/>
  <c r="G82" i="18" s="1"/>
  <c r="E81" i="18"/>
  <c r="C81" i="18"/>
  <c r="B81" i="18"/>
  <c r="A81" i="18"/>
  <c r="G81" i="18" s="1"/>
  <c r="E80" i="18"/>
  <c r="C80" i="18"/>
  <c r="B80" i="18"/>
  <c r="A80" i="18"/>
  <c r="G80" i="18" s="1"/>
  <c r="E79" i="18"/>
  <c r="C79" i="18"/>
  <c r="B79" i="18"/>
  <c r="A79" i="18"/>
  <c r="G79" i="18" s="1"/>
  <c r="E78" i="18"/>
  <c r="C78" i="18"/>
  <c r="B78" i="18"/>
  <c r="A78" i="18"/>
  <c r="G78" i="18" s="1"/>
  <c r="E77" i="18"/>
  <c r="C77" i="18"/>
  <c r="B77" i="18"/>
  <c r="A77" i="18"/>
  <c r="D77" i="18" s="1"/>
  <c r="E76" i="18"/>
  <c r="C76" i="18"/>
  <c r="B76" i="18"/>
  <c r="A76" i="18"/>
  <c r="G76" i="18" s="1"/>
  <c r="E75" i="18"/>
  <c r="C75" i="18"/>
  <c r="B75" i="18"/>
  <c r="A75" i="18"/>
  <c r="G75" i="18" s="1"/>
  <c r="E74" i="18"/>
  <c r="C74" i="18"/>
  <c r="B74" i="18"/>
  <c r="A74" i="18"/>
  <c r="G74" i="18" s="1"/>
  <c r="E73" i="18"/>
  <c r="C73" i="18"/>
  <c r="B73" i="18"/>
  <c r="A73" i="18"/>
  <c r="G73" i="18" s="1"/>
  <c r="E72" i="18"/>
  <c r="C72" i="18"/>
  <c r="B72" i="18"/>
  <c r="A72" i="18"/>
  <c r="G72" i="18" s="1"/>
  <c r="E71" i="18"/>
  <c r="C71" i="18"/>
  <c r="B71" i="18"/>
  <c r="A71" i="18"/>
  <c r="G71" i="18" s="1"/>
  <c r="E70" i="18"/>
  <c r="C70" i="18"/>
  <c r="B70" i="18"/>
  <c r="A70" i="18"/>
  <c r="G70" i="18" s="1"/>
  <c r="E69" i="18"/>
  <c r="C69" i="18"/>
  <c r="B69" i="18"/>
  <c r="A69" i="18"/>
  <c r="D69" i="18" s="1"/>
  <c r="E68" i="18"/>
  <c r="C68" i="18"/>
  <c r="B68" i="18"/>
  <c r="A68" i="18"/>
  <c r="G68" i="18" s="1"/>
  <c r="E67" i="18"/>
  <c r="C67" i="18"/>
  <c r="B67" i="18"/>
  <c r="A67" i="18"/>
  <c r="G67" i="18" s="1"/>
  <c r="E66" i="18"/>
  <c r="C66" i="18"/>
  <c r="B66" i="18"/>
  <c r="A66" i="18"/>
  <c r="G66" i="18" s="1"/>
  <c r="E65" i="18"/>
  <c r="C65" i="18"/>
  <c r="B65" i="18"/>
  <c r="A65" i="18"/>
  <c r="G65" i="18" s="1"/>
  <c r="E64" i="18"/>
  <c r="C64" i="18"/>
  <c r="B64" i="18"/>
  <c r="A64" i="18"/>
  <c r="G64" i="18" s="1"/>
  <c r="E63" i="18"/>
  <c r="C63" i="18"/>
  <c r="B63" i="18"/>
  <c r="A63" i="18"/>
  <c r="G63" i="18" s="1"/>
  <c r="E62" i="18"/>
  <c r="C62" i="18"/>
  <c r="B62" i="18"/>
  <c r="A62" i="18"/>
  <c r="G62" i="18" s="1"/>
  <c r="E61" i="18"/>
  <c r="C61" i="18"/>
  <c r="B61" i="18"/>
  <c r="A61" i="18"/>
  <c r="D61" i="18" s="1"/>
  <c r="E60" i="18"/>
  <c r="C60" i="18"/>
  <c r="B60" i="18"/>
  <c r="A60" i="18"/>
  <c r="G60" i="18" s="1"/>
  <c r="E59" i="18"/>
  <c r="C59" i="18"/>
  <c r="B59" i="18"/>
  <c r="A59" i="18"/>
  <c r="G59" i="18" s="1"/>
  <c r="E58" i="18"/>
  <c r="C58" i="18"/>
  <c r="B58" i="18"/>
  <c r="A58" i="18"/>
  <c r="G58" i="18" s="1"/>
  <c r="E57" i="18"/>
  <c r="C57" i="18"/>
  <c r="B57" i="18"/>
  <c r="A57" i="18"/>
  <c r="G57" i="18" s="1"/>
  <c r="E56" i="18"/>
  <c r="C56" i="18"/>
  <c r="B56" i="18"/>
  <c r="A56" i="18"/>
  <c r="G56" i="18" s="1"/>
  <c r="E55" i="18"/>
  <c r="C55" i="18"/>
  <c r="B55" i="18"/>
  <c r="A55" i="18"/>
  <c r="G55" i="18" s="1"/>
  <c r="E54" i="18"/>
  <c r="C54" i="18"/>
  <c r="B54" i="18"/>
  <c r="A54" i="18"/>
  <c r="G54" i="18" s="1"/>
  <c r="E53" i="18"/>
  <c r="C53" i="18"/>
  <c r="B53" i="18"/>
  <c r="A53" i="18"/>
  <c r="D53" i="18" s="1"/>
  <c r="E52" i="18"/>
  <c r="C52" i="18"/>
  <c r="B52" i="18"/>
  <c r="A52" i="18"/>
  <c r="G52" i="18" s="1"/>
  <c r="E51" i="18"/>
  <c r="C51" i="18"/>
  <c r="B51" i="18"/>
  <c r="A51" i="18"/>
  <c r="G51" i="18" s="1"/>
  <c r="E50" i="18"/>
  <c r="C50" i="18"/>
  <c r="B50" i="18"/>
  <c r="A50" i="18"/>
  <c r="G50" i="18" s="1"/>
  <c r="E49" i="18"/>
  <c r="C49" i="18"/>
  <c r="B49" i="18"/>
  <c r="A49" i="18"/>
  <c r="G49" i="18" s="1"/>
  <c r="E48" i="18"/>
  <c r="C48" i="18"/>
  <c r="B48" i="18"/>
  <c r="A48" i="18"/>
  <c r="G48" i="18" s="1"/>
  <c r="E47" i="18"/>
  <c r="C47" i="18"/>
  <c r="B47" i="18"/>
  <c r="A47" i="18"/>
  <c r="G47" i="18" s="1"/>
  <c r="E46" i="18"/>
  <c r="C46" i="18"/>
  <c r="B46" i="18"/>
  <c r="A46" i="18"/>
  <c r="G46" i="18" s="1"/>
  <c r="E45" i="18"/>
  <c r="C45" i="18"/>
  <c r="B45" i="18"/>
  <c r="A45" i="18"/>
  <c r="D45" i="18" s="1"/>
  <c r="E44" i="18"/>
  <c r="C44" i="18"/>
  <c r="B44" i="18"/>
  <c r="A44" i="18"/>
  <c r="G44" i="18" s="1"/>
  <c r="E43" i="18"/>
  <c r="C43" i="18"/>
  <c r="B43" i="18"/>
  <c r="A43" i="18"/>
  <c r="G43" i="18" s="1"/>
  <c r="E42" i="18"/>
  <c r="C42" i="18"/>
  <c r="B42" i="18"/>
  <c r="A42" i="18"/>
  <c r="G42" i="18" s="1"/>
  <c r="E41" i="18"/>
  <c r="C41" i="18"/>
  <c r="B41" i="18"/>
  <c r="A41" i="18"/>
  <c r="G41" i="18" s="1"/>
  <c r="E40" i="18"/>
  <c r="C40" i="18"/>
  <c r="B40" i="18"/>
  <c r="A40" i="18"/>
  <c r="G40" i="18" s="1"/>
  <c r="E39" i="18"/>
  <c r="C39" i="18"/>
  <c r="B39" i="18"/>
  <c r="A39" i="18"/>
  <c r="G39" i="18" s="1"/>
  <c r="E38" i="18"/>
  <c r="C38" i="18"/>
  <c r="B38" i="18"/>
  <c r="A38" i="18"/>
  <c r="G38" i="18" s="1"/>
  <c r="E37" i="18"/>
  <c r="C37" i="18"/>
  <c r="B37" i="18"/>
  <c r="A37" i="18"/>
  <c r="D37" i="18" s="1"/>
  <c r="E36" i="18"/>
  <c r="C36" i="18"/>
  <c r="B36" i="18"/>
  <c r="A36" i="18"/>
  <c r="G36" i="18" s="1"/>
  <c r="E35" i="18"/>
  <c r="C35" i="18"/>
  <c r="B35" i="18"/>
  <c r="A35" i="18"/>
  <c r="G35" i="18" s="1"/>
  <c r="E34" i="18"/>
  <c r="C34" i="18"/>
  <c r="B34" i="18"/>
  <c r="A34" i="18"/>
  <c r="G34" i="18" s="1"/>
  <c r="E33" i="18"/>
  <c r="C33" i="18"/>
  <c r="B33" i="18"/>
  <c r="A33" i="18"/>
  <c r="G33" i="18" s="1"/>
  <c r="E32" i="18"/>
  <c r="C32" i="18"/>
  <c r="B32" i="18"/>
  <c r="A32" i="18"/>
  <c r="G32" i="18" s="1"/>
  <c r="E31" i="18"/>
  <c r="C31" i="18"/>
  <c r="B31" i="18"/>
  <c r="A31" i="18"/>
  <c r="G31" i="18" s="1"/>
  <c r="E30" i="18"/>
  <c r="C30" i="18"/>
  <c r="B30" i="18"/>
  <c r="A30" i="18"/>
  <c r="G30" i="18" s="1"/>
  <c r="E29" i="18"/>
  <c r="C29" i="18"/>
  <c r="B29" i="18"/>
  <c r="A29" i="18"/>
  <c r="D29" i="18" s="1"/>
  <c r="E28" i="18"/>
  <c r="C28" i="18"/>
  <c r="B28" i="18"/>
  <c r="A28" i="18"/>
  <c r="G28" i="18" s="1"/>
  <c r="E27" i="18"/>
  <c r="C27" i="18"/>
  <c r="B27" i="18"/>
  <c r="A27" i="18"/>
  <c r="G27" i="18" s="1"/>
  <c r="E26" i="18"/>
  <c r="C26" i="18"/>
  <c r="B26" i="18"/>
  <c r="A26" i="18"/>
  <c r="G26" i="18" s="1"/>
  <c r="E25" i="18"/>
  <c r="C25" i="18"/>
  <c r="B25" i="18"/>
  <c r="A25" i="18"/>
  <c r="G25" i="18" s="1"/>
  <c r="E24" i="18"/>
  <c r="C24" i="18"/>
  <c r="B24" i="18"/>
  <c r="A24" i="18"/>
  <c r="G24" i="18" s="1"/>
  <c r="E23" i="18"/>
  <c r="C23" i="18"/>
  <c r="B23" i="18"/>
  <c r="A23" i="18"/>
  <c r="G23" i="18" s="1"/>
  <c r="E22" i="18"/>
  <c r="C22" i="18"/>
  <c r="B22" i="18"/>
  <c r="A22" i="18"/>
  <c r="G22" i="18" s="1"/>
  <c r="E21" i="18"/>
  <c r="C21" i="18"/>
  <c r="B21" i="18"/>
  <c r="A21" i="18"/>
  <c r="D21" i="18" s="1"/>
  <c r="E20" i="18"/>
  <c r="C20" i="18"/>
  <c r="B20" i="18"/>
  <c r="A20" i="18"/>
  <c r="G20" i="18" s="1"/>
  <c r="E19" i="18"/>
  <c r="C19" i="18"/>
  <c r="B19" i="18"/>
  <c r="A19" i="18"/>
  <c r="D19" i="18" s="1"/>
  <c r="E18" i="18"/>
  <c r="C18" i="18"/>
  <c r="B18" i="18"/>
  <c r="A18" i="18"/>
  <c r="G18" i="18" s="1"/>
  <c r="E17" i="18"/>
  <c r="C17" i="18"/>
  <c r="B17" i="18"/>
  <c r="A17" i="18"/>
  <c r="G17" i="18" s="1"/>
  <c r="E16" i="18"/>
  <c r="C16" i="18"/>
  <c r="B16" i="18"/>
  <c r="A16" i="18"/>
  <c r="G16" i="18" s="1"/>
  <c r="E15" i="18"/>
  <c r="C15" i="18"/>
  <c r="B15" i="18"/>
  <c r="A15" i="18"/>
  <c r="G15" i="18" s="1"/>
  <c r="E14" i="18"/>
  <c r="C14" i="18"/>
  <c r="B14" i="18"/>
  <c r="A14" i="18"/>
  <c r="G14" i="18" s="1"/>
  <c r="E13" i="18"/>
  <c r="C13" i="18"/>
  <c r="B13" i="18"/>
  <c r="A13" i="18"/>
  <c r="D13" i="18" s="1"/>
  <c r="E12" i="18"/>
  <c r="C12" i="18"/>
  <c r="B12" i="18"/>
  <c r="A12" i="18"/>
  <c r="G12" i="18" s="1"/>
  <c r="E11" i="18"/>
  <c r="C11" i="18"/>
  <c r="B11" i="18"/>
  <c r="A11" i="18"/>
  <c r="D11" i="18" s="1"/>
  <c r="E10" i="18"/>
  <c r="C10" i="18"/>
  <c r="B10" i="18"/>
  <c r="A10" i="18"/>
  <c r="G10" i="18" s="1"/>
  <c r="E9" i="18"/>
  <c r="C9" i="18"/>
  <c r="B9" i="18"/>
  <c r="A9" i="18"/>
  <c r="D9" i="18" s="1"/>
  <c r="E8" i="18"/>
  <c r="C8" i="18"/>
  <c r="B8" i="18"/>
  <c r="A8" i="18"/>
  <c r="G8" i="18" s="1"/>
  <c r="E7" i="18"/>
  <c r="C7" i="18"/>
  <c r="B7" i="18"/>
  <c r="A7" i="18"/>
  <c r="G7" i="18" s="1"/>
  <c r="E6" i="18"/>
  <c r="C6" i="18"/>
  <c r="B6" i="18"/>
  <c r="A6" i="18"/>
  <c r="G6" i="18" s="1"/>
  <c r="E5" i="18"/>
  <c r="C5" i="18"/>
  <c r="B5" i="18"/>
  <c r="A5" i="18"/>
  <c r="G5" i="18" s="1"/>
  <c r="E4" i="18"/>
  <c r="C4" i="18"/>
  <c r="B4" i="18"/>
  <c r="A4" i="18"/>
  <c r="G4" i="18" s="1"/>
  <c r="I6" i="7"/>
  <c r="I7" i="7"/>
  <c r="I8" i="7"/>
  <c r="I9" i="7"/>
  <c r="I10" i="7"/>
  <c r="I11" i="7"/>
  <c r="I12" i="7"/>
  <c r="I13" i="7"/>
  <c r="I14" i="7"/>
  <c r="I15" i="7"/>
  <c r="I16" i="7"/>
  <c r="I17" i="7"/>
  <c r="I18" i="7"/>
  <c r="I19" i="7"/>
  <c r="I20" i="7"/>
  <c r="I21" i="7"/>
  <c r="I22" i="7"/>
  <c r="I23" i="7"/>
  <c r="I24" i="7"/>
  <c r="I25" i="7"/>
  <c r="I26" i="7"/>
  <c r="I27" i="7"/>
  <c r="I28" i="7"/>
  <c r="I29" i="7"/>
  <c r="I30" i="7"/>
  <c r="I31" i="7"/>
  <c r="I32" i="7"/>
  <c r="I33" i="7"/>
  <c r="I34" i="7"/>
  <c r="I35" i="7"/>
  <c r="I36" i="7"/>
  <c r="I37" i="7"/>
  <c r="I38" i="7"/>
  <c r="I39" i="7"/>
  <c r="I40" i="7"/>
  <c r="I41" i="7"/>
  <c r="I42" i="7"/>
  <c r="I43" i="7"/>
  <c r="I44" i="7"/>
  <c r="I45" i="7"/>
  <c r="I46" i="7"/>
  <c r="I47" i="7"/>
  <c r="I48" i="7"/>
  <c r="I49" i="7"/>
  <c r="I50" i="7"/>
  <c r="I51" i="7"/>
  <c r="I52" i="7"/>
  <c r="I53" i="7"/>
  <c r="I54" i="7"/>
  <c r="I55" i="7"/>
  <c r="I56" i="7"/>
  <c r="I57" i="7"/>
  <c r="I58" i="7"/>
  <c r="I59" i="7"/>
  <c r="I60" i="7"/>
  <c r="I61" i="7"/>
  <c r="I62" i="7"/>
  <c r="I63" i="7"/>
  <c r="I64" i="7"/>
  <c r="I65" i="7"/>
  <c r="I66" i="7"/>
  <c r="I67" i="7"/>
  <c r="I68" i="7"/>
  <c r="I69" i="7"/>
  <c r="I70" i="7"/>
  <c r="I5" i="7"/>
  <c r="D122" i="18" l="1"/>
  <c r="D128" i="18"/>
  <c r="D150" i="18"/>
  <c r="D214" i="18"/>
  <c r="D224" i="18"/>
  <c r="D226" i="18"/>
  <c r="D298" i="18"/>
  <c r="D24" i="18"/>
  <c r="D32" i="18"/>
  <c r="D48" i="18"/>
  <c r="D70" i="18"/>
  <c r="D256" i="18"/>
  <c r="D74" i="18"/>
  <c r="D274" i="18"/>
  <c r="D6" i="18"/>
  <c r="D98" i="18"/>
  <c r="D178" i="18"/>
  <c r="D290" i="18"/>
  <c r="D162" i="18"/>
  <c r="D230" i="18"/>
  <c r="D72" i="18"/>
  <c r="D170" i="18"/>
  <c r="D176" i="18"/>
  <c r="D22" i="18"/>
  <c r="D120" i="18"/>
  <c r="D200" i="18"/>
  <c r="D296" i="18"/>
  <c r="J1099" i="64"/>
  <c r="J1098" i="64"/>
  <c r="J1097" i="64"/>
  <c r="J1096" i="64"/>
  <c r="D34" i="18"/>
  <c r="D86" i="18"/>
  <c r="D136" i="18"/>
  <c r="D186" i="18"/>
  <c r="D240" i="18"/>
  <c r="D308" i="18"/>
  <c r="D42" i="18"/>
  <c r="D96" i="18"/>
  <c r="D146" i="18"/>
  <c r="D198" i="18"/>
  <c r="D250" i="18"/>
  <c r="D8" i="18"/>
  <c r="D50" i="18"/>
  <c r="D102" i="18"/>
  <c r="D152" i="18"/>
  <c r="D202" i="18"/>
  <c r="D258" i="18"/>
  <c r="D18" i="18"/>
  <c r="D58" i="18"/>
  <c r="D112" i="18"/>
  <c r="D26" i="18"/>
  <c r="D80" i="18"/>
  <c r="D104" i="18"/>
  <c r="D154" i="18"/>
  <c r="D182" i="18"/>
  <c r="D10" i="18"/>
  <c r="D38" i="18"/>
  <c r="D64" i="18"/>
  <c r="D88" i="18"/>
  <c r="D114" i="18"/>
  <c r="D138" i="18"/>
  <c r="D166" i="18"/>
  <c r="D192" i="18"/>
  <c r="D216" i="18"/>
  <c r="D242" i="18"/>
  <c r="D280" i="18"/>
  <c r="D54" i="18"/>
  <c r="D130" i="18"/>
  <c r="D232" i="18"/>
  <c r="D16" i="18"/>
  <c r="D40" i="18"/>
  <c r="D66" i="18"/>
  <c r="D90" i="18"/>
  <c r="D118" i="18"/>
  <c r="D144" i="18"/>
  <c r="D168" i="18"/>
  <c r="D194" i="18"/>
  <c r="D218" i="18"/>
  <c r="D248" i="18"/>
  <c r="D282" i="18"/>
  <c r="G310" i="18"/>
  <c r="D208" i="18"/>
  <c r="D264" i="18"/>
  <c r="G278" i="18"/>
  <c r="D56" i="18"/>
  <c r="D82" i="18"/>
  <c r="D106" i="18"/>
  <c r="D134" i="18"/>
  <c r="D160" i="18"/>
  <c r="D184" i="18"/>
  <c r="D210" i="18"/>
  <c r="D234" i="18"/>
  <c r="D266" i="18"/>
  <c r="D312" i="18"/>
  <c r="D4" i="18"/>
  <c r="D20" i="18"/>
  <c r="D36" i="18"/>
  <c r="D52" i="18"/>
  <c r="D68" i="18"/>
  <c r="D84" i="18"/>
  <c r="D100" i="18"/>
  <c r="D116" i="18"/>
  <c r="D132" i="18"/>
  <c r="D148" i="18"/>
  <c r="D164" i="18"/>
  <c r="D180" i="18"/>
  <c r="D196" i="18"/>
  <c r="D212" i="18"/>
  <c r="D228" i="18"/>
  <c r="D244" i="18"/>
  <c r="D260" i="18"/>
  <c r="D276" i="18"/>
  <c r="D292" i="18"/>
  <c r="G286" i="18"/>
  <c r="D246" i="18"/>
  <c r="D262" i="18"/>
  <c r="D294" i="18"/>
  <c r="G314" i="18"/>
  <c r="G306" i="18"/>
  <c r="D12" i="18"/>
  <c r="D28" i="18"/>
  <c r="D44" i="18"/>
  <c r="D60" i="18"/>
  <c r="D76" i="18"/>
  <c r="D92" i="18"/>
  <c r="D108" i="18"/>
  <c r="D124" i="18"/>
  <c r="D140" i="18"/>
  <c r="D156" i="18"/>
  <c r="D172" i="18"/>
  <c r="D188" i="18"/>
  <c r="D204" i="18"/>
  <c r="D220" i="18"/>
  <c r="D236" i="18"/>
  <c r="D252" i="18"/>
  <c r="D268" i="18"/>
  <c r="D284" i="18"/>
  <c r="D300" i="18"/>
  <c r="G302" i="18"/>
  <c r="G270" i="18"/>
  <c r="D14" i="18"/>
  <c r="D30" i="18"/>
  <c r="D46" i="18"/>
  <c r="D62" i="18"/>
  <c r="D78" i="18"/>
  <c r="D94" i="18"/>
  <c r="D110" i="18"/>
  <c r="D126" i="18"/>
  <c r="D142" i="18"/>
  <c r="D158" i="18"/>
  <c r="D174" i="18"/>
  <c r="D190" i="18"/>
  <c r="D206" i="18"/>
  <c r="D222" i="18"/>
  <c r="D238" i="18"/>
  <c r="D254" i="18"/>
  <c r="D272" i="18"/>
  <c r="D288" i="18"/>
  <c r="D304" i="18"/>
  <c r="D7" i="18"/>
  <c r="D15" i="18"/>
  <c r="D23" i="18"/>
  <c r="D31" i="18"/>
  <c r="D39" i="18"/>
  <c r="D47" i="18"/>
  <c r="D55" i="18"/>
  <c r="D63" i="18"/>
  <c r="D71" i="18"/>
  <c r="D79" i="18"/>
  <c r="D87" i="18"/>
  <c r="D95" i="18"/>
  <c r="D103" i="18"/>
  <c r="D111" i="18"/>
  <c r="D119" i="18"/>
  <c r="D127" i="18"/>
  <c r="D135" i="18"/>
  <c r="D143" i="18"/>
  <c r="D151" i="18"/>
  <c r="D159" i="18"/>
  <c r="D167" i="18"/>
  <c r="D175" i="18"/>
  <c r="D183" i="18"/>
  <c r="D191" i="18"/>
  <c r="D199" i="18"/>
  <c r="D207" i="18"/>
  <c r="D215" i="18"/>
  <c r="D223" i="18"/>
  <c r="D231" i="18"/>
  <c r="D239" i="18"/>
  <c r="D247" i="18"/>
  <c r="D255" i="18"/>
  <c r="D263" i="18"/>
  <c r="D271" i="18"/>
  <c r="D279" i="18"/>
  <c r="D287" i="18"/>
  <c r="D295" i="18"/>
  <c r="D303" i="18"/>
  <c r="D311" i="18"/>
  <c r="G19" i="18"/>
  <c r="G21" i="18"/>
  <c r="G9" i="18"/>
  <c r="G11" i="18"/>
  <c r="D17" i="18"/>
  <c r="D25" i="18"/>
  <c r="D33" i="18"/>
  <c r="D41" i="18"/>
  <c r="D49" i="18"/>
  <c r="D57" i="18"/>
  <c r="D65" i="18"/>
  <c r="D73" i="18"/>
  <c r="D81" i="18"/>
  <c r="D89" i="18"/>
  <c r="D97" i="18"/>
  <c r="D105" i="18"/>
  <c r="D113" i="18"/>
  <c r="D121" i="18"/>
  <c r="D129" i="18"/>
  <c r="D137" i="18"/>
  <c r="D145" i="18"/>
  <c r="D153" i="18"/>
  <c r="D161" i="18"/>
  <c r="D169" i="18"/>
  <c r="D177" i="18"/>
  <c r="D185" i="18"/>
  <c r="D193" i="18"/>
  <c r="D201" i="18"/>
  <c r="D209" i="18"/>
  <c r="D217" i="18"/>
  <c r="D225" i="18"/>
  <c r="D233" i="18"/>
  <c r="D241" i="18"/>
  <c r="D249" i="18"/>
  <c r="D257" i="18"/>
  <c r="D265" i="18"/>
  <c r="D273" i="18"/>
  <c r="D281" i="18"/>
  <c r="D289" i="18"/>
  <c r="D297" i="18"/>
  <c r="D305" i="18"/>
  <c r="D313" i="18"/>
  <c r="G13" i="18"/>
  <c r="G309" i="18"/>
  <c r="G301" i="18"/>
  <c r="G293" i="18"/>
  <c r="G285" i="18"/>
  <c r="G277" i="18"/>
  <c r="G269" i="18"/>
  <c r="G261" i="18"/>
  <c r="G253" i="18"/>
  <c r="G245" i="18"/>
  <c r="G237" i="18"/>
  <c r="G229" i="18"/>
  <c r="G221" i="18"/>
  <c r="G213" i="18"/>
  <c r="G205" i="18"/>
  <c r="G197" i="18"/>
  <c r="G189" i="18"/>
  <c r="G181" i="18"/>
  <c r="G173" i="18"/>
  <c r="G165" i="18"/>
  <c r="G157" i="18"/>
  <c r="G149" i="18"/>
  <c r="G141" i="18"/>
  <c r="G133" i="18"/>
  <c r="G125" i="18"/>
  <c r="G117" i="18"/>
  <c r="G109" i="18"/>
  <c r="G101" i="18"/>
  <c r="G93" i="18"/>
  <c r="G85" i="18"/>
  <c r="G77" i="18"/>
  <c r="G69" i="18"/>
  <c r="G61" i="18"/>
  <c r="G53" i="18"/>
  <c r="G45" i="18"/>
  <c r="G37" i="18"/>
  <c r="G29" i="18"/>
  <c r="D27" i="18"/>
  <c r="D35" i="18"/>
  <c r="D43" i="18"/>
  <c r="D51" i="18"/>
  <c r="D59" i="18"/>
  <c r="D67" i="18"/>
  <c r="D75" i="18"/>
  <c r="D83" i="18"/>
  <c r="D91" i="18"/>
  <c r="D99" i="18"/>
  <c r="D107" i="18"/>
  <c r="D115" i="18"/>
  <c r="D123" i="18"/>
  <c r="D131" i="18"/>
  <c r="D139" i="18"/>
  <c r="D147" i="18"/>
  <c r="D155" i="18"/>
  <c r="D163" i="18"/>
  <c r="D171" i="18"/>
  <c r="D179" i="18"/>
  <c r="D187" i="18"/>
  <c r="D195" i="18"/>
  <c r="D203" i="18"/>
  <c r="D211" i="18"/>
  <c r="D219" i="18"/>
  <c r="D227" i="18"/>
  <c r="D235" i="18"/>
  <c r="D243" i="18"/>
  <c r="D251" i="18"/>
  <c r="D259" i="18"/>
  <c r="D267" i="18"/>
  <c r="D275" i="18"/>
  <c r="D283" i="18"/>
  <c r="D291" i="18"/>
  <c r="D299" i="18"/>
  <c r="D307" i="18"/>
  <c r="D315" i="18"/>
  <c r="D5" i="18"/>
  <c r="E19" i="13" l="1"/>
  <c r="D19" i="13"/>
  <c r="C19" i="13"/>
  <c r="D18" i="13"/>
  <c r="C18" i="13"/>
  <c r="E18" i="13" s="1"/>
  <c r="D17" i="13"/>
  <c r="C17" i="13"/>
  <c r="E17" i="13" s="1"/>
  <c r="E16" i="13"/>
  <c r="D16" i="13"/>
  <c r="C16" i="13"/>
  <c r="AB15" i="13"/>
  <c r="AA15" i="13"/>
  <c r="Z15" i="13"/>
  <c r="AC15" i="13"/>
  <c r="E15" i="13"/>
  <c r="D15" i="13"/>
  <c r="C15" i="13"/>
  <c r="AB14" i="13"/>
  <c r="AA14" i="13"/>
  <c r="Z14" i="13"/>
  <c r="AC14" i="13"/>
  <c r="E14" i="13"/>
  <c r="D14" i="13"/>
  <c r="C14" i="13"/>
  <c r="AB13" i="13"/>
  <c r="AA13" i="13"/>
  <c r="Z13" i="13"/>
  <c r="AC13" i="13"/>
  <c r="D13" i="13"/>
  <c r="C13" i="13"/>
  <c r="E13" i="13" s="1"/>
  <c r="AB12" i="13"/>
  <c r="AA12" i="13"/>
  <c r="Z12" i="13"/>
  <c r="AC12" i="13"/>
  <c r="D12" i="13"/>
  <c r="C12" i="13"/>
  <c r="E12" i="13" s="1"/>
  <c r="AB11" i="13"/>
  <c r="AA11" i="13"/>
  <c r="Z11" i="13"/>
  <c r="AC11" i="13"/>
  <c r="D11" i="13"/>
  <c r="C11" i="13"/>
  <c r="E11" i="13" s="1"/>
  <c r="P51" i="25" a="1"/>
  <c r="P51" i="25" s="1"/>
  <c r="D225" i="64"/>
  <c r="D224" i="64"/>
  <c r="C225" i="64"/>
  <c r="B225" i="64"/>
  <c r="C224" i="64"/>
  <c r="B224" i="64"/>
  <c r="F231" i="64"/>
  <c r="F230" i="64"/>
  <c r="D15" i="47"/>
  <c r="D124" i="64"/>
  <c r="C13" i="70"/>
  <c r="C12" i="70"/>
  <c r="B29" i="2"/>
  <c r="F2167" i="64"/>
  <c r="F1895" i="64"/>
  <c r="F1896" i="64"/>
  <c r="R9" i="13"/>
  <c r="F9" i="18"/>
  <c r="F8" i="18"/>
  <c r="F4" i="18"/>
  <c r="F7" i="18"/>
  <c r="F17" i="18"/>
  <c r="F20" i="18"/>
  <c r="F24" i="18"/>
  <c r="F23" i="18"/>
  <c r="F22" i="18"/>
  <c r="F21" i="18"/>
  <c r="F25" i="18"/>
  <c r="C5" i="47"/>
  <c r="D2152" i="64"/>
  <c r="C2152" i="64"/>
  <c r="D2151" i="64"/>
  <c r="C2151" i="64"/>
  <c r="D2150" i="64"/>
  <c r="C2150" i="64"/>
  <c r="D2149" i="64"/>
  <c r="C2149" i="64"/>
  <c r="D2148" i="64"/>
  <c r="D2147" i="64"/>
  <c r="C2148" i="64"/>
  <c r="C2147" i="64"/>
  <c r="D2146" i="64"/>
  <c r="C2146" i="64"/>
  <c r="D2145" i="64"/>
  <c r="C2145" i="64"/>
  <c r="D2144" i="64"/>
  <c r="C2144" i="64"/>
  <c r="D2143" i="64"/>
  <c r="C2143" i="64"/>
  <c r="D2142" i="64"/>
  <c r="C2142" i="64"/>
  <c r="D2141" i="64"/>
  <c r="C2141" i="64"/>
  <c r="D2033" i="64"/>
  <c r="D2019" i="64"/>
  <c r="D2088" i="64"/>
  <c r="B2088" i="64"/>
  <c r="D2087" i="64"/>
  <c r="B2087" i="64"/>
  <c r="F2100" i="64"/>
  <c r="D2018" i="64"/>
  <c r="D1957" i="64"/>
  <c r="F1879" i="64"/>
  <c r="F1878" i="64" s="1"/>
  <c r="H1863" i="64" l="1"/>
  <c r="F1816" i="64"/>
  <c r="J1816" i="64" s="1"/>
  <c r="D1816" i="64"/>
  <c r="C1816" i="64"/>
  <c r="B1816" i="64"/>
  <c r="D1694" i="64"/>
  <c r="F1694" i="64"/>
  <c r="D1608" i="64"/>
  <c r="D1669" i="64"/>
  <c r="F1669" i="64"/>
  <c r="F1006" i="64"/>
  <c r="F1224" i="64"/>
  <c r="F1310" i="64"/>
  <c r="D1410" i="64"/>
  <c r="D1407" i="64"/>
  <c r="D1060" i="64"/>
  <c r="F1019" i="64"/>
  <c r="F1018" i="64"/>
  <c r="F2158" i="64"/>
  <c r="F862" i="64"/>
  <c r="F860" i="64"/>
  <c r="F707" i="64" a="1"/>
  <c r="F707" i="64" s="1"/>
  <c r="H729" i="64" s="1"/>
  <c r="F70" i="70" a="1"/>
  <c r="F70" i="70" s="1"/>
  <c r="F69" i="70" a="1"/>
  <c r="F69" i="70" s="1"/>
  <c r="F71" i="70" a="1"/>
  <c r="F71" i="70" s="1"/>
  <c r="F708" i="64"/>
  <c r="D729" i="64"/>
  <c r="G135" i="64"/>
  <c r="F135" i="64"/>
  <c r="D135" i="64"/>
  <c r="F115" i="64"/>
  <c r="J96" i="64"/>
  <c r="J97" i="64"/>
  <c r="F85" i="64" l="1"/>
  <c r="D93" i="64"/>
  <c r="C93" i="64"/>
  <c r="B93" i="64"/>
  <c r="D92" i="64"/>
  <c r="C92" i="64"/>
  <c r="B92" i="64"/>
  <c r="D91" i="64"/>
  <c r="C91" i="64"/>
  <c r="B91" i="64"/>
  <c r="D90" i="64"/>
  <c r="C90" i="64"/>
  <c r="B90" i="64"/>
  <c r="D94" i="64"/>
  <c r="C94" i="64"/>
  <c r="B94" i="64"/>
  <c r="D89" i="64"/>
  <c r="F88" i="64"/>
  <c r="C89" i="64"/>
  <c r="B89" i="64"/>
  <c r="F68" i="70" l="1" a="1"/>
  <c r="F68" i="70" s="1"/>
  <c r="F63" i="70"/>
  <c r="F32" i="70" a="1"/>
  <c r="F32" i="70" s="1"/>
  <c r="J46" i="70"/>
  <c r="F1323" i="64" l="1"/>
  <c r="F1324" i="64"/>
  <c r="F1100" i="64"/>
  <c r="H1840" i="64"/>
  <c r="D1828" i="64"/>
  <c r="D1814" i="64"/>
  <c r="B1812" i="64"/>
  <c r="C1812" i="64"/>
  <c r="D1812" i="64"/>
  <c r="F1812" i="64"/>
  <c r="J1812" i="64" s="1"/>
  <c r="F1811" i="64"/>
  <c r="G885" i="64"/>
  <c r="F885" i="64"/>
  <c r="J885" i="64" s="1"/>
  <c r="D885" i="64"/>
  <c r="C885" i="64"/>
  <c r="B885" i="64"/>
  <c r="J884" i="64"/>
  <c r="D2215" i="64"/>
  <c r="D2207" i="64"/>
  <c r="D2216" i="64"/>
  <c r="D2203" i="64"/>
  <c r="D2214" i="64"/>
  <c r="D2213" i="64"/>
  <c r="D2212" i="64"/>
  <c r="D2211" i="64"/>
  <c r="D2210" i="64"/>
  <c r="D2209" i="64"/>
  <c r="D2208" i="64"/>
  <c r="D2206" i="64"/>
  <c r="D2204" i="64"/>
  <c r="D2217" i="64"/>
  <c r="F2197" i="64"/>
  <c r="J2197" i="64" s="1"/>
  <c r="F2196" i="64"/>
  <c r="J2196" i="64" s="1"/>
  <c r="F2195" i="64"/>
  <c r="J2195" i="64" s="1"/>
  <c r="F2194" i="64"/>
  <c r="J2194" i="64" s="1"/>
  <c r="F2193" i="64"/>
  <c r="J2193" i="64" s="1"/>
  <c r="F2192" i="64"/>
  <c r="J2192" i="64" s="1"/>
  <c r="F2191" i="64"/>
  <c r="J2191" i="64" s="1"/>
  <c r="D2197" i="64"/>
  <c r="D2196" i="64"/>
  <c r="D2195" i="64"/>
  <c r="D2193" i="64"/>
  <c r="B2193" i="64"/>
  <c r="D2192" i="64"/>
  <c r="B2192" i="64"/>
  <c r="D2191" i="64"/>
  <c r="B2191" i="64"/>
  <c r="F2190" i="64"/>
  <c r="J2190" i="64" s="1"/>
  <c r="F2189" i="64"/>
  <c r="J2189" i="64" s="1"/>
  <c r="F2188" i="64"/>
  <c r="J2188" i="64" s="1"/>
  <c r="F2187" i="64"/>
  <c r="J2187" i="64" s="1"/>
  <c r="F2183" i="64"/>
  <c r="J2183" i="64" s="1"/>
  <c r="F2182" i="64"/>
  <c r="J2182" i="64" s="1"/>
  <c r="F2181" i="64"/>
  <c r="J2181" i="64" s="1"/>
  <c r="F2180" i="64"/>
  <c r="F2186" i="64"/>
  <c r="J2186" i="64" s="1"/>
  <c r="F2185" i="64"/>
  <c r="J2185" i="64" s="1"/>
  <c r="F2184" i="64"/>
  <c r="J2184" i="64" s="1"/>
  <c r="D2190" i="64"/>
  <c r="D2189" i="64"/>
  <c r="D2188" i="64"/>
  <c r="D2186" i="64"/>
  <c r="D2185" i="64"/>
  <c r="D2184" i="64"/>
  <c r="B2186" i="64"/>
  <c r="B2185" i="64"/>
  <c r="B2184" i="64"/>
  <c r="D2183" i="64"/>
  <c r="D2182" i="64"/>
  <c r="D2181" i="64"/>
  <c r="F2179" i="64"/>
  <c r="J2179" i="64" s="1"/>
  <c r="D2179" i="64"/>
  <c r="B2179" i="64"/>
  <c r="F2178" i="64"/>
  <c r="J2178" i="64" s="1"/>
  <c r="D2178" i="64"/>
  <c r="B2178" i="64"/>
  <c r="D2177" i="64"/>
  <c r="B2177" i="64"/>
  <c r="F2177" i="64"/>
  <c r="J2177" i="64" s="1"/>
  <c r="F2176" i="64"/>
  <c r="J2176" i="64" s="1"/>
  <c r="D2176" i="64"/>
  <c r="B2176" i="64"/>
  <c r="F2175" i="64"/>
  <c r="J2175" i="64" s="1"/>
  <c r="D2175" i="64"/>
  <c r="B2175" i="64"/>
  <c r="F2174" i="64"/>
  <c r="F2173" i="64"/>
  <c r="J2173" i="64" s="1"/>
  <c r="F2171" i="64"/>
  <c r="J2171" i="64" s="1"/>
  <c r="F2172" i="64"/>
  <c r="J2172" i="64" s="1"/>
  <c r="D2172" i="64"/>
  <c r="B2172" i="64"/>
  <c r="D2171" i="64"/>
  <c r="B2171" i="64"/>
  <c r="F2170" i="64"/>
  <c r="J2170" i="64" s="1"/>
  <c r="D2170" i="64"/>
  <c r="B2170" i="64"/>
  <c r="D2173" i="64"/>
  <c r="B2173" i="64"/>
  <c r="B2096" i="64"/>
  <c r="B2095" i="64"/>
  <c r="B2094" i="64"/>
  <c r="G887" i="64"/>
  <c r="F887" i="64" s="1"/>
  <c r="J887" i="64" s="1"/>
  <c r="C887" i="64"/>
  <c r="B887" i="64"/>
  <c r="J886" i="64"/>
  <c r="C14" i="12"/>
  <c r="F217" i="64"/>
  <c r="J217" i="64" s="1"/>
  <c r="F216" i="64"/>
  <c r="J216" i="64" s="1"/>
  <c r="F215" i="64"/>
  <c r="J215" i="64" s="1"/>
  <c r="C218" i="64"/>
  <c r="C217" i="64"/>
  <c r="C216" i="64"/>
  <c r="C215" i="64"/>
  <c r="B218" i="64"/>
  <c r="B217" i="64"/>
  <c r="B216" i="64"/>
  <c r="B215" i="64"/>
  <c r="J214" i="64"/>
  <c r="AG27" i="13"/>
  <c r="P84" i="25" a="1"/>
  <c r="P84" i="25" s="1"/>
  <c r="AC17" i="13"/>
  <c r="AC16" i="13"/>
  <c r="D6" i="47"/>
  <c r="H80" i="25" a="1"/>
  <c r="H80" i="25" s="1"/>
  <c r="F19" i="18"/>
  <c r="F14" i="18"/>
  <c r="F10" i="18"/>
  <c r="F6" i="18"/>
  <c r="F11" i="18"/>
  <c r="F15" i="18"/>
  <c r="F5" i="18"/>
  <c r="F18" i="18"/>
  <c r="F13" i="18"/>
  <c r="F12" i="18"/>
  <c r="F16" i="18"/>
  <c r="P18" i="25" l="1"/>
  <c r="F218" i="64"/>
  <c r="F56" i="64"/>
  <c r="D40" i="64" l="1"/>
  <c r="G40" i="64"/>
  <c r="F40" i="64"/>
  <c r="C40" i="64"/>
  <c r="B40" i="64"/>
  <c r="P17" i="25" a="1"/>
  <c r="P17" i="25" s="1"/>
  <c r="P19" i="25" a="1"/>
  <c r="P19" i="25" s="1"/>
  <c r="P57" i="25" a="1"/>
  <c r="P57" i="25" s="1"/>
  <c r="J38" i="46"/>
  <c r="I44" i="46"/>
  <c r="D38" i="46"/>
  <c r="C4" i="47" a="1"/>
  <c r="C4" i="47" s="1"/>
  <c r="H1739" i="64" l="1"/>
  <c r="D711" i="64"/>
  <c r="G658" i="64" l="1"/>
  <c r="G656" i="64" l="1"/>
  <c r="F82" i="64" l="1"/>
  <c r="H17" i="64"/>
  <c r="C17" i="64"/>
  <c r="B17" i="64"/>
  <c r="H16" i="64"/>
  <c r="C16" i="64"/>
  <c r="B16" i="64"/>
  <c r="H15" i="64"/>
  <c r="C15" i="64"/>
  <c r="B15" i="64"/>
  <c r="H14" i="64"/>
  <c r="C14" i="64"/>
  <c r="B14" i="64"/>
  <c r="B13" i="69"/>
  <c r="G17" i="64" s="1"/>
  <c r="F17" i="64" s="1"/>
  <c r="J17" i="64" s="1"/>
  <c r="B12" i="69"/>
  <c r="G16" i="64" s="1"/>
  <c r="F16" i="64" s="1"/>
  <c r="J16" i="64" s="1"/>
  <c r="B11" i="69"/>
  <c r="G15" i="64" s="1"/>
  <c r="F15" i="64" s="1"/>
  <c r="J15" i="64" s="1"/>
  <c r="D1018" i="64" l="1"/>
  <c r="H54" i="25"/>
  <c r="H12" i="25"/>
  <c r="F1140" i="64"/>
  <c r="G889" i="64"/>
  <c r="F721" i="64"/>
  <c r="J721" i="64" s="1"/>
  <c r="D721" i="64"/>
  <c r="B721" i="64"/>
  <c r="F722" i="64"/>
  <c r="J722" i="64" s="1"/>
  <c r="D722" i="64"/>
  <c r="B722" i="64"/>
  <c r="F720" i="64"/>
  <c r="F714" i="64"/>
  <c r="J714" i="64" s="1"/>
  <c r="D714" i="64"/>
  <c r="B714" i="64"/>
  <c r="D715" i="64"/>
  <c r="F715" i="64"/>
  <c r="F713" i="64"/>
  <c r="F711" i="64"/>
  <c r="F710" i="64"/>
  <c r="D710" i="64"/>
  <c r="F705" i="64"/>
  <c r="D705" i="64"/>
  <c r="D708" i="64"/>
  <c r="C1150" i="64"/>
  <c r="B1150" i="64"/>
  <c r="J1150" i="64"/>
  <c r="C1152" i="64"/>
  <c r="B1152" i="64"/>
  <c r="J1152" i="64"/>
  <c r="C1149" i="64"/>
  <c r="B1149" i="64"/>
  <c r="C1151" i="64"/>
  <c r="B1151" i="64"/>
  <c r="J1149" i="64"/>
  <c r="J1151" i="64"/>
  <c r="F1148" i="64"/>
  <c r="D114" i="64" l="1"/>
  <c r="B114" i="64"/>
  <c r="F31" i="70" a="1"/>
  <c r="F31" i="70" s="1"/>
  <c r="F33" i="70" a="1"/>
  <c r="F33" i="70" s="1"/>
  <c r="F34" i="70" a="1"/>
  <c r="F34" i="70" s="1"/>
  <c r="F35" i="70" a="1"/>
  <c r="F35" i="70" s="1"/>
  <c r="F36" i="70" a="1"/>
  <c r="F36" i="70" s="1"/>
  <c r="F37" i="70" a="1"/>
  <c r="F37" i="70" s="1"/>
  <c r="F38" i="70" a="1"/>
  <c r="F38" i="70" s="1"/>
  <c r="F39" i="70" a="1"/>
  <c r="F39" i="70" s="1"/>
  <c r="F40" i="70" a="1"/>
  <c r="F40" i="70" s="1"/>
  <c r="F41" i="70" a="1"/>
  <c r="F41" i="70" s="1"/>
  <c r="F42" i="70" a="1"/>
  <c r="F42" i="70" s="1"/>
  <c r="F43" i="70" a="1"/>
  <c r="F43" i="70" s="1"/>
  <c r="F44" i="70" a="1"/>
  <c r="F44" i="70" s="1"/>
  <c r="F45" i="70" a="1"/>
  <c r="F45" i="70" s="1"/>
  <c r="F46" i="70" a="1"/>
  <c r="F46" i="70" s="1"/>
  <c r="F47" i="70" a="1"/>
  <c r="F47" i="70" s="1"/>
  <c r="F48" i="70" a="1"/>
  <c r="F48" i="70" s="1"/>
  <c r="F49" i="70" a="1"/>
  <c r="F49" i="70" s="1"/>
  <c r="F50" i="70" a="1"/>
  <c r="F50" i="70" s="1"/>
  <c r="F51" i="70" a="1"/>
  <c r="F51" i="70" s="1"/>
  <c r="F53" i="70" a="1"/>
  <c r="F53" i="70" s="1"/>
  <c r="F54" i="70" a="1"/>
  <c r="F54" i="70" s="1"/>
  <c r="F55" i="70" a="1"/>
  <c r="F55" i="70" s="1"/>
  <c r="F52" i="70" a="1"/>
  <c r="F52" i="70" s="1"/>
  <c r="G654" i="64" l="1"/>
  <c r="E19" i="10"/>
  <c r="F16" i="10" s="1"/>
  <c r="G16" i="10" s="1"/>
  <c r="C389" i="52" a="1"/>
  <c r="C389" i="52" s="1"/>
  <c r="P29" i="25" a="1"/>
  <c r="P29" i="25" s="1"/>
  <c r="I55" i="25"/>
  <c r="K55" i="25" s="1"/>
  <c r="I56" i="25"/>
  <c r="F54" i="25"/>
  <c r="K53" i="25" a="1"/>
  <c r="K53" i="25" s="1"/>
  <c r="I14" i="25"/>
  <c r="F47" i="25"/>
  <c r="I16" i="10" l="1"/>
  <c r="H16" i="10"/>
  <c r="F19" i="10"/>
  <c r="G19" i="10" s="1"/>
  <c r="H46" i="25"/>
  <c r="I19" i="10" l="1"/>
  <c r="H19" i="10"/>
  <c r="I46" i="25"/>
  <c r="C52" i="25"/>
  <c r="F982" i="64"/>
  <c r="J982" i="64" s="1"/>
  <c r="D982" i="64"/>
  <c r="C982" i="64"/>
  <c r="B982" i="64"/>
  <c r="D2032" i="64"/>
  <c r="F1860" i="64"/>
  <c r="J1860" i="64" s="1"/>
  <c r="C1860" i="64"/>
  <c r="B1860" i="64"/>
  <c r="F1608" i="64"/>
  <c r="D1284" i="64"/>
  <c r="D1283" i="64"/>
  <c r="D1282" i="64"/>
  <c r="D1281" i="64"/>
  <c r="D1222" i="64"/>
  <c r="C1153" i="64"/>
  <c r="B1153" i="64"/>
  <c r="J1153" i="64"/>
  <c r="J1140" i="64"/>
  <c r="J1148" i="64"/>
  <c r="F1147" i="64"/>
  <c r="J1147" i="64" s="1"/>
  <c r="F1146" i="64"/>
  <c r="J1146" i="64" s="1"/>
  <c r="F1145" i="64"/>
  <c r="J1145" i="64" s="1"/>
  <c r="F1144" i="64"/>
  <c r="J1144" i="64" s="1"/>
  <c r="F1143" i="64"/>
  <c r="J1143" i="64" s="1"/>
  <c r="F1142" i="64"/>
  <c r="J1142" i="64" s="1"/>
  <c r="F1141" i="64"/>
  <c r="J1141" i="64" s="1"/>
  <c r="C1148" i="64"/>
  <c r="B1148" i="64"/>
  <c r="C1147" i="64"/>
  <c r="B1147" i="64"/>
  <c r="C1146" i="64"/>
  <c r="B1146" i="64"/>
  <c r="C1145" i="64"/>
  <c r="B1145" i="64"/>
  <c r="C1144" i="64"/>
  <c r="B1144" i="64"/>
  <c r="C1143" i="64"/>
  <c r="B1143" i="64"/>
  <c r="C1142" i="64"/>
  <c r="B1142" i="64"/>
  <c r="C1141" i="64"/>
  <c r="B1141" i="64"/>
  <c r="C1140" i="64"/>
  <c r="B1140" i="64"/>
  <c r="F574" i="64"/>
  <c r="C231" i="64"/>
  <c r="B231" i="64"/>
  <c r="C230" i="64"/>
  <c r="B230" i="64"/>
  <c r="D160" i="64"/>
  <c r="P7" i="25" a="1"/>
  <c r="P7" i="25" s="1"/>
  <c r="U13" i="25" a="1"/>
  <c r="U13" i="25" s="1"/>
  <c r="D159" i="64"/>
  <c r="AD27" i="13"/>
  <c r="AE27" i="13"/>
  <c r="F3" i="38"/>
  <c r="M8" i="7"/>
  <c r="P8" i="7"/>
  <c r="F1574" i="64"/>
  <c r="F1102" i="64"/>
  <c r="F1311" i="64"/>
  <c r="J1311" i="64" s="1"/>
  <c r="D1311" i="64"/>
  <c r="B1311" i="64"/>
  <c r="J1310" i="64"/>
  <c r="D1310" i="64"/>
  <c r="C1310" i="64"/>
  <c r="B1310" i="64"/>
  <c r="F1537" i="64"/>
  <c r="J1537" i="64" s="1"/>
  <c r="F1536" i="64"/>
  <c r="J1536" i="64" s="1"/>
  <c r="C1538" i="64"/>
  <c r="B1538" i="64"/>
  <c r="C1537" i="64"/>
  <c r="B1537" i="64"/>
  <c r="C1536" i="64"/>
  <c r="B1536" i="64"/>
  <c r="F819" i="64"/>
  <c r="F1834" i="64"/>
  <c r="J1834" i="64" s="1"/>
  <c r="D1834" i="64"/>
  <c r="C1834" i="64"/>
  <c r="B1834" i="64"/>
  <c r="F1833" i="64"/>
  <c r="J1833" i="64" s="1"/>
  <c r="D1833" i="64"/>
  <c r="C1833" i="64"/>
  <c r="B1833" i="64"/>
  <c r="F1832" i="64"/>
  <c r="J1832" i="64" s="1"/>
  <c r="D1832" i="64"/>
  <c r="C1832" i="64"/>
  <c r="B1832" i="64"/>
  <c r="F1543" i="64"/>
  <c r="F1195" i="64"/>
  <c r="J1195" i="64" s="1"/>
  <c r="C1195" i="64"/>
  <c r="B1195" i="64"/>
  <c r="D1101" i="64"/>
  <c r="D1102" i="64"/>
  <c r="F1101" i="64"/>
  <c r="F629" i="64"/>
  <c r="F625" i="64" a="1"/>
  <c r="F625" i="64" s="1"/>
  <c r="F624" i="64" a="1"/>
  <c r="F624" i="64" s="1"/>
  <c r="F623" i="64" a="1"/>
  <c r="F623" i="64" s="1"/>
  <c r="F621" i="64" a="1"/>
  <c r="F621" i="64" s="1"/>
  <c r="K11" i="25" a="1"/>
  <c r="K11" i="25" s="1"/>
  <c r="F1695" i="64" l="1"/>
  <c r="D2162" i="64" l="1"/>
  <c r="D1564" i="64"/>
  <c r="L45" i="13"/>
  <c r="F1017" i="64" s="1"/>
  <c r="F959" i="64"/>
  <c r="B691" i="64"/>
  <c r="F691" i="64"/>
  <c r="J691" i="64" s="1"/>
  <c r="D691" i="64"/>
  <c r="F642" i="64"/>
  <c r="F641" i="64"/>
  <c r="F640" i="64"/>
  <c r="F638" i="64"/>
  <c r="J653" i="64"/>
  <c r="J651" i="64"/>
  <c r="J652" i="64"/>
  <c r="D652" i="64"/>
  <c r="C652" i="64"/>
  <c r="B652" i="64"/>
  <c r="F639" i="64"/>
  <c r="F622" i="64" a="1"/>
  <c r="F622" i="64" s="1"/>
  <c r="A622" i="64"/>
  <c r="A621" i="64"/>
  <c r="A620" i="64"/>
  <c r="C1564" i="64"/>
  <c r="B26" i="2" l="1"/>
  <c r="F1898" i="64" l="1"/>
  <c r="D2026" i="64"/>
  <c r="D1809" i="64"/>
  <c r="F1809" i="64"/>
  <c r="F1813" i="64"/>
  <c r="J1813" i="64" s="1"/>
  <c r="D1813" i="64"/>
  <c r="C1813" i="64"/>
  <c r="B1813" i="64"/>
  <c r="F1808" i="64"/>
  <c r="J1808" i="64" s="1"/>
  <c r="D1808" i="64"/>
  <c r="C1808" i="64"/>
  <c r="B1808" i="64"/>
  <c r="D1695" i="64"/>
  <c r="D1005" i="64"/>
  <c r="F1573" i="64"/>
  <c r="J1573" i="64" s="1"/>
  <c r="J1574" i="64"/>
  <c r="D1574" i="64"/>
  <c r="D1573" i="64"/>
  <c r="C1574" i="64"/>
  <c r="B1574" i="64"/>
  <c r="C1573" i="64"/>
  <c r="B1573" i="64"/>
  <c r="D1411" i="64"/>
  <c r="D1408" i="64"/>
  <c r="F1229" i="64"/>
  <c r="J1229" i="64" s="1"/>
  <c r="F1230" i="64"/>
  <c r="J1230" i="64" s="1"/>
  <c r="C1231" i="64"/>
  <c r="B1231" i="64"/>
  <c r="C1230" i="64"/>
  <c r="B1230" i="64"/>
  <c r="C1229" i="64"/>
  <c r="B1229" i="64"/>
  <c r="H658" i="64"/>
  <c r="F818" i="64"/>
  <c r="F817" i="64"/>
  <c r="F816" i="64"/>
  <c r="D4" i="64"/>
  <c r="D720" i="64"/>
  <c r="D713" i="64"/>
  <c r="D719" i="64"/>
  <c r="D717" i="64"/>
  <c r="D707" i="64"/>
  <c r="D706" i="64"/>
  <c r="C658" i="64"/>
  <c r="C656" i="64"/>
  <c r="C654" i="64"/>
  <c r="B654" i="64"/>
  <c r="D654" i="64"/>
  <c r="J654" i="64"/>
  <c r="B656" i="64"/>
  <c r="D656" i="64"/>
  <c r="J655" i="64"/>
  <c r="J656" i="64"/>
  <c r="F213" i="64"/>
  <c r="F999" i="64"/>
  <c r="F650" i="64"/>
  <c r="J650" i="64" s="1"/>
  <c r="J657" i="64"/>
  <c r="J649" i="64"/>
  <c r="D650" i="64"/>
  <c r="C650" i="64"/>
  <c r="B650" i="64"/>
  <c r="F768" i="64"/>
  <c r="F975" i="64"/>
  <c r="D646" i="64"/>
  <c r="C646" i="64"/>
  <c r="B646" i="64"/>
  <c r="F648" i="64"/>
  <c r="J648" i="64" s="1"/>
  <c r="D645" i="64"/>
  <c r="C645" i="64"/>
  <c r="B645" i="64"/>
  <c r="D648" i="64"/>
  <c r="D647" i="64"/>
  <c r="C648" i="64"/>
  <c r="B648" i="64"/>
  <c r="C647" i="64"/>
  <c r="B647" i="64"/>
  <c r="D644" i="64"/>
  <c r="C644" i="64"/>
  <c r="B644" i="64"/>
  <c r="J643" i="64"/>
  <c r="J639" i="64"/>
  <c r="F635" i="64"/>
  <c r="J635" i="64" s="1"/>
  <c r="D635" i="64"/>
  <c r="B635" i="64"/>
  <c r="J634" i="64"/>
  <c r="B621" i="64"/>
  <c r="B622" i="64"/>
  <c r="B623" i="64"/>
  <c r="B624" i="64"/>
  <c r="B625" i="64"/>
  <c r="D625" i="64"/>
  <c r="D624" i="64"/>
  <c r="D623" i="64"/>
  <c r="J622" i="64"/>
  <c r="D622" i="64"/>
  <c r="D621" i="64"/>
  <c r="C620" i="64"/>
  <c r="F620" i="64"/>
  <c r="J620" i="64" s="1"/>
  <c r="D620" i="64"/>
  <c r="B620" i="64"/>
  <c r="J619" i="64"/>
  <c r="J629" i="64"/>
  <c r="J640" i="64"/>
  <c r="F637" i="64"/>
  <c r="J637" i="64" s="1"/>
  <c r="D642" i="64"/>
  <c r="C642" i="64"/>
  <c r="B642" i="64"/>
  <c r="A642" i="64"/>
  <c r="D641" i="64"/>
  <c r="C641" i="64"/>
  <c r="B641" i="64"/>
  <c r="A641" i="64"/>
  <c r="D640" i="64"/>
  <c r="C640" i="64"/>
  <c r="B640" i="64"/>
  <c r="A640" i="64"/>
  <c r="B658" i="64"/>
  <c r="D658" i="64"/>
  <c r="J658" i="64"/>
  <c r="J659" i="64"/>
  <c r="F760" i="64"/>
  <c r="J636" i="64"/>
  <c r="D639" i="64"/>
  <c r="C639" i="64"/>
  <c r="B639" i="64"/>
  <c r="A639" i="64"/>
  <c r="D638" i="64"/>
  <c r="C638" i="64"/>
  <c r="B638" i="64"/>
  <c r="A638" i="64"/>
  <c r="D637" i="64"/>
  <c r="C637" i="64"/>
  <c r="B637" i="64"/>
  <c r="A637" i="64"/>
  <c r="F758" i="64"/>
  <c r="F633" i="64"/>
  <c r="J633" i="64" s="1"/>
  <c r="D633" i="64"/>
  <c r="C633" i="64"/>
  <c r="B633" i="64"/>
  <c r="F765" i="64"/>
  <c r="F631" i="64"/>
  <c r="J631" i="64" s="1"/>
  <c r="D631" i="64"/>
  <c r="C631" i="64"/>
  <c r="B631" i="64"/>
  <c r="D630" i="64"/>
  <c r="D629" i="64"/>
  <c r="C629" i="64"/>
  <c r="B629" i="64"/>
  <c r="J733" i="64"/>
  <c r="J626" i="64"/>
  <c r="J730" i="64"/>
  <c r="G495" i="64"/>
  <c r="A495" i="64"/>
  <c r="A471" i="64"/>
  <c r="A472" i="64"/>
  <c r="A473" i="64"/>
  <c r="A474" i="64"/>
  <c r="A475" i="64"/>
  <c r="A476" i="64"/>
  <c r="A477" i="64"/>
  <c r="A423" i="64"/>
  <c r="A424" i="64"/>
  <c r="A425" i="64"/>
  <c r="A426" i="64"/>
  <c r="A427" i="64"/>
  <c r="A428" i="64"/>
  <c r="A429" i="64"/>
  <c r="A422" i="64"/>
  <c r="A430" i="64"/>
  <c r="A431" i="64"/>
  <c r="A432" i="64"/>
  <c r="A433" i="64"/>
  <c r="A434" i="64"/>
  <c r="A435" i="64"/>
  <c r="A436" i="64"/>
  <c r="A459" i="64"/>
  <c r="A437" i="64"/>
  <c r="A438" i="64"/>
  <c r="A439" i="64"/>
  <c r="A440" i="64"/>
  <c r="A441" i="64"/>
  <c r="A442" i="64"/>
  <c r="A443" i="64"/>
  <c r="A444" i="64"/>
  <c r="A445" i="64"/>
  <c r="A446" i="64"/>
  <c r="A447" i="64"/>
  <c r="A448" i="64"/>
  <c r="A449" i="64"/>
  <c r="A450" i="64"/>
  <c r="A451" i="64"/>
  <c r="A452" i="64"/>
  <c r="A453" i="64"/>
  <c r="A454" i="64"/>
  <c r="A455" i="64"/>
  <c r="A456" i="64"/>
  <c r="A457" i="64"/>
  <c r="A458" i="64"/>
  <c r="A460" i="64"/>
  <c r="A461" i="64"/>
  <c r="A462" i="64"/>
  <c r="A463" i="64"/>
  <c r="A464" i="64"/>
  <c r="A465" i="64"/>
  <c r="A466" i="64"/>
  <c r="A467" i="64"/>
  <c r="A468" i="64"/>
  <c r="A420" i="64"/>
  <c r="A421" i="64"/>
  <c r="A382" i="64"/>
  <c r="A383" i="64"/>
  <c r="A384" i="64"/>
  <c r="A385" i="64"/>
  <c r="A386" i="64"/>
  <c r="A387" i="64"/>
  <c r="A388" i="64"/>
  <c r="A389" i="64"/>
  <c r="A390" i="64"/>
  <c r="A391" i="64"/>
  <c r="A392" i="64"/>
  <c r="A393" i="64"/>
  <c r="A394" i="64"/>
  <c r="A395" i="64"/>
  <c r="A396" i="64"/>
  <c r="A397" i="64"/>
  <c r="A398" i="64"/>
  <c r="A399" i="64"/>
  <c r="A400" i="64"/>
  <c r="A401" i="64"/>
  <c r="A402" i="64"/>
  <c r="A403" i="64"/>
  <c r="A404" i="64"/>
  <c r="A405" i="64"/>
  <c r="A406" i="64"/>
  <c r="A407" i="64"/>
  <c r="A408" i="64"/>
  <c r="A409" i="64"/>
  <c r="A410" i="64"/>
  <c r="A411" i="64"/>
  <c r="A412" i="64"/>
  <c r="A413" i="64"/>
  <c r="A414" i="64"/>
  <c r="A415" i="64"/>
  <c r="A416" i="64"/>
  <c r="A417" i="64"/>
  <c r="A418" i="64"/>
  <c r="A381" i="64"/>
  <c r="A135" i="64"/>
  <c r="B10" i="16"/>
  <c r="F632" i="64"/>
  <c r="J632" i="64" s="1"/>
  <c r="D632" i="64"/>
  <c r="C632" i="64"/>
  <c r="B632" i="64"/>
  <c r="D627" i="64"/>
  <c r="C627" i="64"/>
  <c r="B627" i="64"/>
  <c r="F759" i="64"/>
  <c r="F5" i="25"/>
  <c r="B618" i="64"/>
  <c r="C618" i="64"/>
  <c r="G618" i="64"/>
  <c r="A493" i="64"/>
  <c r="A479" i="64"/>
  <c r="A480" i="64"/>
  <c r="A481" i="64"/>
  <c r="A482" i="64"/>
  <c r="A483" i="64"/>
  <c r="A484" i="64"/>
  <c r="A485" i="64"/>
  <c r="A486" i="64"/>
  <c r="A487" i="64"/>
  <c r="A488" i="64"/>
  <c r="A489" i="64"/>
  <c r="A490" i="64"/>
  <c r="A491" i="64"/>
  <c r="A379" i="64"/>
  <c r="A478" i="64"/>
  <c r="A470" i="64"/>
  <c r="A469" i="64"/>
  <c r="F616" i="64"/>
  <c r="F614" i="64"/>
  <c r="J614" i="64" s="1"/>
  <c r="F604" i="64"/>
  <c r="F603" i="64"/>
  <c r="F602" i="64"/>
  <c r="F601" i="64"/>
  <c r="F598" i="64"/>
  <c r="F573" i="64"/>
  <c r="F572" i="64"/>
  <c r="F510" i="64"/>
  <c r="F530" i="64"/>
  <c r="F529" i="64"/>
  <c r="F516" i="64"/>
  <c r="F517" i="64"/>
  <c r="F518" i="64"/>
  <c r="F519" i="64"/>
  <c r="F528" i="64"/>
  <c r="F527" i="64"/>
  <c r="F526" i="64"/>
  <c r="F513" i="64"/>
  <c r="F514" i="64"/>
  <c r="F515" i="64"/>
  <c r="F502" i="64"/>
  <c r="F504" i="64"/>
  <c r="F506" i="64"/>
  <c r="F507" i="64"/>
  <c r="F525" i="64"/>
  <c r="F524" i="64"/>
  <c r="F523" i="64"/>
  <c r="F522" i="64"/>
  <c r="F499" i="64"/>
  <c r="F500" i="64"/>
  <c r="F501" i="64"/>
  <c r="F503" i="64"/>
  <c r="F505" i="64"/>
  <c r="F508" i="64"/>
  <c r="F509" i="64"/>
  <c r="F511" i="64"/>
  <c r="F184" i="64"/>
  <c r="F133" i="64"/>
  <c r="F856" i="64"/>
  <c r="B5" i="2"/>
  <c r="C21" i="70"/>
  <c r="J1023" i="64"/>
  <c r="J1022" i="64"/>
  <c r="B1023" i="64"/>
  <c r="B1022" i="64"/>
  <c r="F1020" i="64"/>
  <c r="J1020" i="64" s="1"/>
  <c r="C1020" i="64"/>
  <c r="B1020" i="64"/>
  <c r="F1015" i="64"/>
  <c r="J1015" i="64" s="1"/>
  <c r="D1015" i="64"/>
  <c r="C1015" i="64"/>
  <c r="B1015" i="64"/>
  <c r="F1004" i="64"/>
  <c r="J1004" i="64" s="1"/>
  <c r="F1005" i="64"/>
  <c r="J1005" i="64" s="1"/>
  <c r="C1005" i="64"/>
  <c r="B1005" i="64"/>
  <c r="D1004" i="64"/>
  <c r="C1004" i="64"/>
  <c r="B1004" i="64"/>
  <c r="I76" i="17"/>
  <c r="F81" i="25"/>
  <c r="D26" i="46"/>
  <c r="Q26" i="46"/>
  <c r="B7" i="2"/>
  <c r="F112" i="64" s="1"/>
  <c r="B10" i="69"/>
  <c r="G14" i="64" s="1"/>
  <c r="F14" i="64" s="1"/>
  <c r="J14" i="64" s="1"/>
  <c r="F1665" i="64"/>
  <c r="H1727" i="64"/>
  <c r="F1821" i="64"/>
  <c r="J1821" i="64" s="1"/>
  <c r="D1821" i="64"/>
  <c r="C1821" i="64"/>
  <c r="B1821" i="64"/>
  <c r="D1352" i="64"/>
  <c r="F1546" i="64"/>
  <c r="J1546" i="64" s="1"/>
  <c r="F1545" i="64"/>
  <c r="J1545" i="64" s="1"/>
  <c r="C1546" i="64"/>
  <c r="B1546" i="64"/>
  <c r="C1545" i="64"/>
  <c r="B1545" i="64"/>
  <c r="C1544" i="64"/>
  <c r="B1544" i="64"/>
  <c r="B2221" i="64"/>
  <c r="B2104" i="64"/>
  <c r="B2103" i="64"/>
  <c r="B2102" i="64"/>
  <c r="B2101" i="64"/>
  <c r="B2100" i="64"/>
  <c r="B2092" i="64"/>
  <c r="B2089" i="64"/>
  <c r="B2091" i="64"/>
  <c r="B2090" i="64"/>
  <c r="B2086" i="64"/>
  <c r="B2084" i="64"/>
  <c r="B2083" i="64"/>
  <c r="B2082" i="64"/>
  <c r="B2081" i="64"/>
  <c r="B2080" i="64"/>
  <c r="B2079" i="64"/>
  <c r="B2078" i="64"/>
  <c r="B2077" i="64"/>
  <c r="B2076" i="64"/>
  <c r="B2075" i="64"/>
  <c r="B2074" i="64"/>
  <c r="B2073" i="64"/>
  <c r="B2072" i="64"/>
  <c r="B2071" i="64"/>
  <c r="B2070" i="64"/>
  <c r="B2069" i="64"/>
  <c r="B2068" i="64"/>
  <c r="B2067" i="64"/>
  <c r="B2066" i="64"/>
  <c r="B2065" i="64"/>
  <c r="B2064" i="64"/>
  <c r="B2063" i="64"/>
  <c r="B2062" i="64"/>
  <c r="B2061" i="64"/>
  <c r="B2060" i="64"/>
  <c r="B2059" i="64"/>
  <c r="B2058" i="64"/>
  <c r="B2057" i="64"/>
  <c r="B2056" i="64"/>
  <c r="B2055" i="64"/>
  <c r="B2054" i="64"/>
  <c r="B2053" i="64"/>
  <c r="B2052" i="64"/>
  <c r="B2051" i="64"/>
  <c r="B2050" i="64"/>
  <c r="B2049" i="64"/>
  <c r="B2048" i="64"/>
  <c r="B2047" i="64"/>
  <c r="B2046" i="64"/>
  <c r="B2045" i="64"/>
  <c r="B2044" i="64"/>
  <c r="B2043" i="64"/>
  <c r="B2042" i="64"/>
  <c r="B2041" i="64"/>
  <c r="B2039" i="64"/>
  <c r="B2038" i="64"/>
  <c r="B2037" i="64"/>
  <c r="B2036" i="64"/>
  <c r="B2035" i="64"/>
  <c r="B2034" i="64"/>
  <c r="B2031" i="64"/>
  <c r="B2030" i="64"/>
  <c r="B2029" i="64"/>
  <c r="B2028" i="64"/>
  <c r="B2027" i="64"/>
  <c r="B2026" i="64"/>
  <c r="B2025" i="64"/>
  <c r="B2024" i="64"/>
  <c r="B2023" i="64"/>
  <c r="B2022" i="64"/>
  <c r="B2021" i="64"/>
  <c r="B2020" i="64"/>
  <c r="B2019" i="64"/>
  <c r="B2018" i="64"/>
  <c r="B2017" i="64"/>
  <c r="B2016" i="64"/>
  <c r="B2015" i="64"/>
  <c r="B2014" i="64"/>
  <c r="B2013" i="64"/>
  <c r="B2012" i="64"/>
  <c r="B2011" i="64"/>
  <c r="B2010" i="64"/>
  <c r="B2009" i="64"/>
  <c r="B2008" i="64"/>
  <c r="B2007" i="64"/>
  <c r="B2006" i="64"/>
  <c r="B2005" i="64"/>
  <c r="B2004" i="64"/>
  <c r="B2003" i="64"/>
  <c r="B2033" i="64"/>
  <c r="B2032" i="64"/>
  <c r="B2002" i="64"/>
  <c r="B2001" i="64"/>
  <c r="B2000" i="64"/>
  <c r="B1999" i="64"/>
  <c r="B1998" i="64"/>
  <c r="B1997" i="64"/>
  <c r="B2219" i="64"/>
  <c r="B1865" i="64"/>
  <c r="F803" i="64" a="1"/>
  <c r="F803" i="64" s="1"/>
  <c r="D1028" i="64"/>
  <c r="D1027" i="64"/>
  <c r="D1026" i="64"/>
  <c r="D1025" i="64"/>
  <c r="D1024" i="64"/>
  <c r="B1024" i="64"/>
  <c r="B1025" i="64"/>
  <c r="B1026" i="64"/>
  <c r="B1027" i="64"/>
  <c r="B1028" i="64"/>
  <c r="F1021" i="64"/>
  <c r="B1021" i="64"/>
  <c r="B1752" i="64"/>
  <c r="F740" i="64"/>
  <c r="J1021" i="64" l="1"/>
  <c r="F1028" i="64" a="1"/>
  <c r="F1028" i="64" s="1"/>
  <c r="F1024" i="64" a="1"/>
  <c r="F1024" i="64" s="1"/>
  <c r="F1027" i="64" a="1"/>
  <c r="F1027" i="64" s="1"/>
  <c r="F1025" i="64" a="1"/>
  <c r="F1025" i="64" s="1"/>
  <c r="F1026" i="64" a="1"/>
  <c r="F1026" i="64" s="1"/>
  <c r="F2152" i="64" a="1"/>
  <c r="F2152" i="64" s="1"/>
  <c r="J2152" i="64" s="1"/>
  <c r="F2142" i="64" a="1"/>
  <c r="F2142" i="64" s="1"/>
  <c r="J2142" i="64" s="1"/>
  <c r="F2149" i="64" a="1"/>
  <c r="F2149" i="64" s="1"/>
  <c r="J2149" i="64" s="1"/>
  <c r="F2146" i="64" a="1"/>
  <c r="F2146" i="64" s="1"/>
  <c r="J2146" i="64" s="1"/>
  <c r="F2151" i="64" a="1"/>
  <c r="F2151" i="64" s="1"/>
  <c r="J2151" i="64" s="1"/>
  <c r="F2148" i="64" a="1"/>
  <c r="F2148" i="64" s="1"/>
  <c r="J2148" i="64" s="1"/>
  <c r="F2145" i="64" a="1"/>
  <c r="F2145" i="64" s="1"/>
  <c r="J2145" i="64" s="1"/>
  <c r="F2150" i="64" a="1"/>
  <c r="F2150" i="64" s="1"/>
  <c r="J2150" i="64" s="1"/>
  <c r="F2144" i="64" a="1"/>
  <c r="F2144" i="64" s="1"/>
  <c r="J2144" i="64" s="1"/>
  <c r="F2141" i="64" a="1"/>
  <c r="F2141" i="64" s="1"/>
  <c r="J2141" i="64" s="1"/>
  <c r="F2143" i="64" a="1"/>
  <c r="F2143" i="64" s="1"/>
  <c r="J2143" i="64" s="1"/>
  <c r="F2147" i="64" a="1"/>
  <c r="F2147" i="64" s="1"/>
  <c r="J2147" i="64" s="1"/>
  <c r="F2088" i="64" a="1"/>
  <c r="F2088" i="64" s="1"/>
  <c r="F2212" i="64" a="1"/>
  <c r="F2212" i="64" s="1"/>
  <c r="J2212" i="64" s="1"/>
  <c r="F2208" i="64" a="1"/>
  <c r="F2208" i="64" s="1"/>
  <c r="J2208" i="64" s="1"/>
  <c r="F2216" i="64" a="1"/>
  <c r="F2216" i="64" s="1"/>
  <c r="J2216" i="64" s="1"/>
  <c r="F2202" i="64" a="1"/>
  <c r="F2202" i="64" s="1"/>
  <c r="F2211" i="64" a="1"/>
  <c r="F2211" i="64" s="1"/>
  <c r="J2211" i="64" s="1"/>
  <c r="F2206" i="64" a="1"/>
  <c r="F2206" i="64" s="1"/>
  <c r="J2206" i="64" s="1"/>
  <c r="F2203" i="64" a="1"/>
  <c r="F2203" i="64" s="1"/>
  <c r="J2203" i="64" s="1"/>
  <c r="F2210" i="64" a="1"/>
  <c r="F2210" i="64" s="1"/>
  <c r="J2210" i="64" s="1"/>
  <c r="F2204" i="64" a="1"/>
  <c r="F2204" i="64" s="1"/>
  <c r="J2204" i="64" s="1"/>
  <c r="F2215" i="64" a="1"/>
  <c r="F2215" i="64" s="1"/>
  <c r="J2215" i="64" s="1"/>
  <c r="F2214" i="64" a="1"/>
  <c r="F2214" i="64" s="1"/>
  <c r="J2214" i="64" s="1"/>
  <c r="F2209" i="64" a="1"/>
  <c r="F2209" i="64" s="1"/>
  <c r="J2209" i="64" s="1"/>
  <c r="F2217" i="64" a="1"/>
  <c r="F2217" i="64" s="1"/>
  <c r="F2207" i="64" a="1"/>
  <c r="F2207" i="64" s="1"/>
  <c r="J2207" i="64" s="1"/>
  <c r="F2213" i="64" a="1"/>
  <c r="F2213" i="64" s="1"/>
  <c r="J2213" i="64" s="1"/>
  <c r="F544" i="64" a="1"/>
  <c r="F544" i="64" s="1"/>
  <c r="J623" i="64"/>
  <c r="F555" i="64" a="1"/>
  <c r="F555" i="64" s="1"/>
  <c r="F839" i="64" a="1"/>
  <c r="F839" i="64" s="1"/>
  <c r="F847" i="64" a="1"/>
  <c r="F847" i="64" s="1"/>
  <c r="F823" i="64" a="1"/>
  <c r="F823" i="64" s="1"/>
  <c r="F831" i="64" a="1"/>
  <c r="F831" i="64" s="1"/>
  <c r="F821" i="64" a="1"/>
  <c r="F821" i="64" s="1"/>
  <c r="F829" i="64" a="1"/>
  <c r="F829" i="64" s="1"/>
  <c r="F837" i="64" a="1"/>
  <c r="F837" i="64" s="1"/>
  <c r="F845" i="64" a="1"/>
  <c r="F845" i="64" s="1"/>
  <c r="F853" i="64" a="1"/>
  <c r="F853" i="64" s="1"/>
  <c r="F822" i="64" a="1"/>
  <c r="F822" i="64" s="1"/>
  <c r="F830" i="64" a="1"/>
  <c r="F830" i="64" s="1"/>
  <c r="F838" i="64" a="1"/>
  <c r="F838" i="64" s="1"/>
  <c r="F846" i="64" a="1"/>
  <c r="F846" i="64" s="1"/>
  <c r="F854" i="64" a="1"/>
  <c r="F854" i="64" s="1"/>
  <c r="F824" i="64" a="1"/>
  <c r="F824" i="64" s="1"/>
  <c r="F832" i="64" a="1"/>
  <c r="F832" i="64" s="1"/>
  <c r="F840" i="64" a="1"/>
  <c r="F840" i="64" s="1"/>
  <c r="F848" i="64" a="1"/>
  <c r="F848" i="64" s="1"/>
  <c r="F825" i="64" a="1"/>
  <c r="F825" i="64" s="1"/>
  <c r="F833" i="64" a="1"/>
  <c r="F833" i="64" s="1"/>
  <c r="F841" i="64" a="1"/>
  <c r="F841" i="64" s="1"/>
  <c r="F849" i="64" a="1"/>
  <c r="F849" i="64" s="1"/>
  <c r="F827" i="64" a="1"/>
  <c r="F827" i="64" s="1"/>
  <c r="F835" i="64" a="1"/>
  <c r="F835" i="64" s="1"/>
  <c r="F843" i="64" a="1"/>
  <c r="F843" i="64" s="1"/>
  <c r="F851" i="64" a="1"/>
  <c r="F851" i="64" s="1"/>
  <c r="F826" i="64" a="1"/>
  <c r="F826" i="64" s="1"/>
  <c r="F834" i="64" a="1"/>
  <c r="F834" i="64" s="1"/>
  <c r="F842" i="64" a="1"/>
  <c r="F842" i="64" s="1"/>
  <c r="F850" i="64" a="1"/>
  <c r="F850" i="64" s="1"/>
  <c r="F828" i="64" a="1"/>
  <c r="F828" i="64" s="1"/>
  <c r="F836" i="64" a="1"/>
  <c r="F836" i="64" s="1"/>
  <c r="F844" i="64" a="1"/>
  <c r="F844" i="64" s="1"/>
  <c r="F852" i="64" a="1"/>
  <c r="F852" i="64" s="1"/>
  <c r="F167" i="64" a="1"/>
  <c r="F167" i="64" s="1"/>
  <c r="J624" i="64"/>
  <c r="J621" i="64"/>
  <c r="J625" i="64"/>
  <c r="F2154" i="64"/>
  <c r="J2154" i="64" s="1"/>
  <c r="C2154" i="64"/>
  <c r="B2154" i="64"/>
  <c r="J2155" i="64"/>
  <c r="G2154" i="64"/>
  <c r="B820" i="64" l="1"/>
  <c r="F122" i="64"/>
  <c r="F736" i="64"/>
  <c r="F203" i="64"/>
  <c r="F195" i="64"/>
  <c r="B2" i="69"/>
  <c r="B3" i="69"/>
  <c r="B4" i="69"/>
  <c r="B5" i="69"/>
  <c r="B6" i="69"/>
  <c r="D1958" i="64"/>
  <c r="C1958" i="64"/>
  <c r="B1958" i="64"/>
  <c r="B1757" i="64"/>
  <c r="D983" i="64"/>
  <c r="C983" i="64"/>
  <c r="B983" i="64"/>
  <c r="F2198" i="64"/>
  <c r="D1721" i="64"/>
  <c r="D1716" i="64"/>
  <c r="D1715" i="64"/>
  <c r="D1712" i="64"/>
  <c r="D1711" i="64"/>
  <c r="D1710" i="64"/>
  <c r="D1709" i="64"/>
  <c r="B2168" i="64"/>
  <c r="B2167" i="64"/>
  <c r="B2164" i="64"/>
  <c r="B2133" i="64"/>
  <c r="B2132" i="64"/>
  <c r="B2131" i="64"/>
  <c r="B2130" i="64"/>
  <c r="B2201" i="64"/>
  <c r="B2198" i="64"/>
  <c r="B2174" i="64"/>
  <c r="B1973" i="64"/>
  <c r="B1971" i="64"/>
  <c r="B2093" i="64"/>
  <c r="B2160" i="64"/>
  <c r="B44" i="64"/>
  <c r="B42" i="64"/>
  <c r="F1304" i="64"/>
  <c r="F1303" i="64"/>
  <c r="D1303" i="64"/>
  <c r="B1845" i="64"/>
  <c r="B1844" i="64"/>
  <c r="B1843" i="64"/>
  <c r="B1842" i="64"/>
  <c r="B1916" i="64"/>
  <c r="B1918" i="64"/>
  <c r="B1923" i="64"/>
  <c r="B1922" i="64"/>
  <c r="B1921" i="64"/>
  <c r="B1920" i="64"/>
  <c r="B1914" i="64"/>
  <c r="B1913" i="64"/>
  <c r="B1912" i="64"/>
  <c r="B1911" i="64"/>
  <c r="B1910" i="64"/>
  <c r="B1909" i="64"/>
  <c r="B1908" i="64"/>
  <c r="B1907" i="64"/>
  <c r="B1906" i="64"/>
  <c r="B1905" i="64"/>
  <c r="B1904" i="64"/>
  <c r="B1903" i="64"/>
  <c r="B1902" i="64"/>
  <c r="B1901" i="64"/>
  <c r="B1900" i="64"/>
  <c r="B1899" i="64"/>
  <c r="B1898" i="64"/>
  <c r="B1897" i="64"/>
  <c r="B1896" i="64"/>
  <c r="B1895" i="64"/>
  <c r="B1894" i="64"/>
  <c r="B1893" i="64"/>
  <c r="B1892" i="64"/>
  <c r="B1891" i="64"/>
  <c r="B1890" i="64"/>
  <c r="B1889" i="64"/>
  <c r="B1888" i="64"/>
  <c r="B1887" i="64"/>
  <c r="B1886" i="64"/>
  <c r="B1885" i="64"/>
  <c r="B1884" i="64"/>
  <c r="B1883" i="64"/>
  <c r="B1882" i="64"/>
  <c r="B1881" i="64"/>
  <c r="B1880" i="64"/>
  <c r="B1879" i="64"/>
  <c r="B1878" i="64"/>
  <c r="B1877" i="64"/>
  <c r="B1876" i="64"/>
  <c r="B1875" i="64"/>
  <c r="B1874" i="64"/>
  <c r="B1873" i="64"/>
  <c r="B1872" i="64"/>
  <c r="B1871" i="64"/>
  <c r="B1870" i="64"/>
  <c r="B1869" i="64"/>
  <c r="B1868" i="64"/>
  <c r="B1867" i="64"/>
  <c r="B1863" i="64"/>
  <c r="B1862" i="64"/>
  <c r="B1861" i="64"/>
  <c r="B1858" i="64"/>
  <c r="B1857" i="64"/>
  <c r="B1856" i="64"/>
  <c r="B1855" i="64"/>
  <c r="B1854" i="64"/>
  <c r="B1853" i="64"/>
  <c r="B1852" i="64"/>
  <c r="B1850" i="64"/>
  <c r="B1849" i="64"/>
  <c r="B1848" i="64"/>
  <c r="B1847" i="64"/>
  <c r="B1840" i="64"/>
  <c r="B1839" i="64"/>
  <c r="B1838" i="64"/>
  <c r="B1837" i="64"/>
  <c r="B1836" i="64"/>
  <c r="B1835" i="64"/>
  <c r="B1831" i="64"/>
  <c r="B1830" i="64"/>
  <c r="B1829" i="64"/>
  <c r="B1828" i="64"/>
  <c r="B1827" i="64"/>
  <c r="B1826" i="64"/>
  <c r="B1825" i="64"/>
  <c r="B1824" i="64"/>
  <c r="B1809" i="64"/>
  <c r="B1823" i="64"/>
  <c r="B1822" i="64"/>
  <c r="B1820" i="64"/>
  <c r="B1819" i="64"/>
  <c r="B1811" i="64"/>
  <c r="B1818" i="64"/>
  <c r="B1814" i="64"/>
  <c r="B1817" i="64"/>
  <c r="B1810" i="64"/>
  <c r="B1807" i="64"/>
  <c r="B1806" i="64"/>
  <c r="B1805" i="64"/>
  <c r="B1804" i="64"/>
  <c r="B1803" i="64"/>
  <c r="B1802" i="64"/>
  <c r="B1801" i="64"/>
  <c r="B1800" i="64"/>
  <c r="B1799" i="64"/>
  <c r="B1798" i="64"/>
  <c r="B1797" i="64"/>
  <c r="B1796" i="64"/>
  <c r="B1795" i="64"/>
  <c r="B1793" i="64"/>
  <c r="B1792" i="64"/>
  <c r="B1791" i="64"/>
  <c r="B1790" i="64"/>
  <c r="B1789" i="64"/>
  <c r="B1788" i="64"/>
  <c r="B1787" i="64"/>
  <c r="B1786" i="64"/>
  <c r="B1785" i="64"/>
  <c r="B1784" i="64"/>
  <c r="B1783" i="64"/>
  <c r="B1782" i="64"/>
  <c r="B1781" i="64"/>
  <c r="B1780" i="64"/>
  <c r="B1779" i="64"/>
  <c r="B1778" i="64"/>
  <c r="B1777" i="64"/>
  <c r="B1776" i="64"/>
  <c r="B1775" i="64"/>
  <c r="B1774" i="64"/>
  <c r="B1773" i="64"/>
  <c r="B1772" i="64"/>
  <c r="B1771" i="64"/>
  <c r="B1770" i="64"/>
  <c r="B1769" i="64"/>
  <c r="B1768" i="64"/>
  <c r="B1767" i="64"/>
  <c r="B1766" i="64"/>
  <c r="B1765" i="64"/>
  <c r="B1764" i="64"/>
  <c r="B1763" i="64"/>
  <c r="B1762" i="64"/>
  <c r="B1761" i="64"/>
  <c r="B1760" i="64"/>
  <c r="B1759" i="64"/>
  <c r="B1756" i="64"/>
  <c r="B1755" i="64"/>
  <c r="B1754" i="64"/>
  <c r="B1753" i="64"/>
  <c r="B1751" i="64"/>
  <c r="B1750" i="64"/>
  <c r="B1749" i="64"/>
  <c r="B1748" i="64"/>
  <c r="B1747" i="64"/>
  <c r="B1746" i="64"/>
  <c r="B1745" i="64"/>
  <c r="B1744" i="64"/>
  <c r="B1743" i="64"/>
  <c r="B1742" i="64"/>
  <c r="B1741" i="64"/>
  <c r="B1740" i="64"/>
  <c r="B1739" i="64"/>
  <c r="B1738" i="64"/>
  <c r="B1737" i="64"/>
  <c r="B1736" i="64"/>
  <c r="B1735" i="64"/>
  <c r="B1734" i="64"/>
  <c r="B1733" i="64"/>
  <c r="B1732" i="64"/>
  <c r="B1731" i="64"/>
  <c r="B1730" i="64"/>
  <c r="B1729" i="64"/>
  <c r="B1728" i="64"/>
  <c r="B1727" i="64"/>
  <c r="B1726" i="64"/>
  <c r="B1725" i="64"/>
  <c r="B1724" i="64"/>
  <c r="B1723" i="64"/>
  <c r="B1722" i="64"/>
  <c r="B1721" i="64"/>
  <c r="B1720" i="64"/>
  <c r="B1719" i="64"/>
  <c r="B1718" i="64"/>
  <c r="B1717" i="64"/>
  <c r="B1716" i="64"/>
  <c r="B1715" i="64"/>
  <c r="B1714" i="64"/>
  <c r="B1713" i="64"/>
  <c r="B1712" i="64"/>
  <c r="B1711" i="64"/>
  <c r="B1710" i="64"/>
  <c r="B1709" i="64"/>
  <c r="B1708" i="64"/>
  <c r="B1706" i="64"/>
  <c r="B1705" i="64"/>
  <c r="B1704" i="64"/>
  <c r="B1703" i="64"/>
  <c r="B1702" i="64"/>
  <c r="B1701" i="64"/>
  <c r="B1700" i="64"/>
  <c r="B1699" i="64"/>
  <c r="B1698" i="64"/>
  <c r="B1697" i="64"/>
  <c r="B1696" i="64"/>
  <c r="B1695" i="64"/>
  <c r="B1694" i="64"/>
  <c r="B1693" i="64"/>
  <c r="B1692" i="64"/>
  <c r="B1691" i="64"/>
  <c r="B1690" i="64"/>
  <c r="B1689" i="64"/>
  <c r="B1688" i="64"/>
  <c r="B1687" i="64"/>
  <c r="B1686" i="64"/>
  <c r="B1685" i="64"/>
  <c r="B1684" i="64"/>
  <c r="B1683" i="64"/>
  <c r="B1682" i="64"/>
  <c r="B1681" i="64"/>
  <c r="B1680" i="64"/>
  <c r="B1679" i="64"/>
  <c r="B1678" i="64"/>
  <c r="B1677" i="64"/>
  <c r="B1676" i="64"/>
  <c r="B1675" i="64"/>
  <c r="B1674" i="64"/>
  <c r="B1673" i="64"/>
  <c r="B1672" i="64"/>
  <c r="B1671" i="64"/>
  <c r="B1670" i="64"/>
  <c r="B1669" i="64"/>
  <c r="B1668" i="64"/>
  <c r="B1667" i="64"/>
  <c r="B1666" i="64"/>
  <c r="B1665" i="64"/>
  <c r="B1664" i="64"/>
  <c r="B1663" i="64"/>
  <c r="B1662" i="64"/>
  <c r="B1661" i="64"/>
  <c r="B1660" i="64"/>
  <c r="B1659" i="64"/>
  <c r="B1658" i="64"/>
  <c r="B1657" i="64"/>
  <c r="B1656" i="64"/>
  <c r="B1655" i="64"/>
  <c r="B1654" i="64"/>
  <c r="B1653" i="64"/>
  <c r="B1652" i="64"/>
  <c r="B1651" i="64"/>
  <c r="B1650" i="64"/>
  <c r="B1649" i="64"/>
  <c r="B1648" i="64"/>
  <c r="B1647" i="64"/>
  <c r="B1646" i="64"/>
  <c r="B1645" i="64"/>
  <c r="B1644" i="64"/>
  <c r="B1643" i="64"/>
  <c r="B1642" i="64"/>
  <c r="B1641" i="64"/>
  <c r="B1640" i="64"/>
  <c r="B1639" i="64"/>
  <c r="B1638" i="64"/>
  <c r="B1637" i="64"/>
  <c r="B1636" i="64"/>
  <c r="B1635" i="64"/>
  <c r="B1634" i="64"/>
  <c r="B1633" i="64"/>
  <c r="B1632" i="64"/>
  <c r="B1631" i="64"/>
  <c r="B1630" i="64"/>
  <c r="B1629" i="64"/>
  <c r="B1628" i="64"/>
  <c r="B1627" i="64"/>
  <c r="B1626" i="64"/>
  <c r="B1625" i="64"/>
  <c r="B1624" i="64"/>
  <c r="B1623" i="64"/>
  <c r="B1622" i="64"/>
  <c r="B1621" i="64"/>
  <c r="B1620" i="64"/>
  <c r="B1619" i="64"/>
  <c r="B1618" i="64"/>
  <c r="B1617" i="64"/>
  <c r="B1616" i="64"/>
  <c r="B1615" i="64"/>
  <c r="B1614" i="64"/>
  <c r="B1613" i="64"/>
  <c r="B1612" i="64"/>
  <c r="B1611" i="64"/>
  <c r="B1610" i="64"/>
  <c r="B1609" i="64"/>
  <c r="B1608" i="64"/>
  <c r="B1607" i="64"/>
  <c r="B1606" i="64"/>
  <c r="B1605" i="64"/>
  <c r="B1604" i="64"/>
  <c r="B1603" i="64"/>
  <c r="B1601" i="64"/>
  <c r="B1597" i="64"/>
  <c r="B1596" i="64"/>
  <c r="B1595" i="64"/>
  <c r="B1594" i="64"/>
  <c r="B1593" i="64"/>
  <c r="B1592" i="64"/>
  <c r="B1591" i="64"/>
  <c r="B1590" i="64"/>
  <c r="B1589" i="64"/>
  <c r="B1588" i="64"/>
  <c r="B1587" i="64"/>
  <c r="B1586" i="64"/>
  <c r="B1585" i="64"/>
  <c r="B1584" i="64"/>
  <c r="B1583" i="64"/>
  <c r="B1582" i="64"/>
  <c r="B1581" i="64"/>
  <c r="B1580" i="64"/>
  <c r="B1579" i="64"/>
  <c r="B1578" i="64"/>
  <c r="B1577" i="64"/>
  <c r="B1576" i="64"/>
  <c r="B1575" i="64"/>
  <c r="B1572" i="64"/>
  <c r="B1571" i="64"/>
  <c r="B1570" i="64"/>
  <c r="B1569" i="64"/>
  <c r="B1568" i="64"/>
  <c r="B1567" i="64"/>
  <c r="B1566" i="64"/>
  <c r="B1562" i="64"/>
  <c r="B1561" i="64"/>
  <c r="B1560" i="64"/>
  <c r="B1559" i="64"/>
  <c r="B1558" i="64"/>
  <c r="B1557" i="64"/>
  <c r="B1556" i="64"/>
  <c r="B1555" i="64"/>
  <c r="B1554" i="64"/>
  <c r="B1553" i="64"/>
  <c r="B1552" i="64"/>
  <c r="B1551" i="64"/>
  <c r="B1550" i="64"/>
  <c r="B1549" i="64"/>
  <c r="B1548" i="64"/>
  <c r="B1547" i="64"/>
  <c r="B1543" i="64"/>
  <c r="B1542" i="64"/>
  <c r="B1541" i="64"/>
  <c r="B1540" i="64"/>
  <c r="B1539" i="64"/>
  <c r="B1535" i="64"/>
  <c r="B1534" i="64"/>
  <c r="B1533" i="64"/>
  <c r="B1532" i="64"/>
  <c r="B1531" i="64"/>
  <c r="B1530" i="64"/>
  <c r="B1529" i="64"/>
  <c r="B1528" i="64"/>
  <c r="B1527" i="64"/>
  <c r="B1526" i="64"/>
  <c r="B1525" i="64"/>
  <c r="B1524" i="64"/>
  <c r="B1523" i="64"/>
  <c r="B1522" i="64"/>
  <c r="B1521" i="64"/>
  <c r="B1520" i="64"/>
  <c r="B1519" i="64"/>
  <c r="B1518" i="64"/>
  <c r="B1517" i="64"/>
  <c r="B1516" i="64"/>
  <c r="B1515" i="64"/>
  <c r="B1514" i="64"/>
  <c r="B1513" i="64"/>
  <c r="B1512" i="64"/>
  <c r="B1511" i="64"/>
  <c r="B1510" i="64"/>
  <c r="B1509" i="64"/>
  <c r="B1508" i="64"/>
  <c r="B1507" i="64"/>
  <c r="B1506" i="64"/>
  <c r="B1505" i="64"/>
  <c r="B1504" i="64"/>
  <c r="B1503" i="64"/>
  <c r="B1502" i="64"/>
  <c r="B1501" i="64"/>
  <c r="B1500" i="64"/>
  <c r="B1499" i="64"/>
  <c r="B1498" i="64"/>
  <c r="B1497" i="64"/>
  <c r="B1496" i="64"/>
  <c r="B1495" i="64"/>
  <c r="B1494" i="64"/>
  <c r="B1493" i="64"/>
  <c r="B1492" i="64"/>
  <c r="B1491" i="64"/>
  <c r="B1490" i="64"/>
  <c r="B1489" i="64"/>
  <c r="B1488" i="64"/>
  <c r="B1487" i="64"/>
  <c r="B1486" i="64"/>
  <c r="B1485" i="64"/>
  <c r="B1484" i="64"/>
  <c r="B1483" i="64"/>
  <c r="B1482" i="64"/>
  <c r="B1481" i="64"/>
  <c r="B1480" i="64"/>
  <c r="B1479" i="64"/>
  <c r="B1478" i="64"/>
  <c r="B1477" i="64"/>
  <c r="B1476" i="64"/>
  <c r="B1475" i="64"/>
  <c r="B1474" i="64"/>
  <c r="B1473" i="64"/>
  <c r="B1472" i="64"/>
  <c r="B1471" i="64"/>
  <c r="B1470" i="64"/>
  <c r="B1469" i="64"/>
  <c r="B1468" i="64"/>
  <c r="B1467" i="64"/>
  <c r="B1466" i="64"/>
  <c r="B1465" i="64"/>
  <c r="B1464" i="64"/>
  <c r="B1463" i="64"/>
  <c r="B1462" i="64"/>
  <c r="B1461" i="64"/>
  <c r="B1460" i="64"/>
  <c r="B1459" i="64"/>
  <c r="B1458" i="64"/>
  <c r="B1457" i="64"/>
  <c r="B1456" i="64"/>
  <c r="B1455" i="64"/>
  <c r="B1454" i="64"/>
  <c r="B1453" i="64"/>
  <c r="B1452" i="64"/>
  <c r="B1451" i="64"/>
  <c r="B1450" i="64"/>
  <c r="B1449" i="64"/>
  <c r="B1448" i="64"/>
  <c r="B1447" i="64"/>
  <c r="B1446" i="64"/>
  <c r="B1445" i="64"/>
  <c r="B1444" i="64"/>
  <c r="B1443" i="64"/>
  <c r="B1442" i="64"/>
  <c r="B1441" i="64"/>
  <c r="B1440" i="64"/>
  <c r="B1439" i="64"/>
  <c r="B1438" i="64"/>
  <c r="B1437" i="64"/>
  <c r="B1436" i="64"/>
  <c r="B1435" i="64"/>
  <c r="B1434" i="64"/>
  <c r="B1433" i="64"/>
  <c r="B1432" i="64"/>
  <c r="B1431" i="64"/>
  <c r="B1430" i="64"/>
  <c r="B1429" i="64"/>
  <c r="B1428" i="64"/>
  <c r="B1427" i="64"/>
  <c r="B1426" i="64"/>
  <c r="B1425" i="64"/>
  <c r="B1424" i="64"/>
  <c r="B1423" i="64"/>
  <c r="B1422" i="64"/>
  <c r="B1421" i="64"/>
  <c r="B1420" i="64"/>
  <c r="B1419" i="64"/>
  <c r="B1418" i="64"/>
  <c r="B1417" i="64"/>
  <c r="B1416" i="64"/>
  <c r="B1415" i="64"/>
  <c r="B1414" i="64"/>
  <c r="B1413" i="64"/>
  <c r="B1412" i="64"/>
  <c r="B1411" i="64"/>
  <c r="B1410" i="64"/>
  <c r="B1409" i="64"/>
  <c r="B1408" i="64"/>
  <c r="B1407" i="64"/>
  <c r="B1406" i="64"/>
  <c r="B1405" i="64"/>
  <c r="B1404" i="64"/>
  <c r="B1403" i="64"/>
  <c r="B1402" i="64"/>
  <c r="B1401" i="64"/>
  <c r="B1400" i="64"/>
  <c r="B1399" i="64"/>
  <c r="B1398" i="64"/>
  <c r="B1397" i="64"/>
  <c r="B1396" i="64"/>
  <c r="B1395" i="64"/>
  <c r="B1394" i="64"/>
  <c r="B1393" i="64"/>
  <c r="B1392" i="64"/>
  <c r="B1391" i="64"/>
  <c r="B1390" i="64"/>
  <c r="B1389" i="64"/>
  <c r="B1388" i="64"/>
  <c r="B1387" i="64"/>
  <c r="B1386" i="64"/>
  <c r="B1385" i="64"/>
  <c r="B1384" i="64"/>
  <c r="B1383" i="64"/>
  <c r="B1382" i="64"/>
  <c r="B1381" i="64"/>
  <c r="B1380" i="64"/>
  <c r="B1379" i="64"/>
  <c r="B1378" i="64"/>
  <c r="B1377" i="64"/>
  <c r="B1376" i="64"/>
  <c r="B1375" i="64"/>
  <c r="B1374" i="64"/>
  <c r="B1373" i="64"/>
  <c r="B1372" i="64"/>
  <c r="B1371" i="64"/>
  <c r="B1370" i="64"/>
  <c r="B1369" i="64"/>
  <c r="B1368" i="64"/>
  <c r="B1367" i="64"/>
  <c r="B1366" i="64"/>
  <c r="B1365" i="64"/>
  <c r="B1364" i="64"/>
  <c r="B1363" i="64"/>
  <c r="B1362" i="64"/>
  <c r="B1361" i="64"/>
  <c r="B1360" i="64"/>
  <c r="B1359" i="64"/>
  <c r="B1358" i="64"/>
  <c r="B1357" i="64"/>
  <c r="B1356" i="64"/>
  <c r="B1355" i="64"/>
  <c r="B1354" i="64"/>
  <c r="B1353" i="64"/>
  <c r="B1352" i="64"/>
  <c r="B1351" i="64"/>
  <c r="B1350" i="64"/>
  <c r="B1349" i="64"/>
  <c r="B1348" i="64"/>
  <c r="B1347" i="64"/>
  <c r="B1346" i="64"/>
  <c r="B1345" i="64"/>
  <c r="B1344" i="64"/>
  <c r="B1343" i="64"/>
  <c r="B1342" i="64"/>
  <c r="B1341" i="64"/>
  <c r="B1340" i="64"/>
  <c r="B1339" i="64"/>
  <c r="B1338" i="64"/>
  <c r="B1337" i="64"/>
  <c r="B1336" i="64"/>
  <c r="B1335" i="64"/>
  <c r="B1334" i="64"/>
  <c r="B1333" i="64"/>
  <c r="B1332" i="64"/>
  <c r="B1331" i="64"/>
  <c r="B1330" i="64"/>
  <c r="B1329" i="64"/>
  <c r="B1328" i="64"/>
  <c r="B1327" i="64"/>
  <c r="B1326" i="64"/>
  <c r="B1325" i="64"/>
  <c r="B1324" i="64"/>
  <c r="B1323" i="64"/>
  <c r="B1312" i="64"/>
  <c r="B1322" i="64"/>
  <c r="B1321" i="64"/>
  <c r="B1320" i="64"/>
  <c r="B1319" i="64"/>
  <c r="B1318" i="64"/>
  <c r="B1317" i="64"/>
  <c r="B1316" i="64"/>
  <c r="B1315" i="64"/>
  <c r="B1314" i="64"/>
  <c r="B1313" i="64"/>
  <c r="B1309" i="64"/>
  <c r="B1308" i="64"/>
  <c r="B1307" i="64"/>
  <c r="B1306" i="64"/>
  <c r="B1305" i="64"/>
  <c r="B1304" i="64"/>
  <c r="B1303" i="64"/>
  <c r="B1302" i="64"/>
  <c r="B1301" i="64"/>
  <c r="B1300" i="64"/>
  <c r="B1299" i="64"/>
  <c r="B1298" i="64"/>
  <c r="B1297" i="64"/>
  <c r="B1296" i="64"/>
  <c r="B1295" i="64"/>
  <c r="B1294" i="64"/>
  <c r="B1293" i="64"/>
  <c r="B1292" i="64"/>
  <c r="B1291" i="64"/>
  <c r="B1290" i="64"/>
  <c r="B1289" i="64"/>
  <c r="B1288" i="64"/>
  <c r="B1287" i="64"/>
  <c r="B1286" i="64"/>
  <c r="B1285" i="64"/>
  <c r="B1284" i="64"/>
  <c r="B1283" i="64"/>
  <c r="B1282" i="64"/>
  <c r="B1281" i="64"/>
  <c r="B1280" i="64"/>
  <c r="B1279" i="64"/>
  <c r="B1278" i="64"/>
  <c r="B1277" i="64"/>
  <c r="B1276" i="64"/>
  <c r="B1275" i="64"/>
  <c r="B1274" i="64"/>
  <c r="B1273" i="64"/>
  <c r="B1272" i="64"/>
  <c r="B1271" i="64"/>
  <c r="B1270" i="64"/>
  <c r="B1269" i="64"/>
  <c r="B1268" i="64"/>
  <c r="B1267" i="64"/>
  <c r="B1266" i="64"/>
  <c r="B1265" i="64"/>
  <c r="B1264" i="64"/>
  <c r="B1263" i="64"/>
  <c r="B1262" i="64"/>
  <c r="B1261" i="64"/>
  <c r="B1260" i="64"/>
  <c r="B1259" i="64"/>
  <c r="B1258" i="64"/>
  <c r="B1257" i="64"/>
  <c r="B1256" i="64"/>
  <c r="B1255" i="64"/>
  <c r="B1254" i="64"/>
  <c r="B1253" i="64"/>
  <c r="B1252" i="64"/>
  <c r="B1251" i="64"/>
  <c r="B1250" i="64"/>
  <c r="B1243" i="64"/>
  <c r="B1242" i="64"/>
  <c r="B1241" i="64"/>
  <c r="B1240" i="64"/>
  <c r="B1239" i="64"/>
  <c r="B1238" i="64"/>
  <c r="B1237" i="64"/>
  <c r="B1236" i="64"/>
  <c r="B1235" i="64"/>
  <c r="B1234" i="64"/>
  <c r="B1233" i="64"/>
  <c r="B1232" i="64"/>
  <c r="B1228" i="64"/>
  <c r="B1227" i="64"/>
  <c r="B1226" i="64"/>
  <c r="B1225" i="64"/>
  <c r="B1224" i="64"/>
  <c r="B1223" i="64"/>
  <c r="B1222" i="64"/>
  <c r="B1221" i="64"/>
  <c r="B1220" i="64"/>
  <c r="B1219" i="64"/>
  <c r="B1218" i="64"/>
  <c r="B1217" i="64"/>
  <c r="B1216" i="64"/>
  <c r="B1215" i="64"/>
  <c r="B1214" i="64"/>
  <c r="B1213" i="64"/>
  <c r="B1212" i="64"/>
  <c r="B1211" i="64"/>
  <c r="B1210" i="64"/>
  <c r="B1209" i="64"/>
  <c r="B1208" i="64"/>
  <c r="B1207" i="64"/>
  <c r="B1206" i="64"/>
  <c r="B1205" i="64"/>
  <c r="B1204" i="64"/>
  <c r="B1203" i="64"/>
  <c r="B1202" i="64"/>
  <c r="B1201" i="64"/>
  <c r="B1200" i="64"/>
  <c r="B1199" i="64"/>
  <c r="B990" i="64"/>
  <c r="B988" i="64"/>
  <c r="B987" i="64"/>
  <c r="B862" i="64"/>
  <c r="B858" i="64"/>
  <c r="B856" i="64"/>
  <c r="B814" i="64"/>
  <c r="B813" i="64"/>
  <c r="B614" i="64"/>
  <c r="B612" i="64"/>
  <c r="B611" i="64"/>
  <c r="B610" i="64"/>
  <c r="B609" i="64"/>
  <c r="B608" i="64"/>
  <c r="B607" i="64"/>
  <c r="B606" i="64"/>
  <c r="B129" i="64"/>
  <c r="B131" i="64"/>
  <c r="F1139" i="64"/>
  <c r="F796" i="64"/>
  <c r="F739" i="64" l="1"/>
  <c r="F745" i="64"/>
  <c r="F1881" i="64"/>
  <c r="F1871" i="64"/>
  <c r="F753" i="64"/>
  <c r="F744" i="64"/>
  <c r="F742" i="64"/>
  <c r="C6" i="38"/>
  <c r="D6" i="38" s="1"/>
  <c r="E6" i="38" s="1"/>
  <c r="G7" i="64"/>
  <c r="F7" i="64" s="1"/>
  <c r="J7" i="64" s="1"/>
  <c r="G10" i="64"/>
  <c r="F10" i="64" s="1"/>
  <c r="B7" i="69"/>
  <c r="G11" i="64" s="1"/>
  <c r="F11" i="64" s="1"/>
  <c r="J11" i="64" s="1"/>
  <c r="B8" i="69"/>
  <c r="G12" i="64" s="1"/>
  <c r="F12" i="64" s="1"/>
  <c r="J12" i="64" s="1"/>
  <c r="B9" i="69"/>
  <c r="G13" i="64" s="1"/>
  <c r="F13" i="64" s="1"/>
  <c r="J13" i="64" s="1"/>
  <c r="G6" i="64"/>
  <c r="F6" i="64" s="1"/>
  <c r="G8" i="64"/>
  <c r="F8" i="64" s="1"/>
  <c r="J8" i="64" s="1"/>
  <c r="G9" i="64"/>
  <c r="F9" i="64" s="1"/>
  <c r="J9" i="64" s="1"/>
  <c r="G30" i="64"/>
  <c r="F30" i="64"/>
  <c r="J30" i="64" s="1"/>
  <c r="J29" i="64"/>
  <c r="H7" i="64"/>
  <c r="H8" i="64"/>
  <c r="H9" i="64"/>
  <c r="H10" i="64"/>
  <c r="H11" i="64"/>
  <c r="H12" i="64"/>
  <c r="H13" i="64"/>
  <c r="H6" i="64"/>
  <c r="B7" i="64"/>
  <c r="C7" i="64"/>
  <c r="B8" i="64"/>
  <c r="C8" i="64"/>
  <c r="B9" i="64"/>
  <c r="C9" i="64"/>
  <c r="B10" i="64"/>
  <c r="C10" i="64"/>
  <c r="B11" i="64"/>
  <c r="C11" i="64"/>
  <c r="B12" i="64"/>
  <c r="C12" i="64"/>
  <c r="B13" i="64"/>
  <c r="C13" i="64"/>
  <c r="G864" i="64"/>
  <c r="F864" i="64"/>
  <c r="C42" i="64"/>
  <c r="E232" i="52"/>
  <c r="B416" i="52"/>
  <c r="J10" i="64" l="1"/>
  <c r="J3" i="64" l="1"/>
  <c r="J4" i="64"/>
  <c r="J5" i="64"/>
  <c r="J18" i="64"/>
  <c r="J20" i="64"/>
  <c r="J21" i="64"/>
  <c r="J22" i="64"/>
  <c r="J23" i="64"/>
  <c r="J24" i="64"/>
  <c r="J25" i="64"/>
  <c r="J26" i="64"/>
  <c r="J27" i="64"/>
  <c r="J28" i="64"/>
  <c r="J31" i="64"/>
  <c r="J37" i="64"/>
  <c r="J38" i="64"/>
  <c r="J39" i="64"/>
  <c r="J41" i="64"/>
  <c r="J43" i="64"/>
  <c r="J45" i="64"/>
  <c r="J47" i="64"/>
  <c r="J78" i="64"/>
  <c r="J79" i="64"/>
  <c r="J80" i="64"/>
  <c r="J88" i="64"/>
  <c r="J98" i="64"/>
  <c r="J100" i="64"/>
  <c r="J108" i="64"/>
  <c r="J118" i="64"/>
  <c r="J119" i="64"/>
  <c r="J127" i="64"/>
  <c r="J128" i="64"/>
  <c r="J130" i="64"/>
  <c r="J132" i="64"/>
  <c r="J133" i="64"/>
  <c r="J134" i="64"/>
  <c r="J136" i="64"/>
  <c r="J158" i="64"/>
  <c r="J174" i="64"/>
  <c r="J184" i="64"/>
  <c r="J193" i="64"/>
  <c r="J204" i="64"/>
  <c r="J211" i="64"/>
  <c r="J212" i="64"/>
  <c r="J213" i="64"/>
  <c r="J218" i="64"/>
  <c r="J219" i="64"/>
  <c r="J242" i="64"/>
  <c r="J256" i="64"/>
  <c r="J263" i="64"/>
  <c r="J264" i="64"/>
  <c r="J271" i="64"/>
  <c r="J272" i="64"/>
  <c r="J279" i="64"/>
  <c r="J280" i="64"/>
  <c r="J287" i="64"/>
  <c r="J288" i="64"/>
  <c r="J295" i="64"/>
  <c r="J296" i="64"/>
  <c r="J297" i="64"/>
  <c r="J298" i="64"/>
  <c r="J299" i="64"/>
  <c r="J300" i="64"/>
  <c r="J301" i="64"/>
  <c r="J302" i="64"/>
  <c r="J303" i="64"/>
  <c r="J304" i="64"/>
  <c r="J311" i="64"/>
  <c r="J312" i="64"/>
  <c r="J319" i="64"/>
  <c r="J320" i="64"/>
  <c r="J327" i="64"/>
  <c r="J328" i="64"/>
  <c r="J330" i="64"/>
  <c r="J378" i="64"/>
  <c r="J379" i="64"/>
  <c r="J380" i="64"/>
  <c r="J419" i="64"/>
  <c r="J436" i="64"/>
  <c r="J492" i="64"/>
  <c r="J493" i="64"/>
  <c r="J494" i="64"/>
  <c r="J496" i="64"/>
  <c r="J564" i="64"/>
  <c r="J580" i="64"/>
  <c r="J582" i="64"/>
  <c r="J584" i="64"/>
  <c r="J585" i="64"/>
  <c r="J586" i="64"/>
  <c r="J588" i="64"/>
  <c r="J594" i="64"/>
  <c r="J596" i="64"/>
  <c r="J598" i="64"/>
  <c r="J601" i="64"/>
  <c r="J602" i="64"/>
  <c r="J603" i="64"/>
  <c r="J604" i="64"/>
  <c r="J605" i="64"/>
  <c r="J731" i="64"/>
  <c r="J732" i="64"/>
  <c r="J613" i="64"/>
  <c r="J615" i="64"/>
  <c r="J617" i="64"/>
  <c r="J680" i="64"/>
  <c r="J681" i="64"/>
  <c r="J682" i="64"/>
  <c r="J683" i="64"/>
  <c r="J684" i="64"/>
  <c r="J685" i="64"/>
  <c r="J686" i="64"/>
  <c r="J687" i="64"/>
  <c r="J704" i="64"/>
  <c r="J708" i="64"/>
  <c r="J712" i="64"/>
  <c r="J716" i="64"/>
  <c r="J748" i="64"/>
  <c r="J762" i="64"/>
  <c r="J764" i="64"/>
  <c r="J773" i="64"/>
  <c r="J775" i="64"/>
  <c r="J776" i="64"/>
  <c r="J777" i="64"/>
  <c r="J778" i="64"/>
  <c r="J779" i="64"/>
  <c r="J780" i="64"/>
  <c r="J786" i="64"/>
  <c r="J796" i="64"/>
  <c r="J812" i="64"/>
  <c r="J815" i="64"/>
  <c r="J855" i="64"/>
  <c r="J857" i="64"/>
  <c r="J859" i="64"/>
  <c r="J861" i="64"/>
  <c r="J863" i="64"/>
  <c r="J865" i="64"/>
  <c r="J867" i="64"/>
  <c r="J874" i="64"/>
  <c r="J888" i="64"/>
  <c r="J890" i="64"/>
  <c r="J896" i="64"/>
  <c r="J898" i="64"/>
  <c r="J923" i="64"/>
  <c r="J948" i="64"/>
  <c r="J951" i="64"/>
  <c r="J952" i="64"/>
  <c r="J953" i="64"/>
  <c r="J954" i="64"/>
  <c r="J955" i="64"/>
  <c r="J963" i="64"/>
  <c r="J968" i="64"/>
  <c r="J979" i="64"/>
  <c r="J981" i="64"/>
  <c r="J986" i="64"/>
  <c r="J991" i="64"/>
  <c r="J996" i="64"/>
  <c r="J997" i="64"/>
  <c r="J998" i="64"/>
  <c r="J999" i="64"/>
  <c r="J1000" i="64"/>
  <c r="J1001" i="64"/>
  <c r="J1002" i="64"/>
  <c r="J1019" i="64"/>
  <c r="J1029" i="64"/>
  <c r="J1182" i="64"/>
  <c r="J1185" i="64"/>
  <c r="J1188" i="64"/>
  <c r="J1189" i="64"/>
  <c r="J1197" i="64"/>
  <c r="J1309" i="64"/>
  <c r="J1343" i="64"/>
  <c r="J1531" i="64"/>
  <c r="J1532" i="64"/>
  <c r="J1563" i="64"/>
  <c r="J1566" i="64"/>
  <c r="J1572" i="64"/>
  <c r="J1575" i="64"/>
  <c r="J1583" i="64"/>
  <c r="J1584" i="64"/>
  <c r="J1593" i="64"/>
  <c r="J1597" i="64"/>
  <c r="J1598" i="64"/>
  <c r="J1599" i="64"/>
  <c r="J1600" i="64"/>
  <c r="J1602" i="64"/>
  <c r="J1622" i="64"/>
  <c r="J1629" i="64"/>
  <c r="J1670" i="64"/>
  <c r="J1697" i="64"/>
  <c r="J1707" i="64"/>
  <c r="J1722" i="64"/>
  <c r="J1723" i="64"/>
  <c r="J1728" i="64"/>
  <c r="J1729" i="64"/>
  <c r="J1758" i="64"/>
  <c r="J1775" i="64"/>
  <c r="J1777" i="64"/>
  <c r="J1784" i="64"/>
  <c r="J1785" i="64"/>
  <c r="J1789" i="64"/>
  <c r="J1790" i="64"/>
  <c r="J1791" i="64"/>
  <c r="J1792" i="64"/>
  <c r="J1793" i="64"/>
  <c r="J1794" i="64"/>
  <c r="J1840" i="64"/>
  <c r="J1841" i="64"/>
  <c r="J1846" i="64"/>
  <c r="J1851" i="64"/>
  <c r="J1855" i="64"/>
  <c r="J1858" i="64"/>
  <c r="J1859" i="64"/>
  <c r="J1864" i="64"/>
  <c r="J1865" i="64"/>
  <c r="J1866" i="64"/>
  <c r="J1867" i="64"/>
  <c r="J1875" i="64"/>
  <c r="J1882" i="64"/>
  <c r="J1883" i="64"/>
  <c r="J1893" i="64"/>
  <c r="J1895" i="64"/>
  <c r="J1896" i="64"/>
  <c r="J1899" i="64"/>
  <c r="J1900" i="64"/>
  <c r="J1903" i="64"/>
  <c r="J1904" i="64"/>
  <c r="J1911" i="64"/>
  <c r="J1913" i="64"/>
  <c r="J1914" i="64"/>
  <c r="J1915" i="64"/>
  <c r="J1917" i="64"/>
  <c r="J1919" i="64"/>
  <c r="J1924" i="64"/>
  <c r="J1925" i="64"/>
  <c r="J1926" i="64"/>
  <c r="J1963" i="64"/>
  <c r="J1964" i="64"/>
  <c r="J1968" i="64"/>
  <c r="J1969" i="64"/>
  <c r="J1970" i="64"/>
  <c r="J1974" i="64"/>
  <c r="J1975" i="64"/>
  <c r="J1976" i="64"/>
  <c r="J1977" i="64"/>
  <c r="J1978" i="64"/>
  <c r="J1979" i="64"/>
  <c r="J1980" i="64"/>
  <c r="J1982" i="64"/>
  <c r="J1983" i="64"/>
  <c r="J1984" i="64"/>
  <c r="J1993" i="64"/>
  <c r="J1996" i="64"/>
  <c r="J1997" i="64"/>
  <c r="J1998" i="64"/>
  <c r="J2017" i="64"/>
  <c r="J2040" i="64"/>
  <c r="J2041" i="64"/>
  <c r="J2042" i="64"/>
  <c r="J2063" i="64"/>
  <c r="J2085" i="64"/>
  <c r="J2097" i="64"/>
  <c r="J2099" i="64"/>
  <c r="J2101" i="64"/>
  <c r="J2105" i="64"/>
  <c r="J2108" i="64"/>
  <c r="J2111" i="64"/>
  <c r="J2112" i="64"/>
  <c r="J2113" i="64"/>
  <c r="J2120" i="64"/>
  <c r="J2127" i="64"/>
  <c r="J2131" i="64"/>
  <c r="J2132" i="64"/>
  <c r="J2133" i="64"/>
  <c r="J2153" i="64"/>
  <c r="J2156" i="64"/>
  <c r="J2157" i="64"/>
  <c r="J2159" i="64"/>
  <c r="J2161" i="64"/>
  <c r="J2162" i="64"/>
  <c r="J2163" i="64"/>
  <c r="J2169" i="64"/>
  <c r="J2218" i="64"/>
  <c r="J2220" i="64"/>
  <c r="J2222" i="64"/>
  <c r="J2223" i="64"/>
  <c r="J2224" i="64"/>
  <c r="J2271" i="64"/>
  <c r="J2304" i="64"/>
  <c r="J2326" i="64"/>
  <c r="J2344" i="64"/>
  <c r="J2378" i="64"/>
  <c r="J2403" i="64"/>
  <c r="J2423" i="64"/>
  <c r="J2490" i="64"/>
  <c r="J2505" i="64"/>
  <c r="J2508" i="64"/>
  <c r="J2540" i="64"/>
  <c r="J2546" i="64"/>
  <c r="J2547" i="64"/>
  <c r="J2550" i="64"/>
  <c r="J2557" i="64"/>
  <c r="J2559" i="64"/>
  <c r="J2560" i="64"/>
  <c r="J2561" i="64"/>
  <c r="J2564" i="64"/>
  <c r="J2566" i="64"/>
  <c r="J2569" i="64"/>
  <c r="J2570" i="64"/>
  <c r="J2571" i="64"/>
  <c r="J2572" i="64"/>
  <c r="J2574" i="64"/>
  <c r="J2575" i="64"/>
  <c r="J2576" i="64"/>
  <c r="J2577" i="64"/>
  <c r="J2579" i="64"/>
  <c r="J2581" i="64"/>
  <c r="J2624" i="64"/>
  <c r="J2634" i="64"/>
  <c r="J2636" i="64"/>
  <c r="J2640" i="64"/>
  <c r="J2644" i="64"/>
  <c r="J2654" i="64"/>
  <c r="J2655" i="64"/>
  <c r="J2656" i="64"/>
  <c r="J2657" i="64"/>
  <c r="J2658" i="64"/>
  <c r="J2659" i="64"/>
  <c r="J2660" i="64"/>
  <c r="J2661" i="64"/>
  <c r="J2662" i="64"/>
  <c r="J2663" i="64"/>
  <c r="J2664" i="64"/>
  <c r="J2665" i="64"/>
  <c r="J2666" i="64"/>
  <c r="J2667" i="64"/>
  <c r="J2668" i="64"/>
  <c r="J2669" i="64"/>
  <c r="J2670" i="64"/>
  <c r="J2678" i="64"/>
  <c r="J2680" i="64"/>
  <c r="J2687" i="64"/>
  <c r="J2691" i="64"/>
  <c r="J2695" i="64"/>
  <c r="J2705" i="64"/>
  <c r="J2707" i="64"/>
  <c r="J2708" i="64"/>
  <c r="J2715" i="64"/>
  <c r="J2716" i="64"/>
  <c r="J2720" i="64"/>
  <c r="J2722" i="64"/>
  <c r="J2723" i="64"/>
  <c r="J2724" i="64"/>
  <c r="J2725" i="64"/>
  <c r="J2733" i="64"/>
  <c r="J2734" i="64"/>
  <c r="J2735" i="64"/>
  <c r="J2742" i="64"/>
  <c r="J2743" i="64"/>
  <c r="J2744" i="64"/>
  <c r="J2745" i="64"/>
  <c r="J2747" i="64"/>
  <c r="J2748" i="64"/>
  <c r="J2749" i="64"/>
  <c r="J2750" i="64"/>
  <c r="J2751" i="64"/>
  <c r="J2752" i="64"/>
  <c r="J2753" i="64"/>
  <c r="J2754" i="64"/>
  <c r="J2755" i="64"/>
  <c r="J2756" i="64"/>
  <c r="J2757" i="64"/>
  <c r="J2758" i="64"/>
  <c r="J2759" i="64"/>
  <c r="J2760" i="64"/>
  <c r="J2761" i="64"/>
  <c r="J2762" i="64"/>
  <c r="J2763" i="64"/>
  <c r="J2764" i="64"/>
  <c r="J2765" i="64"/>
  <c r="J2766" i="64"/>
  <c r="J2767" i="64"/>
  <c r="J2768" i="64"/>
  <c r="J2769" i="64"/>
  <c r="J2770" i="64"/>
  <c r="J2771" i="64"/>
  <c r="J2772" i="64"/>
  <c r="J2773" i="64"/>
  <c r="J2774" i="64"/>
  <c r="J2775" i="64"/>
  <c r="J2776" i="64"/>
  <c r="J2777" i="64"/>
  <c r="J2778" i="64"/>
  <c r="J2779" i="64"/>
  <c r="J2780" i="64"/>
  <c r="J2781" i="64"/>
  <c r="J2782" i="64"/>
  <c r="J2783" i="64"/>
  <c r="J2784" i="64"/>
  <c r="J2785" i="64"/>
  <c r="J2789" i="64"/>
  <c r="J2790" i="64"/>
  <c r="J2792" i="64"/>
  <c r="J2796" i="64"/>
  <c r="D1945" i="64"/>
  <c r="C1945" i="64"/>
  <c r="B1945" i="64"/>
  <c r="F1894" i="64"/>
  <c r="F1890" i="64"/>
  <c r="J1890" i="64" s="1"/>
  <c r="F1887" i="64"/>
  <c r="J1887" i="64" s="1"/>
  <c r="E4" i="52"/>
  <c r="L324" i="52"/>
  <c r="E324" i="52"/>
  <c r="L276" i="52"/>
  <c r="E276" i="52"/>
  <c r="L228" i="52"/>
  <c r="E228" i="52"/>
  <c r="L196" i="52"/>
  <c r="E196" i="52"/>
  <c r="L164" i="52"/>
  <c r="E164" i="52"/>
  <c r="L132" i="52"/>
  <c r="E132" i="52"/>
  <c r="L100" i="52"/>
  <c r="E100" i="52"/>
  <c r="L52" i="52"/>
  <c r="E52" i="52"/>
  <c r="L4" i="52"/>
  <c r="J2180" i="64" l="1"/>
  <c r="J2167" i="64"/>
  <c r="J1894" i="64"/>
  <c r="H1726" i="64"/>
  <c r="H1724" i="64"/>
  <c r="F1618" i="64"/>
  <c r="J1618" i="64" s="1"/>
  <c r="D1663" i="64"/>
  <c r="D1665" i="64"/>
  <c r="J1665" i="64"/>
  <c r="F1604" i="64"/>
  <c r="J1604" i="64" s="1"/>
  <c r="C1597" i="64"/>
  <c r="F1586" i="64"/>
  <c r="J1586" i="64" s="1"/>
  <c r="F1300" i="64"/>
  <c r="J1300" i="64" s="1"/>
  <c r="C1300" i="64"/>
  <c r="F1422" i="64"/>
  <c r="J1422" i="64" s="1"/>
  <c r="C1422" i="64"/>
  <c r="F1427" i="64"/>
  <c r="J1427" i="64" s="1"/>
  <c r="F1421" i="64"/>
  <c r="J1421" i="64" s="1"/>
  <c r="F1237" i="64"/>
  <c r="J1237" i="64" s="1"/>
  <c r="F1236" i="64"/>
  <c r="J1236" i="64" s="1"/>
  <c r="F1235" i="64"/>
  <c r="J1235" i="64" s="1"/>
  <c r="C1237" i="64"/>
  <c r="C1236" i="64"/>
  <c r="C1235" i="64"/>
  <c r="F1232" i="64"/>
  <c r="J1232" i="64" s="1"/>
  <c r="F1233" i="64"/>
  <c r="J1233" i="64" s="1"/>
  <c r="C1234" i="64"/>
  <c r="C1233" i="64"/>
  <c r="C1232" i="64"/>
  <c r="F1196" i="64"/>
  <c r="J1196" i="64" s="1"/>
  <c r="C1196" i="64"/>
  <c r="B1196" i="64"/>
  <c r="F1194" i="64"/>
  <c r="J1194" i="64" s="1"/>
  <c r="F1193" i="64"/>
  <c r="J1193" i="64" s="1"/>
  <c r="F1192" i="64"/>
  <c r="J1192" i="64" s="1"/>
  <c r="F1191" i="64"/>
  <c r="J1191" i="64" s="1"/>
  <c r="C1194" i="64"/>
  <c r="B1194" i="64"/>
  <c r="F1190" i="64"/>
  <c r="J1190" i="64" s="1"/>
  <c r="F1181" i="64"/>
  <c r="J1181" i="64" s="1"/>
  <c r="F1177" i="64"/>
  <c r="J1177" i="64" s="1"/>
  <c r="F1165" i="64"/>
  <c r="J1165" i="64" s="1"/>
  <c r="C1193" i="64"/>
  <c r="B1193" i="64"/>
  <c r="C1192" i="64"/>
  <c r="B1192" i="64"/>
  <c r="C1191" i="64"/>
  <c r="B1191" i="64"/>
  <c r="C1190" i="64"/>
  <c r="B1190" i="64"/>
  <c r="C1019" i="64"/>
  <c r="B1019" i="64"/>
  <c r="D973" i="64"/>
  <c r="C973" i="64"/>
  <c r="B973" i="64"/>
  <c r="D981" i="64"/>
  <c r="C981" i="64"/>
  <c r="B981" i="64"/>
  <c r="J759" i="64"/>
  <c r="C883" i="64"/>
  <c r="B883" i="64"/>
  <c r="C882" i="64"/>
  <c r="B882" i="64"/>
  <c r="D875" i="64"/>
  <c r="C881" i="64"/>
  <c r="C880" i="64"/>
  <c r="C879" i="64"/>
  <c r="C878" i="64"/>
  <c r="C877" i="64"/>
  <c r="C876" i="64"/>
  <c r="C875" i="64"/>
  <c r="B881" i="64"/>
  <c r="B880" i="64"/>
  <c r="B879" i="64"/>
  <c r="B878" i="64"/>
  <c r="B877" i="64"/>
  <c r="B876" i="64"/>
  <c r="B875" i="64"/>
  <c r="J860" i="64"/>
  <c r="B796" i="64"/>
  <c r="D773" i="64"/>
  <c r="C773" i="64"/>
  <c r="B773" i="64"/>
  <c r="D628" i="64"/>
  <c r="C628" i="64"/>
  <c r="B628" i="64"/>
  <c r="J739" i="64"/>
  <c r="F757" i="64"/>
  <c r="F772" i="64"/>
  <c r="J772" i="64" s="1"/>
  <c r="J758" i="64"/>
  <c r="J765" i="64"/>
  <c r="C390" i="52" a="1"/>
  <c r="C390" i="52" s="1"/>
  <c r="I75" i="17"/>
  <c r="F1547" i="64"/>
  <c r="J768" i="64" l="1"/>
  <c r="J757" i="64"/>
  <c r="J760" i="64"/>
  <c r="J1547" i="64"/>
  <c r="F990" i="64"/>
  <c r="J990" i="64" s="1"/>
  <c r="F1173" i="64"/>
  <c r="J1173" i="64" s="1"/>
  <c r="F1169" i="64"/>
  <c r="J1169" i="64" s="1"/>
  <c r="J2158" i="64"/>
  <c r="J862" i="64"/>
  <c r="F42" i="64"/>
  <c r="J42" i="64" s="1"/>
  <c r="G856" i="64"/>
  <c r="J856" i="64"/>
  <c r="B11" i="2"/>
  <c r="F738" i="64" s="1"/>
  <c r="J738" i="64" s="1"/>
  <c r="F989" i="64" l="1"/>
  <c r="J989" i="64" s="1"/>
  <c r="G42" i="64"/>
  <c r="G897" i="64"/>
  <c r="F897" i="64"/>
  <c r="J897" i="64" s="1"/>
  <c r="C897" i="64"/>
  <c r="B897" i="64"/>
  <c r="G1865" i="64"/>
  <c r="D2223" i="64"/>
  <c r="B2223" i="64"/>
  <c r="G2221" i="64"/>
  <c r="G2219" i="64"/>
  <c r="D2205" i="64"/>
  <c r="D2199" i="64"/>
  <c r="D2198" i="64"/>
  <c r="J2198" i="64"/>
  <c r="D2200" i="64"/>
  <c r="H2201" i="64"/>
  <c r="F2201" i="64"/>
  <c r="J2201" i="64" s="1"/>
  <c r="D2174" i="64"/>
  <c r="J2174" i="64"/>
  <c r="F2165" i="64"/>
  <c r="J2165" i="64" s="1"/>
  <c r="D2165" i="64"/>
  <c r="D2168" i="64"/>
  <c r="D2166" i="64"/>
  <c r="D2167" i="64"/>
  <c r="D2164" i="64"/>
  <c r="D2156" i="64"/>
  <c r="D2140" i="64"/>
  <c r="D2139" i="64"/>
  <c r="D2138" i="64"/>
  <c r="D2137" i="64"/>
  <c r="D2136" i="64"/>
  <c r="D2135" i="64"/>
  <c r="D2134" i="64"/>
  <c r="C2140" i="64"/>
  <c r="C2139" i="64"/>
  <c r="C2138" i="64"/>
  <c r="C2137" i="64"/>
  <c r="C2136" i="64"/>
  <c r="C2135" i="64"/>
  <c r="C2134" i="64"/>
  <c r="D2129" i="64"/>
  <c r="C2129" i="64"/>
  <c r="F2129" i="64"/>
  <c r="J2129" i="64" s="1"/>
  <c r="D2131" i="64"/>
  <c r="C2131" i="64"/>
  <c r="C2132" i="64"/>
  <c r="C2133" i="64"/>
  <c r="D2130" i="64"/>
  <c r="D2128" i="64"/>
  <c r="C2130" i="64"/>
  <c r="C2128" i="64"/>
  <c r="D2103" i="64"/>
  <c r="D2102" i="64"/>
  <c r="D2101" i="64"/>
  <c r="D2100" i="64"/>
  <c r="D1994" i="64"/>
  <c r="C1994" i="64"/>
  <c r="D2086" i="64"/>
  <c r="F2084" i="64"/>
  <c r="J2084" i="64" s="1"/>
  <c r="F2082" i="64"/>
  <c r="J2082" i="64" s="1"/>
  <c r="F2076" i="64"/>
  <c r="J2076" i="64" s="1"/>
  <c r="F2074" i="64"/>
  <c r="J2074" i="64" s="1"/>
  <c r="F2070" i="64"/>
  <c r="J2070" i="64" s="1"/>
  <c r="F2066" i="64"/>
  <c r="J2066" i="64" s="1"/>
  <c r="F2064" i="64"/>
  <c r="J2064" i="64" s="1"/>
  <c r="F2061" i="64"/>
  <c r="J2061" i="64" s="1"/>
  <c r="F2057" i="64"/>
  <c r="J2057" i="64" s="1"/>
  <c r="F2053" i="64"/>
  <c r="J2053" i="64" s="1"/>
  <c r="F2049" i="64"/>
  <c r="J2049" i="64" s="1"/>
  <c r="F2047" i="64"/>
  <c r="J2047" i="64" s="1"/>
  <c r="F2045" i="64"/>
  <c r="J2045" i="64" s="1"/>
  <c r="F2043" i="64"/>
  <c r="J2043" i="64" s="1"/>
  <c r="F2080" i="64"/>
  <c r="J2080" i="64" s="1"/>
  <c r="F2078" i="64"/>
  <c r="J2078" i="64" s="1"/>
  <c r="F2072" i="64"/>
  <c r="J2072" i="64" s="1"/>
  <c r="F2068" i="64"/>
  <c r="J2068" i="64" s="1"/>
  <c r="F2059" i="64"/>
  <c r="J2059" i="64" s="1"/>
  <c r="F2055" i="64"/>
  <c r="J2055" i="64" s="1"/>
  <c r="F2051" i="64"/>
  <c r="J2051" i="64" s="1"/>
  <c r="C2031" i="64"/>
  <c r="D2030" i="64"/>
  <c r="C2030" i="64"/>
  <c r="C1995" i="64"/>
  <c r="D1995" i="64"/>
  <c r="D2028" i="64"/>
  <c r="C2084" i="64"/>
  <c r="C2083" i="64"/>
  <c r="C2082" i="64"/>
  <c r="C2081" i="64"/>
  <c r="C2080" i="64"/>
  <c r="C2079" i="64"/>
  <c r="C2078" i="64"/>
  <c r="C2077" i="64"/>
  <c r="C2076" i="64"/>
  <c r="C2075" i="64"/>
  <c r="C2074" i="64"/>
  <c r="C2073" i="64"/>
  <c r="C2072" i="64"/>
  <c r="C2071" i="64"/>
  <c r="C2070" i="64"/>
  <c r="C2069" i="64"/>
  <c r="C2068" i="64"/>
  <c r="C2067" i="64"/>
  <c r="C2066" i="64"/>
  <c r="C2065" i="64"/>
  <c r="C2064" i="64"/>
  <c r="C2063" i="64"/>
  <c r="C2062" i="64"/>
  <c r="C2061" i="64"/>
  <c r="C2060" i="64"/>
  <c r="C2059" i="64"/>
  <c r="C2058" i="64"/>
  <c r="C2057" i="64"/>
  <c r="C2056" i="64"/>
  <c r="C2055" i="64"/>
  <c r="C2054" i="64"/>
  <c r="C2053" i="64"/>
  <c r="C2052" i="64"/>
  <c r="C2051" i="64"/>
  <c r="C2050" i="64"/>
  <c r="C2049" i="64"/>
  <c r="C2048" i="64"/>
  <c r="C2047" i="64"/>
  <c r="C2046" i="64"/>
  <c r="C2045" i="64"/>
  <c r="C2044" i="64"/>
  <c r="C2043" i="64"/>
  <c r="C2042" i="64"/>
  <c r="C2041" i="64"/>
  <c r="C2039" i="64"/>
  <c r="C2038" i="64"/>
  <c r="C2037" i="64"/>
  <c r="C2036" i="64"/>
  <c r="C2035" i="64"/>
  <c r="C2034" i="64"/>
  <c r="C2029" i="64"/>
  <c r="C2028" i="64"/>
  <c r="C2027" i="64"/>
  <c r="C2026" i="64"/>
  <c r="C2025" i="64"/>
  <c r="C2024" i="64"/>
  <c r="C2023" i="64"/>
  <c r="C2022" i="64"/>
  <c r="C2021" i="64"/>
  <c r="C2020" i="64"/>
  <c r="C2019" i="64"/>
  <c r="C2018" i="64"/>
  <c r="C2017" i="64"/>
  <c r="C2016" i="64"/>
  <c r="C2015" i="64"/>
  <c r="C2014" i="64"/>
  <c r="C2013" i="64"/>
  <c r="C2012" i="64"/>
  <c r="C2011" i="64"/>
  <c r="C2010" i="64"/>
  <c r="C2009" i="64"/>
  <c r="C2008" i="64"/>
  <c r="C2007" i="64"/>
  <c r="C2006" i="64"/>
  <c r="C2005" i="64"/>
  <c r="C2004" i="64"/>
  <c r="C2003" i="64"/>
  <c r="C2033" i="64"/>
  <c r="C2032" i="64"/>
  <c r="C2002" i="64"/>
  <c r="C2001" i="64"/>
  <c r="C2000" i="64"/>
  <c r="C1999" i="64"/>
  <c r="C1998" i="64"/>
  <c r="C1997" i="64"/>
  <c r="D1973" i="64"/>
  <c r="D1959" i="64"/>
  <c r="D1927" i="64"/>
  <c r="C1944" i="64"/>
  <c r="C1943" i="64"/>
  <c r="C1942" i="64"/>
  <c r="C1941" i="64"/>
  <c r="C1940" i="64"/>
  <c r="C1939" i="64"/>
  <c r="C1938" i="64"/>
  <c r="C1937" i="64"/>
  <c r="C1936" i="64"/>
  <c r="C1935" i="64"/>
  <c r="C1934" i="64"/>
  <c r="C1933" i="64"/>
  <c r="C1932" i="64"/>
  <c r="C1931" i="64"/>
  <c r="C1930" i="64"/>
  <c r="C1929" i="64"/>
  <c r="C1928" i="64"/>
  <c r="C1927" i="64"/>
  <c r="B1944" i="64"/>
  <c r="B1943" i="64"/>
  <c r="B1942" i="64"/>
  <c r="B1941" i="64"/>
  <c r="B1940" i="64"/>
  <c r="B1939" i="64"/>
  <c r="B1938" i="64"/>
  <c r="B1937" i="64"/>
  <c r="B1936" i="64"/>
  <c r="B1935" i="64"/>
  <c r="B1934" i="64"/>
  <c r="B1933" i="64"/>
  <c r="B1932" i="64"/>
  <c r="B1931" i="64"/>
  <c r="B1930" i="64"/>
  <c r="B1929" i="64"/>
  <c r="B1928" i="64"/>
  <c r="B1927" i="64"/>
  <c r="J1871" i="64"/>
  <c r="C1916" i="64"/>
  <c r="C1918" i="64"/>
  <c r="C1865" i="64"/>
  <c r="C1838" i="64"/>
  <c r="F1838" i="64"/>
  <c r="J1838" i="64" s="1"/>
  <c r="D1838" i="64"/>
  <c r="F1819" i="64"/>
  <c r="J1819" i="64" s="1"/>
  <c r="D1820" i="64"/>
  <c r="D1819" i="64"/>
  <c r="D1817" i="64"/>
  <c r="L390" i="52"/>
  <c r="L391" i="52"/>
  <c r="L392" i="52"/>
  <c r="L393" i="52"/>
  <c r="L394" i="52"/>
  <c r="L395" i="52"/>
  <c r="L396" i="52"/>
  <c r="L389" i="52"/>
  <c r="F1616" i="64"/>
  <c r="J1616" i="64" s="1"/>
  <c r="D1432" i="64"/>
  <c r="F1432" i="64"/>
  <c r="J1432" i="64" s="1"/>
  <c r="J1304" i="64"/>
  <c r="J1303" i="64"/>
  <c r="F1285" i="64"/>
  <c r="J1285" i="64" s="1"/>
  <c r="F1286" i="64"/>
  <c r="J1286" i="64" s="1"/>
  <c r="D1224" i="64"/>
  <c r="J1224" i="64"/>
  <c r="D1001" i="64"/>
  <c r="C1001" i="64"/>
  <c r="B1001" i="64"/>
  <c r="D999" i="64"/>
  <c r="C999" i="64"/>
  <c r="B999" i="64"/>
  <c r="D997" i="64"/>
  <c r="C997" i="64"/>
  <c r="B997" i="64"/>
  <c r="D996" i="64"/>
  <c r="C996" i="64"/>
  <c r="B996" i="64"/>
  <c r="F892" i="64"/>
  <c r="J892" i="64" s="1"/>
  <c r="D892" i="64"/>
  <c r="C892" i="64"/>
  <c r="B892" i="64"/>
  <c r="D990" i="64"/>
  <c r="D988" i="64"/>
  <c r="D987" i="64"/>
  <c r="F2199" i="64" l="1"/>
  <c r="J2199" i="64" s="1"/>
  <c r="F741" i="64"/>
  <c r="J741" i="64" s="1"/>
  <c r="F1186" i="64"/>
  <c r="F2200" i="64"/>
  <c r="J2200" i="64" s="1"/>
  <c r="B985" i="64"/>
  <c r="C985" i="64"/>
  <c r="D985" i="64"/>
  <c r="F985" i="64"/>
  <c r="J985" i="64" s="1"/>
  <c r="D977" i="64"/>
  <c r="F974" i="64"/>
  <c r="J974" i="64" s="1"/>
  <c r="F970" i="64"/>
  <c r="J970" i="64" s="1"/>
  <c r="D968" i="64"/>
  <c r="C968" i="64"/>
  <c r="B968" i="64"/>
  <c r="F966" i="64"/>
  <c r="J966" i="64" s="1"/>
  <c r="D966" i="64"/>
  <c r="C966" i="64"/>
  <c r="B966" i="64"/>
  <c r="F967" i="64"/>
  <c r="J967" i="64" s="1"/>
  <c r="D967" i="64"/>
  <c r="B967" i="64"/>
  <c r="C967" i="64"/>
  <c r="D955" i="64"/>
  <c r="C955" i="64"/>
  <c r="B955" i="64"/>
  <c r="J976" i="64"/>
  <c r="J972" i="64"/>
  <c r="J744" i="64"/>
  <c r="F743" i="64"/>
  <c r="J743" i="64" s="1"/>
  <c r="C616" i="64"/>
  <c r="G616" i="64"/>
  <c r="F1564" i="64"/>
  <c r="J1564" i="64" s="1"/>
  <c r="F889" i="64"/>
  <c r="F1995" i="64"/>
  <c r="J1995" i="64" s="1"/>
  <c r="C27" i="13"/>
  <c r="J616" i="64" l="1"/>
  <c r="F1994" i="64"/>
  <c r="J1994" i="64" s="1"/>
  <c r="J864" i="64" l="1"/>
  <c r="J135" i="64"/>
  <c r="F2160" i="64"/>
  <c r="J2160" i="64" s="1"/>
  <c r="F1601" i="64"/>
  <c r="J1601" i="64" s="1"/>
  <c r="F858" i="64"/>
  <c r="F131" i="64"/>
  <c r="J131" i="64" s="1"/>
  <c r="F129" i="64"/>
  <c r="F44" i="64"/>
  <c r="J44" i="64" s="1"/>
  <c r="B14" i="69"/>
  <c r="J6" i="64" s="1"/>
  <c r="G10" i="38"/>
  <c r="F10" i="38"/>
  <c r="E10" i="38"/>
  <c r="G7" i="38"/>
  <c r="F7" i="38"/>
  <c r="E7" i="38"/>
  <c r="J129" i="64" l="1"/>
  <c r="J858" i="64"/>
  <c r="C470" i="64" l="1"/>
  <c r="C469" i="64"/>
  <c r="D469" i="64"/>
  <c r="F469" i="64"/>
  <c r="J469" i="64" s="1"/>
  <c r="B469" i="64"/>
  <c r="D381" i="64"/>
  <c r="F194" i="64"/>
  <c r="J194" i="64" s="1"/>
  <c r="M48" i="25"/>
  <c r="I32" i="25"/>
  <c r="K32" i="25" s="1"/>
  <c r="Q29" i="46" l="1"/>
  <c r="D222" i="64"/>
  <c r="D221" i="64"/>
  <c r="D220" i="64"/>
  <c r="F995" i="64"/>
  <c r="H4" i="25"/>
  <c r="D604" i="64"/>
  <c r="D603" i="64"/>
  <c r="D602" i="64"/>
  <c r="D601" i="64"/>
  <c r="C601" i="64"/>
  <c r="C602" i="64"/>
  <c r="C603" i="64"/>
  <c r="C604" i="64"/>
  <c r="B601" i="64"/>
  <c r="B602" i="64"/>
  <c r="B603" i="64"/>
  <c r="B604" i="64"/>
  <c r="F597" i="64"/>
  <c r="F589" i="64"/>
  <c r="J589" i="64" s="1"/>
  <c r="F578" i="64"/>
  <c r="F495" i="64"/>
  <c r="B495" i="64"/>
  <c r="F521" i="64"/>
  <c r="J521" i="64" s="1"/>
  <c r="J471" i="64"/>
  <c r="F84" i="64"/>
  <c r="AA18" i="25"/>
  <c r="AB18" i="25" s="1"/>
  <c r="AA19" i="25"/>
  <c r="AB19" i="25" s="1"/>
  <c r="AA20" i="25"/>
  <c r="AB20" i="25" s="1"/>
  <c r="AA17" i="25"/>
  <c r="AB17" i="25" s="1"/>
  <c r="C15" i="12"/>
  <c r="J114" i="64" s="1"/>
  <c r="B22" i="2"/>
  <c r="B8" i="2"/>
  <c r="F192" i="64" s="1"/>
  <c r="B10" i="2"/>
  <c r="F1972" i="64"/>
  <c r="J1972" i="64" s="1"/>
  <c r="D1972" i="64"/>
  <c r="D1971" i="64"/>
  <c r="D1960" i="64"/>
  <c r="C1969" i="64"/>
  <c r="C1968" i="64"/>
  <c r="C1967" i="64"/>
  <c r="C1966" i="64"/>
  <c r="C1965" i="64"/>
  <c r="C1964" i="64"/>
  <c r="C1963" i="64"/>
  <c r="C1962" i="64"/>
  <c r="C1961" i="64"/>
  <c r="C1960" i="64"/>
  <c r="C1959" i="64"/>
  <c r="C1957" i="64"/>
  <c r="C1956" i="64"/>
  <c r="C1955" i="64"/>
  <c r="C1954" i="64"/>
  <c r="C1953" i="64"/>
  <c r="C1952" i="64"/>
  <c r="C1951" i="64"/>
  <c r="C1950" i="64"/>
  <c r="C1949" i="64"/>
  <c r="C1948" i="64"/>
  <c r="C1947" i="64"/>
  <c r="C1946" i="64"/>
  <c r="B1969" i="64"/>
  <c r="B1968" i="64"/>
  <c r="B1967" i="64"/>
  <c r="B1966" i="64"/>
  <c r="B1965" i="64"/>
  <c r="B1964" i="64"/>
  <c r="B1963" i="64"/>
  <c r="B1962" i="64"/>
  <c r="B1961" i="64"/>
  <c r="B1960" i="64"/>
  <c r="B1959" i="64"/>
  <c r="B1957" i="64"/>
  <c r="B1956" i="64"/>
  <c r="B1955" i="64"/>
  <c r="B1954" i="64"/>
  <c r="B1953" i="64"/>
  <c r="B1952" i="64"/>
  <c r="B1951" i="64"/>
  <c r="B1950" i="64"/>
  <c r="B1949" i="64"/>
  <c r="B1948" i="64"/>
  <c r="B1947" i="64"/>
  <c r="B1946" i="64"/>
  <c r="D1925" i="64"/>
  <c r="B1925" i="64"/>
  <c r="D1923" i="64"/>
  <c r="D1922" i="64"/>
  <c r="D1921" i="64"/>
  <c r="D1920" i="64"/>
  <c r="D1876" i="64"/>
  <c r="D1911" i="64"/>
  <c r="D1870" i="64"/>
  <c r="F1880" i="64"/>
  <c r="J1880" i="64" s="1"/>
  <c r="D1880" i="64"/>
  <c r="D1914" i="64"/>
  <c r="D1913" i="64"/>
  <c r="F1912" i="64"/>
  <c r="J1912" i="64" s="1"/>
  <c r="D1912" i="64"/>
  <c r="D1910" i="64"/>
  <c r="D1909" i="64"/>
  <c r="D1908" i="64"/>
  <c r="D1907" i="64"/>
  <c r="D1906" i="64"/>
  <c r="D1905" i="64"/>
  <c r="D1904" i="64"/>
  <c r="D1903" i="64"/>
  <c r="D1902" i="64"/>
  <c r="F1902" i="64"/>
  <c r="D1901" i="64"/>
  <c r="D1900" i="64"/>
  <c r="D1899" i="64"/>
  <c r="D1896" i="64"/>
  <c r="D1895" i="64"/>
  <c r="D1894" i="64"/>
  <c r="D1893" i="64"/>
  <c r="D1892" i="64"/>
  <c r="D1891" i="64"/>
  <c r="D1890" i="64"/>
  <c r="F1889" i="64"/>
  <c r="J1889" i="64" s="1"/>
  <c r="D1889" i="64"/>
  <c r="D1888" i="64"/>
  <c r="D1887" i="64"/>
  <c r="F1886" i="64"/>
  <c r="J1886" i="64" s="1"/>
  <c r="D1886" i="64"/>
  <c r="J1898" i="64"/>
  <c r="D1898" i="64"/>
  <c r="D1897" i="64"/>
  <c r="F1884" i="64"/>
  <c r="J1884" i="64" s="1"/>
  <c r="D1884" i="64"/>
  <c r="D1885" i="64"/>
  <c r="D1883" i="64"/>
  <c r="D1882" i="64"/>
  <c r="J1881" i="64"/>
  <c r="D1881" i="64"/>
  <c r="J1878" i="64"/>
  <c r="J1879" i="64"/>
  <c r="D1879" i="64"/>
  <c r="D1878" i="64"/>
  <c r="F1877" i="64" a="1"/>
  <c r="F1877" i="64" s="1"/>
  <c r="J1877" i="64" s="1"/>
  <c r="D1877" i="64"/>
  <c r="D1872" i="64"/>
  <c r="D1874" i="64"/>
  <c r="D1875" i="64"/>
  <c r="D1873" i="64"/>
  <c r="D1871" i="64"/>
  <c r="D1869" i="64"/>
  <c r="D1868" i="64"/>
  <c r="M38" i="46" l="1"/>
  <c r="M37" i="46"/>
  <c r="F4" i="25"/>
  <c r="F191" i="64"/>
  <c r="J191" i="64" s="1"/>
  <c r="J1902" i="64"/>
  <c r="F1897" i="64"/>
  <c r="J1897" i="64" s="1"/>
  <c r="F628" i="64"/>
  <c r="F627" i="64"/>
  <c r="J627" i="64" s="1"/>
  <c r="M29" i="46"/>
  <c r="M26" i="46"/>
  <c r="B3" i="10"/>
  <c r="J578" i="64"/>
  <c r="J84" i="64"/>
  <c r="J597" i="64"/>
  <c r="J495" i="64"/>
  <c r="F2130" i="64"/>
  <c r="J2130" i="64" s="1"/>
  <c r="B19" i="2"/>
  <c r="AB21" i="25"/>
  <c r="C10" i="25"/>
  <c r="J192" i="64"/>
  <c r="D1867" i="64"/>
  <c r="J1918" i="64"/>
  <c r="J1916" i="64"/>
  <c r="D1596" i="64"/>
  <c r="C1596" i="64"/>
  <c r="F660" i="64"/>
  <c r="J660" i="64" s="1"/>
  <c r="D660" i="64"/>
  <c r="D1793" i="64"/>
  <c r="D1791" i="64"/>
  <c r="D1790" i="64"/>
  <c r="D1789" i="64"/>
  <c r="D1779" i="64"/>
  <c r="D1764" i="64"/>
  <c r="F1767" i="64"/>
  <c r="J1767" i="64" s="1"/>
  <c r="D1767" i="64"/>
  <c r="D1787" i="64"/>
  <c r="J1786" i="64"/>
  <c r="D1786" i="64"/>
  <c r="D1785" i="64"/>
  <c r="D1784" i="64"/>
  <c r="D1775" i="64"/>
  <c r="D1781" i="64"/>
  <c r="D1780" i="64"/>
  <c r="D1788" i="64"/>
  <c r="D1783" i="64"/>
  <c r="D1782" i="64"/>
  <c r="D1726" i="64"/>
  <c r="D1724" i="64"/>
  <c r="D728" i="64"/>
  <c r="D727" i="64"/>
  <c r="D726" i="64"/>
  <c r="D725" i="64"/>
  <c r="D724" i="64"/>
  <c r="D723" i="64"/>
  <c r="B728" i="64"/>
  <c r="B727" i="64"/>
  <c r="B726" i="64"/>
  <c r="B725" i="64"/>
  <c r="B724" i="64"/>
  <c r="B723" i="64"/>
  <c r="B34" i="64"/>
  <c r="C34" i="64"/>
  <c r="D34" i="64"/>
  <c r="B38" i="64"/>
  <c r="D38" i="64"/>
  <c r="B46" i="64"/>
  <c r="C46" i="64"/>
  <c r="D46" i="64"/>
  <c r="F46" i="64"/>
  <c r="J46" i="64" s="1"/>
  <c r="B50" i="64"/>
  <c r="C50" i="64"/>
  <c r="D50" i="64"/>
  <c r="B55" i="64"/>
  <c r="C55" i="64"/>
  <c r="B56" i="64"/>
  <c r="C56" i="64"/>
  <c r="J56" i="64"/>
  <c r="B53" i="64"/>
  <c r="C53" i="64"/>
  <c r="D53" i="64"/>
  <c r="B73" i="64"/>
  <c r="C73" i="64"/>
  <c r="D73" i="64"/>
  <c r="B74" i="64"/>
  <c r="C74" i="64"/>
  <c r="F74" i="64"/>
  <c r="J74" i="64" s="1"/>
  <c r="H74" i="64"/>
  <c r="B75" i="64"/>
  <c r="C75" i="64"/>
  <c r="B64" i="64"/>
  <c r="C64" i="64"/>
  <c r="D64" i="64"/>
  <c r="B79" i="64"/>
  <c r="C79" i="64"/>
  <c r="D79" i="64"/>
  <c r="B85" i="64"/>
  <c r="C85" i="64"/>
  <c r="D85" i="64"/>
  <c r="J85" i="64"/>
  <c r="B88" i="64"/>
  <c r="C88" i="64"/>
  <c r="D88" i="64"/>
  <c r="B103" i="64"/>
  <c r="C103" i="64"/>
  <c r="D103" i="64"/>
  <c r="B110" i="64"/>
  <c r="D110" i="64"/>
  <c r="B111" i="64"/>
  <c r="D111" i="64"/>
  <c r="B112" i="64"/>
  <c r="D112" i="64"/>
  <c r="B113" i="64"/>
  <c r="D113" i="64"/>
  <c r="F113" i="64"/>
  <c r="J113" i="64" s="1"/>
  <c r="B115" i="64"/>
  <c r="D115" i="64"/>
  <c r="J115" i="64"/>
  <c r="B116" i="64"/>
  <c r="D116" i="64"/>
  <c r="B117" i="64"/>
  <c r="D117" i="64"/>
  <c r="B122" i="64"/>
  <c r="D131" i="64"/>
  <c r="B133" i="64"/>
  <c r="D133" i="64"/>
  <c r="B135" i="64"/>
  <c r="C135" i="64"/>
  <c r="B154" i="64"/>
  <c r="C154" i="64"/>
  <c r="D154" i="64"/>
  <c r="B162" i="64"/>
  <c r="C162" i="64"/>
  <c r="D162" i="64"/>
  <c r="B163" i="64"/>
  <c r="C163" i="64"/>
  <c r="D163" i="64"/>
  <c r="B173" i="64"/>
  <c r="C173" i="64"/>
  <c r="D173" i="64"/>
  <c r="B175" i="64"/>
  <c r="C175" i="64"/>
  <c r="D175" i="64"/>
  <c r="F175" i="64"/>
  <c r="J175" i="64" s="1"/>
  <c r="B176" i="64"/>
  <c r="C176" i="64"/>
  <c r="D176" i="64"/>
  <c r="B179" i="64"/>
  <c r="C179" i="64"/>
  <c r="D179" i="64"/>
  <c r="B182" i="64"/>
  <c r="C182" i="64"/>
  <c r="D182" i="64"/>
  <c r="B184" i="64"/>
  <c r="C184" i="64"/>
  <c r="D184" i="64"/>
  <c r="B185" i="64"/>
  <c r="C185" i="64"/>
  <c r="D185" i="64"/>
  <c r="B186" i="64"/>
  <c r="C186" i="64"/>
  <c r="D186" i="64"/>
  <c r="B187" i="64"/>
  <c r="C187" i="64"/>
  <c r="D187" i="64"/>
  <c r="B188" i="64"/>
  <c r="C188" i="64"/>
  <c r="D188" i="64"/>
  <c r="B189" i="64"/>
  <c r="C189" i="64"/>
  <c r="D189" i="64"/>
  <c r="B190" i="64"/>
  <c r="C190" i="64"/>
  <c r="D190" i="64"/>
  <c r="B191" i="64"/>
  <c r="C191" i="64"/>
  <c r="D191" i="64"/>
  <c r="B196" i="64"/>
  <c r="C196" i="64"/>
  <c r="D196" i="64"/>
  <c r="F196" i="64"/>
  <c r="J196" i="64" s="1"/>
  <c r="B205" i="64"/>
  <c r="C205" i="64"/>
  <c r="F205" i="64"/>
  <c r="J205" i="64" s="1"/>
  <c r="B206" i="64"/>
  <c r="C206" i="64"/>
  <c r="B207" i="64"/>
  <c r="C207" i="64"/>
  <c r="B209" i="64"/>
  <c r="C209" i="64"/>
  <c r="D209" i="64"/>
  <c r="F209" i="64"/>
  <c r="B213" i="64"/>
  <c r="C213" i="64"/>
  <c r="D213" i="64"/>
  <c r="B232" i="64"/>
  <c r="C232" i="64"/>
  <c r="D232" i="64"/>
  <c r="B233" i="64"/>
  <c r="C233" i="64"/>
  <c r="D233" i="64"/>
  <c r="B234" i="64"/>
  <c r="C234" i="64"/>
  <c r="D234" i="64"/>
  <c r="B240" i="64"/>
  <c r="C240" i="64"/>
  <c r="D240" i="64"/>
  <c r="B241" i="64"/>
  <c r="C241" i="64"/>
  <c r="D241" i="64"/>
  <c r="B243" i="64"/>
  <c r="C243" i="64"/>
  <c r="D243" i="64"/>
  <c r="B244" i="64"/>
  <c r="C244" i="64"/>
  <c r="D244" i="64"/>
  <c r="B245" i="64"/>
  <c r="C245" i="64"/>
  <c r="D245" i="64"/>
  <c r="B247" i="64"/>
  <c r="C247" i="64"/>
  <c r="D247" i="64"/>
  <c r="F247" i="64"/>
  <c r="J247" i="64" s="1"/>
  <c r="B248" i="64"/>
  <c r="C248" i="64"/>
  <c r="D248" i="64"/>
  <c r="F248" i="64"/>
  <c r="J248" i="64" s="1"/>
  <c r="B251" i="64"/>
  <c r="C251" i="64"/>
  <c r="D251" i="64"/>
  <c r="F251" i="64"/>
  <c r="J251" i="64" s="1"/>
  <c r="B254" i="64"/>
  <c r="C254" i="64"/>
  <c r="B255" i="64"/>
  <c r="C255" i="64"/>
  <c r="B335" i="64"/>
  <c r="D335" i="64"/>
  <c r="B345" i="64"/>
  <c r="D345" i="64"/>
  <c r="B355" i="64"/>
  <c r="D355" i="64"/>
  <c r="B364" i="64"/>
  <c r="D364" i="64"/>
  <c r="B372" i="64"/>
  <c r="D372" i="64"/>
  <c r="B379" i="64"/>
  <c r="C379" i="64"/>
  <c r="D379" i="64"/>
  <c r="B424" i="64"/>
  <c r="C424" i="64"/>
  <c r="D424" i="64"/>
  <c r="B426" i="64"/>
  <c r="C426" i="64"/>
  <c r="D426" i="64"/>
  <c r="B428" i="64"/>
  <c r="C428" i="64"/>
  <c r="D428" i="64"/>
  <c r="B422" i="64"/>
  <c r="C422" i="64"/>
  <c r="D422" i="64"/>
  <c r="B459" i="64"/>
  <c r="C459" i="64"/>
  <c r="D459" i="64"/>
  <c r="B451" i="64"/>
  <c r="C451" i="64"/>
  <c r="D451" i="64"/>
  <c r="B455" i="64"/>
  <c r="C455" i="64"/>
  <c r="D455" i="64"/>
  <c r="B420" i="64"/>
  <c r="C420" i="64"/>
  <c r="D420" i="64"/>
  <c r="F420" i="64"/>
  <c r="J420" i="64" s="1"/>
  <c r="B421" i="64"/>
  <c r="C421" i="64"/>
  <c r="D421" i="64"/>
  <c r="F421" i="64"/>
  <c r="B471" i="64"/>
  <c r="C471" i="64"/>
  <c r="D471" i="64"/>
  <c r="B489" i="64"/>
  <c r="C489" i="64"/>
  <c r="D489" i="64"/>
  <c r="B493" i="64"/>
  <c r="C493" i="64"/>
  <c r="D493" i="64"/>
  <c r="B497" i="64"/>
  <c r="D497" i="64"/>
  <c r="F497" i="64"/>
  <c r="J497" i="64" s="1"/>
  <c r="B511" i="64"/>
  <c r="D511" i="64"/>
  <c r="J511" i="64"/>
  <c r="B509" i="64"/>
  <c r="D509" i="64"/>
  <c r="J509" i="64"/>
  <c r="B508" i="64"/>
  <c r="D508" i="64"/>
  <c r="J508" i="64"/>
  <c r="B507" i="64"/>
  <c r="D507" i="64"/>
  <c r="J507" i="64"/>
  <c r="B506" i="64"/>
  <c r="D506" i="64"/>
  <c r="J506" i="64"/>
  <c r="B515" i="64"/>
  <c r="D515" i="64"/>
  <c r="J515" i="64"/>
  <c r="B517" i="64"/>
  <c r="D517" i="64"/>
  <c r="J517" i="64"/>
  <c r="B512" i="64"/>
  <c r="D512" i="64"/>
  <c r="F512" i="64"/>
  <c r="J512" i="64" s="1"/>
  <c r="B555" i="64"/>
  <c r="D555" i="64"/>
  <c r="B565" i="64"/>
  <c r="C565" i="64"/>
  <c r="D565" i="64"/>
  <c r="B566" i="64"/>
  <c r="C566" i="64"/>
  <c r="D566" i="64"/>
  <c r="B567" i="64"/>
  <c r="C567" i="64"/>
  <c r="D567" i="64"/>
  <c r="B568" i="64"/>
  <c r="C568" i="64"/>
  <c r="D568" i="64"/>
  <c r="B569" i="64"/>
  <c r="C569" i="64"/>
  <c r="D569" i="64"/>
  <c r="B571" i="64"/>
  <c r="C571" i="64"/>
  <c r="D571" i="64"/>
  <c r="F571" i="64"/>
  <c r="B572" i="64"/>
  <c r="C572" i="64"/>
  <c r="D572" i="64"/>
  <c r="B573" i="64"/>
  <c r="C573" i="64"/>
  <c r="D573" i="64"/>
  <c r="B579" i="64"/>
  <c r="C579" i="64"/>
  <c r="D579" i="64"/>
  <c r="F579" i="64"/>
  <c r="B583" i="64"/>
  <c r="C583" i="64"/>
  <c r="D583" i="64"/>
  <c r="F583" i="64"/>
  <c r="B587" i="64"/>
  <c r="C587" i="64"/>
  <c r="D587" i="64"/>
  <c r="F587" i="64"/>
  <c r="B590" i="64"/>
  <c r="C590" i="64"/>
  <c r="D590" i="64"/>
  <c r="B593" i="64"/>
  <c r="C593" i="64"/>
  <c r="D593" i="64"/>
  <c r="B595" i="64"/>
  <c r="C595" i="64"/>
  <c r="D595" i="64"/>
  <c r="B598" i="64"/>
  <c r="C598" i="64"/>
  <c r="D598" i="64"/>
  <c r="B600" i="64"/>
  <c r="C600" i="64"/>
  <c r="D600" i="64"/>
  <c r="F600" i="64"/>
  <c r="B731" i="64"/>
  <c r="C731" i="64"/>
  <c r="D731" i="64"/>
  <c r="B732" i="64"/>
  <c r="C732" i="64"/>
  <c r="D732" i="64"/>
  <c r="D606" i="64"/>
  <c r="D607" i="64"/>
  <c r="D609" i="64"/>
  <c r="F609" i="64"/>
  <c r="D612" i="64"/>
  <c r="D614" i="64"/>
  <c r="B616" i="64"/>
  <c r="D616" i="64"/>
  <c r="B664" i="64"/>
  <c r="C664" i="64"/>
  <c r="D664" i="64"/>
  <c r="J664" i="64"/>
  <c r="B692" i="64"/>
  <c r="C692" i="64"/>
  <c r="D692" i="64"/>
  <c r="B701" i="64"/>
  <c r="C701" i="64"/>
  <c r="D701" i="64"/>
  <c r="B705" i="64"/>
  <c r="B708" i="64"/>
  <c r="B716" i="64"/>
  <c r="B729" i="64"/>
  <c r="B720" i="64"/>
  <c r="B734" i="64"/>
  <c r="C734" i="64"/>
  <c r="D734" i="64"/>
  <c r="B735" i="64"/>
  <c r="C735" i="64"/>
  <c r="D735" i="64"/>
  <c r="F735" i="64"/>
  <c r="J735" i="64" s="1"/>
  <c r="B738" i="64"/>
  <c r="C738" i="64"/>
  <c r="D738" i="64"/>
  <c r="B743" i="64"/>
  <c r="C743" i="64"/>
  <c r="D743" i="64"/>
  <c r="B745" i="64"/>
  <c r="C745" i="64"/>
  <c r="D745" i="64"/>
  <c r="J745" i="64"/>
  <c r="B746" i="64"/>
  <c r="C746" i="64"/>
  <c r="D746" i="64"/>
  <c r="F746" i="64"/>
  <c r="B747" i="64"/>
  <c r="C747" i="64"/>
  <c r="D747" i="64"/>
  <c r="F747" i="64"/>
  <c r="J747" i="64" s="1"/>
  <c r="B753" i="64"/>
  <c r="C753" i="64"/>
  <c r="D753" i="64"/>
  <c r="J753" i="64"/>
  <c r="B749" i="64"/>
  <c r="C749" i="64"/>
  <c r="D749" i="64"/>
  <c r="F749" i="64"/>
  <c r="B754" i="64"/>
  <c r="C754" i="64"/>
  <c r="D754" i="64"/>
  <c r="B757" i="64"/>
  <c r="C757" i="64"/>
  <c r="D757" i="64"/>
  <c r="B630" i="64"/>
  <c r="C630" i="64"/>
  <c r="B759" i="64"/>
  <c r="C759" i="64"/>
  <c r="D759" i="64"/>
  <c r="B761" i="64"/>
  <c r="C761" i="64"/>
  <c r="D761" i="64"/>
  <c r="B763" i="64"/>
  <c r="C763" i="64"/>
  <c r="D763" i="64"/>
  <c r="B767" i="64"/>
  <c r="C767" i="64"/>
  <c r="D767" i="64"/>
  <c r="B770" i="64"/>
  <c r="C770" i="64"/>
  <c r="D770" i="64"/>
  <c r="B772" i="64"/>
  <c r="C772" i="64"/>
  <c r="D772" i="64"/>
  <c r="B774" i="64"/>
  <c r="C774" i="64"/>
  <c r="D774" i="64"/>
  <c r="B889" i="64"/>
  <c r="C889" i="64"/>
  <c r="J889" i="64"/>
  <c r="B864" i="64"/>
  <c r="B868" i="64"/>
  <c r="C868" i="64"/>
  <c r="D868" i="64"/>
  <c r="B872" i="64"/>
  <c r="C872" i="64"/>
  <c r="D872" i="64"/>
  <c r="B894" i="64"/>
  <c r="C894" i="64"/>
  <c r="D894" i="64"/>
  <c r="F894" i="64"/>
  <c r="J894" i="64" s="1"/>
  <c r="B895" i="64"/>
  <c r="C895" i="64"/>
  <c r="D895" i="64"/>
  <c r="B913" i="64"/>
  <c r="D913" i="64"/>
  <c r="B938" i="64"/>
  <c r="D938" i="64"/>
  <c r="B992" i="64"/>
  <c r="C992" i="64"/>
  <c r="D992" i="64"/>
  <c r="B993" i="64"/>
  <c r="C993" i="64"/>
  <c r="D993" i="64"/>
  <c r="F993" i="64"/>
  <c r="J993" i="64" s="1"/>
  <c r="B994" i="64"/>
  <c r="C994" i="64"/>
  <c r="D994" i="64"/>
  <c r="B956" i="64"/>
  <c r="C956" i="64"/>
  <c r="D956" i="64"/>
  <c r="B957" i="64"/>
  <c r="C957" i="64"/>
  <c r="D957" i="64"/>
  <c r="K954" i="64"/>
  <c r="L954" i="64"/>
  <c r="B979" i="64"/>
  <c r="C979" i="64"/>
  <c r="D979" i="64"/>
  <c r="B969" i="64"/>
  <c r="C969" i="64"/>
  <c r="D969" i="64"/>
  <c r="F969" i="64"/>
  <c r="J969" i="64" s="1"/>
  <c r="B972" i="64"/>
  <c r="C972" i="64"/>
  <c r="D972" i="64"/>
  <c r="B980" i="64"/>
  <c r="C980" i="64"/>
  <c r="D980" i="64"/>
  <c r="B1006" i="64"/>
  <c r="C1006" i="64"/>
  <c r="D1006" i="64"/>
  <c r="J1006" i="64"/>
  <c r="B1017" i="64"/>
  <c r="C1017" i="64"/>
  <c r="D1017" i="64"/>
  <c r="B1014" i="64"/>
  <c r="C1014" i="64"/>
  <c r="D1014" i="64"/>
  <c r="B1016" i="64"/>
  <c r="C1016" i="64"/>
  <c r="D1016" i="64"/>
  <c r="B1008" i="64"/>
  <c r="C1008" i="64"/>
  <c r="D1008" i="64"/>
  <c r="B1009" i="64"/>
  <c r="C1009" i="64"/>
  <c r="D1009" i="64"/>
  <c r="B1100" i="64"/>
  <c r="C1100" i="64"/>
  <c r="D1100" i="64"/>
  <c r="J1100" i="64"/>
  <c r="B1103" i="64"/>
  <c r="C1103" i="64"/>
  <c r="D1103" i="64"/>
  <c r="F1103" i="64"/>
  <c r="J1103" i="64" s="1"/>
  <c r="B1104" i="64"/>
  <c r="C1104" i="64"/>
  <c r="D1104" i="64"/>
  <c r="F1104" i="64"/>
  <c r="J1104" i="64" s="1"/>
  <c r="B1105" i="64"/>
  <c r="C1105" i="64"/>
  <c r="D1105" i="64"/>
  <c r="F1105" i="64"/>
  <c r="J1105" i="64" s="1"/>
  <c r="B1109" i="64"/>
  <c r="C1109" i="64"/>
  <c r="D1109" i="64"/>
  <c r="F1109" i="64"/>
  <c r="J1109" i="64" s="1"/>
  <c r="B1113" i="64"/>
  <c r="C1113" i="64"/>
  <c r="D1113" i="64"/>
  <c r="F1113" i="64"/>
  <c r="J1113" i="64" s="1"/>
  <c r="B1114" i="64"/>
  <c r="C1114" i="64"/>
  <c r="D1114" i="64"/>
  <c r="F1114" i="64"/>
  <c r="J1114" i="64" s="1"/>
  <c r="B1115" i="64"/>
  <c r="C1115" i="64"/>
  <c r="F1115" i="64"/>
  <c r="J1115" i="64" s="1"/>
  <c r="B1116" i="64"/>
  <c r="C1116" i="64"/>
  <c r="F1116" i="64"/>
  <c r="J1116" i="64" s="1"/>
  <c r="B1117" i="64"/>
  <c r="C1117" i="64"/>
  <c r="D1117" i="64"/>
  <c r="F1117" i="64"/>
  <c r="J1117" i="64" s="1"/>
  <c r="B1118" i="64"/>
  <c r="C1118" i="64"/>
  <c r="F1118" i="64"/>
  <c r="J1118" i="64" s="1"/>
  <c r="B1119" i="64"/>
  <c r="C1119" i="64"/>
  <c r="D1119" i="64"/>
  <c r="F1119" i="64"/>
  <c r="J1119" i="64" s="1"/>
  <c r="B1120" i="64"/>
  <c r="C1120" i="64"/>
  <c r="D1120" i="64"/>
  <c r="F1120" i="64"/>
  <c r="J1120" i="64" s="1"/>
  <c r="B1121" i="64"/>
  <c r="C1121" i="64"/>
  <c r="D1121" i="64"/>
  <c r="F1121" i="64"/>
  <c r="J1121" i="64" s="1"/>
  <c r="B1122" i="64"/>
  <c r="C1122" i="64"/>
  <c r="D1122" i="64"/>
  <c r="F1122" i="64"/>
  <c r="J1122" i="64" s="1"/>
  <c r="B1123" i="64"/>
  <c r="C1123" i="64"/>
  <c r="D1123" i="64"/>
  <c r="F1123" i="64"/>
  <c r="J1123" i="64" s="1"/>
  <c r="B1124" i="64"/>
  <c r="C1124" i="64"/>
  <c r="D1124" i="64"/>
  <c r="F1124" i="64"/>
  <c r="J1124" i="64" s="1"/>
  <c r="B1125" i="64"/>
  <c r="C1125" i="64"/>
  <c r="D1125" i="64"/>
  <c r="F1125" i="64"/>
  <c r="J1125" i="64" s="1"/>
  <c r="B1126" i="64"/>
  <c r="C1126" i="64"/>
  <c r="D1126" i="64"/>
  <c r="F1126" i="64"/>
  <c r="J1126" i="64" s="1"/>
  <c r="B1127" i="64"/>
  <c r="C1127" i="64"/>
  <c r="D1127" i="64"/>
  <c r="F1127" i="64"/>
  <c r="J1127" i="64" s="1"/>
  <c r="B1128" i="64"/>
  <c r="C1128" i="64"/>
  <c r="D1128" i="64"/>
  <c r="F1128" i="64"/>
  <c r="J1128" i="64" s="1"/>
  <c r="B1129" i="64"/>
  <c r="C1129" i="64"/>
  <c r="D1129" i="64"/>
  <c r="F1129" i="64"/>
  <c r="J1129" i="64" s="1"/>
  <c r="B1130" i="64"/>
  <c r="C1130" i="64"/>
  <c r="D1130" i="64"/>
  <c r="F1130" i="64"/>
  <c r="J1130" i="64" s="1"/>
  <c r="B1131" i="64"/>
  <c r="C1131" i="64"/>
  <c r="F1131" i="64"/>
  <c r="J1131" i="64" s="1"/>
  <c r="G1131" i="64"/>
  <c r="B1132" i="64"/>
  <c r="C1132" i="64"/>
  <c r="F1132" i="64"/>
  <c r="J1132" i="64" s="1"/>
  <c r="G1132" i="64"/>
  <c r="B1133" i="64"/>
  <c r="C1133" i="64"/>
  <c r="F1133" i="64"/>
  <c r="J1133" i="64" s="1"/>
  <c r="G1133" i="64"/>
  <c r="B1134" i="64"/>
  <c r="C1134" i="64"/>
  <c r="F1134" i="64"/>
  <c r="J1134" i="64" s="1"/>
  <c r="G1134" i="64"/>
  <c r="B1135" i="64"/>
  <c r="C1135" i="64"/>
  <c r="F1135" i="64"/>
  <c r="J1135" i="64" s="1"/>
  <c r="G1135" i="64"/>
  <c r="B1136" i="64"/>
  <c r="C1136" i="64"/>
  <c r="F1136" i="64"/>
  <c r="J1136" i="64" s="1"/>
  <c r="G1136" i="64"/>
  <c r="B1137" i="64"/>
  <c r="C1137" i="64"/>
  <c r="F1137" i="64"/>
  <c r="J1137" i="64" s="1"/>
  <c r="G1137" i="64"/>
  <c r="B1138" i="64"/>
  <c r="C1138" i="64"/>
  <c r="F1138" i="64"/>
  <c r="J1138" i="64" s="1"/>
  <c r="G1138" i="64"/>
  <c r="B1139" i="64"/>
  <c r="C1139" i="64"/>
  <c r="J1139" i="64"/>
  <c r="G1139" i="64"/>
  <c r="B1154" i="64"/>
  <c r="C1154" i="64"/>
  <c r="F1154" i="64"/>
  <c r="J1154" i="64" s="1"/>
  <c r="B1155" i="64"/>
  <c r="C1155" i="64"/>
  <c r="F1155" i="64"/>
  <c r="J1155" i="64" s="1"/>
  <c r="B1156" i="64"/>
  <c r="C1156" i="64"/>
  <c r="F1156" i="64"/>
  <c r="J1156" i="64" s="1"/>
  <c r="B1157" i="64"/>
  <c r="C1157" i="64"/>
  <c r="F1157" i="64"/>
  <c r="J1157" i="64" s="1"/>
  <c r="B1158" i="64"/>
  <c r="C1158" i="64"/>
  <c r="F1158" i="64"/>
  <c r="J1158" i="64" s="1"/>
  <c r="B1159" i="64"/>
  <c r="C1159" i="64"/>
  <c r="F1159" i="64"/>
  <c r="J1159" i="64" s="1"/>
  <c r="B1160" i="64"/>
  <c r="C1160" i="64"/>
  <c r="F1160" i="64"/>
  <c r="J1160" i="64" s="1"/>
  <c r="B1161" i="64"/>
  <c r="C1161" i="64"/>
  <c r="F1161" i="64"/>
  <c r="J1161" i="64" s="1"/>
  <c r="B1162" i="64"/>
  <c r="C1162" i="64"/>
  <c r="D1162" i="64"/>
  <c r="F1162" i="64"/>
  <c r="J1162" i="64" s="1"/>
  <c r="B1163" i="64"/>
  <c r="C1163" i="64"/>
  <c r="D1163" i="64"/>
  <c r="F1163" i="64"/>
  <c r="J1163" i="64" s="1"/>
  <c r="B1164" i="64"/>
  <c r="C1164" i="64"/>
  <c r="D1164" i="64"/>
  <c r="F1164" i="64"/>
  <c r="J1164" i="64" s="1"/>
  <c r="B1165" i="64"/>
  <c r="C1165" i="64"/>
  <c r="D1165" i="64"/>
  <c r="B1166" i="64"/>
  <c r="C1166" i="64"/>
  <c r="D1166" i="64"/>
  <c r="B1167" i="64"/>
  <c r="C1167" i="64"/>
  <c r="D1167" i="64"/>
  <c r="B1168" i="64"/>
  <c r="C1168" i="64"/>
  <c r="D1168" i="64"/>
  <c r="B1169" i="64"/>
  <c r="C1169" i="64"/>
  <c r="D1169" i="64"/>
  <c r="B1170" i="64"/>
  <c r="C1170" i="64"/>
  <c r="D1170" i="64"/>
  <c r="B1171" i="64"/>
  <c r="C1171" i="64"/>
  <c r="D1171" i="64"/>
  <c r="B1172" i="64"/>
  <c r="C1172" i="64"/>
  <c r="D1172" i="64"/>
  <c r="B1173" i="64"/>
  <c r="C1173" i="64"/>
  <c r="D1173" i="64"/>
  <c r="B1174" i="64"/>
  <c r="C1174" i="64"/>
  <c r="F1174" i="64"/>
  <c r="J1174" i="64" s="1"/>
  <c r="B1175" i="64"/>
  <c r="C1175" i="64"/>
  <c r="F1175" i="64"/>
  <c r="J1175" i="64" s="1"/>
  <c r="B1176" i="64"/>
  <c r="C1176" i="64"/>
  <c r="F1176" i="64"/>
  <c r="J1176" i="64" s="1"/>
  <c r="B1177" i="64"/>
  <c r="C1177" i="64"/>
  <c r="B1178" i="64"/>
  <c r="C1178" i="64"/>
  <c r="F1178" i="64"/>
  <c r="J1178" i="64" s="1"/>
  <c r="B1179" i="64"/>
  <c r="C1179" i="64"/>
  <c r="F1179" i="64"/>
  <c r="J1179" i="64" s="1"/>
  <c r="B1180" i="64"/>
  <c r="C1180" i="64"/>
  <c r="F1180" i="64"/>
  <c r="J1180" i="64" s="1"/>
  <c r="B1181" i="64"/>
  <c r="C1181" i="64"/>
  <c r="B1182" i="64"/>
  <c r="C1182" i="64"/>
  <c r="B1183" i="64"/>
  <c r="C1183" i="64"/>
  <c r="F1183" i="64"/>
  <c r="J1183" i="64" s="1"/>
  <c r="B1184" i="64"/>
  <c r="C1184" i="64"/>
  <c r="F1184" i="64"/>
  <c r="J1184" i="64" s="1"/>
  <c r="B1185" i="64"/>
  <c r="C1185" i="64"/>
  <c r="B1186" i="64"/>
  <c r="C1186" i="64"/>
  <c r="J1186" i="64"/>
  <c r="B1187" i="64"/>
  <c r="C1187" i="64"/>
  <c r="B1188" i="64"/>
  <c r="C1188" i="64"/>
  <c r="B1189" i="64"/>
  <c r="C1189" i="64"/>
  <c r="F1198" i="64"/>
  <c r="J1198" i="64" s="1"/>
  <c r="F1201" i="64"/>
  <c r="J1201" i="64" s="1"/>
  <c r="C1202" i="64"/>
  <c r="D1202" i="64"/>
  <c r="F1202" i="64"/>
  <c r="J1202" i="64" s="1"/>
  <c r="C1203" i="64"/>
  <c r="D1203" i="64"/>
  <c r="F1203" i="64"/>
  <c r="J1203" i="64" s="1"/>
  <c r="C1204" i="64"/>
  <c r="D1204" i="64"/>
  <c r="F1204" i="64"/>
  <c r="J1204" i="64" s="1"/>
  <c r="C1205" i="64"/>
  <c r="D1205" i="64"/>
  <c r="C1206" i="64"/>
  <c r="D1206" i="64"/>
  <c r="F1206" i="64"/>
  <c r="J1206" i="64" s="1"/>
  <c r="C1207" i="64"/>
  <c r="D1207" i="64"/>
  <c r="F1207" i="64"/>
  <c r="J1207" i="64" s="1"/>
  <c r="C1208" i="64"/>
  <c r="D1208" i="64"/>
  <c r="F1208" i="64"/>
  <c r="J1208" i="64" s="1"/>
  <c r="C1209" i="64"/>
  <c r="D1209" i="64"/>
  <c r="F1209" i="64"/>
  <c r="J1209" i="64" s="1"/>
  <c r="C1210" i="64"/>
  <c r="D1210" i="64"/>
  <c r="F1210" i="64"/>
  <c r="J1210" i="64" s="1"/>
  <c r="C1211" i="64"/>
  <c r="D1211" i="64"/>
  <c r="F1211" i="64"/>
  <c r="J1211" i="64" s="1"/>
  <c r="C1212" i="64"/>
  <c r="D1212" i="64"/>
  <c r="F1212" i="64"/>
  <c r="J1212" i="64" s="1"/>
  <c r="C1213" i="64"/>
  <c r="D1213" i="64"/>
  <c r="F1213" i="64"/>
  <c r="J1213" i="64" s="1"/>
  <c r="C1214" i="64"/>
  <c r="D1214" i="64"/>
  <c r="F1214" i="64"/>
  <c r="J1214" i="64" s="1"/>
  <c r="C1215" i="64"/>
  <c r="D1215" i="64"/>
  <c r="F1215" i="64"/>
  <c r="J1215" i="64" s="1"/>
  <c r="C1216" i="64"/>
  <c r="D1216" i="64"/>
  <c r="F1216" i="64"/>
  <c r="J1216" i="64" s="1"/>
  <c r="C1217" i="64"/>
  <c r="D1217" i="64"/>
  <c r="F1217" i="64"/>
  <c r="J1217" i="64" s="1"/>
  <c r="C1218" i="64"/>
  <c r="D1218" i="64"/>
  <c r="F1218" i="64"/>
  <c r="J1218" i="64" s="1"/>
  <c r="C1219" i="64"/>
  <c r="D1219" i="64"/>
  <c r="F1219" i="64"/>
  <c r="J1219" i="64" s="1"/>
  <c r="C1220" i="64"/>
  <c r="D1220" i="64"/>
  <c r="F1220" i="64"/>
  <c r="J1220" i="64" s="1"/>
  <c r="C1221" i="64"/>
  <c r="D1221" i="64"/>
  <c r="F1221" i="64"/>
  <c r="J1221" i="64" s="1"/>
  <c r="F1222" i="64"/>
  <c r="J1222" i="64" s="1"/>
  <c r="C1223" i="64"/>
  <c r="D1223" i="64"/>
  <c r="F1223" i="64"/>
  <c r="J1223" i="64" s="1"/>
  <c r="C1224" i="64"/>
  <c r="C1225" i="64"/>
  <c r="D1225" i="64"/>
  <c r="F1225" i="64"/>
  <c r="J1225" i="64" s="1"/>
  <c r="C1226" i="64"/>
  <c r="D1226" i="64"/>
  <c r="F1226" i="64"/>
  <c r="J1226" i="64" s="1"/>
  <c r="C1227" i="64"/>
  <c r="D1227" i="64"/>
  <c r="C1228" i="64"/>
  <c r="D1228" i="64"/>
  <c r="C1238" i="64"/>
  <c r="D1238" i="64"/>
  <c r="F1238" i="64"/>
  <c r="J1238" i="64" s="1"/>
  <c r="C1239" i="64"/>
  <c r="D1239" i="64"/>
  <c r="F1239" i="64"/>
  <c r="J1239" i="64" s="1"/>
  <c r="C1240" i="64"/>
  <c r="D1240" i="64"/>
  <c r="F1240" i="64"/>
  <c r="J1240" i="64" s="1"/>
  <c r="C1241" i="64"/>
  <c r="D1241" i="64"/>
  <c r="F1241" i="64"/>
  <c r="J1241" i="64" s="1"/>
  <c r="C1242" i="64"/>
  <c r="D1242" i="64"/>
  <c r="F1242" i="64"/>
  <c r="J1242" i="64" s="1"/>
  <c r="C1243" i="64"/>
  <c r="D1243" i="64"/>
  <c r="F1243" i="64"/>
  <c r="J1243" i="64" s="1"/>
  <c r="J1247" i="64"/>
  <c r="J1248" i="64"/>
  <c r="J1249" i="64"/>
  <c r="C1250" i="64"/>
  <c r="D1250" i="64"/>
  <c r="F1250" i="64"/>
  <c r="J1250" i="64" s="1"/>
  <c r="C1251" i="64"/>
  <c r="D1251" i="64"/>
  <c r="F1251" i="64"/>
  <c r="J1251" i="64" s="1"/>
  <c r="C1252" i="64"/>
  <c r="D1252" i="64"/>
  <c r="F1252" i="64"/>
  <c r="J1252" i="64" s="1"/>
  <c r="C1253" i="64"/>
  <c r="D1253" i="64"/>
  <c r="F1253" i="64"/>
  <c r="J1253" i="64" s="1"/>
  <c r="C1254" i="64"/>
  <c r="D1254" i="64"/>
  <c r="F1254" i="64"/>
  <c r="J1254" i="64" s="1"/>
  <c r="C1255" i="64"/>
  <c r="D1255" i="64"/>
  <c r="F1255" i="64"/>
  <c r="J1255" i="64" s="1"/>
  <c r="C1256" i="64"/>
  <c r="D1256" i="64"/>
  <c r="F1256" i="64"/>
  <c r="J1256" i="64" s="1"/>
  <c r="C1257" i="64"/>
  <c r="D1257" i="64"/>
  <c r="F1257" i="64"/>
  <c r="J1257" i="64" s="1"/>
  <c r="C1258" i="64"/>
  <c r="D1258" i="64"/>
  <c r="F1258" i="64"/>
  <c r="J1258" i="64" s="1"/>
  <c r="C1259" i="64"/>
  <c r="D1259" i="64"/>
  <c r="F1259" i="64"/>
  <c r="J1259" i="64" s="1"/>
  <c r="C1260" i="64"/>
  <c r="D1260" i="64"/>
  <c r="F1260" i="64"/>
  <c r="J1260" i="64" s="1"/>
  <c r="C1261" i="64"/>
  <c r="D1261" i="64"/>
  <c r="F1261" i="64"/>
  <c r="J1261" i="64" s="1"/>
  <c r="C1262" i="64"/>
  <c r="D1262" i="64"/>
  <c r="F1262" i="64"/>
  <c r="J1262" i="64" s="1"/>
  <c r="C1263" i="64"/>
  <c r="D1263" i="64"/>
  <c r="F1263" i="64"/>
  <c r="J1263" i="64" s="1"/>
  <c r="C1264" i="64"/>
  <c r="D1264" i="64"/>
  <c r="F1264" i="64"/>
  <c r="J1264" i="64" s="1"/>
  <c r="C1265" i="64"/>
  <c r="D1265" i="64"/>
  <c r="F1265" i="64"/>
  <c r="J1265" i="64" s="1"/>
  <c r="C1266" i="64"/>
  <c r="D1266" i="64"/>
  <c r="F1266" i="64"/>
  <c r="J1266" i="64" s="1"/>
  <c r="C1267" i="64"/>
  <c r="D1267" i="64"/>
  <c r="F1267" i="64"/>
  <c r="J1267" i="64" s="1"/>
  <c r="C1268" i="64"/>
  <c r="D1268" i="64"/>
  <c r="F1268" i="64"/>
  <c r="J1268" i="64" s="1"/>
  <c r="C1269" i="64"/>
  <c r="D1269" i="64"/>
  <c r="F1269" i="64"/>
  <c r="J1269" i="64" s="1"/>
  <c r="C1270" i="64"/>
  <c r="D1270" i="64"/>
  <c r="F1270" i="64"/>
  <c r="J1270" i="64" s="1"/>
  <c r="C1271" i="64"/>
  <c r="D1271" i="64"/>
  <c r="F1271" i="64"/>
  <c r="J1271" i="64" s="1"/>
  <c r="C1272" i="64"/>
  <c r="D1272" i="64"/>
  <c r="F1272" i="64"/>
  <c r="J1272" i="64" s="1"/>
  <c r="C1273" i="64"/>
  <c r="D1273" i="64"/>
  <c r="F1273" i="64"/>
  <c r="J1273" i="64" s="1"/>
  <c r="C1274" i="64"/>
  <c r="D1274" i="64"/>
  <c r="F1274" i="64"/>
  <c r="J1274" i="64" s="1"/>
  <c r="C1275" i="64"/>
  <c r="D1275" i="64"/>
  <c r="F1275" i="64"/>
  <c r="J1275" i="64" s="1"/>
  <c r="C1276" i="64"/>
  <c r="D1276" i="64"/>
  <c r="F1276" i="64"/>
  <c r="J1276" i="64" s="1"/>
  <c r="C1277" i="64"/>
  <c r="D1277" i="64"/>
  <c r="F1277" i="64"/>
  <c r="J1277" i="64" s="1"/>
  <c r="C1278" i="64"/>
  <c r="D1278" i="64"/>
  <c r="F1278" i="64"/>
  <c r="J1278" i="64" s="1"/>
  <c r="C1279" i="64"/>
  <c r="D1279" i="64"/>
  <c r="F1279" i="64"/>
  <c r="J1279" i="64" s="1"/>
  <c r="C1280" i="64"/>
  <c r="D1280" i="64"/>
  <c r="F1280" i="64"/>
  <c r="J1280" i="64" s="1"/>
  <c r="C1281" i="64"/>
  <c r="F1281" i="64"/>
  <c r="J1281" i="64" s="1"/>
  <c r="C1282" i="64"/>
  <c r="F1282" i="64"/>
  <c r="J1282" i="64" s="1"/>
  <c r="C1283" i="64"/>
  <c r="C1284" i="64"/>
  <c r="C1285" i="64"/>
  <c r="C1286" i="64"/>
  <c r="C1287" i="64"/>
  <c r="C1288" i="64"/>
  <c r="D1288" i="64"/>
  <c r="F1288" i="64"/>
  <c r="J1288" i="64" s="1"/>
  <c r="C1289" i="64"/>
  <c r="D1289" i="64"/>
  <c r="F1289" i="64"/>
  <c r="J1289" i="64" s="1"/>
  <c r="C1290" i="64"/>
  <c r="D1290" i="64"/>
  <c r="C1291" i="64"/>
  <c r="D1291" i="64"/>
  <c r="F1291" i="64"/>
  <c r="J1291" i="64" s="1"/>
  <c r="C1292" i="64"/>
  <c r="D1292" i="64"/>
  <c r="F1292" i="64"/>
  <c r="J1292" i="64" s="1"/>
  <c r="C1293" i="64"/>
  <c r="D1293" i="64"/>
  <c r="C1294" i="64"/>
  <c r="F1294" i="64"/>
  <c r="J1294" i="64" s="1"/>
  <c r="C1295" i="64"/>
  <c r="D1295" i="64"/>
  <c r="F1295" i="64"/>
  <c r="J1295" i="64" s="1"/>
  <c r="C1296" i="64"/>
  <c r="D1296" i="64"/>
  <c r="F1296" i="64"/>
  <c r="J1296" i="64" s="1"/>
  <c r="C1297" i="64"/>
  <c r="F1297" i="64"/>
  <c r="J1297" i="64" s="1"/>
  <c r="C1298" i="64"/>
  <c r="F1298" i="64"/>
  <c r="J1298" i="64" s="1"/>
  <c r="C1299" i="64"/>
  <c r="C1301" i="64"/>
  <c r="D1301" i="64"/>
  <c r="F1301" i="64"/>
  <c r="J1301" i="64" s="1"/>
  <c r="C1302" i="64"/>
  <c r="D1302" i="64"/>
  <c r="C1303" i="64"/>
  <c r="C1304" i="64"/>
  <c r="C1305" i="64"/>
  <c r="C1306" i="64"/>
  <c r="F1306" i="64"/>
  <c r="J1306" i="64" s="1"/>
  <c r="C1307" i="64"/>
  <c r="F1307" i="64"/>
  <c r="J1307" i="64" s="1"/>
  <c r="C1308" i="64"/>
  <c r="D1313" i="64"/>
  <c r="D1314" i="64"/>
  <c r="D1315" i="64"/>
  <c r="G1315" i="64"/>
  <c r="D1316" i="64"/>
  <c r="D1317" i="64"/>
  <c r="D1318" i="64"/>
  <c r="F1318" i="64"/>
  <c r="J1318" i="64" s="1"/>
  <c r="C1319" i="64"/>
  <c r="D1319" i="64"/>
  <c r="F1319" i="64"/>
  <c r="J1319" i="64" s="1"/>
  <c r="C1320" i="64"/>
  <c r="D1320" i="64"/>
  <c r="F1320" i="64"/>
  <c r="J1320" i="64" s="1"/>
  <c r="C1321" i="64"/>
  <c r="D1321" i="64"/>
  <c r="C1322" i="64"/>
  <c r="D1322" i="64"/>
  <c r="C1312" i="64"/>
  <c r="D1312" i="64"/>
  <c r="F1312" i="64"/>
  <c r="J1312" i="64" s="1"/>
  <c r="D1323" i="64"/>
  <c r="J1323" i="64"/>
  <c r="D1324" i="64"/>
  <c r="J1324" i="64"/>
  <c r="C1325" i="64"/>
  <c r="D1325" i="64"/>
  <c r="F1325" i="64"/>
  <c r="J1325" i="64" s="1"/>
  <c r="C1326" i="64"/>
  <c r="D1326" i="64"/>
  <c r="F1326" i="64"/>
  <c r="J1326" i="64" s="1"/>
  <c r="C1327" i="64"/>
  <c r="D1327" i="64"/>
  <c r="F1327" i="64"/>
  <c r="J1327" i="64" s="1"/>
  <c r="C1328" i="64"/>
  <c r="D1328" i="64"/>
  <c r="F1328" i="64"/>
  <c r="J1328" i="64" s="1"/>
  <c r="C1329" i="64"/>
  <c r="D1329" i="64"/>
  <c r="F1329" i="64"/>
  <c r="J1329" i="64" s="1"/>
  <c r="C1330" i="64"/>
  <c r="D1330" i="64"/>
  <c r="C1331" i="64"/>
  <c r="D1331" i="64"/>
  <c r="C1332" i="64"/>
  <c r="D1332" i="64"/>
  <c r="C1333" i="64"/>
  <c r="D1333" i="64"/>
  <c r="C1334" i="64"/>
  <c r="D1334" i="64"/>
  <c r="C1335" i="64"/>
  <c r="D1335" i="64"/>
  <c r="C1336" i="64"/>
  <c r="D1336" i="64"/>
  <c r="C1337" i="64"/>
  <c r="D1337" i="64"/>
  <c r="C1338" i="64"/>
  <c r="D1338" i="64"/>
  <c r="C1339" i="64"/>
  <c r="C1199" i="64"/>
  <c r="D1199" i="64"/>
  <c r="F1199" i="64"/>
  <c r="J1199" i="64" s="1"/>
  <c r="C1200" i="64"/>
  <c r="D1200" i="64"/>
  <c r="F1200" i="64"/>
  <c r="J1200" i="64" s="1"/>
  <c r="C1340" i="64"/>
  <c r="D1340" i="64"/>
  <c r="J1340" i="64"/>
  <c r="C1341" i="64"/>
  <c r="D1341" i="64"/>
  <c r="F1341" i="64"/>
  <c r="J1341" i="64" s="1"/>
  <c r="C1342" i="64"/>
  <c r="D1342" i="64"/>
  <c r="F1342" i="64"/>
  <c r="J1342" i="64" s="1"/>
  <c r="C1343" i="64"/>
  <c r="D1343" i="64"/>
  <c r="C1344" i="64"/>
  <c r="D1344" i="64"/>
  <c r="F1344" i="64"/>
  <c r="J1344" i="64" s="1"/>
  <c r="C1345" i="64"/>
  <c r="D1345" i="64"/>
  <c r="F1345" i="64"/>
  <c r="J1345" i="64" s="1"/>
  <c r="C1346" i="64"/>
  <c r="D1346" i="64"/>
  <c r="F1346" i="64"/>
  <c r="J1346" i="64" s="1"/>
  <c r="C1347" i="64"/>
  <c r="D1347" i="64"/>
  <c r="F1347" i="64"/>
  <c r="J1347" i="64" s="1"/>
  <c r="C1348" i="64"/>
  <c r="D1348" i="64"/>
  <c r="F1348" i="64"/>
  <c r="J1348" i="64" s="1"/>
  <c r="C1349" i="64"/>
  <c r="D1349" i="64"/>
  <c r="F1349" i="64"/>
  <c r="J1349" i="64" s="1"/>
  <c r="C1350" i="64"/>
  <c r="D1350" i="64"/>
  <c r="F1350" i="64"/>
  <c r="J1350" i="64" s="1"/>
  <c r="C1351" i="64"/>
  <c r="D1351" i="64"/>
  <c r="F1351" i="64"/>
  <c r="J1351" i="64" s="1"/>
  <c r="C1352" i="64"/>
  <c r="F1352" i="64"/>
  <c r="J1352" i="64" s="1"/>
  <c r="C1353" i="64"/>
  <c r="D1353" i="64"/>
  <c r="F1353" i="64"/>
  <c r="J1353" i="64" s="1"/>
  <c r="C1354" i="64"/>
  <c r="D1354" i="64"/>
  <c r="F1354" i="64"/>
  <c r="J1354" i="64" s="1"/>
  <c r="C1355" i="64"/>
  <c r="D1355" i="64"/>
  <c r="F1355" i="64"/>
  <c r="J1355" i="64" s="1"/>
  <c r="C1356" i="64"/>
  <c r="D1356" i="64"/>
  <c r="F1356" i="64"/>
  <c r="J1356" i="64" s="1"/>
  <c r="C1357" i="64"/>
  <c r="D1357" i="64"/>
  <c r="F1357" i="64"/>
  <c r="J1357" i="64" s="1"/>
  <c r="C1358" i="64"/>
  <c r="D1358" i="64"/>
  <c r="F1358" i="64"/>
  <c r="J1358" i="64" s="1"/>
  <c r="C1359" i="64"/>
  <c r="D1359" i="64"/>
  <c r="F1359" i="64"/>
  <c r="J1359" i="64" s="1"/>
  <c r="C1360" i="64"/>
  <c r="D1360" i="64"/>
  <c r="F1360" i="64"/>
  <c r="J1360" i="64" s="1"/>
  <c r="C1361" i="64"/>
  <c r="D1361" i="64"/>
  <c r="F1361" i="64"/>
  <c r="J1361" i="64" s="1"/>
  <c r="C1362" i="64"/>
  <c r="D1362" i="64"/>
  <c r="F1362" i="64"/>
  <c r="J1362" i="64" s="1"/>
  <c r="C1363" i="64"/>
  <c r="D1363" i="64"/>
  <c r="F1363" i="64"/>
  <c r="J1363" i="64" s="1"/>
  <c r="C1364" i="64"/>
  <c r="D1364" i="64"/>
  <c r="F1364" i="64"/>
  <c r="J1364" i="64" s="1"/>
  <c r="C1365" i="64"/>
  <c r="D1365" i="64"/>
  <c r="F1365" i="64"/>
  <c r="J1365" i="64" s="1"/>
  <c r="C1366" i="64"/>
  <c r="D1366" i="64"/>
  <c r="F1366" i="64"/>
  <c r="J1366" i="64" s="1"/>
  <c r="C1367" i="64"/>
  <c r="D1367" i="64"/>
  <c r="F1367" i="64"/>
  <c r="J1367" i="64" s="1"/>
  <c r="C1368" i="64"/>
  <c r="D1368" i="64"/>
  <c r="F1368" i="64"/>
  <c r="J1368" i="64" s="1"/>
  <c r="C1369" i="64"/>
  <c r="D1369" i="64"/>
  <c r="F1369" i="64"/>
  <c r="J1369" i="64" s="1"/>
  <c r="C1370" i="64"/>
  <c r="D1370" i="64"/>
  <c r="F1370" i="64"/>
  <c r="J1370" i="64" s="1"/>
  <c r="C1371" i="64"/>
  <c r="D1371" i="64"/>
  <c r="F1371" i="64"/>
  <c r="J1371" i="64" s="1"/>
  <c r="C1372" i="64"/>
  <c r="D1372" i="64"/>
  <c r="F1372" i="64"/>
  <c r="J1372" i="64" s="1"/>
  <c r="C1373" i="64"/>
  <c r="D1373" i="64"/>
  <c r="F1373" i="64"/>
  <c r="J1373" i="64" s="1"/>
  <c r="C1374" i="64"/>
  <c r="D1374" i="64"/>
  <c r="F1374" i="64"/>
  <c r="J1374" i="64" s="1"/>
  <c r="C1375" i="64"/>
  <c r="D1375" i="64"/>
  <c r="F1375" i="64"/>
  <c r="J1375" i="64" s="1"/>
  <c r="C1376" i="64"/>
  <c r="D1376" i="64"/>
  <c r="F1376" i="64"/>
  <c r="J1376" i="64" s="1"/>
  <c r="C1377" i="64"/>
  <c r="F1377" i="64"/>
  <c r="J1377" i="64" s="1"/>
  <c r="C1378" i="64"/>
  <c r="D1378" i="64"/>
  <c r="F1378" i="64"/>
  <c r="J1378" i="64" s="1"/>
  <c r="C1379" i="64"/>
  <c r="D1379" i="64"/>
  <c r="F1379" i="64"/>
  <c r="J1379" i="64" s="1"/>
  <c r="C1380" i="64"/>
  <c r="D1380" i="64"/>
  <c r="F1380" i="64"/>
  <c r="J1380" i="64" s="1"/>
  <c r="C1381" i="64"/>
  <c r="D1381" i="64"/>
  <c r="F1381" i="64"/>
  <c r="J1381" i="64" s="1"/>
  <c r="C1382" i="64"/>
  <c r="D1382" i="64"/>
  <c r="F1382" i="64"/>
  <c r="J1382" i="64" s="1"/>
  <c r="C1383" i="64"/>
  <c r="D1383" i="64"/>
  <c r="F1383" i="64"/>
  <c r="J1383" i="64" s="1"/>
  <c r="C1384" i="64"/>
  <c r="D1384" i="64"/>
  <c r="F1384" i="64"/>
  <c r="J1384" i="64" s="1"/>
  <c r="C1385" i="64"/>
  <c r="D1385" i="64"/>
  <c r="F1385" i="64"/>
  <c r="J1385" i="64" s="1"/>
  <c r="C1386" i="64"/>
  <c r="D1386" i="64"/>
  <c r="F1386" i="64"/>
  <c r="J1386" i="64" s="1"/>
  <c r="C1387" i="64"/>
  <c r="D1387" i="64"/>
  <c r="F1387" i="64"/>
  <c r="J1387" i="64" s="1"/>
  <c r="C1388" i="64"/>
  <c r="D1388" i="64"/>
  <c r="F1388" i="64"/>
  <c r="J1388" i="64" s="1"/>
  <c r="C1389" i="64"/>
  <c r="D1389" i="64"/>
  <c r="F1389" i="64"/>
  <c r="J1389" i="64" s="1"/>
  <c r="C1390" i="64"/>
  <c r="D1390" i="64"/>
  <c r="F1390" i="64"/>
  <c r="J1390" i="64" s="1"/>
  <c r="C1391" i="64"/>
  <c r="D1391" i="64"/>
  <c r="F1391" i="64"/>
  <c r="J1391" i="64" s="1"/>
  <c r="C1392" i="64"/>
  <c r="D1392" i="64"/>
  <c r="J1392" i="64"/>
  <c r="C1393" i="64"/>
  <c r="D1393" i="64"/>
  <c r="F1393" i="64"/>
  <c r="J1393" i="64" s="1"/>
  <c r="C1394" i="64"/>
  <c r="D1394" i="64"/>
  <c r="F1394" i="64"/>
  <c r="J1394" i="64" s="1"/>
  <c r="C1395" i="64"/>
  <c r="D1395" i="64"/>
  <c r="F1395" i="64"/>
  <c r="J1395" i="64" s="1"/>
  <c r="C1396" i="64"/>
  <c r="D1396" i="64"/>
  <c r="F1396" i="64"/>
  <c r="J1396" i="64" s="1"/>
  <c r="C1397" i="64"/>
  <c r="D1397" i="64"/>
  <c r="F1397" i="64"/>
  <c r="J1397" i="64" s="1"/>
  <c r="C1398" i="64"/>
  <c r="D1398" i="64"/>
  <c r="F1398" i="64"/>
  <c r="J1398" i="64" s="1"/>
  <c r="C1399" i="64"/>
  <c r="D1399" i="64"/>
  <c r="F1399" i="64"/>
  <c r="J1399" i="64" s="1"/>
  <c r="C1400" i="64"/>
  <c r="D1400" i="64"/>
  <c r="F1400" i="64"/>
  <c r="J1400" i="64" s="1"/>
  <c r="C1401" i="64"/>
  <c r="D1401" i="64"/>
  <c r="F1401" i="64"/>
  <c r="J1401" i="64" s="1"/>
  <c r="C1402" i="64"/>
  <c r="D1402" i="64"/>
  <c r="F1402" i="64"/>
  <c r="J1402" i="64" s="1"/>
  <c r="C1403" i="64"/>
  <c r="D1403" i="64"/>
  <c r="F1403" i="64"/>
  <c r="J1403" i="64" s="1"/>
  <c r="C1404" i="64"/>
  <c r="D1404" i="64"/>
  <c r="F1404" i="64"/>
  <c r="J1404" i="64" s="1"/>
  <c r="C1405" i="64"/>
  <c r="D1405" i="64"/>
  <c r="F1405" i="64"/>
  <c r="J1405" i="64" s="1"/>
  <c r="C1406" i="64"/>
  <c r="F1406" i="64"/>
  <c r="J1406" i="64" s="1"/>
  <c r="C1407" i="64"/>
  <c r="F1407" i="64"/>
  <c r="J1407" i="64" s="1"/>
  <c r="C1408" i="64"/>
  <c r="F1408" i="64"/>
  <c r="J1408" i="64" s="1"/>
  <c r="C1409" i="64"/>
  <c r="F1409" i="64"/>
  <c r="J1409" i="64" s="1"/>
  <c r="C1410" i="64"/>
  <c r="F1410" i="64"/>
  <c r="J1410" i="64" s="1"/>
  <c r="C1411" i="64"/>
  <c r="F1411" i="64"/>
  <c r="J1411" i="64" s="1"/>
  <c r="C1412" i="64"/>
  <c r="F1412" i="64"/>
  <c r="J1412" i="64" s="1"/>
  <c r="C1413" i="64"/>
  <c r="F1413" i="64"/>
  <c r="J1413" i="64" s="1"/>
  <c r="C1414" i="64"/>
  <c r="F1414" i="64"/>
  <c r="J1414" i="64" s="1"/>
  <c r="C1415" i="64"/>
  <c r="D1415" i="64"/>
  <c r="F1415" i="64"/>
  <c r="J1415" i="64" s="1"/>
  <c r="C1416" i="64"/>
  <c r="D1416" i="64"/>
  <c r="F1416" i="64"/>
  <c r="J1416" i="64" s="1"/>
  <c r="C1417" i="64"/>
  <c r="D1417" i="64"/>
  <c r="F1417" i="64"/>
  <c r="J1417" i="64" s="1"/>
  <c r="C1418" i="64"/>
  <c r="D1418" i="64"/>
  <c r="F1418" i="64"/>
  <c r="J1418" i="64" s="1"/>
  <c r="C1419" i="64"/>
  <c r="D1419" i="64"/>
  <c r="F1419" i="64"/>
  <c r="J1419" i="64" s="1"/>
  <c r="C1420" i="64"/>
  <c r="D1420" i="64"/>
  <c r="F1420" i="64"/>
  <c r="J1420" i="64" s="1"/>
  <c r="C1421" i="64"/>
  <c r="C1423" i="64"/>
  <c r="D1423" i="64"/>
  <c r="F1423" i="64"/>
  <c r="J1423" i="64" s="1"/>
  <c r="C1424" i="64"/>
  <c r="D1424" i="64"/>
  <c r="F1424" i="64"/>
  <c r="J1424" i="64" s="1"/>
  <c r="C1425" i="64"/>
  <c r="D1425" i="64"/>
  <c r="F1425" i="64"/>
  <c r="J1425" i="64" s="1"/>
  <c r="C1426" i="64"/>
  <c r="D1426" i="64"/>
  <c r="F1426" i="64"/>
  <c r="J1426" i="64" s="1"/>
  <c r="C1427" i="64"/>
  <c r="C1428" i="64"/>
  <c r="D1428" i="64"/>
  <c r="F1428" i="64"/>
  <c r="J1428" i="64" s="1"/>
  <c r="C1429" i="64"/>
  <c r="D1429" i="64"/>
  <c r="F1429" i="64"/>
  <c r="J1429" i="64" s="1"/>
  <c r="D1430" i="64"/>
  <c r="F1430" i="64"/>
  <c r="J1430" i="64" s="1"/>
  <c r="D1431" i="64"/>
  <c r="F1431" i="64"/>
  <c r="J1431" i="64" s="1"/>
  <c r="C1433" i="64"/>
  <c r="D1433" i="64"/>
  <c r="F1433" i="64"/>
  <c r="J1433" i="64" s="1"/>
  <c r="C1434" i="64"/>
  <c r="D1434" i="64"/>
  <c r="F1434" i="64"/>
  <c r="J1434" i="64" s="1"/>
  <c r="C1435" i="64"/>
  <c r="D1435" i="64"/>
  <c r="F1435" i="64"/>
  <c r="J1435" i="64" s="1"/>
  <c r="C1436" i="64"/>
  <c r="D1436" i="64"/>
  <c r="F1436" i="64"/>
  <c r="J1436" i="64" s="1"/>
  <c r="C1437" i="64"/>
  <c r="D1437" i="64"/>
  <c r="F1437" i="64"/>
  <c r="J1437" i="64" s="1"/>
  <c r="C1438" i="64"/>
  <c r="D1438" i="64"/>
  <c r="F1438" i="64"/>
  <c r="J1438" i="64" s="1"/>
  <c r="C1439" i="64"/>
  <c r="D1439" i="64"/>
  <c r="F1439" i="64"/>
  <c r="J1439" i="64" s="1"/>
  <c r="C1440" i="64"/>
  <c r="D1440" i="64"/>
  <c r="F1440" i="64"/>
  <c r="J1440" i="64" s="1"/>
  <c r="C1441" i="64"/>
  <c r="D1441" i="64"/>
  <c r="F1441" i="64"/>
  <c r="J1441" i="64" s="1"/>
  <c r="C1442" i="64"/>
  <c r="D1442" i="64"/>
  <c r="F1442" i="64"/>
  <c r="J1442" i="64" s="1"/>
  <c r="C1443" i="64"/>
  <c r="D1443" i="64"/>
  <c r="F1443" i="64"/>
  <c r="J1443" i="64" s="1"/>
  <c r="C1444" i="64"/>
  <c r="D1444" i="64"/>
  <c r="F1444" i="64"/>
  <c r="J1444" i="64" s="1"/>
  <c r="C1445" i="64"/>
  <c r="D1445" i="64"/>
  <c r="F1445" i="64"/>
  <c r="J1445" i="64" s="1"/>
  <c r="C1446" i="64"/>
  <c r="D1446" i="64"/>
  <c r="F1446" i="64"/>
  <c r="J1446" i="64" s="1"/>
  <c r="C1447" i="64"/>
  <c r="D1447" i="64"/>
  <c r="F1447" i="64"/>
  <c r="J1447" i="64" s="1"/>
  <c r="C1448" i="64"/>
  <c r="D1448" i="64"/>
  <c r="F1448" i="64"/>
  <c r="J1448" i="64" s="1"/>
  <c r="C1449" i="64"/>
  <c r="D1449" i="64"/>
  <c r="F1449" i="64"/>
  <c r="J1449" i="64" s="1"/>
  <c r="C1450" i="64"/>
  <c r="D1450" i="64"/>
  <c r="F1450" i="64"/>
  <c r="J1450" i="64" s="1"/>
  <c r="C1451" i="64"/>
  <c r="D1451" i="64"/>
  <c r="F1451" i="64"/>
  <c r="J1451" i="64" s="1"/>
  <c r="C1452" i="64"/>
  <c r="D1452" i="64"/>
  <c r="F1452" i="64"/>
  <c r="J1452" i="64" s="1"/>
  <c r="C1453" i="64"/>
  <c r="D1453" i="64"/>
  <c r="F1453" i="64"/>
  <c r="J1453" i="64" s="1"/>
  <c r="C1454" i="64"/>
  <c r="D1454" i="64"/>
  <c r="F1454" i="64"/>
  <c r="J1454" i="64" s="1"/>
  <c r="C1455" i="64"/>
  <c r="D1455" i="64"/>
  <c r="F1455" i="64"/>
  <c r="J1455" i="64" s="1"/>
  <c r="C1456" i="64"/>
  <c r="D1456" i="64"/>
  <c r="F1456" i="64"/>
  <c r="J1456" i="64" s="1"/>
  <c r="C1457" i="64"/>
  <c r="D1457" i="64"/>
  <c r="F1457" i="64"/>
  <c r="J1457" i="64" s="1"/>
  <c r="C1458" i="64"/>
  <c r="D1458" i="64"/>
  <c r="F1458" i="64"/>
  <c r="J1458" i="64" s="1"/>
  <c r="C1459" i="64"/>
  <c r="D1459" i="64"/>
  <c r="F1459" i="64"/>
  <c r="J1459" i="64" s="1"/>
  <c r="C1460" i="64"/>
  <c r="D1460" i="64"/>
  <c r="F1460" i="64"/>
  <c r="J1460" i="64" s="1"/>
  <c r="C1461" i="64"/>
  <c r="D1461" i="64"/>
  <c r="F1461" i="64"/>
  <c r="J1461" i="64" s="1"/>
  <c r="C1462" i="64"/>
  <c r="D1462" i="64"/>
  <c r="F1462" i="64"/>
  <c r="J1462" i="64" s="1"/>
  <c r="C1463" i="64"/>
  <c r="D1463" i="64"/>
  <c r="F1463" i="64"/>
  <c r="J1463" i="64" s="1"/>
  <c r="C1464" i="64"/>
  <c r="D1464" i="64"/>
  <c r="F1464" i="64"/>
  <c r="J1464" i="64" s="1"/>
  <c r="C1465" i="64"/>
  <c r="F1465" i="64"/>
  <c r="J1465" i="64" s="1"/>
  <c r="C1466" i="64"/>
  <c r="D1466" i="64"/>
  <c r="F1466" i="64"/>
  <c r="J1466" i="64" s="1"/>
  <c r="C1467" i="64"/>
  <c r="D1467" i="64"/>
  <c r="F1467" i="64"/>
  <c r="J1467" i="64" s="1"/>
  <c r="C1468" i="64"/>
  <c r="D1468" i="64"/>
  <c r="F1468" i="64"/>
  <c r="J1468" i="64" s="1"/>
  <c r="C1469" i="64"/>
  <c r="D1469" i="64"/>
  <c r="F1469" i="64"/>
  <c r="J1469" i="64" s="1"/>
  <c r="C1470" i="64"/>
  <c r="D1470" i="64"/>
  <c r="F1470" i="64"/>
  <c r="J1470" i="64" s="1"/>
  <c r="C1471" i="64"/>
  <c r="D1471" i="64"/>
  <c r="F1471" i="64"/>
  <c r="J1471" i="64" s="1"/>
  <c r="C1472" i="64"/>
  <c r="D1472" i="64"/>
  <c r="F1472" i="64"/>
  <c r="J1472" i="64" s="1"/>
  <c r="C1473" i="64"/>
  <c r="D1473" i="64"/>
  <c r="F1473" i="64"/>
  <c r="J1473" i="64" s="1"/>
  <c r="C1474" i="64"/>
  <c r="D1474" i="64"/>
  <c r="F1474" i="64"/>
  <c r="J1474" i="64" s="1"/>
  <c r="C1475" i="64"/>
  <c r="D1475" i="64"/>
  <c r="F1475" i="64"/>
  <c r="J1475" i="64" s="1"/>
  <c r="C1476" i="64"/>
  <c r="D1476" i="64"/>
  <c r="F1476" i="64"/>
  <c r="J1476" i="64" s="1"/>
  <c r="C1477" i="64"/>
  <c r="D1477" i="64"/>
  <c r="F1477" i="64"/>
  <c r="J1477" i="64" s="1"/>
  <c r="C1478" i="64"/>
  <c r="D1478" i="64"/>
  <c r="F1478" i="64"/>
  <c r="J1478" i="64" s="1"/>
  <c r="C1479" i="64"/>
  <c r="D1479" i="64"/>
  <c r="F1479" i="64"/>
  <c r="J1479" i="64" s="1"/>
  <c r="C1480" i="64"/>
  <c r="D1480" i="64"/>
  <c r="F1480" i="64"/>
  <c r="J1480" i="64" s="1"/>
  <c r="C1481" i="64"/>
  <c r="F1481" i="64"/>
  <c r="J1481" i="64" s="1"/>
  <c r="C1482" i="64"/>
  <c r="F1482" i="64"/>
  <c r="J1482" i="64" s="1"/>
  <c r="C1483" i="64"/>
  <c r="F1483" i="64"/>
  <c r="J1483" i="64" s="1"/>
  <c r="C1484" i="64"/>
  <c r="D1484" i="64"/>
  <c r="F1484" i="64"/>
  <c r="J1484" i="64" s="1"/>
  <c r="C1485" i="64"/>
  <c r="D1485" i="64"/>
  <c r="F1485" i="64"/>
  <c r="J1485" i="64" s="1"/>
  <c r="C1486" i="64"/>
  <c r="D1486" i="64"/>
  <c r="F1486" i="64"/>
  <c r="J1486" i="64" s="1"/>
  <c r="C1487" i="64"/>
  <c r="D1487" i="64"/>
  <c r="F1487" i="64"/>
  <c r="J1487" i="64" s="1"/>
  <c r="C1488" i="64"/>
  <c r="D1488" i="64"/>
  <c r="F1488" i="64"/>
  <c r="J1488" i="64" s="1"/>
  <c r="C1489" i="64"/>
  <c r="D1489" i="64"/>
  <c r="F1489" i="64"/>
  <c r="J1489" i="64" s="1"/>
  <c r="C1490" i="64"/>
  <c r="D1490" i="64"/>
  <c r="F1490" i="64"/>
  <c r="J1490" i="64" s="1"/>
  <c r="C1491" i="64"/>
  <c r="D1491" i="64"/>
  <c r="F1491" i="64"/>
  <c r="J1491" i="64" s="1"/>
  <c r="C1492" i="64"/>
  <c r="D1492" i="64"/>
  <c r="F1492" i="64"/>
  <c r="J1492" i="64" s="1"/>
  <c r="C1493" i="64"/>
  <c r="D1493" i="64"/>
  <c r="F1493" i="64"/>
  <c r="J1493" i="64" s="1"/>
  <c r="C1494" i="64"/>
  <c r="D1494" i="64"/>
  <c r="F1494" i="64"/>
  <c r="J1494" i="64" s="1"/>
  <c r="C1495" i="64"/>
  <c r="D1495" i="64"/>
  <c r="F1495" i="64"/>
  <c r="J1495" i="64" s="1"/>
  <c r="C1496" i="64"/>
  <c r="D1496" i="64"/>
  <c r="F1496" i="64"/>
  <c r="J1496" i="64" s="1"/>
  <c r="C1497" i="64"/>
  <c r="D1497" i="64"/>
  <c r="F1497" i="64"/>
  <c r="J1497" i="64" s="1"/>
  <c r="C1498" i="64"/>
  <c r="D1498" i="64"/>
  <c r="F1498" i="64"/>
  <c r="J1498" i="64" s="1"/>
  <c r="C1499" i="64"/>
  <c r="D1499" i="64"/>
  <c r="F1499" i="64"/>
  <c r="J1499" i="64" s="1"/>
  <c r="C1500" i="64"/>
  <c r="D1500" i="64"/>
  <c r="F1500" i="64"/>
  <c r="J1500" i="64" s="1"/>
  <c r="C1501" i="64"/>
  <c r="D1501" i="64"/>
  <c r="F1501" i="64"/>
  <c r="J1501" i="64" s="1"/>
  <c r="C1502" i="64"/>
  <c r="D1502" i="64"/>
  <c r="F1502" i="64"/>
  <c r="J1502" i="64" s="1"/>
  <c r="C1503" i="64"/>
  <c r="D1503" i="64"/>
  <c r="F1503" i="64"/>
  <c r="J1503" i="64" s="1"/>
  <c r="C1504" i="64"/>
  <c r="D1504" i="64"/>
  <c r="F1504" i="64"/>
  <c r="J1504" i="64" s="1"/>
  <c r="C1505" i="64"/>
  <c r="D1505" i="64"/>
  <c r="F1505" i="64"/>
  <c r="J1505" i="64" s="1"/>
  <c r="C1506" i="64"/>
  <c r="D1506" i="64"/>
  <c r="F1506" i="64"/>
  <c r="J1506" i="64" s="1"/>
  <c r="C1507" i="64"/>
  <c r="D1507" i="64"/>
  <c r="F1507" i="64"/>
  <c r="J1507" i="64" s="1"/>
  <c r="C1508" i="64"/>
  <c r="D1508" i="64"/>
  <c r="F1508" i="64"/>
  <c r="J1508" i="64" s="1"/>
  <c r="C1509" i="64"/>
  <c r="D1509" i="64"/>
  <c r="F1509" i="64"/>
  <c r="J1509" i="64" s="1"/>
  <c r="C1510" i="64"/>
  <c r="D1510" i="64"/>
  <c r="F1510" i="64"/>
  <c r="J1510" i="64" s="1"/>
  <c r="C1511" i="64"/>
  <c r="D1511" i="64"/>
  <c r="F1511" i="64"/>
  <c r="J1511" i="64" s="1"/>
  <c r="C1512" i="64"/>
  <c r="D1512" i="64"/>
  <c r="F1512" i="64"/>
  <c r="J1512" i="64" s="1"/>
  <c r="C1513" i="64"/>
  <c r="D1513" i="64"/>
  <c r="F1513" i="64"/>
  <c r="J1513" i="64" s="1"/>
  <c r="C1514" i="64"/>
  <c r="D1514" i="64"/>
  <c r="F1514" i="64"/>
  <c r="J1514" i="64" s="1"/>
  <c r="C1515" i="64"/>
  <c r="D1515" i="64"/>
  <c r="F1515" i="64"/>
  <c r="J1515" i="64" s="1"/>
  <c r="C1516" i="64"/>
  <c r="D1516" i="64"/>
  <c r="F1516" i="64"/>
  <c r="J1516" i="64" s="1"/>
  <c r="C1517" i="64"/>
  <c r="D1517" i="64"/>
  <c r="F1517" i="64"/>
  <c r="J1517" i="64" s="1"/>
  <c r="C1518" i="64"/>
  <c r="D1518" i="64"/>
  <c r="F1518" i="64"/>
  <c r="J1518" i="64" s="1"/>
  <c r="C1519" i="64"/>
  <c r="D1519" i="64"/>
  <c r="F1519" i="64"/>
  <c r="J1519" i="64" s="1"/>
  <c r="C1520" i="64"/>
  <c r="D1520" i="64"/>
  <c r="F1520" i="64"/>
  <c r="J1520" i="64" s="1"/>
  <c r="C1521" i="64"/>
  <c r="D1521" i="64"/>
  <c r="F1521" i="64"/>
  <c r="J1521" i="64" s="1"/>
  <c r="C1522" i="64"/>
  <c r="D1522" i="64"/>
  <c r="F1522" i="64"/>
  <c r="J1522" i="64" s="1"/>
  <c r="C1523" i="64"/>
  <c r="D1523" i="64"/>
  <c r="F1523" i="64"/>
  <c r="J1523" i="64" s="1"/>
  <c r="C1524" i="64"/>
  <c r="D1524" i="64"/>
  <c r="F1524" i="64"/>
  <c r="J1524" i="64" s="1"/>
  <c r="C1525" i="64"/>
  <c r="D1525" i="64"/>
  <c r="F1525" i="64"/>
  <c r="J1525" i="64" s="1"/>
  <c r="C1526" i="64"/>
  <c r="D1526" i="64"/>
  <c r="F1526" i="64"/>
  <c r="J1526" i="64" s="1"/>
  <c r="C1527" i="64"/>
  <c r="D1527" i="64"/>
  <c r="C1528" i="64"/>
  <c r="D1528" i="64"/>
  <c r="C1529" i="64"/>
  <c r="D1529" i="64"/>
  <c r="C1530" i="64"/>
  <c r="D1530" i="64"/>
  <c r="C1531" i="64"/>
  <c r="D1531" i="64"/>
  <c r="C1532" i="64"/>
  <c r="C1533" i="64"/>
  <c r="F1533" i="64"/>
  <c r="J1533" i="64" s="1"/>
  <c r="C1534" i="64"/>
  <c r="F1534" i="64"/>
  <c r="J1534" i="64" s="1"/>
  <c r="C1535" i="64"/>
  <c r="F1535" i="64"/>
  <c r="J1535" i="64" s="1"/>
  <c r="C1539" i="64"/>
  <c r="F1539" i="64"/>
  <c r="J1539" i="64" s="1"/>
  <c r="C1540" i="64"/>
  <c r="F1540" i="64"/>
  <c r="J1540" i="64" s="1"/>
  <c r="C1541" i="64"/>
  <c r="F1541" i="64"/>
  <c r="J1541" i="64" s="1"/>
  <c r="C1542" i="64"/>
  <c r="F1542" i="64"/>
  <c r="J1542" i="64" s="1"/>
  <c r="C1543" i="64"/>
  <c r="J1543" i="64"/>
  <c r="C1547" i="64"/>
  <c r="D1547" i="64"/>
  <c r="C1309" i="64"/>
  <c r="D1309" i="64"/>
  <c r="C1548" i="64"/>
  <c r="D1548" i="64"/>
  <c r="C1549" i="64"/>
  <c r="D1549" i="64"/>
  <c r="C1550" i="64"/>
  <c r="D1550" i="64"/>
  <c r="C1551" i="64"/>
  <c r="D1551" i="64"/>
  <c r="C1552" i="64"/>
  <c r="D1552" i="64"/>
  <c r="C1553" i="64"/>
  <c r="D1553" i="64"/>
  <c r="C1554" i="64"/>
  <c r="D1554" i="64"/>
  <c r="C1555" i="64"/>
  <c r="D1555" i="64"/>
  <c r="C1556" i="64"/>
  <c r="D1556" i="64"/>
  <c r="C1557" i="64"/>
  <c r="D1557" i="64"/>
  <c r="C1558" i="64"/>
  <c r="D1558" i="64"/>
  <c r="C1559" i="64"/>
  <c r="D1559" i="64"/>
  <c r="C1560" i="64"/>
  <c r="D1560" i="64"/>
  <c r="C1561" i="64"/>
  <c r="D1561" i="64"/>
  <c r="C1562" i="64"/>
  <c r="D1562" i="64"/>
  <c r="B1564" i="64"/>
  <c r="F1565" i="64"/>
  <c r="J1565" i="64" s="1"/>
  <c r="G1565" i="64"/>
  <c r="C1566" i="64"/>
  <c r="D1566" i="64"/>
  <c r="C1567" i="64"/>
  <c r="D1567" i="64"/>
  <c r="F1567" i="64"/>
  <c r="F1596" i="64" s="1"/>
  <c r="J1596" i="64" s="1"/>
  <c r="C1568" i="64"/>
  <c r="D1568" i="64"/>
  <c r="F1568" i="64"/>
  <c r="J1568" i="64" s="1"/>
  <c r="C1569" i="64"/>
  <c r="D1569" i="64"/>
  <c r="F1569" i="64"/>
  <c r="J1569" i="64" s="1"/>
  <c r="C1570" i="64"/>
  <c r="D1570" i="64"/>
  <c r="F1570" i="64"/>
  <c r="J1570" i="64" s="1"/>
  <c r="C1571" i="64"/>
  <c r="D1571" i="64"/>
  <c r="C1572" i="64"/>
  <c r="D1572" i="64"/>
  <c r="C1575" i="64"/>
  <c r="D1575" i="64"/>
  <c r="C1576" i="64"/>
  <c r="D1576" i="64"/>
  <c r="C1577" i="64"/>
  <c r="D1577" i="64"/>
  <c r="C1578" i="64"/>
  <c r="D1578" i="64"/>
  <c r="C1579" i="64"/>
  <c r="D1579" i="64"/>
  <c r="C1580" i="64"/>
  <c r="D1580" i="64"/>
  <c r="C1581" i="64"/>
  <c r="D1581" i="64"/>
  <c r="C1582" i="64"/>
  <c r="D1582" i="64"/>
  <c r="F1582" i="64"/>
  <c r="J1582" i="64" s="1"/>
  <c r="C1583" i="64"/>
  <c r="D1583" i="64"/>
  <c r="C1584" i="64"/>
  <c r="D1584" i="64"/>
  <c r="C1585" i="64"/>
  <c r="D1585" i="64"/>
  <c r="F1585" i="64"/>
  <c r="J1585" i="64" s="1"/>
  <c r="C1586" i="64"/>
  <c r="D1586" i="64"/>
  <c r="C1587" i="64"/>
  <c r="D1587" i="64"/>
  <c r="F1587" i="64"/>
  <c r="J1587" i="64" s="1"/>
  <c r="C1588" i="64"/>
  <c r="D1588" i="64"/>
  <c r="J1588" i="64"/>
  <c r="C1589" i="64"/>
  <c r="D1589" i="64"/>
  <c r="F1589" i="64"/>
  <c r="J1589" i="64" s="1"/>
  <c r="C1590" i="64"/>
  <c r="D1590" i="64"/>
  <c r="C1591" i="64"/>
  <c r="D1591" i="64"/>
  <c r="F1591" i="64"/>
  <c r="J1591" i="64" s="1"/>
  <c r="C1592" i="64"/>
  <c r="D1592" i="64"/>
  <c r="F1592" i="64" a="1"/>
  <c r="F1592" i="64" s="1"/>
  <c r="J1592" i="64" s="1"/>
  <c r="C1593" i="64"/>
  <c r="D1593" i="64"/>
  <c r="C1594" i="64"/>
  <c r="D1594" i="64"/>
  <c r="C1595" i="64"/>
  <c r="D1595" i="64"/>
  <c r="B1599" i="64"/>
  <c r="C1599" i="64"/>
  <c r="D1599" i="64"/>
  <c r="F1603" i="64"/>
  <c r="J1603" i="64" s="1"/>
  <c r="D1605" i="64"/>
  <c r="F1605" i="64"/>
  <c r="J1605" i="64" s="1"/>
  <c r="D1606" i="64"/>
  <c r="F1606" i="64"/>
  <c r="J1606" i="64" s="1"/>
  <c r="D1607" i="64"/>
  <c r="F1607" i="64"/>
  <c r="J1607" i="64" s="1"/>
  <c r="J1608" i="64"/>
  <c r="D1609" i="64"/>
  <c r="F1609" i="64"/>
  <c r="J1609" i="64" s="1"/>
  <c r="F1610" i="64"/>
  <c r="J1610" i="64" s="1"/>
  <c r="F1611" i="64"/>
  <c r="J1611" i="64" s="1"/>
  <c r="D1612" i="64"/>
  <c r="F1612" i="64"/>
  <c r="J1612" i="64" s="1"/>
  <c r="D1613" i="64"/>
  <c r="F1613" i="64"/>
  <c r="J1613" i="64" s="1"/>
  <c r="D1614" i="64"/>
  <c r="F1614" i="64"/>
  <c r="J1614" i="64" s="1"/>
  <c r="D1615" i="64"/>
  <c r="F1615" i="64"/>
  <c r="J1615" i="64" s="1"/>
  <c r="D1616" i="64"/>
  <c r="D1617" i="64"/>
  <c r="F1617" i="64"/>
  <c r="J1617" i="64" s="1"/>
  <c r="F1619" i="64"/>
  <c r="J1619" i="64" s="1"/>
  <c r="F1620" i="64"/>
  <c r="J1620" i="64" s="1"/>
  <c r="F1621" i="64"/>
  <c r="J1621" i="64" s="1"/>
  <c r="D1622" i="64"/>
  <c r="F1623" i="64"/>
  <c r="J1623" i="64" s="1"/>
  <c r="D1624" i="64"/>
  <c r="F1624" i="64"/>
  <c r="J1624" i="64" s="1"/>
  <c r="D1625" i="64"/>
  <c r="F1625" i="64"/>
  <c r="J1625" i="64" s="1"/>
  <c r="D1626" i="64"/>
  <c r="F1626" i="64"/>
  <c r="J1626" i="64" s="1"/>
  <c r="D1627" i="64"/>
  <c r="F1627" i="64"/>
  <c r="J1627" i="64" s="1"/>
  <c r="D1628" i="64"/>
  <c r="F1628" i="64"/>
  <c r="J1628" i="64" s="1"/>
  <c r="D1629" i="64"/>
  <c r="D1630" i="64"/>
  <c r="F1630" i="64"/>
  <c r="J1630" i="64" s="1"/>
  <c r="D1631" i="64"/>
  <c r="F1631" i="64"/>
  <c r="J1631" i="64" s="1"/>
  <c r="D1632" i="64"/>
  <c r="F1632" i="64"/>
  <c r="J1632" i="64" s="1"/>
  <c r="D1633" i="64"/>
  <c r="F1633" i="64"/>
  <c r="J1633" i="64" s="1"/>
  <c r="D1634" i="64"/>
  <c r="F1634" i="64"/>
  <c r="J1634" i="64" s="1"/>
  <c r="D1635" i="64"/>
  <c r="F1635" i="64"/>
  <c r="J1635" i="64" s="1"/>
  <c r="D1636" i="64"/>
  <c r="F1636" i="64"/>
  <c r="J1636" i="64" s="1"/>
  <c r="D1637" i="64"/>
  <c r="F1637" i="64"/>
  <c r="J1637" i="64" s="1"/>
  <c r="D1638" i="64"/>
  <c r="F1638" i="64"/>
  <c r="J1638" i="64" s="1"/>
  <c r="D1639" i="64"/>
  <c r="F1639" i="64"/>
  <c r="J1639" i="64" s="1"/>
  <c r="D1640" i="64"/>
  <c r="F1640" i="64"/>
  <c r="J1640" i="64" s="1"/>
  <c r="D1641" i="64"/>
  <c r="F1641" i="64"/>
  <c r="J1641" i="64" s="1"/>
  <c r="D1642" i="64"/>
  <c r="F1642" i="64"/>
  <c r="J1642" i="64" s="1"/>
  <c r="D1643" i="64"/>
  <c r="F1643" i="64"/>
  <c r="J1643" i="64" s="1"/>
  <c r="D1644" i="64"/>
  <c r="F1644" i="64"/>
  <c r="J1644" i="64" s="1"/>
  <c r="D1645" i="64"/>
  <c r="F1645" i="64"/>
  <c r="J1645" i="64" s="1"/>
  <c r="D1646" i="64"/>
  <c r="F1646" i="64"/>
  <c r="J1646" i="64" s="1"/>
  <c r="D1647" i="64"/>
  <c r="F1647" i="64"/>
  <c r="J1647" i="64" s="1"/>
  <c r="D1648" i="64"/>
  <c r="F1648" i="64"/>
  <c r="J1648" i="64" s="1"/>
  <c r="D1649" i="64"/>
  <c r="F1649" i="64"/>
  <c r="J1649" i="64" s="1"/>
  <c r="D1650" i="64"/>
  <c r="F1650" i="64"/>
  <c r="J1650" i="64" s="1"/>
  <c r="D1651" i="64"/>
  <c r="F1651" i="64"/>
  <c r="J1651" i="64" s="1"/>
  <c r="D1652" i="64"/>
  <c r="F1652" i="64"/>
  <c r="J1652" i="64" s="1"/>
  <c r="D1653" i="64"/>
  <c r="F1653" i="64"/>
  <c r="J1653" i="64" s="1"/>
  <c r="D1654" i="64"/>
  <c r="F1654" i="64"/>
  <c r="J1654" i="64" s="1"/>
  <c r="D1655" i="64"/>
  <c r="F1655" i="64"/>
  <c r="J1655" i="64" s="1"/>
  <c r="D1656" i="64"/>
  <c r="F1656" i="64"/>
  <c r="J1656" i="64" s="1"/>
  <c r="D1657" i="64"/>
  <c r="F1657" i="64"/>
  <c r="J1657" i="64" s="1"/>
  <c r="D1658" i="64"/>
  <c r="F1658" i="64"/>
  <c r="J1658" i="64" s="1"/>
  <c r="D1659" i="64"/>
  <c r="F1659" i="64"/>
  <c r="J1659" i="64" s="1"/>
  <c r="D1660" i="64"/>
  <c r="F1660" i="64"/>
  <c r="J1660" i="64" s="1"/>
  <c r="D1661" i="64"/>
  <c r="F1661" i="64"/>
  <c r="J1661" i="64" s="1"/>
  <c r="D1662" i="64"/>
  <c r="F1662" i="64"/>
  <c r="J1662" i="64" s="1"/>
  <c r="F1663" i="64"/>
  <c r="J1663" i="64" s="1"/>
  <c r="D1664" i="64"/>
  <c r="F1664" i="64"/>
  <c r="J1664" i="64" s="1"/>
  <c r="D1666" i="64"/>
  <c r="F1666" i="64"/>
  <c r="J1666" i="64" s="1"/>
  <c r="D1667" i="64"/>
  <c r="F1667" i="64"/>
  <c r="J1667" i="64" s="1"/>
  <c r="D1668" i="64"/>
  <c r="F1668" i="64"/>
  <c r="J1668" i="64" s="1"/>
  <c r="J1669" i="64"/>
  <c r="D1670" i="64"/>
  <c r="D1671" i="64"/>
  <c r="F1671" i="64"/>
  <c r="J1671" i="64" s="1"/>
  <c r="D1672" i="64"/>
  <c r="F1672" i="64"/>
  <c r="J1672" i="64" s="1"/>
  <c r="D1673" i="64"/>
  <c r="F1673" i="64"/>
  <c r="J1673" i="64" s="1"/>
  <c r="D1674" i="64"/>
  <c r="F1674" i="64"/>
  <c r="J1674" i="64" s="1"/>
  <c r="D1675" i="64"/>
  <c r="F1675" i="64"/>
  <c r="J1675" i="64" s="1"/>
  <c r="D1676" i="64"/>
  <c r="F1676" i="64"/>
  <c r="J1676" i="64" s="1"/>
  <c r="D1677" i="64"/>
  <c r="F1677" i="64"/>
  <c r="J1677" i="64" s="1"/>
  <c r="D1678" i="64"/>
  <c r="F1678" i="64"/>
  <c r="J1678" i="64" s="1"/>
  <c r="D1679" i="64"/>
  <c r="F1679" i="64"/>
  <c r="J1679" i="64" s="1"/>
  <c r="D1680" i="64"/>
  <c r="F1680" i="64"/>
  <c r="J1680" i="64" s="1"/>
  <c r="D1681" i="64"/>
  <c r="F1681" i="64"/>
  <c r="J1681" i="64" s="1"/>
  <c r="D1682" i="64"/>
  <c r="F1682" i="64"/>
  <c r="J1682" i="64" s="1"/>
  <c r="D1683" i="64"/>
  <c r="F1683" i="64"/>
  <c r="J1683" i="64" s="1"/>
  <c r="D1684" i="64"/>
  <c r="F1684" i="64"/>
  <c r="J1684" i="64" s="1"/>
  <c r="D1685" i="64"/>
  <c r="F1685" i="64"/>
  <c r="J1685" i="64" s="1"/>
  <c r="D1686" i="64"/>
  <c r="F1686" i="64"/>
  <c r="J1686" i="64" s="1"/>
  <c r="D1687" i="64"/>
  <c r="F1687" i="64"/>
  <c r="J1687" i="64" s="1"/>
  <c r="D1688" i="64"/>
  <c r="F1688" i="64"/>
  <c r="J1688" i="64" s="1"/>
  <c r="D1689" i="64"/>
  <c r="F1689" i="64"/>
  <c r="J1689" i="64" s="1"/>
  <c r="D1690" i="64"/>
  <c r="F1690" i="64"/>
  <c r="J1690" i="64" s="1"/>
  <c r="D1691" i="64"/>
  <c r="F1691" i="64"/>
  <c r="J1691" i="64" s="1"/>
  <c r="D1692" i="64"/>
  <c r="F1692" i="64"/>
  <c r="J1692" i="64" s="1"/>
  <c r="D1693" i="64"/>
  <c r="F1693" i="64"/>
  <c r="J1693" i="64" s="1"/>
  <c r="J1694" i="64"/>
  <c r="J1695" i="64"/>
  <c r="D1696" i="64"/>
  <c r="F1696" i="64"/>
  <c r="J1696" i="64" s="1"/>
  <c r="D1697" i="64"/>
  <c r="D1698" i="64"/>
  <c r="J1698" i="64"/>
  <c r="D1699" i="64"/>
  <c r="J1699" i="64"/>
  <c r="F1700" i="64"/>
  <c r="J1700" i="64" s="1"/>
  <c r="F1701" i="64"/>
  <c r="J1701" i="64" s="1"/>
  <c r="F1702" i="64"/>
  <c r="J1702" i="64" s="1"/>
  <c r="F1703" i="64"/>
  <c r="J1703" i="64" s="1"/>
  <c r="E1704" i="64"/>
  <c r="F1704" i="64"/>
  <c r="J1704" i="64" s="1"/>
  <c r="F1705" i="64"/>
  <c r="J1705" i="64" s="1"/>
  <c r="F1706" i="64"/>
  <c r="J1706" i="64" s="1"/>
  <c r="C1795" i="64"/>
  <c r="F1795" i="64"/>
  <c r="J1795" i="64" s="1"/>
  <c r="C1796" i="64"/>
  <c r="D1796" i="64"/>
  <c r="F1796" i="64"/>
  <c r="J1796" i="64" s="1"/>
  <c r="C1797" i="64"/>
  <c r="D1797" i="64"/>
  <c r="F1797" i="64"/>
  <c r="J1797" i="64" s="1"/>
  <c r="C1798" i="64"/>
  <c r="D1798" i="64"/>
  <c r="F1798" i="64"/>
  <c r="J1798" i="64" s="1"/>
  <c r="C1799" i="64"/>
  <c r="D1799" i="64"/>
  <c r="F1799" i="64"/>
  <c r="J1799" i="64" s="1"/>
  <c r="C1800" i="64"/>
  <c r="D1800" i="64"/>
  <c r="F1800" i="64"/>
  <c r="J1800" i="64" s="1"/>
  <c r="C1801" i="64"/>
  <c r="D1801" i="64"/>
  <c r="F1801" i="64"/>
  <c r="J1801" i="64" s="1"/>
  <c r="C1802" i="64"/>
  <c r="D1802" i="64"/>
  <c r="F1802" i="64"/>
  <c r="J1802" i="64" s="1"/>
  <c r="C1803" i="64"/>
  <c r="D1803" i="64"/>
  <c r="F1803" i="64"/>
  <c r="J1803" i="64" s="1"/>
  <c r="C1804" i="64"/>
  <c r="D1804" i="64"/>
  <c r="F1804" i="64"/>
  <c r="J1804" i="64" s="1"/>
  <c r="C1805" i="64"/>
  <c r="D1805" i="64"/>
  <c r="F1805" i="64"/>
  <c r="J1805" i="64" s="1"/>
  <c r="C1806" i="64"/>
  <c r="D1806" i="64"/>
  <c r="F1806" i="64"/>
  <c r="J1806" i="64" s="1"/>
  <c r="C1807" i="64"/>
  <c r="D1807" i="64"/>
  <c r="F1807" i="64"/>
  <c r="J1807" i="64" s="1"/>
  <c r="C1810" i="64"/>
  <c r="D1810" i="64"/>
  <c r="F1810" i="64"/>
  <c r="J1810" i="64" s="1"/>
  <c r="C1817" i="64"/>
  <c r="F1817" i="64"/>
  <c r="J1817" i="64" s="1"/>
  <c r="C1814" i="64"/>
  <c r="F1814" i="64"/>
  <c r="J1814" i="64" s="1"/>
  <c r="C1818" i="64"/>
  <c r="D1818" i="64"/>
  <c r="F1818" i="64"/>
  <c r="J1818" i="64" s="1"/>
  <c r="C1811" i="64"/>
  <c r="D1811" i="64"/>
  <c r="J1811" i="64"/>
  <c r="C1819" i="64"/>
  <c r="C1820" i="64"/>
  <c r="F1820" i="64"/>
  <c r="J1820" i="64" s="1"/>
  <c r="C1822" i="64"/>
  <c r="D1822" i="64"/>
  <c r="F1822" i="64"/>
  <c r="J1822" i="64" s="1"/>
  <c r="C1823" i="64"/>
  <c r="D1823" i="64"/>
  <c r="F1823" i="64"/>
  <c r="J1823" i="64" s="1"/>
  <c r="C1809" i="64"/>
  <c r="J1809" i="64"/>
  <c r="C1824" i="64"/>
  <c r="D1824" i="64"/>
  <c r="F1824" i="64"/>
  <c r="J1824" i="64" s="1"/>
  <c r="C1825" i="64"/>
  <c r="D1825" i="64"/>
  <c r="F1825" i="64"/>
  <c r="J1825" i="64" s="1"/>
  <c r="C1826" i="64"/>
  <c r="D1826" i="64"/>
  <c r="F1826" i="64"/>
  <c r="J1826" i="64" s="1"/>
  <c r="C1827" i="64"/>
  <c r="D1827" i="64"/>
  <c r="F1827" i="64"/>
  <c r="J1827" i="64" s="1"/>
  <c r="C1828" i="64"/>
  <c r="F1828" i="64"/>
  <c r="J1828" i="64" s="1"/>
  <c r="C1829" i="64"/>
  <c r="D1829" i="64"/>
  <c r="F1829" i="64"/>
  <c r="J1829" i="64" s="1"/>
  <c r="C1830" i="64"/>
  <c r="D1830" i="64"/>
  <c r="F1830" i="64"/>
  <c r="J1830" i="64" s="1"/>
  <c r="C1831" i="64"/>
  <c r="D1831" i="64"/>
  <c r="F1831" i="64"/>
  <c r="J1831" i="64" s="1"/>
  <c r="C1835" i="64"/>
  <c r="F1835" i="64"/>
  <c r="J1835" i="64" s="1"/>
  <c r="C1836" i="64"/>
  <c r="F1836" i="64"/>
  <c r="J1836" i="64" s="1"/>
  <c r="C1837" i="64"/>
  <c r="D1837" i="64"/>
  <c r="F1837" i="64"/>
  <c r="J1837" i="64" s="1"/>
  <c r="C1839" i="64"/>
  <c r="D1839" i="64"/>
  <c r="C1840" i="64"/>
  <c r="D1840" i="64"/>
  <c r="F1842" i="64"/>
  <c r="J1842" i="64" s="1"/>
  <c r="F1843" i="64"/>
  <c r="J1843" i="64" s="1"/>
  <c r="F1844" i="64"/>
  <c r="J1844" i="64" s="1"/>
  <c r="D1847" i="64"/>
  <c r="F1847" i="64"/>
  <c r="J1847" i="64" s="1"/>
  <c r="D1848" i="64"/>
  <c r="F1848" i="64"/>
  <c r="J1848" i="64" s="1"/>
  <c r="D1849" i="64"/>
  <c r="F1849" i="64"/>
  <c r="J1849" i="64" s="1"/>
  <c r="D1850" i="64"/>
  <c r="D1852" i="64"/>
  <c r="F1852" i="64"/>
  <c r="J1852" i="64" s="1"/>
  <c r="D1853" i="64"/>
  <c r="F1853" i="64"/>
  <c r="J1853" i="64" s="1"/>
  <c r="D1854" i="64"/>
  <c r="D1855" i="64"/>
  <c r="D1856" i="64"/>
  <c r="D1857" i="64"/>
  <c r="D1858" i="64"/>
  <c r="C1861" i="64"/>
  <c r="D1861" i="64"/>
  <c r="F1861" i="64"/>
  <c r="J1861" i="64" s="1"/>
  <c r="C1862" i="64"/>
  <c r="D1862" i="64"/>
  <c r="C1863" i="64"/>
  <c r="D1863" i="64"/>
  <c r="D1708" i="64"/>
  <c r="D1731" i="64"/>
  <c r="F1731" i="64"/>
  <c r="J1731" i="64" s="1"/>
  <c r="E1737" i="64"/>
  <c r="G1737" i="64"/>
  <c r="E1739" i="64"/>
  <c r="G1739" i="64"/>
  <c r="D1749" i="64"/>
  <c r="E1749" i="64"/>
  <c r="G1749" i="64"/>
  <c r="H1749" i="64"/>
  <c r="D1759" i="64"/>
  <c r="D1761" i="64"/>
  <c r="D1774" i="64"/>
  <c r="D1760" i="64"/>
  <c r="D1766" i="64"/>
  <c r="D1773" i="64"/>
  <c r="F1782" i="64"/>
  <c r="J1782" i="64" s="1"/>
  <c r="F1783" i="64"/>
  <c r="J1783" i="64" s="1"/>
  <c r="F1788" i="64"/>
  <c r="J1788" i="64" s="1"/>
  <c r="D1776" i="64"/>
  <c r="F1909" i="64"/>
  <c r="J1909" i="64" s="1"/>
  <c r="F1906" i="64"/>
  <c r="J1906" i="64" s="1"/>
  <c r="F2168" i="64"/>
  <c r="J2168" i="64" s="1"/>
  <c r="D1999" i="64"/>
  <c r="J1567" i="64" l="1"/>
  <c r="F1571" i="64"/>
  <c r="J1571" i="64" s="1"/>
  <c r="J573" i="64"/>
  <c r="J571" i="64"/>
  <c r="J572" i="64"/>
  <c r="J609" i="64"/>
  <c r="J122" i="64"/>
  <c r="J749" i="64"/>
  <c r="J209" i="64"/>
  <c r="J583" i="64"/>
  <c r="J421" i="64"/>
  <c r="J746" i="64"/>
  <c r="J600" i="64"/>
  <c r="J587" i="64"/>
  <c r="J579" i="64"/>
  <c r="F1857" i="64"/>
  <c r="J1857" i="64" s="1"/>
  <c r="F1856" i="64"/>
  <c r="J1856" i="64" s="1"/>
  <c r="F1862" i="64"/>
  <c r="F1170" i="64"/>
  <c r="J1170" i="64" s="1"/>
  <c r="F1529" i="64"/>
  <c r="J1529" i="64" s="1"/>
  <c r="F1172" i="64"/>
  <c r="J1172" i="64" s="1"/>
  <c r="F1167" i="64"/>
  <c r="J1167" i="64" s="1"/>
  <c r="F1302" i="64"/>
  <c r="J1302" i="64" s="1"/>
  <c r="F1166" i="64"/>
  <c r="J1166" i="64" s="1"/>
  <c r="F1171" i="64"/>
  <c r="J1171" i="64" s="1"/>
  <c r="F1339" i="64"/>
  <c r="J1339" i="64" s="1"/>
  <c r="F1205" i="64"/>
  <c r="J1205" i="64" s="1"/>
  <c r="F1168" i="64"/>
  <c r="J1168" i="64" s="1"/>
  <c r="F1576" i="64"/>
  <c r="J1576" i="64" s="1"/>
  <c r="F1839" i="64"/>
  <c r="J1839" i="64" s="1"/>
  <c r="F1228" i="64"/>
  <c r="J1228" i="64" s="1"/>
  <c r="F1338" i="64"/>
  <c r="J1338" i="64" s="1"/>
  <c r="F1854" i="64"/>
  <c r="J1854" i="64" s="1"/>
  <c r="F1299" i="64" a="1"/>
  <c r="F1299" i="64" s="1"/>
  <c r="J1299" i="64" s="1"/>
  <c r="F1227" i="64"/>
  <c r="J1227" i="64" s="1"/>
  <c r="F1530" i="64"/>
  <c r="J1530" i="64" s="1"/>
  <c r="F1845" i="64"/>
  <c r="J1845" i="64" s="1"/>
  <c r="F1850" i="64"/>
  <c r="J1850" i="64" s="1"/>
  <c r="F1336" i="64"/>
  <c r="J1336" i="64" s="1"/>
  <c r="F1528" i="64"/>
  <c r="J1528" i="64" s="1"/>
  <c r="F1527" i="64"/>
  <c r="J1527" i="64" s="1"/>
  <c r="F1337" i="64"/>
  <c r="J1337" i="64" s="1"/>
  <c r="D974" i="64"/>
  <c r="D976" i="64"/>
  <c r="F971" i="64"/>
  <c r="J971" i="64" s="1"/>
  <c r="J1862" i="64" l="1"/>
  <c r="F1863" i="64"/>
  <c r="J1863" i="64" s="1"/>
  <c r="F1334" i="64"/>
  <c r="J1334" i="64" s="1"/>
  <c r="F1335" i="64"/>
  <c r="J1335" i="64" s="1"/>
  <c r="F1333" i="64"/>
  <c r="J1333" i="64" s="1"/>
  <c r="D965" i="64"/>
  <c r="C965" i="64"/>
  <c r="B965" i="64"/>
  <c r="K962" i="64"/>
  <c r="D964" i="64"/>
  <c r="D922" i="64"/>
  <c r="B922" i="64"/>
  <c r="D921" i="64"/>
  <c r="B921" i="64"/>
  <c r="D920" i="64"/>
  <c r="B920" i="64"/>
  <c r="D919" i="64"/>
  <c r="B919" i="64"/>
  <c r="D918" i="64"/>
  <c r="B918" i="64"/>
  <c r="D917" i="64"/>
  <c r="B917" i="64"/>
  <c r="D916" i="64"/>
  <c r="B916" i="64"/>
  <c r="D915" i="64"/>
  <c r="B915" i="64"/>
  <c r="D914" i="64"/>
  <c r="B914" i="64"/>
  <c r="D912" i="64"/>
  <c r="B912" i="64"/>
  <c r="D911" i="64"/>
  <c r="B911" i="64"/>
  <c r="D910" i="64"/>
  <c r="B910" i="64"/>
  <c r="D909" i="64"/>
  <c r="B909" i="64"/>
  <c r="D908" i="64"/>
  <c r="B908" i="64"/>
  <c r="D907" i="64"/>
  <c r="B907" i="64"/>
  <c r="D906" i="64"/>
  <c r="B906" i="64"/>
  <c r="D905" i="64"/>
  <c r="B905" i="64"/>
  <c r="D904" i="64"/>
  <c r="B904" i="64"/>
  <c r="D903" i="64"/>
  <c r="B903" i="64"/>
  <c r="D902" i="64"/>
  <c r="B902" i="64"/>
  <c r="D901" i="64"/>
  <c r="B901" i="64"/>
  <c r="D900" i="64"/>
  <c r="B900" i="64"/>
  <c r="D899" i="64"/>
  <c r="B899" i="64"/>
  <c r="D926" i="64"/>
  <c r="B926" i="64"/>
  <c r="D925" i="64"/>
  <c r="B925" i="64"/>
  <c r="D924" i="64"/>
  <c r="B924" i="64"/>
  <c r="D929" i="64"/>
  <c r="B929" i="64"/>
  <c r="D930" i="64"/>
  <c r="B930" i="64"/>
  <c r="D928" i="64"/>
  <c r="B928" i="64"/>
  <c r="D942" i="64"/>
  <c r="D944" i="64"/>
  <c r="D947" i="64"/>
  <c r="D946" i="64"/>
  <c r="D943" i="64"/>
  <c r="D941" i="64"/>
  <c r="D937" i="64"/>
  <c r="D939" i="64"/>
  <c r="D936" i="64"/>
  <c r="D933" i="64"/>
  <c r="D940" i="64"/>
  <c r="D945" i="64"/>
  <c r="D934" i="64"/>
  <c r="D935" i="64"/>
  <c r="D931" i="64"/>
  <c r="D952" i="64"/>
  <c r="D953" i="64"/>
  <c r="C953" i="64"/>
  <c r="B953" i="64"/>
  <c r="C952" i="64"/>
  <c r="B952" i="64"/>
  <c r="D951" i="64"/>
  <c r="C951" i="64"/>
  <c r="B951" i="64"/>
  <c r="F950" i="64"/>
  <c r="J950" i="64" s="1"/>
  <c r="D950" i="64"/>
  <c r="C950" i="64"/>
  <c r="B950" i="64"/>
  <c r="F949" i="64"/>
  <c r="J949" i="64" s="1"/>
  <c r="D949" i="64"/>
  <c r="C949" i="64"/>
  <c r="B949" i="64"/>
  <c r="F891" i="64"/>
  <c r="J891" i="64" s="1"/>
  <c r="D891" i="64"/>
  <c r="C891" i="64"/>
  <c r="B891" i="64"/>
  <c r="D860" i="64"/>
  <c r="B860" i="64"/>
  <c r="F814" i="64"/>
  <c r="J814" i="64" s="1"/>
  <c r="D814" i="64"/>
  <c r="C814" i="64"/>
  <c r="F813" i="64"/>
  <c r="D813" i="64"/>
  <c r="C813" i="64"/>
  <c r="D873" i="64"/>
  <c r="D871" i="64"/>
  <c r="D870" i="64"/>
  <c r="D869" i="64"/>
  <c r="C873" i="64"/>
  <c r="C871" i="64"/>
  <c r="C870" i="64"/>
  <c r="C869" i="64"/>
  <c r="B869" i="64"/>
  <c r="B870" i="64"/>
  <c r="B871" i="64"/>
  <c r="B873" i="64"/>
  <c r="J813" i="64" l="1"/>
  <c r="F1331" i="64"/>
  <c r="J1331" i="64" s="1"/>
  <c r="F1332" i="64"/>
  <c r="J1332" i="64" s="1"/>
  <c r="F1330" i="64"/>
  <c r="J1330" i="64" s="1"/>
  <c r="D811" i="64"/>
  <c r="B811" i="64"/>
  <c r="D810" i="64"/>
  <c r="B810" i="64"/>
  <c r="D809" i="64"/>
  <c r="B809" i="64"/>
  <c r="D808" i="64"/>
  <c r="B808" i="64"/>
  <c r="D807" i="64"/>
  <c r="B807" i="64"/>
  <c r="D806" i="64"/>
  <c r="B806" i="64"/>
  <c r="D805" i="64"/>
  <c r="B805" i="64"/>
  <c r="D804" i="64"/>
  <c r="B804" i="64"/>
  <c r="D803" i="64"/>
  <c r="B803" i="64"/>
  <c r="D802" i="64"/>
  <c r="B802" i="64"/>
  <c r="D801" i="64"/>
  <c r="B801" i="64"/>
  <c r="D800" i="64"/>
  <c r="B800" i="64"/>
  <c r="D799" i="64"/>
  <c r="B799" i="64"/>
  <c r="D798" i="64"/>
  <c r="B798" i="64"/>
  <c r="D797" i="64"/>
  <c r="B797" i="64"/>
  <c r="D790" i="64"/>
  <c r="D789" i="64"/>
  <c r="D787" i="64"/>
  <c r="D788" i="64"/>
  <c r="B787" i="64"/>
  <c r="B789" i="64"/>
  <c r="B791" i="64"/>
  <c r="B792" i="64"/>
  <c r="B793" i="64"/>
  <c r="B794" i="64"/>
  <c r="B790" i="64"/>
  <c r="B795" i="64"/>
  <c r="B788" i="64"/>
  <c r="D866" i="64"/>
  <c r="B866" i="64"/>
  <c r="D768" i="64" l="1"/>
  <c r="C768" i="64"/>
  <c r="B768" i="64"/>
  <c r="F2794" i="64"/>
  <c r="J2794" i="64" s="1"/>
  <c r="F961" i="64"/>
  <c r="J961" i="64" s="1"/>
  <c r="D758" i="64"/>
  <c r="C758" i="64"/>
  <c r="B758" i="64"/>
  <c r="F2704" i="64" a="1"/>
  <c r="F2704" i="64" s="1"/>
  <c r="J2704" i="64" s="1"/>
  <c r="B25" i="2"/>
  <c r="D741" i="64"/>
  <c r="C741" i="64"/>
  <c r="B741" i="64"/>
  <c r="F754" i="64" l="1"/>
  <c r="J754" i="64" s="1"/>
  <c r="F455" i="64"/>
  <c r="J455" i="64" s="1"/>
  <c r="F452" i="64"/>
  <c r="F451" i="64"/>
  <c r="J451" i="64" s="1"/>
  <c r="J740" i="64"/>
  <c r="F182" i="64"/>
  <c r="J182" i="64" l="1"/>
  <c r="D739" i="64"/>
  <c r="C739" i="64"/>
  <c r="B739" i="64"/>
  <c r="B854" i="64" l="1"/>
  <c r="B853" i="64"/>
  <c r="B852" i="64"/>
  <c r="B851" i="64"/>
  <c r="B850" i="64"/>
  <c r="B849" i="64"/>
  <c r="B848" i="64"/>
  <c r="B847" i="64"/>
  <c r="B846" i="64"/>
  <c r="B845" i="64"/>
  <c r="B844" i="64"/>
  <c r="B843" i="64"/>
  <c r="B842" i="64"/>
  <c r="B841" i="64"/>
  <c r="B840" i="64"/>
  <c r="B839" i="64"/>
  <c r="B838" i="64"/>
  <c r="B837" i="64"/>
  <c r="B836" i="64"/>
  <c r="B835" i="64"/>
  <c r="B834" i="64"/>
  <c r="B833" i="64"/>
  <c r="B832" i="64"/>
  <c r="B831" i="64"/>
  <c r="B830" i="64"/>
  <c r="B829" i="64"/>
  <c r="B828" i="64"/>
  <c r="B827" i="64"/>
  <c r="B826" i="64"/>
  <c r="B825" i="64"/>
  <c r="B824" i="64"/>
  <c r="B823" i="64"/>
  <c r="B822" i="64"/>
  <c r="B821" i="64"/>
  <c r="B819" i="64"/>
  <c r="B818" i="64"/>
  <c r="B817" i="64"/>
  <c r="B816" i="64"/>
  <c r="D816" i="64"/>
  <c r="J816" i="64"/>
  <c r="J818" i="64"/>
  <c r="J817" i="64"/>
  <c r="F2437" i="64"/>
  <c r="J2437" i="64" s="1"/>
  <c r="D1106" i="64"/>
  <c r="D1107" i="64"/>
  <c r="M395" i="52"/>
  <c r="M394" i="52"/>
  <c r="M393" i="52"/>
  <c r="M392" i="52"/>
  <c r="M391" i="52"/>
  <c r="M390" i="52"/>
  <c r="M389" i="52"/>
  <c r="M396" i="52"/>
  <c r="D1778" i="64"/>
  <c r="D1777" i="64"/>
  <c r="D1772" i="64"/>
  <c r="D1771" i="64"/>
  <c r="B385" i="52"/>
  <c r="F1772" i="64" s="1"/>
  <c r="J1772" i="64" s="1"/>
  <c r="D1770" i="64"/>
  <c r="F1769" i="64"/>
  <c r="J1769" i="64" s="1"/>
  <c r="F1768" i="64"/>
  <c r="J1768" i="64" s="1"/>
  <c r="D1769" i="64"/>
  <c r="D1768" i="64"/>
  <c r="D1763" i="64"/>
  <c r="F1763" i="64"/>
  <c r="J1763" i="64" s="1"/>
  <c r="D1765" i="64"/>
  <c r="F1762" i="64"/>
  <c r="J1762" i="64" s="1"/>
  <c r="D1762" i="64"/>
  <c r="J819" i="64" l="1"/>
  <c r="F820" i="64"/>
  <c r="J820" i="64" s="1"/>
  <c r="D1755" i="64"/>
  <c r="D1754" i="64"/>
  <c r="E395" i="52"/>
  <c r="E394" i="52"/>
  <c r="E393" i="52"/>
  <c r="E392" i="52"/>
  <c r="D1723" i="64"/>
  <c r="D1722" i="64"/>
  <c r="D1714" i="64"/>
  <c r="D1713" i="64"/>
  <c r="H1" i="52"/>
  <c r="C396" i="52" a="1"/>
  <c r="C396" i="52" s="1"/>
  <c r="K395" i="52"/>
  <c r="H395" i="52"/>
  <c r="M4" i="52"/>
  <c r="G1710" i="64" s="1"/>
  <c r="S9" i="13"/>
  <c r="C1757" i="64" l="1"/>
  <c r="F1757" i="64" s="1"/>
  <c r="F1752" i="64"/>
  <c r="J1752" i="64" s="1"/>
  <c r="C1711" i="64"/>
  <c r="C1721" i="64"/>
  <c r="C1708" i="64"/>
  <c r="C1712" i="64"/>
  <c r="C1724" i="64"/>
  <c r="C1739" i="64"/>
  <c r="G1751" i="64"/>
  <c r="C1749" i="64"/>
  <c r="C1710" i="64"/>
  <c r="C1716" i="64"/>
  <c r="C1756" i="64"/>
  <c r="C1737" i="64"/>
  <c r="C1726" i="64"/>
  <c r="C1709" i="64"/>
  <c r="C1715" i="64"/>
  <c r="C1731" i="64"/>
  <c r="G1753" i="64"/>
  <c r="K3" i="38"/>
  <c r="J7" i="38"/>
  <c r="J10" i="38"/>
  <c r="J1757" i="64" l="1"/>
  <c r="F1876" i="64"/>
  <c r="J1876" i="64" s="1"/>
  <c r="J692" i="64"/>
  <c r="G1564" i="64"/>
  <c r="F866" i="64"/>
  <c r="J866" i="64" s="1"/>
  <c r="F755" i="64"/>
  <c r="J3" i="38"/>
  <c r="A1" i="64"/>
  <c r="F6" i="38" l="1"/>
  <c r="J755" i="64"/>
  <c r="J6" i="38"/>
  <c r="D137" i="17"/>
  <c r="Q15" i="15"/>
  <c r="AO52" i="15" a="1"/>
  <c r="AO52" i="15" s="1"/>
  <c r="AN52" i="15" a="1"/>
  <c r="AN52" i="15" s="1"/>
  <c r="AM52" i="15" a="1"/>
  <c r="AM52" i="15" s="1"/>
  <c r="AL52" i="15" a="1"/>
  <c r="AL52" i="15" s="1"/>
  <c r="AK52" i="15" a="1"/>
  <c r="AK52" i="15" s="1"/>
  <c r="AJ52" i="15" a="1"/>
  <c r="AJ52" i="15" s="1"/>
  <c r="AI52" i="15" a="1"/>
  <c r="AI52" i="15" s="1"/>
  <c r="AH52" i="15" a="1"/>
  <c r="AH52" i="15" s="1"/>
  <c r="AG52" i="15" a="1"/>
  <c r="AG52" i="15" s="1"/>
  <c r="AF52" i="15" a="1"/>
  <c r="AF52" i="15" s="1"/>
  <c r="AE52" i="15" a="1"/>
  <c r="AE52" i="15" s="1"/>
  <c r="AD52" i="15" a="1"/>
  <c r="AD52" i="15" s="1"/>
  <c r="AC52" i="15" a="1"/>
  <c r="AC52" i="15" s="1"/>
  <c r="AB52" i="15" a="1"/>
  <c r="AB52" i="15" s="1"/>
  <c r="AA52" i="15" a="1"/>
  <c r="AA52" i="15" s="1"/>
  <c r="Z52" i="15" a="1"/>
  <c r="Z52" i="15" s="1"/>
  <c r="Y52" i="15" a="1"/>
  <c r="Y52" i="15" s="1"/>
  <c r="X52" i="15" a="1"/>
  <c r="X52" i="15" s="1"/>
  <c r="W52" i="15" a="1"/>
  <c r="W52" i="15" s="1"/>
  <c r="V52" i="15" a="1"/>
  <c r="V52" i="15" s="1"/>
  <c r="U51" i="15" a="1"/>
  <c r="U51" i="15" s="1"/>
  <c r="T51" i="15" a="1"/>
  <c r="T51" i="15" s="1"/>
  <c r="S51" i="15" a="1"/>
  <c r="S51" i="15" s="1"/>
  <c r="R51" i="15" a="1"/>
  <c r="R51" i="15" s="1"/>
  <c r="Q51" i="15" a="1"/>
  <c r="Q51" i="15" s="1"/>
  <c r="P51" i="15" a="1"/>
  <c r="P51" i="15" s="1"/>
  <c r="O51" i="15" a="1"/>
  <c r="O51" i="15" s="1"/>
  <c r="N51" i="15" a="1"/>
  <c r="N51" i="15" s="1"/>
  <c r="M51" i="15" a="1"/>
  <c r="M51" i="15" s="1"/>
  <c r="L51" i="15" a="1"/>
  <c r="L51" i="15" s="1"/>
  <c r="K51" i="15" a="1"/>
  <c r="K51" i="15" s="1"/>
  <c r="J51" i="15" a="1"/>
  <c r="J51" i="15" s="1"/>
  <c r="I51" i="15" a="1"/>
  <c r="I51" i="15" s="1"/>
  <c r="H51" i="15" a="1"/>
  <c r="H51" i="15" s="1"/>
  <c r="G51" i="15" a="1"/>
  <c r="G51" i="15" s="1"/>
  <c r="F51" i="15" a="1"/>
  <c r="F51" i="15" s="1"/>
  <c r="E51" i="15" a="1"/>
  <c r="E51" i="15" s="1"/>
  <c r="D51" i="15" a="1"/>
  <c r="D51" i="15" s="1"/>
  <c r="C51" i="15" a="1"/>
  <c r="C51" i="15" s="1"/>
  <c r="AO47" i="15" a="1"/>
  <c r="AO47" i="15" s="1"/>
  <c r="AN47" i="15" a="1"/>
  <c r="AN47" i="15" s="1"/>
  <c r="AM47" i="15" a="1"/>
  <c r="AM47" i="15" s="1"/>
  <c r="AL47" i="15" a="1"/>
  <c r="AL47" i="15" s="1"/>
  <c r="AK47" i="15" a="1"/>
  <c r="AK47" i="15" s="1"/>
  <c r="AJ47" i="15" a="1"/>
  <c r="AJ47" i="15" s="1"/>
  <c r="AI47" i="15" a="1"/>
  <c r="AI47" i="15" s="1"/>
  <c r="AH47" i="15" a="1"/>
  <c r="AH47" i="15" s="1"/>
  <c r="AG47" i="15" a="1"/>
  <c r="AG47" i="15" s="1"/>
  <c r="AF47" i="15" a="1"/>
  <c r="AF47" i="15" s="1"/>
  <c r="AE47" i="15" a="1"/>
  <c r="AE47" i="15" s="1"/>
  <c r="AD47" i="15" a="1"/>
  <c r="AD47" i="15" s="1"/>
  <c r="AC47" i="15" a="1"/>
  <c r="AC47" i="15" s="1"/>
  <c r="AB47" i="15" a="1"/>
  <c r="AB47" i="15" s="1"/>
  <c r="AA47" i="15" a="1"/>
  <c r="AA47" i="15" s="1"/>
  <c r="Z47" i="15" a="1"/>
  <c r="Z47" i="15" s="1"/>
  <c r="Y47" i="15" a="1"/>
  <c r="Y47" i="15" s="1"/>
  <c r="X47" i="15" a="1"/>
  <c r="X47" i="15" s="1"/>
  <c r="W47" i="15" a="1"/>
  <c r="W47" i="15" s="1"/>
  <c r="V47" i="15" a="1"/>
  <c r="V47" i="15" s="1"/>
  <c r="U46" i="15" a="1"/>
  <c r="U46" i="15" s="1"/>
  <c r="T46" i="15" a="1"/>
  <c r="T46" i="15" s="1"/>
  <c r="S46" i="15" a="1"/>
  <c r="S46" i="15" s="1"/>
  <c r="R46" i="15" a="1"/>
  <c r="R46" i="15" s="1"/>
  <c r="Q46" i="15" a="1"/>
  <c r="Q46" i="15" s="1"/>
  <c r="P46" i="15" a="1"/>
  <c r="P46" i="15" s="1"/>
  <c r="O46" i="15" a="1"/>
  <c r="O46" i="15" s="1"/>
  <c r="N46" i="15" a="1"/>
  <c r="N46" i="15" s="1"/>
  <c r="M46" i="15" a="1"/>
  <c r="M46" i="15" s="1"/>
  <c r="L46" i="15" a="1"/>
  <c r="L46" i="15" s="1"/>
  <c r="K46" i="15" a="1"/>
  <c r="K46" i="15" s="1"/>
  <c r="J46" i="15" a="1"/>
  <c r="J46" i="15" s="1"/>
  <c r="I46" i="15" a="1"/>
  <c r="I46" i="15" s="1"/>
  <c r="H46" i="15" a="1"/>
  <c r="H46" i="15" s="1"/>
  <c r="G46" i="15" a="1"/>
  <c r="G46" i="15" s="1"/>
  <c r="F46" i="15" a="1"/>
  <c r="F46" i="15" s="1"/>
  <c r="E46" i="15" a="1"/>
  <c r="E46" i="15" s="1"/>
  <c r="D46" i="15" a="1"/>
  <c r="D46" i="15" s="1"/>
  <c r="C46" i="15" a="1"/>
  <c r="C46" i="15" s="1"/>
  <c r="AO44" i="15" a="1"/>
  <c r="AO44" i="15" s="1"/>
  <c r="AN44" i="15" a="1"/>
  <c r="AN44" i="15" s="1"/>
  <c r="AM44" i="15" a="1"/>
  <c r="AM44" i="15" s="1"/>
  <c r="AL44" i="15" a="1"/>
  <c r="AL44" i="15" s="1"/>
  <c r="AK44" i="15" a="1"/>
  <c r="AK44" i="15" s="1"/>
  <c r="AJ44" i="15" a="1"/>
  <c r="AJ44" i="15" s="1"/>
  <c r="AI44" i="15" a="1"/>
  <c r="AI44" i="15" s="1"/>
  <c r="AH44" i="15" a="1"/>
  <c r="AH44" i="15" s="1"/>
  <c r="AG44" i="15" a="1"/>
  <c r="AG44" i="15" s="1"/>
  <c r="AF44" i="15" a="1"/>
  <c r="AF44" i="15" s="1"/>
  <c r="AE44" i="15" a="1"/>
  <c r="AE44" i="15" s="1"/>
  <c r="AD44" i="15" a="1"/>
  <c r="AD44" i="15" s="1"/>
  <c r="AC44" i="15" a="1"/>
  <c r="AC44" i="15" s="1"/>
  <c r="AB44" i="15" a="1"/>
  <c r="AB44" i="15" s="1"/>
  <c r="AA44" i="15" a="1"/>
  <c r="AA44" i="15" s="1"/>
  <c r="Z44" i="15" a="1"/>
  <c r="Z44" i="15" s="1"/>
  <c r="Y44" i="15" a="1"/>
  <c r="Y44" i="15" s="1"/>
  <c r="X44" i="15" a="1"/>
  <c r="X44" i="15" s="1"/>
  <c r="W44" i="15" a="1"/>
  <c r="W44" i="15" s="1"/>
  <c r="V44" i="15" a="1"/>
  <c r="V44" i="15" s="1"/>
  <c r="U44" i="15" a="1"/>
  <c r="U44" i="15" s="1"/>
  <c r="T44" i="15" a="1"/>
  <c r="T44" i="15" s="1"/>
  <c r="S44" i="15" a="1"/>
  <c r="S44" i="15" s="1"/>
  <c r="R44" i="15" a="1"/>
  <c r="R44" i="15" s="1"/>
  <c r="Q44" i="15" a="1"/>
  <c r="Q44" i="15" s="1"/>
  <c r="P44" i="15" a="1"/>
  <c r="P44" i="15" s="1"/>
  <c r="O44" i="15" a="1"/>
  <c r="O44" i="15" s="1"/>
  <c r="N44" i="15" a="1"/>
  <c r="N44" i="15" s="1"/>
  <c r="M44" i="15" a="1"/>
  <c r="M44" i="15" s="1"/>
  <c r="L44" i="15" a="1"/>
  <c r="L44" i="15" s="1"/>
  <c r="K44" i="15" a="1"/>
  <c r="K44" i="15" s="1"/>
  <c r="J44" i="15" a="1"/>
  <c r="J44" i="15" s="1"/>
  <c r="I44" i="15" a="1"/>
  <c r="I44" i="15" s="1"/>
  <c r="H44" i="15" a="1"/>
  <c r="H44" i="15" s="1"/>
  <c r="G44" i="15" a="1"/>
  <c r="G44" i="15" s="1"/>
  <c r="F44" i="15" a="1"/>
  <c r="F44" i="15" s="1"/>
  <c r="E44" i="15" a="1"/>
  <c r="E44" i="15" s="1"/>
  <c r="D44" i="15" a="1"/>
  <c r="D44" i="15" s="1"/>
  <c r="C44" i="15" a="1"/>
  <c r="C44" i="15" s="1"/>
  <c r="AO40" i="15" a="1"/>
  <c r="AO40" i="15" s="1"/>
  <c r="AN40" i="15" a="1"/>
  <c r="AN40" i="15" s="1"/>
  <c r="AM40" i="15" a="1"/>
  <c r="AM40" i="15" s="1"/>
  <c r="AL40" i="15" a="1"/>
  <c r="AL40" i="15" s="1"/>
  <c r="AK40" i="15" a="1"/>
  <c r="AK40" i="15" s="1"/>
  <c r="AJ40" i="15" a="1"/>
  <c r="AJ40" i="15" s="1"/>
  <c r="AI40" i="15" a="1"/>
  <c r="AI40" i="15" s="1"/>
  <c r="AH40" i="15" a="1"/>
  <c r="AH40" i="15" s="1"/>
  <c r="AG40" i="15" a="1"/>
  <c r="AG40" i="15" s="1"/>
  <c r="AF40" i="15" a="1"/>
  <c r="AF40" i="15" s="1"/>
  <c r="AE40" i="15" a="1"/>
  <c r="AE40" i="15" s="1"/>
  <c r="AD40" i="15" a="1"/>
  <c r="AD40" i="15" s="1"/>
  <c r="AC40" i="15" a="1"/>
  <c r="AC40" i="15" s="1"/>
  <c r="AB40" i="15" a="1"/>
  <c r="AB40" i="15" s="1"/>
  <c r="AA40" i="15" a="1"/>
  <c r="AA40" i="15" s="1"/>
  <c r="Z40" i="15" a="1"/>
  <c r="Z40" i="15" s="1"/>
  <c r="Y40" i="15" a="1"/>
  <c r="Y40" i="15" s="1"/>
  <c r="X40" i="15" a="1"/>
  <c r="X40" i="15" s="1"/>
  <c r="W40" i="15" a="1"/>
  <c r="W40" i="15" s="1"/>
  <c r="V40" i="15" a="1"/>
  <c r="V40" i="15" s="1"/>
  <c r="U40" i="15" a="1"/>
  <c r="U40" i="15" s="1"/>
  <c r="T40" i="15" a="1"/>
  <c r="T40" i="15" s="1"/>
  <c r="S40" i="15" a="1"/>
  <c r="S40" i="15" s="1"/>
  <c r="R40" i="15" a="1"/>
  <c r="R40" i="15" s="1"/>
  <c r="Q40" i="15" a="1"/>
  <c r="Q40" i="15" s="1"/>
  <c r="P40" i="15" a="1"/>
  <c r="P40" i="15" s="1"/>
  <c r="O40" i="15" a="1"/>
  <c r="O40" i="15" s="1"/>
  <c r="N40" i="15" a="1"/>
  <c r="N40" i="15" s="1"/>
  <c r="M40" i="15" a="1"/>
  <c r="M40" i="15" s="1"/>
  <c r="L40" i="15" a="1"/>
  <c r="L40" i="15" s="1"/>
  <c r="K40" i="15" a="1"/>
  <c r="K40" i="15" s="1"/>
  <c r="J40" i="15" a="1"/>
  <c r="J40" i="15" s="1"/>
  <c r="I40" i="15" a="1"/>
  <c r="I40" i="15" s="1"/>
  <c r="H40" i="15" a="1"/>
  <c r="H40" i="15" s="1"/>
  <c r="G40" i="15" a="1"/>
  <c r="G40" i="15" s="1"/>
  <c r="F40" i="15" a="1"/>
  <c r="F40" i="15" s="1"/>
  <c r="E40" i="15" a="1"/>
  <c r="E40" i="15" s="1"/>
  <c r="D40" i="15" a="1"/>
  <c r="D40" i="15" s="1"/>
  <c r="C40" i="15" a="1"/>
  <c r="C40" i="15" s="1"/>
  <c r="AO39" i="15" a="1"/>
  <c r="AO39" i="15" s="1"/>
  <c r="AN39" i="15" a="1"/>
  <c r="AN39" i="15" s="1"/>
  <c r="AM39" i="15" a="1"/>
  <c r="AM39" i="15" s="1"/>
  <c r="AL39" i="15" a="1"/>
  <c r="AL39" i="15" s="1"/>
  <c r="AK39" i="15" a="1"/>
  <c r="AK39" i="15" s="1"/>
  <c r="AJ39" i="15" a="1"/>
  <c r="AJ39" i="15" s="1"/>
  <c r="AI39" i="15" a="1"/>
  <c r="AI39" i="15" s="1"/>
  <c r="AH39" i="15" a="1"/>
  <c r="AH39" i="15" s="1"/>
  <c r="AG39" i="15" a="1"/>
  <c r="AG39" i="15" s="1"/>
  <c r="AF39" i="15" a="1"/>
  <c r="AF39" i="15" s="1"/>
  <c r="AE39" i="15" a="1"/>
  <c r="AE39" i="15" s="1"/>
  <c r="AD39" i="15" a="1"/>
  <c r="AD39" i="15" s="1"/>
  <c r="AC39" i="15" a="1"/>
  <c r="AC39" i="15" s="1"/>
  <c r="AB39" i="15" a="1"/>
  <c r="AB39" i="15" s="1"/>
  <c r="AA39" i="15" a="1"/>
  <c r="AA39" i="15" s="1"/>
  <c r="Z39" i="15" a="1"/>
  <c r="Z39" i="15" s="1"/>
  <c r="Y39" i="15" a="1"/>
  <c r="Y39" i="15" s="1"/>
  <c r="X39" i="15" a="1"/>
  <c r="X39" i="15" s="1"/>
  <c r="W39" i="15" a="1"/>
  <c r="W39" i="15" s="1"/>
  <c r="V39" i="15" a="1"/>
  <c r="V39" i="15" s="1"/>
  <c r="U39" i="15" a="1"/>
  <c r="U39" i="15" s="1"/>
  <c r="T39" i="15" a="1"/>
  <c r="T39" i="15" s="1"/>
  <c r="S39" i="15" a="1"/>
  <c r="S39" i="15" s="1"/>
  <c r="R39" i="15" a="1"/>
  <c r="R39" i="15" s="1"/>
  <c r="Q39" i="15" a="1"/>
  <c r="Q39" i="15" s="1"/>
  <c r="P39" i="15" a="1"/>
  <c r="P39" i="15" s="1"/>
  <c r="O39" i="15" a="1"/>
  <c r="O39" i="15" s="1"/>
  <c r="N39" i="15" a="1"/>
  <c r="N39" i="15" s="1"/>
  <c r="M39" i="15" a="1"/>
  <c r="M39" i="15" s="1"/>
  <c r="L39" i="15" a="1"/>
  <c r="L39" i="15" s="1"/>
  <c r="K39" i="15" a="1"/>
  <c r="K39" i="15" s="1"/>
  <c r="J39" i="15" a="1"/>
  <c r="J39" i="15" s="1"/>
  <c r="I39" i="15" a="1"/>
  <c r="I39" i="15" s="1"/>
  <c r="H39" i="15" a="1"/>
  <c r="H39" i="15" s="1"/>
  <c r="G39" i="15" a="1"/>
  <c r="G39" i="15" s="1"/>
  <c r="F39" i="15" a="1"/>
  <c r="F39" i="15" s="1"/>
  <c r="E39" i="15" a="1"/>
  <c r="E39" i="15" s="1"/>
  <c r="D39" i="15" a="1"/>
  <c r="D39" i="15" s="1"/>
  <c r="C39" i="15" a="1"/>
  <c r="C39" i="15" s="1"/>
  <c r="AO38" i="15" a="1"/>
  <c r="AO38" i="15" s="1"/>
  <c r="AN38" i="15" a="1"/>
  <c r="AN38" i="15" s="1"/>
  <c r="AM38" i="15" a="1"/>
  <c r="AM38" i="15" s="1"/>
  <c r="AL38" i="15" a="1"/>
  <c r="AL38" i="15" s="1"/>
  <c r="AK38" i="15" a="1"/>
  <c r="AK38" i="15" s="1"/>
  <c r="AJ38" i="15" a="1"/>
  <c r="AJ38" i="15" s="1"/>
  <c r="AI38" i="15" a="1"/>
  <c r="AI38" i="15" s="1"/>
  <c r="AH38" i="15" a="1"/>
  <c r="AH38" i="15" s="1"/>
  <c r="AG38" i="15" a="1"/>
  <c r="AG38" i="15" s="1"/>
  <c r="AF38" i="15" a="1"/>
  <c r="AF38" i="15" s="1"/>
  <c r="AE38" i="15" a="1"/>
  <c r="AE38" i="15" s="1"/>
  <c r="AD38" i="15" a="1"/>
  <c r="AD38" i="15" s="1"/>
  <c r="AC38" i="15" a="1"/>
  <c r="AC38" i="15" s="1"/>
  <c r="AB38" i="15" a="1"/>
  <c r="AB38" i="15" s="1"/>
  <c r="AA38" i="15" a="1"/>
  <c r="AA38" i="15" s="1"/>
  <c r="Z38" i="15" a="1"/>
  <c r="Z38" i="15" s="1"/>
  <c r="Y38" i="15" a="1"/>
  <c r="Y38" i="15" s="1"/>
  <c r="X38" i="15" a="1"/>
  <c r="X38" i="15" s="1"/>
  <c r="W38" i="15" a="1"/>
  <c r="W38" i="15" s="1"/>
  <c r="V38" i="15" a="1"/>
  <c r="V38" i="15" s="1"/>
  <c r="U38" i="15" a="1"/>
  <c r="U38" i="15" s="1"/>
  <c r="T38" i="15" a="1"/>
  <c r="T38" i="15" s="1"/>
  <c r="S38" i="15" a="1"/>
  <c r="S38" i="15" s="1"/>
  <c r="R38" i="15" a="1"/>
  <c r="R38" i="15" s="1"/>
  <c r="Q38" i="15" a="1"/>
  <c r="Q38" i="15" s="1"/>
  <c r="P38" i="15" a="1"/>
  <c r="P38" i="15" s="1"/>
  <c r="O38" i="15" a="1"/>
  <c r="O38" i="15" s="1"/>
  <c r="N38" i="15" a="1"/>
  <c r="N38" i="15" s="1"/>
  <c r="M38" i="15" a="1"/>
  <c r="M38" i="15" s="1"/>
  <c r="L38" i="15" a="1"/>
  <c r="L38" i="15" s="1"/>
  <c r="K38" i="15" a="1"/>
  <c r="K38" i="15" s="1"/>
  <c r="J38" i="15" a="1"/>
  <c r="J38" i="15" s="1"/>
  <c r="I38" i="15" a="1"/>
  <c r="I38" i="15" s="1"/>
  <c r="H38" i="15" a="1"/>
  <c r="H38" i="15" s="1"/>
  <c r="G38" i="15" a="1"/>
  <c r="G38" i="15" s="1"/>
  <c r="F38" i="15" a="1"/>
  <c r="F38" i="15" s="1"/>
  <c r="E38" i="15" a="1"/>
  <c r="E38" i="15" s="1"/>
  <c r="D38" i="15" a="1"/>
  <c r="D38" i="15" s="1"/>
  <c r="C38" i="15" a="1"/>
  <c r="C38" i="15" s="1"/>
  <c r="AO37" i="15" a="1"/>
  <c r="AO37" i="15" s="1"/>
  <c r="AN37" i="15" a="1"/>
  <c r="AN37" i="15" s="1"/>
  <c r="AM37" i="15" a="1"/>
  <c r="AM37" i="15" s="1"/>
  <c r="AL37" i="15" a="1"/>
  <c r="AL37" i="15" s="1"/>
  <c r="AK37" i="15" a="1"/>
  <c r="AK37" i="15" s="1"/>
  <c r="AJ37" i="15" a="1"/>
  <c r="AJ37" i="15" s="1"/>
  <c r="AI37" i="15" a="1"/>
  <c r="AI37" i="15" s="1"/>
  <c r="AH37" i="15" a="1"/>
  <c r="AH37" i="15" s="1"/>
  <c r="AG37" i="15" a="1"/>
  <c r="AG37" i="15" s="1"/>
  <c r="AF37" i="15" a="1"/>
  <c r="AF37" i="15" s="1"/>
  <c r="AE37" i="15" a="1"/>
  <c r="AE37" i="15" s="1"/>
  <c r="AD37" i="15" a="1"/>
  <c r="AD37" i="15" s="1"/>
  <c r="AC37" i="15" a="1"/>
  <c r="AC37" i="15" s="1"/>
  <c r="AB37" i="15" a="1"/>
  <c r="AB37" i="15" s="1"/>
  <c r="AA37" i="15" a="1"/>
  <c r="AA37" i="15" s="1"/>
  <c r="Z37" i="15" a="1"/>
  <c r="Z37" i="15" s="1"/>
  <c r="Y37" i="15" a="1"/>
  <c r="Y37" i="15" s="1"/>
  <c r="X37" i="15" a="1"/>
  <c r="X37" i="15" s="1"/>
  <c r="W37" i="15" a="1"/>
  <c r="W37" i="15" s="1"/>
  <c r="V37" i="15" a="1"/>
  <c r="V37" i="15" s="1"/>
  <c r="U37" i="15" a="1"/>
  <c r="U37" i="15" s="1"/>
  <c r="T37" i="15" a="1"/>
  <c r="T37" i="15" s="1"/>
  <c r="S37" i="15" a="1"/>
  <c r="S37" i="15" s="1"/>
  <c r="R37" i="15" a="1"/>
  <c r="R37" i="15" s="1"/>
  <c r="Q37" i="15" a="1"/>
  <c r="Q37" i="15" s="1"/>
  <c r="P37" i="15" a="1"/>
  <c r="P37" i="15" s="1"/>
  <c r="O37" i="15" a="1"/>
  <c r="O37" i="15" s="1"/>
  <c r="N37" i="15" a="1"/>
  <c r="N37" i="15" s="1"/>
  <c r="M37" i="15" a="1"/>
  <c r="M37" i="15" s="1"/>
  <c r="L37" i="15" a="1"/>
  <c r="L37" i="15" s="1"/>
  <c r="K37" i="15" a="1"/>
  <c r="K37" i="15" s="1"/>
  <c r="J37" i="15" a="1"/>
  <c r="J37" i="15" s="1"/>
  <c r="I37" i="15" a="1"/>
  <c r="I37" i="15" s="1"/>
  <c r="H37" i="15" a="1"/>
  <c r="H37" i="15" s="1"/>
  <c r="G37" i="15" a="1"/>
  <c r="G37" i="15" s="1"/>
  <c r="F37" i="15" a="1"/>
  <c r="F37" i="15" s="1"/>
  <c r="E37" i="15" a="1"/>
  <c r="E37" i="15" s="1"/>
  <c r="D37" i="15" a="1"/>
  <c r="D37" i="15" s="1"/>
  <c r="C37" i="15" a="1"/>
  <c r="C37" i="15" s="1"/>
  <c r="AO36" i="15" a="1"/>
  <c r="AO36" i="15" s="1"/>
  <c r="AN36" i="15" a="1"/>
  <c r="AN36" i="15" s="1"/>
  <c r="AM36" i="15" a="1"/>
  <c r="AM36" i="15" s="1"/>
  <c r="AL36" i="15" a="1"/>
  <c r="AL36" i="15" s="1"/>
  <c r="AK36" i="15" a="1"/>
  <c r="AK36" i="15" s="1"/>
  <c r="AJ36" i="15" a="1"/>
  <c r="AJ36" i="15" s="1"/>
  <c r="AI36" i="15" a="1"/>
  <c r="AI36" i="15" s="1"/>
  <c r="AH36" i="15" a="1"/>
  <c r="AH36" i="15" s="1"/>
  <c r="AG36" i="15" a="1"/>
  <c r="AG36" i="15" s="1"/>
  <c r="AF36" i="15" a="1"/>
  <c r="AF36" i="15" s="1"/>
  <c r="AE36" i="15" a="1"/>
  <c r="AE36" i="15" s="1"/>
  <c r="AD36" i="15" a="1"/>
  <c r="AD36" i="15" s="1"/>
  <c r="AC36" i="15" a="1"/>
  <c r="AC36" i="15" s="1"/>
  <c r="AB36" i="15" a="1"/>
  <c r="AB36" i="15" s="1"/>
  <c r="AA36" i="15" a="1"/>
  <c r="AA36" i="15" s="1"/>
  <c r="Z36" i="15" a="1"/>
  <c r="Z36" i="15" s="1"/>
  <c r="Y36" i="15" a="1"/>
  <c r="Y36" i="15" s="1"/>
  <c r="X36" i="15" a="1"/>
  <c r="X36" i="15" s="1"/>
  <c r="W36" i="15" a="1"/>
  <c r="W36" i="15" s="1"/>
  <c r="V36" i="15" a="1"/>
  <c r="V36" i="15" s="1"/>
  <c r="U36" i="15" a="1"/>
  <c r="U36" i="15" s="1"/>
  <c r="T36" i="15" a="1"/>
  <c r="T36" i="15" s="1"/>
  <c r="S36" i="15" a="1"/>
  <c r="S36" i="15" s="1"/>
  <c r="R36" i="15" a="1"/>
  <c r="R36" i="15" s="1"/>
  <c r="Q36" i="15" a="1"/>
  <c r="Q36" i="15" s="1"/>
  <c r="P36" i="15" a="1"/>
  <c r="P36" i="15" s="1"/>
  <c r="O36" i="15" a="1"/>
  <c r="O36" i="15" s="1"/>
  <c r="N36" i="15" a="1"/>
  <c r="N36" i="15" s="1"/>
  <c r="M36" i="15" a="1"/>
  <c r="M36" i="15" s="1"/>
  <c r="L36" i="15" a="1"/>
  <c r="L36" i="15" s="1"/>
  <c r="K36" i="15" a="1"/>
  <c r="K36" i="15" s="1"/>
  <c r="J36" i="15" a="1"/>
  <c r="J36" i="15" s="1"/>
  <c r="I36" i="15" a="1"/>
  <c r="I36" i="15" s="1"/>
  <c r="H36" i="15" a="1"/>
  <c r="H36" i="15" s="1"/>
  <c r="G36" i="15" a="1"/>
  <c r="G36" i="15" s="1"/>
  <c r="F36" i="15" a="1"/>
  <c r="F36" i="15" s="1"/>
  <c r="E36" i="15" a="1"/>
  <c r="E36" i="15" s="1"/>
  <c r="D36" i="15" a="1"/>
  <c r="D36" i="15" s="1"/>
  <c r="C36" i="15" a="1"/>
  <c r="C36" i="15" s="1"/>
  <c r="AO35" i="15" a="1"/>
  <c r="AO35" i="15" s="1"/>
  <c r="AN35" i="15" a="1"/>
  <c r="AN35" i="15" s="1"/>
  <c r="AM35" i="15" a="1"/>
  <c r="AM35" i="15" s="1"/>
  <c r="AL35" i="15" a="1"/>
  <c r="AL35" i="15" s="1"/>
  <c r="AK35" i="15" a="1"/>
  <c r="AK35" i="15" s="1"/>
  <c r="AJ35" i="15" a="1"/>
  <c r="AJ35" i="15" s="1"/>
  <c r="AI35" i="15" a="1"/>
  <c r="AI35" i="15" s="1"/>
  <c r="AH35" i="15" a="1"/>
  <c r="AH35" i="15" s="1"/>
  <c r="AG35" i="15" a="1"/>
  <c r="AG35" i="15" s="1"/>
  <c r="AF35" i="15" a="1"/>
  <c r="AF35" i="15" s="1"/>
  <c r="AE35" i="15" a="1"/>
  <c r="AE35" i="15" s="1"/>
  <c r="AD35" i="15" a="1"/>
  <c r="AD35" i="15" s="1"/>
  <c r="AC35" i="15" a="1"/>
  <c r="AC35" i="15" s="1"/>
  <c r="AB35" i="15" a="1"/>
  <c r="AB35" i="15" s="1"/>
  <c r="AA35" i="15" a="1"/>
  <c r="AA35" i="15" s="1"/>
  <c r="Z35" i="15" a="1"/>
  <c r="Z35" i="15" s="1"/>
  <c r="Y35" i="15" a="1"/>
  <c r="Y35" i="15" s="1"/>
  <c r="X35" i="15" a="1"/>
  <c r="X35" i="15" s="1"/>
  <c r="W35" i="15" a="1"/>
  <c r="W35" i="15" s="1"/>
  <c r="V35" i="15" a="1"/>
  <c r="V35" i="15" s="1"/>
  <c r="U35" i="15" a="1"/>
  <c r="U35" i="15" s="1"/>
  <c r="T35" i="15" a="1"/>
  <c r="T35" i="15" s="1"/>
  <c r="S35" i="15" a="1"/>
  <c r="S35" i="15" s="1"/>
  <c r="R35" i="15" a="1"/>
  <c r="R35" i="15" s="1"/>
  <c r="Q35" i="15" a="1"/>
  <c r="Q35" i="15" s="1"/>
  <c r="P35" i="15" a="1"/>
  <c r="P35" i="15" s="1"/>
  <c r="O35" i="15" a="1"/>
  <c r="O35" i="15" s="1"/>
  <c r="N35" i="15" a="1"/>
  <c r="N35" i="15" s="1"/>
  <c r="M35" i="15" a="1"/>
  <c r="M35" i="15" s="1"/>
  <c r="L35" i="15" a="1"/>
  <c r="L35" i="15" s="1"/>
  <c r="K35" i="15" a="1"/>
  <c r="K35" i="15" s="1"/>
  <c r="J35" i="15" a="1"/>
  <c r="J35" i="15" s="1"/>
  <c r="I35" i="15" a="1"/>
  <c r="I35" i="15" s="1"/>
  <c r="H35" i="15" a="1"/>
  <c r="H35" i="15" s="1"/>
  <c r="G35" i="15" a="1"/>
  <c r="G35" i="15" s="1"/>
  <c r="F35" i="15" a="1"/>
  <c r="F35" i="15" s="1"/>
  <c r="E35" i="15" a="1"/>
  <c r="E35" i="15" s="1"/>
  <c r="D35" i="15" a="1"/>
  <c r="D35" i="15" s="1"/>
  <c r="C35" i="15" a="1"/>
  <c r="C35" i="15" s="1"/>
  <c r="AO24" i="15" a="1"/>
  <c r="AO24" i="15" s="1"/>
  <c r="AN24" i="15" a="1"/>
  <c r="AN24" i="15" s="1"/>
  <c r="AM24" i="15" a="1"/>
  <c r="AM24" i="15" s="1"/>
  <c r="AL24" i="15" a="1"/>
  <c r="AL24" i="15" s="1"/>
  <c r="AK24" i="15" a="1"/>
  <c r="AK24" i="15" s="1"/>
  <c r="AJ24" i="15" a="1"/>
  <c r="AJ24" i="15" s="1"/>
  <c r="AI24" i="15" a="1"/>
  <c r="AI24" i="15" s="1"/>
  <c r="AH24" i="15" a="1"/>
  <c r="AH24" i="15" s="1"/>
  <c r="AG24" i="15" a="1"/>
  <c r="AG24" i="15" s="1"/>
  <c r="AF24" i="15" a="1"/>
  <c r="AF24" i="15" s="1"/>
  <c r="AE24" i="15" a="1"/>
  <c r="AE24" i="15" s="1"/>
  <c r="AD24" i="15" a="1"/>
  <c r="AD24" i="15" s="1"/>
  <c r="AC24" i="15" a="1"/>
  <c r="AC24" i="15" s="1"/>
  <c r="AB24" i="15" a="1"/>
  <c r="AB24" i="15" s="1"/>
  <c r="AA24" i="15" a="1"/>
  <c r="AA24" i="15" s="1"/>
  <c r="Z24" i="15" a="1"/>
  <c r="Z24" i="15" s="1"/>
  <c r="Y24" i="15" a="1"/>
  <c r="Y24" i="15" s="1"/>
  <c r="X24" i="15" a="1"/>
  <c r="X24" i="15" s="1"/>
  <c r="W24" i="15" a="1"/>
  <c r="W24" i="15" s="1"/>
  <c r="V24" i="15" a="1"/>
  <c r="V24" i="15" s="1"/>
  <c r="U23" i="15" a="1"/>
  <c r="U23" i="15" s="1"/>
  <c r="T23" i="15" a="1"/>
  <c r="T23" i="15" s="1"/>
  <c r="S23" i="15" a="1"/>
  <c r="S23" i="15" s="1"/>
  <c r="R23" i="15" a="1"/>
  <c r="R23" i="15" s="1"/>
  <c r="Q23" i="15" a="1"/>
  <c r="Q23" i="15" s="1"/>
  <c r="P23" i="15" a="1"/>
  <c r="P23" i="15" s="1"/>
  <c r="O23" i="15" a="1"/>
  <c r="O23" i="15" s="1"/>
  <c r="N23" i="15" a="1"/>
  <c r="N23" i="15" s="1"/>
  <c r="M23" i="15" a="1"/>
  <c r="M23" i="15" s="1"/>
  <c r="L23" i="15" a="1"/>
  <c r="L23" i="15" s="1"/>
  <c r="K23" i="15" a="1"/>
  <c r="K23" i="15" s="1"/>
  <c r="J23" i="15" a="1"/>
  <c r="J23" i="15" s="1"/>
  <c r="I23" i="15" a="1"/>
  <c r="I23" i="15" s="1"/>
  <c r="H23" i="15" a="1"/>
  <c r="H23" i="15" s="1"/>
  <c r="G23" i="15" a="1"/>
  <c r="G23" i="15" s="1"/>
  <c r="F23" i="15" a="1"/>
  <c r="F23" i="15" s="1"/>
  <c r="E23" i="15" a="1"/>
  <c r="E23" i="15" s="1"/>
  <c r="D23" i="15" a="1"/>
  <c r="D23" i="15" s="1"/>
  <c r="C23" i="15" a="1"/>
  <c r="C23" i="15" s="1"/>
  <c r="Y15" i="15" a="1"/>
  <c r="Y15" i="15" s="1"/>
  <c r="W15" i="15" a="1"/>
  <c r="W15" i="15" s="1"/>
  <c r="U15" i="15" a="1"/>
  <c r="U15" i="15" s="1"/>
  <c r="S15" i="15" a="1"/>
  <c r="S15" i="15" s="1"/>
  <c r="AO14" i="15" a="1"/>
  <c r="AO14" i="15" s="1"/>
  <c r="AN14" i="15" a="1"/>
  <c r="AN14" i="15" s="1"/>
  <c r="AM14" i="15" a="1"/>
  <c r="AM14" i="15" s="1"/>
  <c r="AL14" i="15" a="1"/>
  <c r="AL14" i="15" s="1"/>
  <c r="AK14" i="15" a="1"/>
  <c r="AK14" i="15" s="1"/>
  <c r="AJ14" i="15" a="1"/>
  <c r="AJ14" i="15" s="1"/>
  <c r="AI14" i="15" a="1"/>
  <c r="AI14" i="15" s="1"/>
  <c r="AH14" i="15" a="1"/>
  <c r="AH14" i="15" s="1"/>
  <c r="AG14" i="15" a="1"/>
  <c r="AG14" i="15" s="1"/>
  <c r="AF14" i="15" a="1"/>
  <c r="AF14" i="15" s="1"/>
  <c r="AE14" i="15" a="1"/>
  <c r="AE14" i="15" s="1"/>
  <c r="AD14" i="15" a="1"/>
  <c r="AD14" i="15" s="1"/>
  <c r="AC14" i="15" a="1"/>
  <c r="AC14" i="15" s="1"/>
  <c r="AB14" i="15" a="1"/>
  <c r="AB14" i="15" s="1"/>
  <c r="AA14" i="15" a="1"/>
  <c r="AA14" i="15" s="1"/>
  <c r="Z14" i="15" a="1"/>
  <c r="Z14" i="15" s="1"/>
  <c r="Y14" i="15" a="1"/>
  <c r="Y14" i="15" s="1"/>
  <c r="X14" i="15" a="1"/>
  <c r="X14" i="15" s="1"/>
  <c r="W14" i="15" a="1"/>
  <c r="W14" i="15" s="1"/>
  <c r="V14" i="15" a="1"/>
  <c r="V14" i="15" s="1"/>
  <c r="U13" i="15" a="1"/>
  <c r="U13" i="15" s="1"/>
  <c r="T13" i="15" a="1"/>
  <c r="T13" i="15" s="1"/>
  <c r="S13" i="15" a="1"/>
  <c r="S13" i="15" s="1"/>
  <c r="R13" i="15" a="1"/>
  <c r="R13" i="15" s="1"/>
  <c r="Q13" i="15" a="1"/>
  <c r="Q13" i="15" s="1"/>
  <c r="P13" i="15" a="1"/>
  <c r="P13" i="15" s="1"/>
  <c r="O13" i="15" a="1"/>
  <c r="O13" i="15" s="1"/>
  <c r="N13" i="15" a="1"/>
  <c r="N13" i="15" s="1"/>
  <c r="M13" i="15" a="1"/>
  <c r="M13" i="15" s="1"/>
  <c r="L13" i="15" a="1"/>
  <c r="L13" i="15" s="1"/>
  <c r="K13" i="15" a="1"/>
  <c r="K13" i="15" s="1"/>
  <c r="J13" i="15" a="1"/>
  <c r="J13" i="15" s="1"/>
  <c r="I13" i="15" a="1"/>
  <c r="I13" i="15" s="1"/>
  <c r="H13" i="15" a="1"/>
  <c r="H13" i="15" s="1"/>
  <c r="G13" i="15" a="1"/>
  <c r="G13" i="15" s="1"/>
  <c r="F13" i="15" a="1"/>
  <c r="F13" i="15" s="1"/>
  <c r="E13" i="15" a="1"/>
  <c r="E13" i="15" s="1"/>
  <c r="D13" i="15" a="1"/>
  <c r="D13" i="15" s="1"/>
  <c r="C13" i="15" a="1"/>
  <c r="C13" i="15" s="1"/>
  <c r="AO12" i="15" a="1"/>
  <c r="AO12" i="15" s="1"/>
  <c r="AN12" i="15" a="1"/>
  <c r="AN12" i="15" s="1"/>
  <c r="AM12" i="15" a="1"/>
  <c r="AM12" i="15" s="1"/>
  <c r="AL12" i="15" a="1"/>
  <c r="AL12" i="15" s="1"/>
  <c r="AK12" i="15" a="1"/>
  <c r="AK12" i="15" s="1"/>
  <c r="AJ12" i="15" a="1"/>
  <c r="AJ12" i="15" s="1"/>
  <c r="AI12" i="15" a="1"/>
  <c r="AI12" i="15" s="1"/>
  <c r="AH12" i="15" a="1"/>
  <c r="AH12" i="15" s="1"/>
  <c r="AG12" i="15" a="1"/>
  <c r="AG12" i="15" s="1"/>
  <c r="AF12" i="15" a="1"/>
  <c r="AF12" i="15" s="1"/>
  <c r="AE12" i="15" a="1"/>
  <c r="AE12" i="15" s="1"/>
  <c r="AD12" i="15" a="1"/>
  <c r="AD12" i="15" s="1"/>
  <c r="AC12" i="15" a="1"/>
  <c r="AC12" i="15" s="1"/>
  <c r="AB12" i="15" a="1"/>
  <c r="AB12" i="15" s="1"/>
  <c r="AA12" i="15" a="1"/>
  <c r="AA12" i="15" s="1"/>
  <c r="Z12" i="15" a="1"/>
  <c r="Z12" i="15" s="1"/>
  <c r="Y12" i="15" a="1"/>
  <c r="Y12" i="15" s="1"/>
  <c r="X12" i="15" a="1"/>
  <c r="X12" i="15" s="1"/>
  <c r="W12" i="15" a="1"/>
  <c r="W12" i="15" s="1"/>
  <c r="V12" i="15" a="1"/>
  <c r="V12" i="15" s="1"/>
  <c r="U11" i="15" a="1"/>
  <c r="U11" i="15" s="1"/>
  <c r="T11" i="15" a="1"/>
  <c r="T11" i="15" s="1"/>
  <c r="S11" i="15" a="1"/>
  <c r="S11" i="15" s="1"/>
  <c r="R11" i="15" a="1"/>
  <c r="R11" i="15" s="1"/>
  <c r="Q11" i="15" a="1"/>
  <c r="Q11" i="15" s="1"/>
  <c r="P11" i="15" a="1"/>
  <c r="P11" i="15" s="1"/>
  <c r="O11" i="15" a="1"/>
  <c r="O11" i="15" s="1"/>
  <c r="N11" i="15" a="1"/>
  <c r="N11" i="15" s="1"/>
  <c r="M11" i="15" a="1"/>
  <c r="M11" i="15" s="1"/>
  <c r="L11" i="15" a="1"/>
  <c r="L11" i="15" s="1"/>
  <c r="K11" i="15" a="1"/>
  <c r="K11" i="15" s="1"/>
  <c r="J11" i="15" a="1"/>
  <c r="J11" i="15" s="1"/>
  <c r="I11" i="15" a="1"/>
  <c r="I11" i="15" s="1"/>
  <c r="H11" i="15" a="1"/>
  <c r="H11" i="15" s="1"/>
  <c r="G11" i="15" a="1"/>
  <c r="G11" i="15" s="1"/>
  <c r="F11" i="15" a="1"/>
  <c r="F11" i="15" s="1"/>
  <c r="E11" i="15" a="1"/>
  <c r="E11" i="15" s="1"/>
  <c r="D11" i="15" a="1"/>
  <c r="D11" i="15" s="1"/>
  <c r="C11" i="15" a="1"/>
  <c r="C11" i="15" s="1"/>
  <c r="AO10" i="15" a="1"/>
  <c r="AO10" i="15" s="1"/>
  <c r="AN10" i="15" a="1"/>
  <c r="AN10" i="15" s="1"/>
  <c r="AM10" i="15" a="1"/>
  <c r="AM10" i="15" s="1"/>
  <c r="AL10" i="15" a="1"/>
  <c r="AL10" i="15" s="1"/>
  <c r="AK10" i="15" a="1"/>
  <c r="AK10" i="15" s="1"/>
  <c r="AJ10" i="15" a="1"/>
  <c r="AJ10" i="15" s="1"/>
  <c r="AI10" i="15" a="1"/>
  <c r="AI10" i="15" s="1"/>
  <c r="AH10" i="15" a="1"/>
  <c r="AH10" i="15" s="1"/>
  <c r="AG10" i="15" a="1"/>
  <c r="AG10" i="15" s="1"/>
  <c r="AF10" i="15" a="1"/>
  <c r="AF10" i="15" s="1"/>
  <c r="AE10" i="15" a="1"/>
  <c r="AE10" i="15" s="1"/>
  <c r="AD10" i="15" a="1"/>
  <c r="AD10" i="15" s="1"/>
  <c r="AC10" i="15" a="1"/>
  <c r="AC10" i="15" s="1"/>
  <c r="AB10" i="15" a="1"/>
  <c r="AB10" i="15" s="1"/>
  <c r="AA10" i="15" a="1"/>
  <c r="AA10" i="15" s="1"/>
  <c r="Z10" i="15" a="1"/>
  <c r="Z10" i="15" s="1"/>
  <c r="Y10" i="15" a="1"/>
  <c r="Y10" i="15" s="1"/>
  <c r="X10" i="15" a="1"/>
  <c r="X10" i="15" s="1"/>
  <c r="W10" i="15" a="1"/>
  <c r="W10" i="15" s="1"/>
  <c r="V10" i="15" a="1"/>
  <c r="V10" i="15" s="1"/>
  <c r="T9" i="15" a="1"/>
  <c r="T9" i="15" s="1"/>
  <c r="S9" i="15" a="1"/>
  <c r="S9" i="15" s="1"/>
  <c r="R9" i="15" a="1"/>
  <c r="R9" i="15" s="1"/>
  <c r="Q9" i="15" a="1"/>
  <c r="Q9" i="15" s="1"/>
  <c r="P9" i="15" a="1"/>
  <c r="P9" i="15" s="1"/>
  <c r="O9" i="15" a="1"/>
  <c r="O9" i="15" s="1"/>
  <c r="N9" i="15" a="1"/>
  <c r="N9" i="15" s="1"/>
  <c r="M9" i="15" a="1"/>
  <c r="M9" i="15" s="1"/>
  <c r="L9" i="15" a="1"/>
  <c r="L9" i="15" s="1"/>
  <c r="K9" i="15" a="1"/>
  <c r="K9" i="15" s="1"/>
  <c r="J9" i="15" a="1"/>
  <c r="J9" i="15" s="1"/>
  <c r="I9" i="15" a="1"/>
  <c r="I9" i="15" s="1"/>
  <c r="H9" i="15" a="1"/>
  <c r="H9" i="15" s="1"/>
  <c r="G9" i="15" a="1"/>
  <c r="G9" i="15" s="1"/>
  <c r="F9" i="15" a="1"/>
  <c r="F9" i="15" s="1"/>
  <c r="E9" i="15" a="1"/>
  <c r="E9" i="15" s="1"/>
  <c r="D9" i="15" a="1"/>
  <c r="D9" i="15" s="1"/>
  <c r="C9" i="15" a="1"/>
  <c r="C9" i="15" s="1"/>
  <c r="AO8" i="15" a="1"/>
  <c r="AO8" i="15" s="1"/>
  <c r="AN8" i="15" a="1"/>
  <c r="AN8" i="15" s="1"/>
  <c r="AM8" i="15" a="1"/>
  <c r="AM8" i="15" s="1"/>
  <c r="AL8" i="15" a="1"/>
  <c r="AL8" i="15" s="1"/>
  <c r="AK8" i="15" a="1"/>
  <c r="AK8" i="15" s="1"/>
  <c r="AJ8" i="15" a="1"/>
  <c r="AJ8" i="15" s="1"/>
  <c r="AI8" i="15" a="1"/>
  <c r="AI8" i="15" s="1"/>
  <c r="AH8" i="15" a="1"/>
  <c r="AH8" i="15" s="1"/>
  <c r="AG8" i="15" a="1"/>
  <c r="AG8" i="15" s="1"/>
  <c r="AF8" i="15" a="1"/>
  <c r="AF8" i="15" s="1"/>
  <c r="AE8" i="15" a="1"/>
  <c r="AE8" i="15" s="1"/>
  <c r="AD8" i="15" a="1"/>
  <c r="AD8" i="15" s="1"/>
  <c r="AC8" i="15" a="1"/>
  <c r="AC8" i="15" s="1"/>
  <c r="AB8" i="15" a="1"/>
  <c r="AB8" i="15" s="1"/>
  <c r="AA8" i="15" a="1"/>
  <c r="AA8" i="15" s="1"/>
  <c r="Z8" i="15" a="1"/>
  <c r="Z8" i="15" s="1"/>
  <c r="Y8" i="15" a="1"/>
  <c r="Y8" i="15" s="1"/>
  <c r="X8" i="15" a="1"/>
  <c r="X8" i="15" s="1"/>
  <c r="W8" i="15" a="1"/>
  <c r="W8" i="15" s="1"/>
  <c r="V8" i="15" a="1"/>
  <c r="V8" i="15" s="1"/>
  <c r="T7" i="15" a="1"/>
  <c r="T7" i="15" s="1"/>
  <c r="S7" i="15" a="1"/>
  <c r="S7" i="15" s="1"/>
  <c r="R7" i="15" a="1"/>
  <c r="R7" i="15" s="1"/>
  <c r="Q7" i="15" a="1"/>
  <c r="Q7" i="15" s="1"/>
  <c r="P7" i="15" a="1"/>
  <c r="P7" i="15" s="1"/>
  <c r="O7" i="15" a="1"/>
  <c r="O7" i="15" s="1"/>
  <c r="N7" i="15" a="1"/>
  <c r="N7" i="15" s="1"/>
  <c r="M7" i="15" a="1"/>
  <c r="M7" i="15" s="1"/>
  <c r="L7" i="15" a="1"/>
  <c r="L7" i="15" s="1"/>
  <c r="K7" i="15" a="1"/>
  <c r="K7" i="15" s="1"/>
  <c r="J7" i="15" a="1"/>
  <c r="J7" i="15" s="1"/>
  <c r="I7" i="15" a="1"/>
  <c r="I7" i="15" s="1"/>
  <c r="H7" i="15" a="1"/>
  <c r="H7" i="15" s="1"/>
  <c r="G7" i="15" a="1"/>
  <c r="G7" i="15" s="1"/>
  <c r="F7" i="15" a="1"/>
  <c r="F7" i="15" s="1"/>
  <c r="E7" i="15" a="1"/>
  <c r="E7" i="15" s="1"/>
  <c r="D7" i="15" a="1"/>
  <c r="D7" i="15" s="1"/>
  <c r="C7" i="15" a="1"/>
  <c r="C7" i="15" s="1"/>
  <c r="U50" i="15"/>
  <c r="U49" i="15" a="1"/>
  <c r="U49" i="15" s="1"/>
  <c r="AO43" i="15"/>
  <c r="AN43" i="15"/>
  <c r="AM43" i="15"/>
  <c r="AL43" i="15"/>
  <c r="AK43" i="15"/>
  <c r="AJ43" i="15"/>
  <c r="AI43" i="15"/>
  <c r="AH43" i="15"/>
  <c r="AG43" i="15"/>
  <c r="AF43" i="15"/>
  <c r="AE43" i="15"/>
  <c r="AD43" i="15"/>
  <c r="AC43" i="15"/>
  <c r="AB43" i="15"/>
  <c r="AA43" i="15"/>
  <c r="Z43" i="15"/>
  <c r="Y43" i="15"/>
  <c r="X43" i="15"/>
  <c r="W43" i="15"/>
  <c r="V43" i="15"/>
  <c r="U43" i="15"/>
  <c r="T43" i="15"/>
  <c r="S43" i="15"/>
  <c r="R43" i="15"/>
  <c r="Q43" i="15"/>
  <c r="P43" i="15"/>
  <c r="O43" i="15"/>
  <c r="N43" i="15"/>
  <c r="M43" i="15"/>
  <c r="L43" i="15"/>
  <c r="K43" i="15"/>
  <c r="J43" i="15"/>
  <c r="I43" i="15"/>
  <c r="H43" i="15"/>
  <c r="G43" i="15"/>
  <c r="F43" i="15"/>
  <c r="E43" i="15"/>
  <c r="D43" i="15"/>
  <c r="C43" i="15"/>
  <c r="AO42" i="15"/>
  <c r="AN42" i="15"/>
  <c r="AM42" i="15"/>
  <c r="AL42" i="15"/>
  <c r="AK42" i="15"/>
  <c r="AJ42" i="15"/>
  <c r="AI42" i="15"/>
  <c r="AH42" i="15"/>
  <c r="AG42" i="15"/>
  <c r="AF42" i="15"/>
  <c r="AE42" i="15"/>
  <c r="AD42" i="15"/>
  <c r="AC42" i="15"/>
  <c r="AB42" i="15"/>
  <c r="AA42" i="15"/>
  <c r="Z42" i="15"/>
  <c r="Y42" i="15"/>
  <c r="X42" i="15"/>
  <c r="W42" i="15"/>
  <c r="V42" i="15"/>
  <c r="U42" i="15"/>
  <c r="T42" i="15"/>
  <c r="S42" i="15"/>
  <c r="R42" i="15"/>
  <c r="Q42" i="15"/>
  <c r="P42" i="15"/>
  <c r="O42" i="15"/>
  <c r="N42" i="15"/>
  <c r="M42" i="15"/>
  <c r="L42" i="15"/>
  <c r="K42" i="15"/>
  <c r="J42" i="15"/>
  <c r="I42" i="15"/>
  <c r="H42" i="15"/>
  <c r="G42" i="15"/>
  <c r="F42" i="15"/>
  <c r="E42" i="15"/>
  <c r="D42" i="15"/>
  <c r="C42" i="15"/>
  <c r="AO41" i="15"/>
  <c r="AN41" i="15"/>
  <c r="AM41" i="15"/>
  <c r="AL41" i="15"/>
  <c r="AK41" i="15"/>
  <c r="AJ41" i="15"/>
  <c r="AI41" i="15"/>
  <c r="AH41" i="15"/>
  <c r="AG41" i="15"/>
  <c r="AF41" i="15"/>
  <c r="AE41" i="15"/>
  <c r="AD41" i="15"/>
  <c r="AC41" i="15"/>
  <c r="AB41" i="15"/>
  <c r="AA41" i="15"/>
  <c r="Z41" i="15"/>
  <c r="Y41" i="15"/>
  <c r="X41" i="15"/>
  <c r="W41" i="15"/>
  <c r="V41" i="15"/>
  <c r="U41" i="15"/>
  <c r="T41" i="15"/>
  <c r="S41" i="15"/>
  <c r="R41" i="15"/>
  <c r="Q41" i="15"/>
  <c r="P41" i="15"/>
  <c r="O41" i="15"/>
  <c r="N41" i="15"/>
  <c r="M41" i="15"/>
  <c r="L41" i="15"/>
  <c r="K41" i="15"/>
  <c r="J41" i="15"/>
  <c r="I41" i="15"/>
  <c r="H41" i="15"/>
  <c r="G41" i="15"/>
  <c r="F41" i="15"/>
  <c r="E41" i="15"/>
  <c r="D41" i="15"/>
  <c r="C41" i="15"/>
  <c r="AO34" i="15"/>
  <c r="AN34" i="15"/>
  <c r="AM34" i="15"/>
  <c r="AL34" i="15"/>
  <c r="AK34" i="15"/>
  <c r="AJ34" i="15"/>
  <c r="AI34" i="15"/>
  <c r="AH34" i="15"/>
  <c r="AG34" i="15"/>
  <c r="AF34" i="15"/>
  <c r="AE34" i="15"/>
  <c r="AD34" i="15"/>
  <c r="AC34" i="15"/>
  <c r="AB34" i="15"/>
  <c r="AA34" i="15"/>
  <c r="Z34" i="15"/>
  <c r="Y34" i="15"/>
  <c r="X34" i="15"/>
  <c r="W34" i="15"/>
  <c r="V34" i="15"/>
  <c r="U34" i="15"/>
  <c r="T34" i="15"/>
  <c r="S34" i="15"/>
  <c r="R34" i="15"/>
  <c r="Q34" i="15"/>
  <c r="P34" i="15"/>
  <c r="O34" i="15"/>
  <c r="N34" i="15"/>
  <c r="M34" i="15"/>
  <c r="L34" i="15"/>
  <c r="K34" i="15"/>
  <c r="J34" i="15"/>
  <c r="I34" i="15"/>
  <c r="H34" i="15"/>
  <c r="G34" i="15"/>
  <c r="F34" i="15"/>
  <c r="E34" i="15"/>
  <c r="D34" i="15"/>
  <c r="C34" i="15"/>
  <c r="AO33" i="15"/>
  <c r="AN33" i="15"/>
  <c r="AM33" i="15"/>
  <c r="AL33" i="15"/>
  <c r="AK33" i="15"/>
  <c r="AJ33" i="15"/>
  <c r="AI33" i="15"/>
  <c r="AH33" i="15"/>
  <c r="AG33" i="15"/>
  <c r="AF33" i="15"/>
  <c r="AE33" i="15"/>
  <c r="AD33" i="15"/>
  <c r="AC33" i="15"/>
  <c r="AB33" i="15"/>
  <c r="AA33" i="15"/>
  <c r="Z33" i="15"/>
  <c r="Y33" i="15"/>
  <c r="X33" i="15"/>
  <c r="W33" i="15"/>
  <c r="V33" i="15"/>
  <c r="U33" i="15"/>
  <c r="T33" i="15"/>
  <c r="S33" i="15"/>
  <c r="R33" i="15"/>
  <c r="Q33" i="15"/>
  <c r="P33" i="15"/>
  <c r="O33" i="15"/>
  <c r="N33" i="15"/>
  <c r="M33" i="15"/>
  <c r="L33" i="15"/>
  <c r="K33" i="15"/>
  <c r="J33" i="15"/>
  <c r="I33" i="15"/>
  <c r="H33" i="15"/>
  <c r="G33" i="15"/>
  <c r="F33" i="15"/>
  <c r="E33" i="15"/>
  <c r="D33" i="15"/>
  <c r="C33" i="15"/>
  <c r="AO32" i="15"/>
  <c r="AN32" i="15"/>
  <c r="AM32" i="15"/>
  <c r="AL32" i="15"/>
  <c r="AK32" i="15"/>
  <c r="AJ32" i="15"/>
  <c r="AI32" i="15"/>
  <c r="AH32" i="15"/>
  <c r="AG32" i="15"/>
  <c r="AF32" i="15"/>
  <c r="AE32" i="15"/>
  <c r="AD32" i="15"/>
  <c r="AC32" i="15"/>
  <c r="AB32" i="15"/>
  <c r="AA32" i="15"/>
  <c r="Z32" i="15"/>
  <c r="Y32" i="15"/>
  <c r="X32" i="15"/>
  <c r="W32" i="15"/>
  <c r="V32" i="15"/>
  <c r="U32" i="15"/>
  <c r="T32" i="15"/>
  <c r="S32" i="15"/>
  <c r="R32" i="15"/>
  <c r="Q32" i="15"/>
  <c r="P32" i="15"/>
  <c r="O32" i="15"/>
  <c r="N32" i="15"/>
  <c r="M32" i="15"/>
  <c r="L32" i="15"/>
  <c r="K32" i="15"/>
  <c r="J32" i="15"/>
  <c r="I32" i="15"/>
  <c r="H32" i="15"/>
  <c r="G32" i="15"/>
  <c r="F32" i="15"/>
  <c r="E32" i="15"/>
  <c r="D32" i="15"/>
  <c r="C32" i="15"/>
  <c r="AO31" i="15"/>
  <c r="AN31" i="15"/>
  <c r="AM31" i="15"/>
  <c r="AL31" i="15"/>
  <c r="AK31" i="15"/>
  <c r="AJ31" i="15"/>
  <c r="AI31" i="15"/>
  <c r="AH31" i="15"/>
  <c r="AG31" i="15"/>
  <c r="AF31" i="15"/>
  <c r="AE31" i="15"/>
  <c r="AD31" i="15"/>
  <c r="AC31" i="15"/>
  <c r="AB31" i="15"/>
  <c r="AA31" i="15"/>
  <c r="Z31" i="15"/>
  <c r="Y31" i="15"/>
  <c r="X31" i="15"/>
  <c r="W31" i="15"/>
  <c r="V31" i="15"/>
  <c r="U31" i="15"/>
  <c r="T31" i="15"/>
  <c r="S31" i="15"/>
  <c r="R31" i="15"/>
  <c r="Q31" i="15"/>
  <c r="P31" i="15"/>
  <c r="O31" i="15"/>
  <c r="N31" i="15"/>
  <c r="M31" i="15"/>
  <c r="L31" i="15"/>
  <c r="K31" i="15"/>
  <c r="J31" i="15"/>
  <c r="I31" i="15"/>
  <c r="H31" i="15"/>
  <c r="G31" i="15"/>
  <c r="F31" i="15"/>
  <c r="E31" i="15"/>
  <c r="D31" i="15"/>
  <c r="C31" i="15"/>
  <c r="AO30" i="15"/>
  <c r="AN30" i="15"/>
  <c r="AM30" i="15"/>
  <c r="AL30" i="15"/>
  <c r="AK30" i="15"/>
  <c r="AJ30" i="15"/>
  <c r="AI30" i="15"/>
  <c r="AH30" i="15"/>
  <c r="AG30" i="15"/>
  <c r="AF30" i="15"/>
  <c r="AE30" i="15"/>
  <c r="AD30" i="15"/>
  <c r="AC30" i="15"/>
  <c r="AB30" i="15"/>
  <c r="AA30" i="15"/>
  <c r="Z30" i="15"/>
  <c r="Y30" i="15"/>
  <c r="X30" i="15"/>
  <c r="W30" i="15"/>
  <c r="V30" i="15"/>
  <c r="U30" i="15"/>
  <c r="T30" i="15"/>
  <c r="S30" i="15"/>
  <c r="R30" i="15"/>
  <c r="Q30" i="15"/>
  <c r="P30" i="15"/>
  <c r="O30" i="15"/>
  <c r="N30" i="15"/>
  <c r="M30" i="15"/>
  <c r="L30" i="15"/>
  <c r="K30" i="15"/>
  <c r="J30" i="15"/>
  <c r="I30" i="15"/>
  <c r="H30" i="15"/>
  <c r="G30" i="15"/>
  <c r="F30" i="15"/>
  <c r="E30" i="15"/>
  <c r="D30" i="15"/>
  <c r="C30" i="15"/>
  <c r="AO29" i="15"/>
  <c r="AN29" i="15"/>
  <c r="AM29" i="15"/>
  <c r="AL29" i="15"/>
  <c r="AK29" i="15"/>
  <c r="AJ29" i="15"/>
  <c r="AI29" i="15"/>
  <c r="AH29" i="15"/>
  <c r="AG29" i="15"/>
  <c r="AF29" i="15"/>
  <c r="AE29" i="15"/>
  <c r="AD29" i="15"/>
  <c r="AC29" i="15"/>
  <c r="AB29" i="15"/>
  <c r="AA29" i="15"/>
  <c r="Z29" i="15"/>
  <c r="Y29" i="15"/>
  <c r="X29" i="15"/>
  <c r="W29" i="15"/>
  <c r="V29" i="15"/>
  <c r="U29" i="15"/>
  <c r="T29" i="15"/>
  <c r="S29" i="15"/>
  <c r="R29" i="15"/>
  <c r="Q29" i="15"/>
  <c r="P29" i="15"/>
  <c r="O29" i="15"/>
  <c r="N29" i="15"/>
  <c r="M29" i="15"/>
  <c r="L29" i="15"/>
  <c r="K29" i="15"/>
  <c r="J29" i="15"/>
  <c r="I29" i="15"/>
  <c r="H29" i="15"/>
  <c r="G29" i="15"/>
  <c r="F29" i="15"/>
  <c r="E29" i="15"/>
  <c r="D29" i="15"/>
  <c r="C29" i="15"/>
  <c r="U26" i="15"/>
  <c r="U21" i="15"/>
  <c r="S21" i="15"/>
  <c r="Q21" i="15"/>
  <c r="O21" i="15"/>
  <c r="M21" i="15"/>
  <c r="K21" i="15"/>
  <c r="I21" i="15"/>
  <c r="G21" i="15"/>
  <c r="E21" i="15"/>
  <c r="C21" i="15"/>
  <c r="U20" i="15"/>
  <c r="T20" i="15"/>
  <c r="S20" i="15"/>
  <c r="R20" i="15"/>
  <c r="Q20" i="15"/>
  <c r="P20" i="15"/>
  <c r="O20" i="15"/>
  <c r="N20" i="15"/>
  <c r="M20" i="15"/>
  <c r="L20" i="15"/>
  <c r="K20" i="15"/>
  <c r="J20" i="15"/>
  <c r="I20" i="15"/>
  <c r="H20" i="15"/>
  <c r="G20" i="15"/>
  <c r="F20" i="15"/>
  <c r="E20" i="15"/>
  <c r="D20" i="15"/>
  <c r="C20" i="15"/>
  <c r="U19" i="15"/>
  <c r="T19" i="15"/>
  <c r="S19" i="15"/>
  <c r="R19" i="15"/>
  <c r="Q19" i="15"/>
  <c r="P19" i="15"/>
  <c r="O19" i="15"/>
  <c r="N19" i="15"/>
  <c r="M19" i="15"/>
  <c r="L19" i="15"/>
  <c r="K19" i="15"/>
  <c r="J19" i="15"/>
  <c r="I19" i="15"/>
  <c r="H19" i="15"/>
  <c r="G19" i="15"/>
  <c r="F19" i="15"/>
  <c r="E19" i="15"/>
  <c r="D19" i="15"/>
  <c r="C19" i="15"/>
  <c r="U18" i="15"/>
  <c r="T18" i="15"/>
  <c r="S18" i="15"/>
  <c r="R18" i="15"/>
  <c r="Q18" i="15"/>
  <c r="P18" i="15"/>
  <c r="O18" i="15"/>
  <c r="N18" i="15"/>
  <c r="M18" i="15"/>
  <c r="L18" i="15"/>
  <c r="K18" i="15"/>
  <c r="J18" i="15"/>
  <c r="I18" i="15"/>
  <c r="H18" i="15"/>
  <c r="G18" i="15"/>
  <c r="F18" i="15"/>
  <c r="E18" i="15"/>
  <c r="D18" i="15"/>
  <c r="C18" i="15"/>
  <c r="U17" i="15"/>
  <c r="T17" i="15"/>
  <c r="S17" i="15"/>
  <c r="R17" i="15"/>
  <c r="Q17" i="15"/>
  <c r="P17" i="15"/>
  <c r="O17" i="15"/>
  <c r="N17" i="15"/>
  <c r="M17" i="15"/>
  <c r="L17" i="15"/>
  <c r="K17" i="15"/>
  <c r="J17" i="15"/>
  <c r="I17" i="15"/>
  <c r="H17" i="15"/>
  <c r="G17" i="15"/>
  <c r="F17" i="15"/>
  <c r="E17" i="15"/>
  <c r="D17" i="15"/>
  <c r="C17" i="15"/>
  <c r="AQ7" i="15"/>
  <c r="G12" i="47"/>
  <c r="J742" i="64" l="1"/>
  <c r="J1025" i="64" l="1"/>
  <c r="J1027" i="64"/>
  <c r="J1026" i="64"/>
  <c r="F2205" i="64" a="1"/>
  <c r="F2205" i="64" s="1"/>
  <c r="J1028" i="64"/>
  <c r="J1024" i="64"/>
  <c r="F1554" i="64" a="1"/>
  <c r="F1554" i="64" s="1"/>
  <c r="J1554" i="64" s="1"/>
  <c r="F33" i="64" a="1"/>
  <c r="F33" i="64" s="1"/>
  <c r="F2138" i="64" a="1"/>
  <c r="F2138" i="64" s="1"/>
  <c r="J2138" i="64" s="1"/>
  <c r="F1946" i="64"/>
  <c r="F1958" i="64"/>
  <c r="J1958" i="64" s="1"/>
  <c r="F2137" i="64" a="1"/>
  <c r="F2137" i="64" s="1"/>
  <c r="J2137" i="64" s="1"/>
  <c r="F1549" i="64" a="1"/>
  <c r="F1549" i="64" s="1"/>
  <c r="J1549" i="64" s="1"/>
  <c r="J842" i="64"/>
  <c r="F798" i="64" a="1"/>
  <c r="F798" i="64" s="1"/>
  <c r="J798" i="64" s="1"/>
  <c r="F811" i="64" a="1"/>
  <c r="F811" i="64" s="1"/>
  <c r="J803" i="64"/>
  <c r="F810" i="64" a="1"/>
  <c r="F810" i="64" s="1"/>
  <c r="F799" i="64" a="1"/>
  <c r="F799" i="64" s="1"/>
  <c r="J799" i="64" s="1"/>
  <c r="F809" i="64" a="1"/>
  <c r="F809" i="64" s="1"/>
  <c r="F801" i="64" a="1"/>
  <c r="F801" i="64" s="1"/>
  <c r="J801" i="64" s="1"/>
  <c r="F808" i="64" a="1"/>
  <c r="F808" i="64" s="1"/>
  <c r="F807" i="64" a="1"/>
  <c r="F807" i="64" s="1"/>
  <c r="F806" i="64" a="1"/>
  <c r="F806" i="64" s="1"/>
  <c r="F805" i="64" a="1"/>
  <c r="F805" i="64" s="1"/>
  <c r="F797" i="64" a="1"/>
  <c r="F797" i="64" s="1"/>
  <c r="J797" i="64" s="1"/>
  <c r="F802" i="64" a="1"/>
  <c r="F802" i="64" s="1"/>
  <c r="J802" i="64" s="1"/>
  <c r="F804" i="64" a="1"/>
  <c r="F804" i="64" s="1"/>
  <c r="J804" i="64" s="1"/>
  <c r="F800" i="64" a="1"/>
  <c r="F800" i="64" s="1"/>
  <c r="J800" i="64" s="1"/>
  <c r="A518" i="46"/>
  <c r="A527" i="46"/>
  <c r="A535" i="46"/>
  <c r="A543" i="46"/>
  <c r="A551" i="46"/>
  <c r="A559" i="46"/>
  <c r="A567" i="46"/>
  <c r="A575" i="46"/>
  <c r="A583" i="46"/>
  <c r="A581" i="46"/>
  <c r="A511" i="46"/>
  <c r="A519" i="46"/>
  <c r="A528" i="46"/>
  <c r="A536" i="46"/>
  <c r="A544" i="46"/>
  <c r="A552" i="46"/>
  <c r="A560" i="46"/>
  <c r="A568" i="46"/>
  <c r="A576" i="46"/>
  <c r="A584" i="46"/>
  <c r="A533" i="46"/>
  <c r="A565" i="46"/>
  <c r="A512" i="46"/>
  <c r="A520" i="46"/>
  <c r="A529" i="46"/>
  <c r="A537" i="46"/>
  <c r="A545" i="46"/>
  <c r="A553" i="46"/>
  <c r="A561" i="46"/>
  <c r="A569" i="46"/>
  <c r="A577" i="46"/>
  <c r="A526" i="46"/>
  <c r="A573" i="46"/>
  <c r="A513" i="46"/>
  <c r="A521" i="46"/>
  <c r="A530" i="46"/>
  <c r="A538" i="46"/>
  <c r="A546" i="46"/>
  <c r="A554" i="46"/>
  <c r="A562" i="46"/>
  <c r="A570" i="46"/>
  <c r="A578" i="46"/>
  <c r="A516" i="46"/>
  <c r="A541" i="46"/>
  <c r="A549" i="46"/>
  <c r="A514" i="46"/>
  <c r="A522" i="46"/>
  <c r="A531" i="46"/>
  <c r="A539" i="46"/>
  <c r="A547" i="46"/>
  <c r="A555" i="46"/>
  <c r="A563" i="46"/>
  <c r="A571" i="46"/>
  <c r="A579" i="46"/>
  <c r="A524" i="46"/>
  <c r="A557" i="46"/>
  <c r="A515" i="46"/>
  <c r="A523" i="46"/>
  <c r="A532" i="46"/>
  <c r="A540" i="46"/>
  <c r="A548" i="46"/>
  <c r="A556" i="46"/>
  <c r="A564" i="46"/>
  <c r="A572" i="46"/>
  <c r="A580" i="46"/>
  <c r="A517" i="46"/>
  <c r="A525" i="46"/>
  <c r="A534" i="46"/>
  <c r="A542" i="46"/>
  <c r="A550" i="46"/>
  <c r="A558" i="46"/>
  <c r="A566" i="46"/>
  <c r="A574" i="46"/>
  <c r="A582" i="46"/>
  <c r="F2139" i="64" a="1"/>
  <c r="F2139" i="64" s="1"/>
  <c r="J2139" i="64" s="1"/>
  <c r="F2135" i="64" a="1"/>
  <c r="F2135" i="64" s="1"/>
  <c r="J2135" i="64" s="1"/>
  <c r="F2140" i="64" a="1"/>
  <c r="F2140" i="64" s="1"/>
  <c r="J2140" i="64" s="1"/>
  <c r="F2136" i="64" a="1"/>
  <c r="F2136" i="64" s="1"/>
  <c r="J2136" i="64" s="1"/>
  <c r="F2134" i="64" a="1"/>
  <c r="F2134" i="64" s="1"/>
  <c r="J2134" i="64" s="1"/>
  <c r="F612" i="64" a="1"/>
  <c r="F612" i="64" s="1"/>
  <c r="J555" i="64"/>
  <c r="J846" i="64"/>
  <c r="J838" i="64"/>
  <c r="J830" i="64"/>
  <c r="J827" i="64"/>
  <c r="J845" i="64"/>
  <c r="J837" i="64"/>
  <c r="J829" i="64"/>
  <c r="J822" i="64"/>
  <c r="J843" i="64"/>
  <c r="J835" i="64"/>
  <c r="J834" i="64"/>
  <c r="J826" i="64"/>
  <c r="J844" i="64"/>
  <c r="J841" i="64"/>
  <c r="J833" i="64"/>
  <c r="J825" i="64"/>
  <c r="J836" i="64"/>
  <c r="J840" i="64"/>
  <c r="J832" i="64"/>
  <c r="J824" i="64"/>
  <c r="J828" i="64"/>
  <c r="J847" i="64"/>
  <c r="J839" i="64"/>
  <c r="J831" i="64"/>
  <c r="J823" i="64"/>
  <c r="J821" i="64"/>
  <c r="F1923" i="64" a="1"/>
  <c r="F1923" i="64" s="1"/>
  <c r="J1923" i="64" s="1"/>
  <c r="F1922" i="64" a="1"/>
  <c r="F1922" i="64" s="1"/>
  <c r="J1922" i="64" s="1"/>
  <c r="F34" i="64"/>
  <c r="F64" i="64"/>
  <c r="J64" i="64" s="1"/>
  <c r="F173" i="64"/>
  <c r="F1557" i="64" a="1"/>
  <c r="F1557" i="64" s="1"/>
  <c r="J1557" i="64" s="1"/>
  <c r="F489" i="64"/>
  <c r="F1550" i="64" a="1"/>
  <c r="F1550" i="64" s="1"/>
  <c r="J1550" i="64" s="1"/>
  <c r="F1558" i="64" a="1"/>
  <c r="F1558" i="64" s="1"/>
  <c r="J1558" i="64" s="1"/>
  <c r="F1553" i="64" a="1"/>
  <c r="F1553" i="64" s="1"/>
  <c r="J1553" i="64" s="1"/>
  <c r="F1561" i="64" a="1"/>
  <c r="F1561" i="64" s="1"/>
  <c r="J1561" i="64" s="1"/>
  <c r="F1552" i="64" a="1"/>
  <c r="F1552" i="64" s="1"/>
  <c r="J1552" i="64" s="1"/>
  <c r="F1560" i="64" a="1"/>
  <c r="F1560" i="64" s="1"/>
  <c r="J1560" i="64" s="1"/>
  <c r="F1556" i="64" a="1"/>
  <c r="F1556" i="64" s="1"/>
  <c r="J1556" i="64" s="1"/>
  <c r="F1551" i="64" a="1"/>
  <c r="F1551" i="64" s="1"/>
  <c r="J1551" i="64" s="1"/>
  <c r="F1562" i="64" a="1"/>
  <c r="F1562" i="64" s="1"/>
  <c r="J1562" i="64" s="1"/>
  <c r="F372" i="64" a="1"/>
  <c r="F372" i="64" s="1"/>
  <c r="F1555" i="64" a="1"/>
  <c r="F1555" i="64" s="1"/>
  <c r="J1555" i="64" s="1"/>
  <c r="F701" i="64" a="1"/>
  <c r="F701" i="64" s="1"/>
  <c r="J701" i="64" s="1"/>
  <c r="F1548" i="64" a="1"/>
  <c r="F1548" i="64" s="1"/>
  <c r="J1548" i="64" s="1"/>
  <c r="F1559" i="64" a="1"/>
  <c r="F1559" i="64" s="1"/>
  <c r="J1559" i="64" s="1"/>
  <c r="F940" i="64"/>
  <c r="J940" i="64" s="1"/>
  <c r="F931" i="64"/>
  <c r="J931" i="64" s="1"/>
  <c r="F922" i="64"/>
  <c r="J922" i="64" s="1"/>
  <c r="F914" i="64"/>
  <c r="J914" i="64" s="1"/>
  <c r="F905" i="64"/>
  <c r="J905" i="64" s="1"/>
  <c r="F947" i="64"/>
  <c r="J947" i="64" s="1"/>
  <c r="F939" i="64"/>
  <c r="J939" i="64" s="1"/>
  <c r="F930" i="64"/>
  <c r="J930" i="64" s="1"/>
  <c r="F919" i="64"/>
  <c r="J919" i="64" s="1"/>
  <c r="F902" i="64"/>
  <c r="J902" i="64" s="1"/>
  <c r="F946" i="64"/>
  <c r="J946" i="64" s="1"/>
  <c r="F929" i="64"/>
  <c r="J929" i="64" s="1"/>
  <c r="F899" i="64"/>
  <c r="J899" i="64" s="1"/>
  <c r="F945" i="64"/>
  <c r="J945" i="64" s="1"/>
  <c r="F928" i="64"/>
  <c r="J928" i="64" s="1"/>
  <c r="F921" i="64"/>
  <c r="J921" i="64" s="1"/>
  <c r="F904" i="64"/>
  <c r="J904" i="64" s="1"/>
  <c r="F944" i="64"/>
  <c r="J944" i="64" s="1"/>
  <c r="F927" i="64"/>
  <c r="J927" i="64" s="1"/>
  <c r="F918" i="64"/>
  <c r="J918" i="64" s="1"/>
  <c r="F909" i="64"/>
  <c r="J909" i="64" s="1"/>
  <c r="F901" i="64"/>
  <c r="J901" i="64" s="1"/>
  <c r="F943" i="64"/>
  <c r="J943" i="64" s="1"/>
  <c r="F934" i="64"/>
  <c r="J934" i="64" s="1"/>
  <c r="F926" i="64"/>
  <c r="J926" i="64" s="1"/>
  <c r="F915" i="64"/>
  <c r="J915" i="64" s="1"/>
  <c r="F906" i="64"/>
  <c r="J906" i="64" s="1"/>
  <c r="F942" i="64"/>
  <c r="J942" i="64" s="1"/>
  <c r="F933" i="64"/>
  <c r="J933" i="64" s="1"/>
  <c r="F925" i="64"/>
  <c r="J925" i="64" s="1"/>
  <c r="F920" i="64"/>
  <c r="J920" i="64" s="1"/>
  <c r="F903" i="64"/>
  <c r="J903" i="64" s="1"/>
  <c r="F924" i="64"/>
  <c r="J924" i="64" s="1"/>
  <c r="F917" i="64"/>
  <c r="J917" i="64" s="1"/>
  <c r="F908" i="64"/>
  <c r="J908" i="64" s="1"/>
  <c r="F900" i="64"/>
  <c r="J900" i="64" s="1"/>
  <c r="G19" i="64" l="1"/>
  <c r="F19" i="64" s="1"/>
  <c r="E511" i="46"/>
  <c r="J34" i="64"/>
  <c r="J173" i="64"/>
  <c r="J807" i="64"/>
  <c r="J850" i="64"/>
  <c r="J808" i="64"/>
  <c r="J809" i="64"/>
  <c r="J372" i="64"/>
  <c r="J489" i="64"/>
  <c r="J848" i="64"/>
  <c r="J849" i="64"/>
  <c r="J805" i="64"/>
  <c r="J806" i="64"/>
  <c r="J852" i="64"/>
  <c r="J810" i="64"/>
  <c r="J854" i="64"/>
  <c r="J811" i="64"/>
  <c r="J612" i="64"/>
  <c r="J853" i="64"/>
  <c r="J851" i="64"/>
  <c r="U8" i="25" a="1"/>
  <c r="U8" i="25" s="1"/>
  <c r="C95" i="64"/>
  <c r="C87" i="64"/>
  <c r="C86" i="64"/>
  <c r="C84" i="64"/>
  <c r="C83" i="64"/>
  <c r="C82" i="64"/>
  <c r="C81" i="64"/>
  <c r="C80" i="64"/>
  <c r="F2421" i="64"/>
  <c r="J2421" i="64" s="1"/>
  <c r="F2420" i="64"/>
  <c r="J2420" i="64" s="1"/>
  <c r="F2419" i="64"/>
  <c r="J2419" i="64" s="1"/>
  <c r="F2418" i="64"/>
  <c r="J2418" i="64" s="1"/>
  <c r="F2303" i="64"/>
  <c r="J2303" i="64" s="1"/>
  <c r="D95" i="64"/>
  <c r="B95" i="64"/>
  <c r="B82" i="64"/>
  <c r="D82" i="64"/>
  <c r="F83" i="64"/>
  <c r="J83" i="64" s="1"/>
  <c r="D83" i="64"/>
  <c r="D84" i="64"/>
  <c r="B87" i="64"/>
  <c r="B86" i="64"/>
  <c r="B84" i="64"/>
  <c r="B83" i="64"/>
  <c r="B81" i="64"/>
  <c r="B80" i="64"/>
  <c r="D80" i="64"/>
  <c r="D81" i="64"/>
  <c r="F81" i="64"/>
  <c r="J82" i="64" l="1"/>
  <c r="J81" i="64"/>
  <c r="J19" i="64"/>
  <c r="C38" i="12"/>
  <c r="F111" i="64" s="1"/>
  <c r="B23" i="2"/>
  <c r="F1322" i="64" l="1"/>
  <c r="J1322" i="64" s="1"/>
  <c r="F55" i="64"/>
  <c r="J55" i="64" s="1"/>
  <c r="J39" i="46"/>
  <c r="I43" i="46"/>
  <c r="D39" i="46"/>
  <c r="M39" i="46"/>
  <c r="M40" i="46"/>
  <c r="J111" i="64" l="1"/>
  <c r="F734" i="64"/>
  <c r="X53" i="15" a="1"/>
  <c r="X53" i="15" s="1"/>
  <c r="Q53" i="15" a="1"/>
  <c r="Q53" i="15" s="1"/>
  <c r="K53" i="15" a="1"/>
  <c r="K53" i="15" s="1"/>
  <c r="U53" i="15" a="1"/>
  <c r="U53" i="15" s="1"/>
  <c r="O53" i="15" a="1"/>
  <c r="O53" i="15" s="1"/>
  <c r="N53" i="15" a="1"/>
  <c r="N53" i="15" s="1"/>
  <c r="H53" i="15" a="1"/>
  <c r="H53" i="15" s="1"/>
  <c r="V53" i="15" a="1"/>
  <c r="V53" i="15" s="1"/>
  <c r="P53" i="15" a="1"/>
  <c r="P53" i="15" s="1"/>
  <c r="I53" i="15" a="1"/>
  <c r="I53" i="15" s="1"/>
  <c r="C53" i="15" a="1"/>
  <c r="C53" i="15" s="1"/>
  <c r="O54" i="15"/>
  <c r="T53" i="15" a="1"/>
  <c r="T53" i="15" s="1"/>
  <c r="M53" i="15" a="1"/>
  <c r="M53" i="15" s="1"/>
  <c r="G53" i="15" a="1"/>
  <c r="G53" i="15" s="1"/>
  <c r="Y53" i="15" a="1"/>
  <c r="Y53" i="15" s="1"/>
  <c r="S53" i="15" a="1"/>
  <c r="S53" i="15" s="1"/>
  <c r="F53" i="15" a="1"/>
  <c r="F53" i="15" s="1"/>
  <c r="W53" i="15" a="1"/>
  <c r="W53" i="15" s="1"/>
  <c r="J53" i="15" a="1"/>
  <c r="J53" i="15" s="1"/>
  <c r="D53" i="15" a="1"/>
  <c r="D53" i="15" s="1"/>
  <c r="R53" i="15" a="1"/>
  <c r="R53" i="15" s="1"/>
  <c r="L53" i="15" a="1"/>
  <c r="L53" i="15" s="1"/>
  <c r="E53" i="15" a="1"/>
  <c r="E53" i="15" s="1"/>
  <c r="F1962" i="64"/>
  <c r="J1962" i="64" s="1"/>
  <c r="F1951" i="64"/>
  <c r="J1951" i="64" s="1"/>
  <c r="F70" i="64"/>
  <c r="F59" i="64"/>
  <c r="J59" i="64" s="1"/>
  <c r="F1948" i="64"/>
  <c r="J1948" i="64" s="1"/>
  <c r="F69" i="64"/>
  <c r="F66" i="64"/>
  <c r="J66" i="64" s="1"/>
  <c r="F1966" i="64"/>
  <c r="J1966" i="64" s="1"/>
  <c r="F1953" i="64"/>
  <c r="J1953" i="64" s="1"/>
  <c r="F72" i="64"/>
  <c r="F65" i="64"/>
  <c r="J65" i="64" s="1"/>
  <c r="F60" i="64"/>
  <c r="J60" i="64" s="1"/>
  <c r="F1961" i="64"/>
  <c r="J1961" i="64" s="1"/>
  <c r="F57" i="64"/>
  <c r="F1947" i="64"/>
  <c r="J1947" i="64" s="1"/>
  <c r="F68" i="64"/>
  <c r="F58" i="64"/>
  <c r="J58" i="64" s="1"/>
  <c r="F1967" i="64"/>
  <c r="J1967" i="64" s="1"/>
  <c r="F1954" i="64"/>
  <c r="J1954" i="64" s="1"/>
  <c r="F2270" i="64"/>
  <c r="J2270" i="64" s="1"/>
  <c r="F61" i="64"/>
  <c r="J61" i="64" s="1"/>
  <c r="F62" i="64"/>
  <c r="J62" i="64" s="1"/>
  <c r="F63" i="64"/>
  <c r="J33" i="64"/>
  <c r="F1965" i="64"/>
  <c r="J1965" i="64" s="1"/>
  <c r="F1952" i="64"/>
  <c r="J1952" i="64" s="1"/>
  <c r="F71" i="64"/>
  <c r="F1950" i="64"/>
  <c r="J1950" i="64" s="1"/>
  <c r="F67" i="64"/>
  <c r="J67" i="64" s="1"/>
  <c r="F1949" i="64"/>
  <c r="J1949" i="64" s="1"/>
  <c r="F35" i="64" a="1"/>
  <c r="F35" i="64" s="1"/>
  <c r="F366" i="64"/>
  <c r="J366" i="64" s="1"/>
  <c r="F362" i="64"/>
  <c r="J362" i="64" s="1"/>
  <c r="D366" i="64"/>
  <c r="D365" i="64"/>
  <c r="D363" i="64"/>
  <c r="D362" i="64"/>
  <c r="D361" i="64"/>
  <c r="F361" i="64"/>
  <c r="J361" i="64" s="1"/>
  <c r="B366" i="64"/>
  <c r="B365" i="64"/>
  <c r="B363" i="64"/>
  <c r="B362" i="64"/>
  <c r="B361" i="64"/>
  <c r="J63" i="64" l="1"/>
  <c r="J57" i="64"/>
  <c r="J71" i="64"/>
  <c r="J35" i="64"/>
  <c r="J40" i="64"/>
  <c r="J68" i="64"/>
  <c r="J72" i="64"/>
  <c r="J69" i="64"/>
  <c r="J70" i="64"/>
  <c r="J734" i="64"/>
  <c r="D223" i="64"/>
  <c r="C223" i="64"/>
  <c r="B223" i="64"/>
  <c r="C222" i="64"/>
  <c r="B222" i="64"/>
  <c r="C221" i="64"/>
  <c r="B221" i="64"/>
  <c r="C220" i="64"/>
  <c r="B220" i="64"/>
  <c r="I15" i="25"/>
  <c r="K15" i="25" s="1"/>
  <c r="K14" i="25"/>
  <c r="F12" i="25"/>
  <c r="P21" i="25" s="1"/>
  <c r="M36" i="46"/>
  <c r="F14" i="47"/>
  <c r="D521" i="64"/>
  <c r="B521" i="64"/>
  <c r="F470" i="64"/>
  <c r="D470" i="64"/>
  <c r="B470" i="64"/>
  <c r="F377" i="64"/>
  <c r="D377" i="64"/>
  <c r="B377" i="64"/>
  <c r="F376" i="64"/>
  <c r="J376" i="64" s="1"/>
  <c r="D376" i="64"/>
  <c r="B376" i="64"/>
  <c r="F375" i="64"/>
  <c r="J375" i="64" s="1"/>
  <c r="D375" i="64"/>
  <c r="D373" i="64"/>
  <c r="B375" i="64"/>
  <c r="F373" i="64" a="1"/>
  <c r="F373" i="64" s="1"/>
  <c r="J373" i="64" s="1"/>
  <c r="B373" i="64"/>
  <c r="F371" i="64" a="1"/>
  <c r="F371" i="64" s="1"/>
  <c r="F370" i="64"/>
  <c r="D371" i="64"/>
  <c r="B371" i="64"/>
  <c r="F369" i="64"/>
  <c r="J369" i="64" s="1"/>
  <c r="D369" i="64"/>
  <c r="B369" i="64"/>
  <c r="F368" i="64"/>
  <c r="J368" i="64" s="1"/>
  <c r="D368" i="64"/>
  <c r="B368" i="64"/>
  <c r="D370" i="64"/>
  <c r="B370" i="64"/>
  <c r="C239" i="64"/>
  <c r="C238" i="64"/>
  <c r="C237" i="64"/>
  <c r="C236" i="64"/>
  <c r="C235" i="64"/>
  <c r="C229" i="64"/>
  <c r="C228" i="64"/>
  <c r="C227" i="64"/>
  <c r="D229" i="64"/>
  <c r="D228" i="64"/>
  <c r="D227" i="64"/>
  <c r="D226" i="64"/>
  <c r="B229" i="64"/>
  <c r="B228" i="64"/>
  <c r="B227" i="64"/>
  <c r="C226" i="64"/>
  <c r="B226" i="64"/>
  <c r="D235" i="64"/>
  <c r="B235" i="64"/>
  <c r="J574" i="64" l="1"/>
  <c r="J370" i="64"/>
  <c r="J470" i="64"/>
  <c r="J377" i="64"/>
  <c r="J371" i="64"/>
  <c r="D202" i="64"/>
  <c r="D201" i="64"/>
  <c r="D200" i="64"/>
  <c r="D193" i="64"/>
  <c r="D183" i="64"/>
  <c r="C183" i="64"/>
  <c r="B183" i="64"/>
  <c r="J530" i="64"/>
  <c r="J529" i="64"/>
  <c r="J516" i="64"/>
  <c r="J519" i="64"/>
  <c r="J528" i="64"/>
  <c r="J527" i="64"/>
  <c r="J526" i="64"/>
  <c r="J513" i="64"/>
  <c r="J514" i="64"/>
  <c r="J504" i="64"/>
  <c r="J524" i="64"/>
  <c r="J523" i="64"/>
  <c r="J522" i="64"/>
  <c r="J499" i="64"/>
  <c r="J500" i="64"/>
  <c r="J503" i="64"/>
  <c r="J505" i="64"/>
  <c r="F290" i="64" a="1"/>
  <c r="F290" i="64" s="1"/>
  <c r="F289" i="64" a="1"/>
  <c r="F289" i="64" s="1"/>
  <c r="I85" i="25"/>
  <c r="K85" i="25" s="1"/>
  <c r="I84" i="25"/>
  <c r="K84" i="25" s="1"/>
  <c r="M35" i="46"/>
  <c r="P45" i="13"/>
  <c r="F2126" i="64"/>
  <c r="J2126" i="64" s="1"/>
  <c r="F2125" i="64"/>
  <c r="J2125" i="64" s="1"/>
  <c r="F2121" i="64"/>
  <c r="J2121" i="64" s="1"/>
  <c r="F1985" i="64"/>
  <c r="J1985" i="64" s="1"/>
  <c r="F1907" i="64"/>
  <c r="J1907" i="64" s="1"/>
  <c r="F1870" i="64"/>
  <c r="J1870" i="64" s="1"/>
  <c r="F960" i="64" a="1"/>
  <c r="F960" i="64" s="1"/>
  <c r="F751" i="64"/>
  <c r="F750" i="64"/>
  <c r="F665" i="64"/>
  <c r="J665" i="64" s="1"/>
  <c r="F576" i="64"/>
  <c r="F575" i="64"/>
  <c r="A458" i="46"/>
  <c r="C392" i="52" a="1"/>
  <c r="C392" i="52" s="1"/>
  <c r="C391" i="52" a="1"/>
  <c r="C391" i="52" s="1"/>
  <c r="J1017" i="64"/>
  <c r="F1730" i="64" a="1"/>
  <c r="F1730" i="64" s="1"/>
  <c r="J1730" i="64" s="1"/>
  <c r="J995" i="64"/>
  <c r="F678" i="64"/>
  <c r="F677" i="64"/>
  <c r="F676" i="64"/>
  <c r="F675" i="64"/>
  <c r="F674" i="64"/>
  <c r="F673" i="64"/>
  <c r="F672" i="64"/>
  <c r="J672" i="64" s="1"/>
  <c r="F671" i="64"/>
  <c r="J671" i="64" s="1"/>
  <c r="F670" i="64"/>
  <c r="J670" i="64" s="1"/>
  <c r="F669" i="64"/>
  <c r="J669" i="64" s="1"/>
  <c r="B28" i="13"/>
  <c r="H15" i="9"/>
  <c r="H14" i="9"/>
  <c r="H13" i="9"/>
  <c r="F978" i="64" l="1"/>
  <c r="J960" i="64"/>
  <c r="J673" i="64"/>
  <c r="J674" i="64"/>
  <c r="J675" i="64"/>
  <c r="J676" i="64"/>
  <c r="J677" i="64"/>
  <c r="J575" i="64"/>
  <c r="J576" i="64"/>
  <c r="J750" i="64"/>
  <c r="J289" i="64"/>
  <c r="J290" i="64"/>
  <c r="J501" i="64"/>
  <c r="J678" i="64"/>
  <c r="J751" i="64"/>
  <c r="J525" i="64"/>
  <c r="J518" i="64"/>
  <c r="J502" i="64"/>
  <c r="F99" i="64"/>
  <c r="J99" i="64" s="1"/>
  <c r="J1102" i="64" l="1"/>
  <c r="C1112" i="64"/>
  <c r="C1111" i="64"/>
  <c r="C1110" i="64"/>
  <c r="C1108" i="64"/>
  <c r="C1107" i="64"/>
  <c r="C1106" i="64"/>
  <c r="C1102" i="64"/>
  <c r="C1101" i="64"/>
  <c r="C1091" i="64"/>
  <c r="C1090" i="64"/>
  <c r="C1089" i="64"/>
  <c r="C1088" i="64"/>
  <c r="C1085" i="64"/>
  <c r="C1084" i="64"/>
  <c r="C1083" i="64"/>
  <c r="C1082" i="64"/>
  <c r="C1081" i="64"/>
  <c r="C1080" i="64"/>
  <c r="C1079" i="64"/>
  <c r="C1078" i="64"/>
  <c r="C1077" i="64"/>
  <c r="C1076" i="64"/>
  <c r="C1075" i="64"/>
  <c r="C1074" i="64"/>
  <c r="C1073" i="64"/>
  <c r="C1072" i="64"/>
  <c r="C1071" i="64"/>
  <c r="C1070" i="64"/>
  <c r="C1069" i="64"/>
  <c r="C1068" i="64"/>
  <c r="C1067" i="64"/>
  <c r="C1066" i="64"/>
  <c r="C1065" i="64"/>
  <c r="C1064" i="64"/>
  <c r="C1063" i="64"/>
  <c r="C1062" i="64"/>
  <c r="C1061" i="64"/>
  <c r="C1060" i="64"/>
  <c r="C1059" i="64"/>
  <c r="C1058" i="64"/>
  <c r="C1057" i="64"/>
  <c r="C1056" i="64"/>
  <c r="C1055" i="64"/>
  <c r="C1054" i="64"/>
  <c r="C1053" i="64"/>
  <c r="C1052" i="64"/>
  <c r="C1051" i="64"/>
  <c r="C1050" i="64"/>
  <c r="C1049" i="64"/>
  <c r="C1048" i="64"/>
  <c r="C1047" i="64"/>
  <c r="C1046" i="64"/>
  <c r="C1045" i="64"/>
  <c r="C1044" i="64"/>
  <c r="C1043" i="64"/>
  <c r="C1042" i="64"/>
  <c r="C1041" i="64"/>
  <c r="C1040" i="64"/>
  <c r="C1039" i="64"/>
  <c r="C1038" i="64"/>
  <c r="C1037" i="64"/>
  <c r="C1036" i="64"/>
  <c r="C1035" i="64"/>
  <c r="C1034" i="64"/>
  <c r="C1033" i="64"/>
  <c r="C1032" i="64"/>
  <c r="C1031" i="64"/>
  <c r="C1030" i="64"/>
  <c r="B1112" i="64"/>
  <c r="B1111" i="64"/>
  <c r="B1110" i="64"/>
  <c r="B1108" i="64"/>
  <c r="B1107" i="64"/>
  <c r="B1106" i="64"/>
  <c r="B1102" i="64"/>
  <c r="B1101" i="64"/>
  <c r="B1091" i="64"/>
  <c r="B1090" i="64"/>
  <c r="B1089" i="64"/>
  <c r="B1088" i="64"/>
  <c r="B1085" i="64"/>
  <c r="B1084" i="64"/>
  <c r="B1083" i="64"/>
  <c r="B1082" i="64"/>
  <c r="B1081" i="64"/>
  <c r="B1080" i="64"/>
  <c r="B1079" i="64"/>
  <c r="B1078" i="64"/>
  <c r="B1077" i="64"/>
  <c r="B1076" i="64"/>
  <c r="B1075" i="64"/>
  <c r="B1074" i="64"/>
  <c r="B1073" i="64"/>
  <c r="B1072" i="64"/>
  <c r="B1071" i="64"/>
  <c r="B1070" i="64"/>
  <c r="B1069" i="64"/>
  <c r="B1068" i="64"/>
  <c r="B1067" i="64"/>
  <c r="B1066" i="64"/>
  <c r="B1065" i="64"/>
  <c r="B1064" i="64"/>
  <c r="B1063" i="64"/>
  <c r="B1062" i="64"/>
  <c r="B1061" i="64"/>
  <c r="B1060" i="64"/>
  <c r="B1059" i="64"/>
  <c r="B1058" i="64"/>
  <c r="B1057" i="64"/>
  <c r="B1056" i="64"/>
  <c r="B1055" i="64"/>
  <c r="B1054" i="64"/>
  <c r="B1053" i="64"/>
  <c r="B1052" i="64"/>
  <c r="B1051" i="64"/>
  <c r="B1050" i="64"/>
  <c r="B1049" i="64"/>
  <c r="B1048" i="64"/>
  <c r="B1047" i="64"/>
  <c r="B1046" i="64"/>
  <c r="B1045" i="64"/>
  <c r="B1044" i="64"/>
  <c r="B1043" i="64"/>
  <c r="B1042" i="64"/>
  <c r="B1041" i="64"/>
  <c r="B1040" i="64"/>
  <c r="B1039" i="64"/>
  <c r="B1038" i="64"/>
  <c r="B1037" i="64"/>
  <c r="B1036" i="64"/>
  <c r="B1035" i="64"/>
  <c r="B1034" i="64"/>
  <c r="B1033" i="64"/>
  <c r="B1032" i="64"/>
  <c r="B1031" i="64"/>
  <c r="B1030" i="64"/>
  <c r="D1010" i="64"/>
  <c r="D1013" i="64"/>
  <c r="D1012" i="64"/>
  <c r="D1011" i="64"/>
  <c r="F1007" i="64"/>
  <c r="J1007" i="64" s="1"/>
  <c r="D1007" i="64"/>
  <c r="H5" i="13"/>
  <c r="D1003" i="64"/>
  <c r="C1007" i="64" l="1"/>
  <c r="C1013" i="64"/>
  <c r="C1012" i="64"/>
  <c r="C1011" i="64"/>
  <c r="C1010" i="64"/>
  <c r="C1018" i="64"/>
  <c r="C1003" i="64"/>
  <c r="B1018" i="64"/>
  <c r="B1003" i="64"/>
  <c r="B1007" i="64"/>
  <c r="B1013" i="64"/>
  <c r="B1012" i="64"/>
  <c r="B1011" i="64"/>
  <c r="B1010" i="64"/>
  <c r="D978" i="64"/>
  <c r="D975" i="64"/>
  <c r="C975" i="64"/>
  <c r="B975" i="64"/>
  <c r="D971" i="64"/>
  <c r="C971" i="64"/>
  <c r="B971" i="64"/>
  <c r="D970" i="64"/>
  <c r="D963" i="64"/>
  <c r="C963" i="64"/>
  <c r="B963" i="64"/>
  <c r="D962" i="64"/>
  <c r="D961" i="64"/>
  <c r="J978" i="64"/>
  <c r="D960" i="64"/>
  <c r="D959" i="64"/>
  <c r="C959" i="64"/>
  <c r="B959" i="64"/>
  <c r="D958" i="64"/>
  <c r="C984" i="64"/>
  <c r="C976" i="64"/>
  <c r="C970" i="64"/>
  <c r="C961" i="64"/>
  <c r="C978" i="64"/>
  <c r="C960" i="64"/>
  <c r="C974" i="64"/>
  <c r="C958" i="64"/>
  <c r="C977" i="64"/>
  <c r="C962" i="64"/>
  <c r="C964" i="64"/>
  <c r="B958" i="64"/>
  <c r="B977" i="64"/>
  <c r="B962" i="64"/>
  <c r="B964" i="64"/>
  <c r="D995" i="64"/>
  <c r="J959" i="64" l="1"/>
  <c r="D927" i="64"/>
  <c r="D932" i="64"/>
  <c r="B947" i="64"/>
  <c r="B946" i="64"/>
  <c r="B945" i="64"/>
  <c r="B944" i="64"/>
  <c r="B943" i="64"/>
  <c r="B942" i="64"/>
  <c r="B941" i="64"/>
  <c r="B940" i="64"/>
  <c r="B939" i="64"/>
  <c r="B937" i="64"/>
  <c r="B936" i="64"/>
  <c r="B935" i="64"/>
  <c r="B934" i="64"/>
  <c r="B933" i="64"/>
  <c r="B932" i="64"/>
  <c r="B931" i="64"/>
  <c r="B927" i="64"/>
  <c r="D893" i="64"/>
  <c r="C995" i="64"/>
  <c r="C893" i="64"/>
  <c r="B995" i="64"/>
  <c r="B893" i="64"/>
  <c r="B984" i="64"/>
  <c r="B976" i="64"/>
  <c r="B970" i="64"/>
  <c r="B961" i="64"/>
  <c r="B978" i="64"/>
  <c r="B960" i="64"/>
  <c r="B974" i="64"/>
  <c r="D769" i="64"/>
  <c r="D751" i="64"/>
  <c r="C751" i="64"/>
  <c r="B751" i="64"/>
  <c r="D771" i="64"/>
  <c r="D755" i="64"/>
  <c r="C755" i="64"/>
  <c r="B755" i="64"/>
  <c r="D766" i="64"/>
  <c r="D765" i="64"/>
  <c r="C765" i="64"/>
  <c r="B765" i="64"/>
  <c r="D764" i="64"/>
  <c r="C764" i="64"/>
  <c r="B764" i="64"/>
  <c r="D762" i="64"/>
  <c r="C762" i="64"/>
  <c r="B762" i="64"/>
  <c r="D760" i="64"/>
  <c r="C760" i="64"/>
  <c r="B760" i="64"/>
  <c r="D756" i="64"/>
  <c r="F752" i="64"/>
  <c r="D752" i="64"/>
  <c r="D750" i="64"/>
  <c r="D748" i="64"/>
  <c r="C748" i="64"/>
  <c r="B748" i="64"/>
  <c r="D744" i="64"/>
  <c r="C744" i="64"/>
  <c r="B744" i="64"/>
  <c r="D740" i="64"/>
  <c r="D742" i="64"/>
  <c r="D736" i="64"/>
  <c r="D737" i="64"/>
  <c r="C785" i="64"/>
  <c r="C784" i="64"/>
  <c r="C783" i="64"/>
  <c r="C782" i="64"/>
  <c r="C781" i="64"/>
  <c r="C780" i="64"/>
  <c r="C771" i="64"/>
  <c r="C779" i="64"/>
  <c r="C778" i="64"/>
  <c r="C756" i="64"/>
  <c r="C777" i="64"/>
  <c r="C776" i="64"/>
  <c r="C775" i="64"/>
  <c r="C769" i="64"/>
  <c r="C752" i="64"/>
  <c r="C742" i="64"/>
  <c r="C740" i="64"/>
  <c r="C750" i="64"/>
  <c r="C766" i="64"/>
  <c r="C736" i="64"/>
  <c r="C737" i="64"/>
  <c r="B785" i="64"/>
  <c r="B784" i="64"/>
  <c r="B783" i="64"/>
  <c r="B782" i="64"/>
  <c r="B781" i="64"/>
  <c r="B780" i="64"/>
  <c r="B771" i="64"/>
  <c r="B779" i="64"/>
  <c r="B778" i="64"/>
  <c r="B756" i="64"/>
  <c r="B777" i="64"/>
  <c r="B776" i="64"/>
  <c r="B775" i="64"/>
  <c r="B769" i="64"/>
  <c r="B752" i="64"/>
  <c r="B742" i="64"/>
  <c r="B740" i="64"/>
  <c r="B750" i="64"/>
  <c r="B766" i="64"/>
  <c r="B736" i="64"/>
  <c r="B737" i="64"/>
  <c r="D702" i="64"/>
  <c r="D700" i="64"/>
  <c r="D699" i="64"/>
  <c r="D698" i="64"/>
  <c r="D683" i="64"/>
  <c r="D682" i="64"/>
  <c r="D680" i="64"/>
  <c r="D679" i="64"/>
  <c r="D678" i="64"/>
  <c r="D677" i="64"/>
  <c r="D676" i="64"/>
  <c r="D675" i="64"/>
  <c r="D674" i="64"/>
  <c r="D673" i="64"/>
  <c r="D672" i="64"/>
  <c r="D669" i="64"/>
  <c r="D671" i="64"/>
  <c r="D670" i="64"/>
  <c r="C703" i="64"/>
  <c r="C702" i="64"/>
  <c r="C700" i="64"/>
  <c r="C699" i="64"/>
  <c r="C698" i="64"/>
  <c r="C697" i="64"/>
  <c r="C696" i="64"/>
  <c r="C695" i="64"/>
  <c r="C694" i="64"/>
  <c r="C693" i="64"/>
  <c r="C690" i="64"/>
  <c r="C689" i="64"/>
  <c r="C688" i="64"/>
  <c r="C687" i="64"/>
  <c r="C686" i="64"/>
  <c r="C685" i="64"/>
  <c r="C684" i="64"/>
  <c r="C683" i="64"/>
  <c r="C682" i="64"/>
  <c r="C681" i="64"/>
  <c r="C680" i="64"/>
  <c r="C679" i="64"/>
  <c r="C678" i="64"/>
  <c r="C677" i="64"/>
  <c r="C676" i="64"/>
  <c r="C675" i="64"/>
  <c r="C674" i="64"/>
  <c r="C673" i="64"/>
  <c r="C672" i="64"/>
  <c r="C671" i="64"/>
  <c r="C670" i="64"/>
  <c r="C669" i="64"/>
  <c r="C668" i="64"/>
  <c r="C667" i="64"/>
  <c r="C666" i="64"/>
  <c r="C665" i="64"/>
  <c r="C663" i="64"/>
  <c r="C662" i="64"/>
  <c r="C661" i="64"/>
  <c r="C660" i="64"/>
  <c r="B703" i="64"/>
  <c r="B702" i="64"/>
  <c r="B700" i="64"/>
  <c r="B699" i="64"/>
  <c r="B698" i="64"/>
  <c r="B697" i="64"/>
  <c r="B696" i="64"/>
  <c r="B695" i="64"/>
  <c r="B694" i="64"/>
  <c r="B693" i="64"/>
  <c r="B690" i="64"/>
  <c r="B689" i="64"/>
  <c r="B688" i="64"/>
  <c r="B687" i="64"/>
  <c r="B686" i="64"/>
  <c r="B685" i="64"/>
  <c r="B684" i="64"/>
  <c r="B683" i="64"/>
  <c r="B682" i="64"/>
  <c r="B681" i="64"/>
  <c r="B680" i="64"/>
  <c r="B679" i="64"/>
  <c r="B678" i="64"/>
  <c r="B677" i="64"/>
  <c r="B676" i="64"/>
  <c r="B675" i="64"/>
  <c r="B674" i="64"/>
  <c r="B673" i="64"/>
  <c r="B672" i="64"/>
  <c r="B671" i="64"/>
  <c r="B670" i="64"/>
  <c r="B669" i="64"/>
  <c r="B668" i="64"/>
  <c r="B667" i="64"/>
  <c r="B666" i="64"/>
  <c r="B665" i="64"/>
  <c r="B663" i="64"/>
  <c r="B662" i="64"/>
  <c r="B661" i="64"/>
  <c r="B660" i="64"/>
  <c r="B719" i="64"/>
  <c r="B718" i="64"/>
  <c r="B717" i="64"/>
  <c r="B707" i="64"/>
  <c r="B715" i="64"/>
  <c r="B713" i="64"/>
  <c r="B712" i="64"/>
  <c r="B711" i="64"/>
  <c r="B710" i="64"/>
  <c r="B709" i="64"/>
  <c r="B706" i="64"/>
  <c r="E1747" i="64"/>
  <c r="E1745" i="64"/>
  <c r="E1743" i="64"/>
  <c r="E1741" i="64"/>
  <c r="F611" i="64"/>
  <c r="D611" i="64"/>
  <c r="F608" i="64"/>
  <c r="D608" i="64"/>
  <c r="D610" i="64"/>
  <c r="F737" i="64"/>
  <c r="F581" i="64"/>
  <c r="D581" i="64"/>
  <c r="C581" i="64"/>
  <c r="B581" i="64"/>
  <c r="D599" i="64"/>
  <c r="D597" i="64"/>
  <c r="D596" i="64"/>
  <c r="C596" i="64"/>
  <c r="B596" i="64"/>
  <c r="D594" i="64"/>
  <c r="C594" i="64"/>
  <c r="B594" i="64"/>
  <c r="D592" i="64"/>
  <c r="D591" i="64"/>
  <c r="C592" i="64"/>
  <c r="B592" i="64"/>
  <c r="C591" i="64"/>
  <c r="B591" i="64"/>
  <c r="D589" i="64"/>
  <c r="D588" i="64"/>
  <c r="C589" i="64"/>
  <c r="B589" i="64"/>
  <c r="C588" i="64"/>
  <c r="B588" i="64"/>
  <c r="D586" i="64"/>
  <c r="C586" i="64"/>
  <c r="B586" i="64"/>
  <c r="D585" i="64"/>
  <c r="C585" i="64"/>
  <c r="B585" i="64"/>
  <c r="D584" i="64"/>
  <c r="C584" i="64"/>
  <c r="B584" i="64"/>
  <c r="D582" i="64"/>
  <c r="C582" i="64"/>
  <c r="B582" i="64"/>
  <c r="D580" i="64"/>
  <c r="C580" i="64"/>
  <c r="B580" i="64"/>
  <c r="D578" i="64"/>
  <c r="D577" i="64"/>
  <c r="D576" i="64"/>
  <c r="D575" i="64"/>
  <c r="D574" i="64"/>
  <c r="D570" i="64"/>
  <c r="C599" i="64"/>
  <c r="C597" i="64"/>
  <c r="C578" i="64"/>
  <c r="C577" i="64"/>
  <c r="C576" i="64"/>
  <c r="C575" i="64"/>
  <c r="C574" i="64"/>
  <c r="C570" i="64"/>
  <c r="B599" i="64"/>
  <c r="B597" i="64"/>
  <c r="B578" i="64"/>
  <c r="B577" i="64"/>
  <c r="B576" i="64"/>
  <c r="B575" i="64"/>
  <c r="B574" i="64"/>
  <c r="B570" i="64"/>
  <c r="D468" i="64"/>
  <c r="D467" i="64"/>
  <c r="D466" i="64"/>
  <c r="D465" i="64"/>
  <c r="D464" i="64"/>
  <c r="D463" i="64"/>
  <c r="D462" i="64"/>
  <c r="D461" i="64"/>
  <c r="D460" i="64"/>
  <c r="D458" i="64"/>
  <c r="D457" i="64"/>
  <c r="D456" i="64"/>
  <c r="D454" i="64"/>
  <c r="D453" i="64"/>
  <c r="D452" i="64"/>
  <c r="D450" i="64"/>
  <c r="B468" i="64"/>
  <c r="B467" i="64"/>
  <c r="B466" i="64"/>
  <c r="B465" i="64"/>
  <c r="B464" i="64"/>
  <c r="B463" i="64"/>
  <c r="B462" i="64"/>
  <c r="B461" i="64"/>
  <c r="B460" i="64"/>
  <c r="B458" i="64"/>
  <c r="B457" i="64"/>
  <c r="B456" i="64"/>
  <c r="B454" i="64"/>
  <c r="B453" i="64"/>
  <c r="B452" i="64"/>
  <c r="B450" i="64"/>
  <c r="C468" i="64"/>
  <c r="C467" i="64"/>
  <c r="C466" i="64"/>
  <c r="C465" i="64"/>
  <c r="C464" i="64"/>
  <c r="C463" i="64"/>
  <c r="C462" i="64"/>
  <c r="C461" i="64"/>
  <c r="C460" i="64"/>
  <c r="C458" i="64"/>
  <c r="C457" i="64"/>
  <c r="C456" i="64"/>
  <c r="C454" i="64"/>
  <c r="C453" i="64"/>
  <c r="C452" i="64"/>
  <c r="C450" i="64"/>
  <c r="F382" i="64"/>
  <c r="J382" i="64" s="1"/>
  <c r="B410" i="64"/>
  <c r="B411" i="64"/>
  <c r="B412" i="64"/>
  <c r="B413" i="64"/>
  <c r="B414" i="64"/>
  <c r="B415" i="64"/>
  <c r="B416" i="64"/>
  <c r="B417" i="64"/>
  <c r="B418" i="64"/>
  <c r="F563" i="64"/>
  <c r="F562" i="64"/>
  <c r="F548" i="64"/>
  <c r="F542" i="64"/>
  <c r="J542" i="64" s="1"/>
  <c r="F559" i="64"/>
  <c r="J559" i="64" s="1"/>
  <c r="F546" i="64"/>
  <c r="J546" i="64" s="1"/>
  <c r="F556" i="64"/>
  <c r="J556" i="64" s="1"/>
  <c r="F557" i="64"/>
  <c r="F553" i="64"/>
  <c r="J553" i="64" s="1"/>
  <c r="F552" i="64"/>
  <c r="J552" i="64" s="1"/>
  <c r="F551" i="64"/>
  <c r="J551" i="64" s="1"/>
  <c r="F550" i="64"/>
  <c r="F549" i="64"/>
  <c r="J549" i="64" s="1"/>
  <c r="F547" i="64"/>
  <c r="J547" i="64" s="1"/>
  <c r="F545" i="64"/>
  <c r="J545" i="64" s="1"/>
  <c r="J544" i="64"/>
  <c r="F554" i="64"/>
  <c r="J554" i="64" s="1"/>
  <c r="F543" i="64"/>
  <c r="J543" i="64" s="1"/>
  <c r="F541" i="64"/>
  <c r="J541" i="64" s="1"/>
  <c r="F540" i="64"/>
  <c r="J540" i="64" s="1"/>
  <c r="F539" i="64"/>
  <c r="F558" i="64"/>
  <c r="J558" i="64" s="1"/>
  <c r="D563" i="64"/>
  <c r="D562" i="64"/>
  <c r="D548" i="64"/>
  <c r="D542" i="64"/>
  <c r="D559" i="64"/>
  <c r="D546" i="64"/>
  <c r="D556" i="64"/>
  <c r="D557" i="64"/>
  <c r="D553" i="64"/>
  <c r="D552" i="64"/>
  <c r="D551" i="64"/>
  <c r="D550" i="64"/>
  <c r="D549" i="64"/>
  <c r="D547" i="64"/>
  <c r="D545" i="64"/>
  <c r="D544" i="64"/>
  <c r="D554" i="64"/>
  <c r="D543" i="64"/>
  <c r="D541" i="64"/>
  <c r="D540" i="64"/>
  <c r="D539" i="64"/>
  <c r="D558" i="64"/>
  <c r="F538" i="64"/>
  <c r="J538" i="64" s="1"/>
  <c r="D538" i="64"/>
  <c r="F537" i="64"/>
  <c r="J537" i="64" s="1"/>
  <c r="D537" i="64"/>
  <c r="B563" i="64"/>
  <c r="B562" i="64"/>
  <c r="B548" i="64"/>
  <c r="B542" i="64"/>
  <c r="B559" i="64"/>
  <c r="B546" i="64"/>
  <c r="B556" i="64"/>
  <c r="B557" i="64"/>
  <c r="B553" i="64"/>
  <c r="B552" i="64"/>
  <c r="B551" i="64"/>
  <c r="B550" i="64"/>
  <c r="B549" i="64"/>
  <c r="B547" i="64"/>
  <c r="B545" i="64"/>
  <c r="B544" i="64"/>
  <c r="B554" i="64"/>
  <c r="B543" i="64"/>
  <c r="B541" i="64"/>
  <c r="B540" i="64"/>
  <c r="B539" i="64"/>
  <c r="B558" i="64"/>
  <c r="B538" i="64"/>
  <c r="D534" i="64"/>
  <c r="D533" i="64"/>
  <c r="D532" i="64"/>
  <c r="D531" i="64"/>
  <c r="D510" i="64"/>
  <c r="D530" i="64"/>
  <c r="D529" i="64"/>
  <c r="D528" i="64"/>
  <c r="D527" i="64"/>
  <c r="D526" i="64"/>
  <c r="D525" i="64"/>
  <c r="D524" i="64"/>
  <c r="D523" i="64"/>
  <c r="D522" i="64"/>
  <c r="D513" i="64"/>
  <c r="D514" i="64"/>
  <c r="D502" i="64"/>
  <c r="D504" i="64"/>
  <c r="D520" i="64"/>
  <c r="D500" i="64"/>
  <c r="D499" i="64"/>
  <c r="D503" i="64"/>
  <c r="D501" i="64"/>
  <c r="D505" i="64"/>
  <c r="D519" i="64"/>
  <c r="D518" i="64"/>
  <c r="D516" i="64"/>
  <c r="F498" i="64"/>
  <c r="D498" i="64"/>
  <c r="B498" i="64"/>
  <c r="B537" i="64"/>
  <c r="B534" i="64"/>
  <c r="B533" i="64"/>
  <c r="B532" i="64"/>
  <c r="B531" i="64"/>
  <c r="B510" i="64"/>
  <c r="B530" i="64"/>
  <c r="B529" i="64"/>
  <c r="B516" i="64"/>
  <c r="B518" i="64"/>
  <c r="B519" i="64"/>
  <c r="B528" i="64"/>
  <c r="B527" i="64"/>
  <c r="B526" i="64"/>
  <c r="B513" i="64"/>
  <c r="B514" i="64"/>
  <c r="B502" i="64"/>
  <c r="B504" i="64"/>
  <c r="B525" i="64"/>
  <c r="B524" i="64"/>
  <c r="B523" i="64"/>
  <c r="B522" i="64"/>
  <c r="B499" i="64"/>
  <c r="B500" i="64"/>
  <c r="B501" i="64"/>
  <c r="B503" i="64"/>
  <c r="B505" i="64"/>
  <c r="B520" i="64"/>
  <c r="D491" i="64"/>
  <c r="D490" i="64"/>
  <c r="D488" i="64"/>
  <c r="D487" i="64"/>
  <c r="D486" i="64"/>
  <c r="D485" i="64"/>
  <c r="D484" i="64"/>
  <c r="D483" i="64"/>
  <c r="C491" i="64"/>
  <c r="B491" i="64"/>
  <c r="C490" i="64"/>
  <c r="B490" i="64"/>
  <c r="C488" i="64"/>
  <c r="B488" i="64"/>
  <c r="C487" i="64"/>
  <c r="B487" i="64"/>
  <c r="C486" i="64"/>
  <c r="B486" i="64"/>
  <c r="C485" i="64"/>
  <c r="B485" i="64"/>
  <c r="C484" i="64"/>
  <c r="B484" i="64"/>
  <c r="C483" i="64"/>
  <c r="B483" i="64"/>
  <c r="D482" i="64"/>
  <c r="D481" i="64"/>
  <c r="D480" i="64"/>
  <c r="D479" i="64"/>
  <c r="D478" i="64"/>
  <c r="D475" i="64"/>
  <c r="D476" i="64"/>
  <c r="D477" i="64"/>
  <c r="D474" i="64"/>
  <c r="C482" i="64"/>
  <c r="B482" i="64"/>
  <c r="C481" i="64"/>
  <c r="B481" i="64"/>
  <c r="C480" i="64"/>
  <c r="B480" i="64"/>
  <c r="C479" i="64"/>
  <c r="B479" i="64"/>
  <c r="C478" i="64"/>
  <c r="B478" i="64"/>
  <c r="C477" i="64"/>
  <c r="B477" i="64"/>
  <c r="C476" i="64"/>
  <c r="B476" i="64"/>
  <c r="C475" i="64"/>
  <c r="B475" i="64"/>
  <c r="C474" i="64"/>
  <c r="B474" i="64"/>
  <c r="D473" i="64"/>
  <c r="D472" i="64"/>
  <c r="C472" i="64"/>
  <c r="B472" i="64"/>
  <c r="D449" i="64"/>
  <c r="D448" i="64"/>
  <c r="D447" i="64"/>
  <c r="D446" i="64"/>
  <c r="D445" i="64"/>
  <c r="D444" i="64"/>
  <c r="D443" i="64"/>
  <c r="D442" i="64"/>
  <c r="D441" i="64"/>
  <c r="D440" i="64"/>
  <c r="D439" i="64"/>
  <c r="D437" i="64"/>
  <c r="D438" i="64"/>
  <c r="D436" i="64"/>
  <c r="D434" i="64"/>
  <c r="D435" i="64"/>
  <c r="D431" i="64"/>
  <c r="D432" i="64"/>
  <c r="D433" i="64"/>
  <c r="D430" i="64"/>
  <c r="D429" i="64"/>
  <c r="D427" i="64"/>
  <c r="D425" i="64"/>
  <c r="D423" i="64"/>
  <c r="C473" i="64"/>
  <c r="C449" i="64"/>
  <c r="C448" i="64"/>
  <c r="C447" i="64"/>
  <c r="C446" i="64"/>
  <c r="C445" i="64"/>
  <c r="C444" i="64"/>
  <c r="C443" i="64"/>
  <c r="C442" i="64"/>
  <c r="C441" i="64"/>
  <c r="C440" i="64"/>
  <c r="C439" i="64"/>
  <c r="C438" i="64"/>
  <c r="C437" i="64"/>
  <c r="C436" i="64"/>
  <c r="C434" i="64"/>
  <c r="C435" i="64"/>
  <c r="C431" i="64"/>
  <c r="C432" i="64"/>
  <c r="C433" i="64"/>
  <c r="C430" i="64"/>
  <c r="C429" i="64"/>
  <c r="C427" i="64"/>
  <c r="C425" i="64"/>
  <c r="C423" i="64"/>
  <c r="B473" i="64"/>
  <c r="B449" i="64"/>
  <c r="B448" i="64"/>
  <c r="B447" i="64"/>
  <c r="B446" i="64"/>
  <c r="B445" i="64"/>
  <c r="B444" i="64"/>
  <c r="B443" i="64"/>
  <c r="B442" i="64"/>
  <c r="B441" i="64"/>
  <c r="B440" i="64"/>
  <c r="B439" i="64"/>
  <c r="B438" i="64"/>
  <c r="B437" i="64"/>
  <c r="B436" i="64"/>
  <c r="B434" i="64"/>
  <c r="B435" i="64"/>
  <c r="B431" i="64"/>
  <c r="B432" i="64"/>
  <c r="B433" i="64"/>
  <c r="B430" i="64"/>
  <c r="B429" i="64"/>
  <c r="B427" i="64"/>
  <c r="B425" i="64"/>
  <c r="B423" i="64"/>
  <c r="D382" i="64"/>
  <c r="D385" i="64"/>
  <c r="D384" i="64"/>
  <c r="D383" i="64"/>
  <c r="B409" i="64"/>
  <c r="B408" i="64"/>
  <c r="B407" i="64"/>
  <c r="B406" i="64"/>
  <c r="B405" i="64"/>
  <c r="B404" i="64"/>
  <c r="B403" i="64"/>
  <c r="B402" i="64"/>
  <c r="B401" i="64"/>
  <c r="B400" i="64"/>
  <c r="B399" i="64"/>
  <c r="B398" i="64"/>
  <c r="B397" i="64"/>
  <c r="B381" i="64"/>
  <c r="B396" i="64"/>
  <c r="B395" i="64"/>
  <c r="B394" i="64"/>
  <c r="B393" i="64"/>
  <c r="B392" i="64"/>
  <c r="B391" i="64"/>
  <c r="B390" i="64"/>
  <c r="B389" i="64"/>
  <c r="B382" i="64"/>
  <c r="B388" i="64"/>
  <c r="B387" i="64"/>
  <c r="B386" i="64"/>
  <c r="B385" i="64"/>
  <c r="B384" i="64"/>
  <c r="B383" i="64"/>
  <c r="F374" i="64"/>
  <c r="D329" i="64"/>
  <c r="B329" i="64"/>
  <c r="F326" i="64" a="1"/>
  <c r="F326" i="64" s="1"/>
  <c r="F325" i="64" a="1"/>
  <c r="F325" i="64" s="1"/>
  <c r="J325" i="64" s="1"/>
  <c r="F324" i="64" a="1"/>
  <c r="F324" i="64" s="1"/>
  <c r="J324" i="64" s="1"/>
  <c r="F323" i="64" a="1"/>
  <c r="F323" i="64" s="1"/>
  <c r="J323" i="64" s="1"/>
  <c r="F322" i="64" a="1"/>
  <c r="F322" i="64" s="1"/>
  <c r="J322" i="64" s="1"/>
  <c r="F321" i="64" a="1"/>
  <c r="F321" i="64" s="1"/>
  <c r="J321" i="64" s="1"/>
  <c r="D328" i="64"/>
  <c r="D327" i="64"/>
  <c r="D326" i="64"/>
  <c r="D325" i="64"/>
  <c r="D324" i="64"/>
  <c r="D323" i="64"/>
  <c r="D322" i="64"/>
  <c r="D321" i="64"/>
  <c r="B328" i="64"/>
  <c r="B327" i="64"/>
  <c r="B326" i="64"/>
  <c r="B325" i="64"/>
  <c r="B324" i="64"/>
  <c r="B323" i="64"/>
  <c r="B322" i="64"/>
  <c r="B321" i="64"/>
  <c r="D274" i="64"/>
  <c r="D307" i="64"/>
  <c r="D316" i="64"/>
  <c r="D315" i="64"/>
  <c r="D320" i="64"/>
  <c r="D319" i="64"/>
  <c r="D318" i="64"/>
  <c r="D317" i="64"/>
  <c r="D314" i="64"/>
  <c r="D313" i="64"/>
  <c r="F318" i="64"/>
  <c r="F317" i="64"/>
  <c r="J317" i="64" s="1"/>
  <c r="F316" i="64"/>
  <c r="J316" i="64" s="1"/>
  <c r="F315" i="64"/>
  <c r="J315" i="64" s="1"/>
  <c r="F314" i="64"/>
  <c r="J314" i="64" s="1"/>
  <c r="F313" i="64"/>
  <c r="J313" i="64" s="1"/>
  <c r="B320" i="64"/>
  <c r="B319" i="64"/>
  <c r="B318" i="64"/>
  <c r="B317" i="64"/>
  <c r="B316" i="64"/>
  <c r="B315" i="64"/>
  <c r="B314" i="64"/>
  <c r="B313" i="64"/>
  <c r="F310" i="64" a="1"/>
  <c r="F310" i="64" s="1"/>
  <c r="F309" i="64" a="1"/>
  <c r="F309" i="64" s="1"/>
  <c r="J309" i="64" s="1"/>
  <c r="F308" i="64" a="1"/>
  <c r="F308" i="64" s="1"/>
  <c r="J308" i="64" s="1"/>
  <c r="F307" i="64" a="1"/>
  <c r="F307" i="64" s="1"/>
  <c r="J307" i="64" s="1"/>
  <c r="F306" i="64" a="1"/>
  <c r="F306" i="64" s="1"/>
  <c r="J306" i="64" s="1"/>
  <c r="F305" i="64" a="1"/>
  <c r="F305" i="64" s="1"/>
  <c r="J305" i="64" s="1"/>
  <c r="D312" i="64"/>
  <c r="D311" i="64"/>
  <c r="D310" i="64"/>
  <c r="D309" i="64"/>
  <c r="D308" i="64"/>
  <c r="D306" i="64"/>
  <c r="D305" i="64"/>
  <c r="B312" i="64"/>
  <c r="B311" i="64"/>
  <c r="B310" i="64"/>
  <c r="B309" i="64"/>
  <c r="B308" i="64"/>
  <c r="B307" i="64"/>
  <c r="B306" i="64"/>
  <c r="B305" i="64"/>
  <c r="D304" i="64"/>
  <c r="D303" i="64"/>
  <c r="D302" i="64"/>
  <c r="D301" i="64"/>
  <c r="D300" i="64"/>
  <c r="D299" i="64"/>
  <c r="D298" i="64"/>
  <c r="D297" i="64"/>
  <c r="B304" i="64"/>
  <c r="B303" i="64"/>
  <c r="B302" i="64"/>
  <c r="B301" i="64"/>
  <c r="B300" i="64"/>
  <c r="B299" i="64"/>
  <c r="B298" i="64"/>
  <c r="B297" i="64"/>
  <c r="D296" i="64"/>
  <c r="D295" i="64"/>
  <c r="D294" i="64"/>
  <c r="D293" i="64"/>
  <c r="D292" i="64"/>
  <c r="D291" i="64"/>
  <c r="D290" i="64"/>
  <c r="D289" i="64"/>
  <c r="B296" i="64"/>
  <c r="B295" i="64"/>
  <c r="B294" i="64"/>
  <c r="B293" i="64"/>
  <c r="B292" i="64"/>
  <c r="B291" i="64"/>
  <c r="B290" i="64"/>
  <c r="B289" i="64"/>
  <c r="F286" i="64" a="1"/>
  <c r="F286" i="64" s="1"/>
  <c r="F285" i="64" a="1"/>
  <c r="F285" i="64" s="1"/>
  <c r="J285" i="64" s="1"/>
  <c r="F284" i="64" a="1"/>
  <c r="F284" i="64" s="1"/>
  <c r="J284" i="64" s="1"/>
  <c r="F283" i="64" a="1"/>
  <c r="F283" i="64" s="1"/>
  <c r="J283" i="64" s="1"/>
  <c r="F282" i="64" a="1"/>
  <c r="F282" i="64" s="1"/>
  <c r="F281" i="64" a="1"/>
  <c r="F281" i="64" s="1"/>
  <c r="D288" i="64"/>
  <c r="D287" i="64"/>
  <c r="D286" i="64"/>
  <c r="D285" i="64"/>
  <c r="D284" i="64"/>
  <c r="D283" i="64"/>
  <c r="D282" i="64"/>
  <c r="D281" i="64"/>
  <c r="B288" i="64"/>
  <c r="B287" i="64"/>
  <c r="B286" i="64"/>
  <c r="B285" i="64"/>
  <c r="B284" i="64"/>
  <c r="B283" i="64"/>
  <c r="B282" i="64"/>
  <c r="B281" i="64"/>
  <c r="D280" i="64"/>
  <c r="D279" i="64"/>
  <c r="D278" i="64"/>
  <c r="D277" i="64"/>
  <c r="D276" i="64"/>
  <c r="D275" i="64"/>
  <c r="D273" i="64"/>
  <c r="F278" i="64" a="1"/>
  <c r="F278" i="64" s="1"/>
  <c r="F277" i="64" a="1"/>
  <c r="F277" i="64" s="1"/>
  <c r="J277" i="64" s="1"/>
  <c r="F276" i="64" a="1"/>
  <c r="F276" i="64" s="1"/>
  <c r="J276" i="64" s="1"/>
  <c r="F275" i="64" a="1"/>
  <c r="F275" i="64" s="1"/>
  <c r="J275" i="64" s="1"/>
  <c r="F274" i="64" a="1"/>
  <c r="F274" i="64" s="1"/>
  <c r="J274" i="64" s="1"/>
  <c r="F273" i="64" a="1"/>
  <c r="F273" i="64" s="1"/>
  <c r="J273" i="64" s="1"/>
  <c r="B280" i="64"/>
  <c r="B279" i="64"/>
  <c r="B278" i="64"/>
  <c r="B277" i="64"/>
  <c r="B276" i="64"/>
  <c r="B275" i="64"/>
  <c r="B274" i="64"/>
  <c r="B273" i="64"/>
  <c r="D272" i="64"/>
  <c r="D271" i="64"/>
  <c r="D270" i="64"/>
  <c r="D269" i="64"/>
  <c r="D268" i="64"/>
  <c r="D267" i="64"/>
  <c r="D266" i="64"/>
  <c r="D265" i="64"/>
  <c r="F265" i="64" a="1"/>
  <c r="F265" i="64" s="1"/>
  <c r="B272" i="64"/>
  <c r="B271" i="64"/>
  <c r="B270" i="64"/>
  <c r="B269" i="64"/>
  <c r="B268" i="64"/>
  <c r="B267" i="64"/>
  <c r="B266" i="64"/>
  <c r="B265" i="64"/>
  <c r="F258" i="64" a="1"/>
  <c r="F258" i="64" s="1"/>
  <c r="J258" i="64" s="1"/>
  <c r="F262" i="64" a="1"/>
  <c r="F262" i="64" s="1"/>
  <c r="F259" i="64" a="1"/>
  <c r="F259" i="64" s="1"/>
  <c r="J259" i="64" s="1"/>
  <c r="F261" i="64" a="1"/>
  <c r="F261" i="64" s="1"/>
  <c r="J261" i="64" s="1"/>
  <c r="F260" i="64" a="1"/>
  <c r="F260" i="64" s="1"/>
  <c r="J260" i="64" s="1"/>
  <c r="D264" i="64"/>
  <c r="D263" i="64"/>
  <c r="B264" i="64"/>
  <c r="B263" i="64"/>
  <c r="D262" i="64"/>
  <c r="B262" i="64"/>
  <c r="D261" i="64"/>
  <c r="B261" i="64"/>
  <c r="D260" i="64"/>
  <c r="D258" i="64"/>
  <c r="F257" i="64" a="1"/>
  <c r="F257" i="64" s="1"/>
  <c r="J257" i="64" s="1"/>
  <c r="D257" i="64"/>
  <c r="B257" i="64"/>
  <c r="J265" i="64" l="1"/>
  <c r="J548" i="64"/>
  <c r="J539" i="64"/>
  <c r="J550" i="64"/>
  <c r="J562" i="64"/>
  <c r="J498" i="64"/>
  <c r="J282" i="64"/>
  <c r="J281" i="64"/>
  <c r="J737" i="64"/>
  <c r="J608" i="64"/>
  <c r="J736" i="64"/>
  <c r="J510" i="64"/>
  <c r="J581" i="64"/>
  <c r="J752" i="64"/>
  <c r="J262" i="64"/>
  <c r="J563" i="64"/>
  <c r="J310" i="64"/>
  <c r="J557" i="64"/>
  <c r="J374" i="64"/>
  <c r="J611" i="64"/>
  <c r="J699" i="64"/>
  <c r="J286" i="64"/>
  <c r="J278" i="64"/>
  <c r="J318" i="64"/>
  <c r="J326" i="64"/>
  <c r="D259" i="64"/>
  <c r="D239" i="64"/>
  <c r="B239" i="64"/>
  <c r="D238" i="64"/>
  <c r="D237" i="64"/>
  <c r="D236" i="64"/>
  <c r="B238" i="64"/>
  <c r="B237" i="64"/>
  <c r="B236" i="64"/>
  <c r="J195" i="64"/>
  <c r="C246" i="64"/>
  <c r="C249" i="64"/>
  <c r="C250" i="64"/>
  <c r="C252" i="64"/>
  <c r="C253" i="64"/>
  <c r="F166" i="64"/>
  <c r="J975" i="64"/>
  <c r="P82" i="25"/>
  <c r="D110" i="25"/>
  <c r="J29" i="11"/>
  <c r="S66" i="25"/>
  <c r="F46" i="25"/>
  <c r="M19" i="25"/>
  <c r="M17" i="25"/>
  <c r="F210" i="64"/>
  <c r="J210" i="64" s="1"/>
  <c r="F208" i="64"/>
  <c r="J203" i="64"/>
  <c r="P48" i="25" l="1"/>
  <c r="J956" i="64"/>
  <c r="J166" i="64"/>
  <c r="J208" i="64"/>
  <c r="J957" i="64"/>
  <c r="J958" i="64"/>
  <c r="F139" i="64"/>
  <c r="J139" i="64" s="1"/>
  <c r="F148" i="64"/>
  <c r="J148" i="64" s="1"/>
  <c r="F150" i="64"/>
  <c r="J150" i="64" s="1"/>
  <c r="F138" i="64"/>
  <c r="J138" i="64" s="1"/>
  <c r="F151" i="64"/>
  <c r="F149" i="64"/>
  <c r="J149" i="64" s="1"/>
  <c r="F152" i="64"/>
  <c r="J152" i="64" s="1"/>
  <c r="F153" i="64"/>
  <c r="J153" i="64" s="1"/>
  <c r="F145" i="64"/>
  <c r="J145" i="64" s="1"/>
  <c r="F144" i="64"/>
  <c r="J144" i="64" s="1"/>
  <c r="F140" i="64"/>
  <c r="J140" i="64" s="1"/>
  <c r="F155" i="64"/>
  <c r="J155" i="64" s="1"/>
  <c r="F143" i="64"/>
  <c r="J143" i="64" s="1"/>
  <c r="F142" i="64"/>
  <c r="J142" i="64" s="1"/>
  <c r="F147" i="64"/>
  <c r="J147" i="64" s="1"/>
  <c r="F157" i="64"/>
  <c r="J157" i="64" s="1"/>
  <c r="D195" i="64"/>
  <c r="D203" i="64"/>
  <c r="D181" i="64"/>
  <c r="D177" i="64"/>
  <c r="J151" i="64" l="1"/>
  <c r="B260" i="64"/>
  <c r="B258" i="64"/>
  <c r="B259" i="64"/>
  <c r="D26" i="64"/>
  <c r="F246" i="64" l="1"/>
  <c r="P66" i="25"/>
  <c r="J246" i="64" l="1"/>
  <c r="D349" i="64"/>
  <c r="D350" i="64"/>
  <c r="D348" i="64"/>
  <c r="D346" i="64"/>
  <c r="D344" i="64"/>
  <c r="D343" i="64"/>
  <c r="D342" i="64"/>
  <c r="D341" i="64"/>
  <c r="B349" i="64"/>
  <c r="B348" i="64"/>
  <c r="D347" i="64"/>
  <c r="B347" i="64"/>
  <c r="B346" i="64"/>
  <c r="B344" i="64"/>
  <c r="B343" i="64"/>
  <c r="B342" i="64"/>
  <c r="B341" i="64"/>
  <c r="D360" i="64"/>
  <c r="B360" i="64"/>
  <c r="D359" i="64"/>
  <c r="B359" i="64"/>
  <c r="D358" i="64"/>
  <c r="B358" i="64"/>
  <c r="D356" i="64"/>
  <c r="B356" i="64"/>
  <c r="D354" i="64"/>
  <c r="B354" i="64"/>
  <c r="D353" i="64"/>
  <c r="B353" i="64"/>
  <c r="D352" i="64"/>
  <c r="B352" i="64"/>
  <c r="D351" i="64"/>
  <c r="B351" i="64"/>
  <c r="D340" i="64"/>
  <c r="D339" i="64"/>
  <c r="D338" i="64"/>
  <c r="D336" i="64"/>
  <c r="D334" i="64"/>
  <c r="D333" i="64"/>
  <c r="D332" i="64"/>
  <c r="D331" i="64"/>
  <c r="B339" i="64"/>
  <c r="B338" i="64"/>
  <c r="D337" i="64"/>
  <c r="B337" i="64"/>
  <c r="B336" i="64"/>
  <c r="B334" i="64"/>
  <c r="B333" i="64"/>
  <c r="B332" i="64"/>
  <c r="B331" i="64"/>
  <c r="B340" i="64"/>
  <c r="D374" i="64"/>
  <c r="B374" i="64"/>
  <c r="D367" i="64"/>
  <c r="B367" i="64"/>
  <c r="D357" i="64"/>
  <c r="B357" i="64"/>
  <c r="B350" i="64"/>
  <c r="F253" i="64"/>
  <c r="F252" i="64"/>
  <c r="F250" i="64"/>
  <c r="F249" i="64"/>
  <c r="D253" i="64"/>
  <c r="D252" i="64"/>
  <c r="D250" i="64"/>
  <c r="D249" i="64"/>
  <c r="D246" i="64"/>
  <c r="B246" i="64"/>
  <c r="B249" i="64"/>
  <c r="B250" i="64"/>
  <c r="B252" i="64"/>
  <c r="B253" i="64"/>
  <c r="D198" i="64"/>
  <c r="D199" i="64"/>
  <c r="D197" i="64"/>
  <c r="D192" i="64"/>
  <c r="F207" i="64" l="1"/>
  <c r="J207" i="64" s="1"/>
  <c r="F206" i="64"/>
  <c r="J206" i="64" s="1"/>
  <c r="J252" i="64"/>
  <c r="J253" i="64"/>
  <c r="J249" i="64"/>
  <c r="J250" i="64"/>
  <c r="D194" i="64"/>
  <c r="D180" i="64" l="1"/>
  <c r="D178" i="64"/>
  <c r="C192" i="64"/>
  <c r="C202" i="64"/>
  <c r="C199" i="64"/>
  <c r="C198" i="64"/>
  <c r="C201" i="64"/>
  <c r="C197" i="64"/>
  <c r="C200" i="64"/>
  <c r="C178" i="64"/>
  <c r="C212" i="64"/>
  <c r="C211" i="64"/>
  <c r="C210" i="64"/>
  <c r="C193" i="64"/>
  <c r="C181" i="64"/>
  <c r="C180" i="64"/>
  <c r="C177" i="64"/>
  <c r="C195" i="64"/>
  <c r="C208" i="64"/>
  <c r="C204" i="64"/>
  <c r="C203" i="64"/>
  <c r="C194" i="64"/>
  <c r="B192" i="64"/>
  <c r="B202" i="64"/>
  <c r="B199" i="64"/>
  <c r="B198" i="64"/>
  <c r="B201" i="64"/>
  <c r="B197" i="64"/>
  <c r="B200" i="64"/>
  <c r="B178" i="64"/>
  <c r="B212" i="64"/>
  <c r="B211" i="64"/>
  <c r="B210" i="64"/>
  <c r="B193" i="64"/>
  <c r="B181" i="64"/>
  <c r="B180" i="64"/>
  <c r="B177" i="64"/>
  <c r="B195" i="64"/>
  <c r="B208" i="64"/>
  <c r="B204" i="64"/>
  <c r="B203" i="64"/>
  <c r="B194" i="64"/>
  <c r="D172" i="64"/>
  <c r="C172" i="64"/>
  <c r="B172" i="64"/>
  <c r="D171" i="64"/>
  <c r="C171" i="64"/>
  <c r="B171" i="64"/>
  <c r="D170" i="64"/>
  <c r="C170" i="64"/>
  <c r="B170" i="64"/>
  <c r="D169" i="64"/>
  <c r="C169" i="64"/>
  <c r="B169" i="64"/>
  <c r="D168" i="64"/>
  <c r="C168" i="64"/>
  <c r="B168" i="64"/>
  <c r="D167" i="64"/>
  <c r="C167" i="64"/>
  <c r="B167" i="64"/>
  <c r="D166" i="64"/>
  <c r="C166" i="64"/>
  <c r="B166" i="64"/>
  <c r="D165" i="64"/>
  <c r="C165" i="64"/>
  <c r="B165" i="64"/>
  <c r="D164" i="64"/>
  <c r="C164" i="64"/>
  <c r="B164" i="64"/>
  <c r="D62" i="64"/>
  <c r="D61" i="64"/>
  <c r="D60" i="64"/>
  <c r="C60" i="64"/>
  <c r="B60" i="64"/>
  <c r="D59" i="64"/>
  <c r="D58" i="64"/>
  <c r="D57" i="64"/>
  <c r="D63" i="64"/>
  <c r="B24" i="64"/>
  <c r="B23" i="64"/>
  <c r="C19" i="64"/>
  <c r="B19" i="64"/>
  <c r="C6" i="64"/>
  <c r="B6" i="64"/>
  <c r="C4" i="64"/>
  <c r="B4" i="64"/>
  <c r="F80" i="25"/>
  <c r="F980" i="64" s="1"/>
  <c r="K56" i="25"/>
  <c r="J980" i="64" l="1"/>
  <c r="F973" i="64"/>
  <c r="J973" i="64" s="1"/>
  <c r="D157" i="64"/>
  <c r="F2116" i="64"/>
  <c r="J2116" i="64" s="1"/>
  <c r="F2114" i="64"/>
  <c r="J2114" i="64" s="1"/>
  <c r="F1901" i="64"/>
  <c r="J1901" i="64" s="1"/>
  <c r="F1885" i="64"/>
  <c r="J1885" i="64" s="1"/>
  <c r="F1112" i="64"/>
  <c r="J1112" i="64" s="1"/>
  <c r="F1111" i="64"/>
  <c r="J1111" i="64" s="1"/>
  <c r="F1110" i="64"/>
  <c r="J1110" i="64" s="1"/>
  <c r="F1108" i="64"/>
  <c r="J1108" i="64" s="1"/>
  <c r="F1107" i="64"/>
  <c r="J1107" i="64" s="1"/>
  <c r="F1106" i="64"/>
  <c r="J1106" i="64" s="1"/>
  <c r="J1101" i="64"/>
  <c r="F1091" i="64"/>
  <c r="J1091" i="64" s="1"/>
  <c r="F1090" i="64"/>
  <c r="J1090" i="64" s="1"/>
  <c r="F1089" i="64"/>
  <c r="J1089" i="64" s="1"/>
  <c r="F1088" i="64"/>
  <c r="J1088" i="64" s="1"/>
  <c r="J1087" i="64"/>
  <c r="J1086" i="64"/>
  <c r="F1084" i="64"/>
  <c r="J1084" i="64" s="1"/>
  <c r="F1052" i="64"/>
  <c r="J1052" i="64" s="1"/>
  <c r="F1051" i="64"/>
  <c r="J1051" i="64" s="1"/>
  <c r="F1050" i="64"/>
  <c r="J1050" i="64" s="1"/>
  <c r="F1049" i="64"/>
  <c r="J1049" i="64" s="1"/>
  <c r="F1048" i="64"/>
  <c r="J1048" i="64" s="1"/>
  <c r="F1047" i="64"/>
  <c r="J1047" i="64" s="1"/>
  <c r="F1046" i="64"/>
  <c r="J1046" i="64" s="1"/>
  <c r="F1045" i="64"/>
  <c r="J1045" i="64" s="1"/>
  <c r="F1044" i="64"/>
  <c r="J1044" i="64" s="1"/>
  <c r="F1043" i="64"/>
  <c r="J1043" i="64" s="1"/>
  <c r="F1042" i="64"/>
  <c r="J1042" i="64" s="1"/>
  <c r="F1041" i="64"/>
  <c r="J1041" i="64" s="1"/>
  <c r="F1040" i="64"/>
  <c r="J1040" i="64" s="1"/>
  <c r="F1039" i="64"/>
  <c r="J1039" i="64" s="1"/>
  <c r="F1038" i="64"/>
  <c r="J1038" i="64" s="1"/>
  <c r="F1037" i="64"/>
  <c r="J1037" i="64" s="1"/>
  <c r="F1036" i="64"/>
  <c r="J1036" i="64" s="1"/>
  <c r="F1035" i="64"/>
  <c r="J1035" i="64" s="1"/>
  <c r="F1034" i="64"/>
  <c r="J1034" i="64" s="1"/>
  <c r="F1033" i="64"/>
  <c r="J1033" i="64" s="1"/>
  <c r="F1032" i="64"/>
  <c r="J1032" i="64" s="1"/>
  <c r="F1031" i="64"/>
  <c r="J1031" i="64" s="1"/>
  <c r="F1030" i="64"/>
  <c r="J1030" i="64" s="1"/>
  <c r="J1018" i="64"/>
  <c r="F893" i="64"/>
  <c r="J893" i="64" s="1"/>
  <c r="F795" i="64"/>
  <c r="F790" i="64"/>
  <c r="F794" i="64"/>
  <c r="F793" i="64"/>
  <c r="F792" i="64"/>
  <c r="F791" i="64"/>
  <c r="F789" i="64"/>
  <c r="F787" i="64"/>
  <c r="J787" i="64" s="1"/>
  <c r="F788" i="64"/>
  <c r="J788" i="64" s="1"/>
  <c r="F771" i="64"/>
  <c r="F766" i="64"/>
  <c r="F666" i="64"/>
  <c r="F663" i="64"/>
  <c r="F2123" i="64"/>
  <c r="J2123" i="64" s="1"/>
  <c r="F2122" i="64"/>
  <c r="J2122" i="64" s="1"/>
  <c r="F2115" i="64"/>
  <c r="J2115" i="64" s="1"/>
  <c r="K353" i="52"/>
  <c r="M328" i="52"/>
  <c r="K321" i="52"/>
  <c r="M280" i="52"/>
  <c r="K273" i="52"/>
  <c r="M232" i="52"/>
  <c r="K225" i="52"/>
  <c r="M200" i="52"/>
  <c r="K193" i="52"/>
  <c r="K161" i="52"/>
  <c r="M136" i="52"/>
  <c r="K129" i="52"/>
  <c r="M104" i="52"/>
  <c r="K97" i="52"/>
  <c r="M56" i="52"/>
  <c r="K49" i="52"/>
  <c r="M8" i="52"/>
  <c r="G31" i="12"/>
  <c r="F126" i="64"/>
  <c r="B458" i="46"/>
  <c r="F39" i="13"/>
  <c r="F38" i="13"/>
  <c r="F37" i="13"/>
  <c r="F36" i="13"/>
  <c r="F35" i="13"/>
  <c r="F34" i="13"/>
  <c r="F33" i="13"/>
  <c r="F32" i="13"/>
  <c r="F31" i="13"/>
  <c r="F30" i="13"/>
  <c r="B41" i="16"/>
  <c r="B45" i="16" s="1"/>
  <c r="B39" i="16"/>
  <c r="B32" i="16"/>
  <c r="B28" i="16"/>
  <c r="B15" i="16"/>
  <c r="J35" i="11"/>
  <c r="J34" i="11"/>
  <c r="P86" i="25"/>
  <c r="P85" i="25"/>
  <c r="U81" i="25"/>
  <c r="P68" i="25"/>
  <c r="C41" i="12"/>
  <c r="D28" i="12"/>
  <c r="D27" i="12"/>
  <c r="D13" i="12"/>
  <c r="D11" i="12"/>
  <c r="B15" i="2"/>
  <c r="F1083" i="64"/>
  <c r="J1083" i="64" s="1"/>
  <c r="F1068" i="64"/>
  <c r="J1068" i="64" s="1"/>
  <c r="F1066" i="64"/>
  <c r="J1066" i="64" s="1"/>
  <c r="F1065" i="64"/>
  <c r="J1065" i="64" s="1"/>
  <c r="F1064" i="64"/>
  <c r="J1064" i="64" s="1"/>
  <c r="F1063" i="64"/>
  <c r="J1063" i="64" s="1"/>
  <c r="F1062" i="64"/>
  <c r="J1062" i="64" s="1"/>
  <c r="F1061" i="64"/>
  <c r="J1061" i="64" s="1"/>
  <c r="F1059" i="64"/>
  <c r="J1059" i="64" s="1"/>
  <c r="F1058" i="64"/>
  <c r="J1058" i="64" s="1"/>
  <c r="F1057" i="64"/>
  <c r="J1057" i="64" s="1"/>
  <c r="F1056" i="64"/>
  <c r="J1056" i="64" s="1"/>
  <c r="F1055" i="64"/>
  <c r="J1055" i="64" s="1"/>
  <c r="F1054" i="64"/>
  <c r="J1054" i="64" s="1"/>
  <c r="F1053" i="64"/>
  <c r="J1053" i="64" s="1"/>
  <c r="F2793" i="64"/>
  <c r="J2793" i="64" s="1"/>
  <c r="F784" i="64"/>
  <c r="F756" i="64"/>
  <c r="F690" i="64"/>
  <c r="J690" i="64" s="1"/>
  <c r="F667" i="64"/>
  <c r="F662" i="64"/>
  <c r="F661" i="64"/>
  <c r="J661" i="64" s="1"/>
  <c r="F398" i="64"/>
  <c r="J398" i="64" s="1"/>
  <c r="F381" i="64"/>
  <c r="F396" i="64"/>
  <c r="J396" i="64" s="1"/>
  <c r="F395" i="64"/>
  <c r="J395" i="64" s="1"/>
  <c r="F392" i="64"/>
  <c r="J392" i="64" s="1"/>
  <c r="F391" i="64"/>
  <c r="J391" i="64" s="1"/>
  <c r="F390" i="64"/>
  <c r="J390" i="64" s="1"/>
  <c r="F389" i="64"/>
  <c r="J389" i="64" s="1"/>
  <c r="F534" i="64"/>
  <c r="F533" i="64"/>
  <c r="F532" i="64"/>
  <c r="F531" i="64"/>
  <c r="F520" i="64"/>
  <c r="D161" i="64"/>
  <c r="C161" i="64"/>
  <c r="C160" i="64"/>
  <c r="C159" i="64"/>
  <c r="B161" i="64"/>
  <c r="B160" i="64"/>
  <c r="B159" i="64"/>
  <c r="C2325" i="64"/>
  <c r="B2325" i="64"/>
  <c r="D2324" i="64"/>
  <c r="C2324" i="64"/>
  <c r="B2324" i="64"/>
  <c r="D2323" i="64"/>
  <c r="C2323" i="64"/>
  <c r="B2323" i="64"/>
  <c r="D2322" i="64"/>
  <c r="C2322" i="64"/>
  <c r="B2322" i="64"/>
  <c r="D2321" i="64"/>
  <c r="C2321" i="64"/>
  <c r="B2321" i="64"/>
  <c r="D2320" i="64"/>
  <c r="C2320" i="64"/>
  <c r="B2320" i="64"/>
  <c r="D2319" i="64"/>
  <c r="C2319" i="64"/>
  <c r="B2319" i="64"/>
  <c r="D2318" i="64"/>
  <c r="C2318" i="64"/>
  <c r="B2318" i="64"/>
  <c r="D2317" i="64"/>
  <c r="C2317" i="64"/>
  <c r="B2317" i="64"/>
  <c r="D2316" i="64"/>
  <c r="C2316" i="64"/>
  <c r="B2316" i="64"/>
  <c r="D2315" i="64"/>
  <c r="C2315" i="64"/>
  <c r="B2315" i="64"/>
  <c r="D2314" i="64"/>
  <c r="C2314" i="64"/>
  <c r="B2314" i="64"/>
  <c r="D2313" i="64"/>
  <c r="C2313" i="64"/>
  <c r="B2313" i="64"/>
  <c r="D2312" i="64"/>
  <c r="C2312" i="64"/>
  <c r="B2312" i="64"/>
  <c r="D2311" i="64"/>
  <c r="C2311" i="64"/>
  <c r="B2311" i="64"/>
  <c r="D2310" i="64"/>
  <c r="C2310" i="64"/>
  <c r="B2310" i="64"/>
  <c r="D2309" i="64"/>
  <c r="C2309" i="64"/>
  <c r="B2309" i="64"/>
  <c r="D2308" i="64"/>
  <c r="C2308" i="64"/>
  <c r="B2308" i="64"/>
  <c r="D2307" i="64"/>
  <c r="C2307" i="64"/>
  <c r="B2307" i="64"/>
  <c r="D2306" i="64"/>
  <c r="C2306" i="64"/>
  <c r="B2306" i="64"/>
  <c r="D2305" i="64"/>
  <c r="C2305" i="64"/>
  <c r="B2305" i="64"/>
  <c r="D153" i="64"/>
  <c r="C153" i="64"/>
  <c r="B153" i="64"/>
  <c r="D151" i="64"/>
  <c r="D150" i="64"/>
  <c r="C151" i="64"/>
  <c r="B151" i="64"/>
  <c r="C150" i="64"/>
  <c r="B150" i="64"/>
  <c r="D148" i="64"/>
  <c r="C148" i="64"/>
  <c r="B148" i="64"/>
  <c r="D139" i="64"/>
  <c r="C139" i="64"/>
  <c r="B139" i="64"/>
  <c r="D145" i="64"/>
  <c r="D144" i="64"/>
  <c r="C145" i="64"/>
  <c r="B145" i="64"/>
  <c r="C144" i="64"/>
  <c r="B144" i="64"/>
  <c r="D152" i="64"/>
  <c r="D143" i="64"/>
  <c r="D149" i="64"/>
  <c r="D155" i="64"/>
  <c r="D156" i="64"/>
  <c r="D146" i="64"/>
  <c r="D142" i="64"/>
  <c r="D147" i="64"/>
  <c r="D140" i="64"/>
  <c r="D138" i="64"/>
  <c r="D137" i="64"/>
  <c r="D141" i="64"/>
  <c r="C142" i="64"/>
  <c r="C147" i="64"/>
  <c r="C137" i="64"/>
  <c r="C140" i="64"/>
  <c r="C152" i="64"/>
  <c r="C143" i="64"/>
  <c r="C149" i="64"/>
  <c r="C138" i="64"/>
  <c r="C155" i="64"/>
  <c r="C156" i="64"/>
  <c r="C146" i="64"/>
  <c r="B157" i="64"/>
  <c r="B152" i="64"/>
  <c r="B143" i="64"/>
  <c r="B149" i="64"/>
  <c r="B138" i="64"/>
  <c r="B155" i="64"/>
  <c r="B156" i="64"/>
  <c r="B146" i="64"/>
  <c r="B142" i="64"/>
  <c r="B147" i="64"/>
  <c r="B137" i="64"/>
  <c r="B140" i="64"/>
  <c r="B141" i="64"/>
  <c r="C141" i="64"/>
  <c r="B121" i="64"/>
  <c r="B120" i="64"/>
  <c r="D119" i="64"/>
  <c r="B119" i="64"/>
  <c r="D118" i="64"/>
  <c r="B118" i="64"/>
  <c r="D107" i="64"/>
  <c r="D106" i="64"/>
  <c r="D105" i="64"/>
  <c r="D101" i="64"/>
  <c r="C101" i="64"/>
  <c r="C107" i="64"/>
  <c r="C106" i="64"/>
  <c r="C105" i="64"/>
  <c r="C104" i="64"/>
  <c r="C102" i="64"/>
  <c r="D102" i="64"/>
  <c r="B127" i="64"/>
  <c r="B126" i="64"/>
  <c r="B125" i="64"/>
  <c r="B124" i="64"/>
  <c r="B123" i="64"/>
  <c r="B109" i="64"/>
  <c r="D104" i="64"/>
  <c r="B107" i="64"/>
  <c r="B106" i="64"/>
  <c r="B105" i="64"/>
  <c r="B104" i="64"/>
  <c r="B102" i="64"/>
  <c r="B101" i="64"/>
  <c r="B99" i="64"/>
  <c r="D54" i="64"/>
  <c r="D52" i="64"/>
  <c r="D51" i="64"/>
  <c r="D49" i="64"/>
  <c r="D48" i="64"/>
  <c r="C72" i="64"/>
  <c r="C63" i="64"/>
  <c r="C71" i="64"/>
  <c r="C57" i="64"/>
  <c r="C70" i="64"/>
  <c r="C69" i="64"/>
  <c r="C68" i="64"/>
  <c r="C61" i="64"/>
  <c r="C65" i="64"/>
  <c r="C67" i="64"/>
  <c r="C59" i="64"/>
  <c r="C66" i="64"/>
  <c r="C58" i="64"/>
  <c r="C62" i="64"/>
  <c r="C77" i="64"/>
  <c r="C54" i="64"/>
  <c r="C76" i="64"/>
  <c r="C52" i="64"/>
  <c r="C51" i="64"/>
  <c r="C49" i="64"/>
  <c r="C48" i="64"/>
  <c r="B72" i="64"/>
  <c r="B63" i="64"/>
  <c r="B71" i="64"/>
  <c r="B57" i="64"/>
  <c r="B70" i="64"/>
  <c r="B69" i="64"/>
  <c r="B68" i="64"/>
  <c r="B61" i="64"/>
  <c r="B65" i="64"/>
  <c r="B67" i="64"/>
  <c r="B59" i="64"/>
  <c r="B66" i="64"/>
  <c r="B58" i="64"/>
  <c r="B62" i="64"/>
  <c r="B77" i="64"/>
  <c r="B54" i="64"/>
  <c r="B76" i="64"/>
  <c r="B52" i="64"/>
  <c r="B51" i="64"/>
  <c r="B49" i="64"/>
  <c r="B48" i="64"/>
  <c r="D36" i="64"/>
  <c r="D35" i="64"/>
  <c r="D33" i="64"/>
  <c r="D32" i="64"/>
  <c r="F1538" i="64" l="1"/>
  <c r="J1538" i="64" s="1"/>
  <c r="F1283" i="64"/>
  <c r="J1283" i="64" s="1"/>
  <c r="F1284" i="64"/>
  <c r="J1284" i="64" s="1"/>
  <c r="F1231" i="64"/>
  <c r="J1231" i="64" s="1"/>
  <c r="F1308" i="64"/>
  <c r="J1308" i="64" s="1"/>
  <c r="C7" i="38"/>
  <c r="F1305" i="64"/>
  <c r="J1305" i="64" s="1"/>
  <c r="F1544" i="64"/>
  <c r="J1544" i="64" s="1"/>
  <c r="J791" i="64"/>
  <c r="J792" i="64"/>
  <c r="J531" i="64"/>
  <c r="J666" i="64"/>
  <c r="J793" i="64"/>
  <c r="J533" i="64"/>
  <c r="J790" i="64"/>
  <c r="J532" i="64"/>
  <c r="J534" i="64"/>
  <c r="J789" i="64"/>
  <c r="J126" i="64"/>
  <c r="J535" i="64"/>
  <c r="J663" i="64"/>
  <c r="J756" i="64"/>
  <c r="J662" i="64"/>
  <c r="J520" i="64"/>
  <c r="J667" i="64"/>
  <c r="J766" i="64"/>
  <c r="J794" i="64"/>
  <c r="J771" i="64"/>
  <c r="J795" i="64"/>
  <c r="J784" i="64"/>
  <c r="J381" i="64"/>
  <c r="F2124" i="64"/>
  <c r="J2124" i="64" s="1"/>
  <c r="F1287" i="64"/>
  <c r="J1287" i="64" s="1"/>
  <c r="F1234" i="64"/>
  <c r="J1234" i="64" s="1"/>
  <c r="P16" i="25"/>
  <c r="M16" i="25" s="1"/>
  <c r="F988" i="64"/>
  <c r="J988" i="64" s="1"/>
  <c r="F1290" i="64"/>
  <c r="J1290" i="64" s="1"/>
  <c r="F1293" i="64"/>
  <c r="J1293" i="64" s="1"/>
  <c r="F75" i="64"/>
  <c r="F73" i="64"/>
  <c r="H75" i="64"/>
  <c r="F1321" i="64"/>
  <c r="J1321" i="64" s="1"/>
  <c r="B21" i="64"/>
  <c r="B35" i="64"/>
  <c r="B36" i="64"/>
  <c r="B33" i="64"/>
  <c r="B32" i="64"/>
  <c r="C35" i="64"/>
  <c r="C36" i="64"/>
  <c r="C33" i="64"/>
  <c r="C32" i="64"/>
  <c r="C28" i="64"/>
  <c r="C27" i="64"/>
  <c r="C26" i="64"/>
  <c r="B28" i="64"/>
  <c r="B27" i="64"/>
  <c r="B26" i="64"/>
  <c r="D27" i="64"/>
  <c r="D21" i="64"/>
  <c r="F125" i="64"/>
  <c r="D125" i="64"/>
  <c r="D109" i="64"/>
  <c r="D86" i="64"/>
  <c r="D72" i="64"/>
  <c r="D71" i="64"/>
  <c r="D70" i="64"/>
  <c r="D69" i="64"/>
  <c r="D68" i="64"/>
  <c r="D67" i="64"/>
  <c r="D66" i="64"/>
  <c r="D77" i="64"/>
  <c r="C44" i="12"/>
  <c r="F87" i="64" s="1"/>
  <c r="J87" i="64" s="1"/>
  <c r="C27" i="12"/>
  <c r="I16" i="25"/>
  <c r="K16" i="25" s="1"/>
  <c r="I17" i="25"/>
  <c r="K17" i="25" s="1"/>
  <c r="I18" i="25"/>
  <c r="K18" i="25" s="1"/>
  <c r="I19" i="25"/>
  <c r="K19" i="25" s="1"/>
  <c r="I20" i="25"/>
  <c r="K20" i="25" s="1"/>
  <c r="I21" i="25"/>
  <c r="K21" i="25" s="1"/>
  <c r="I22" i="25"/>
  <c r="K22" i="25" s="1"/>
  <c r="I23" i="25"/>
  <c r="K23" i="25" s="1"/>
  <c r="I24" i="25"/>
  <c r="K24" i="25" s="1"/>
  <c r="I25" i="25"/>
  <c r="K25" i="25" s="1"/>
  <c r="I26" i="25"/>
  <c r="K26" i="25" s="1"/>
  <c r="I27" i="25"/>
  <c r="K27" i="25" s="1"/>
  <c r="I28" i="25"/>
  <c r="K28" i="25" s="1"/>
  <c r="I29" i="25"/>
  <c r="K29" i="25" s="1"/>
  <c r="I30" i="25"/>
  <c r="K30" i="25" s="1"/>
  <c r="I31" i="25"/>
  <c r="K31" i="25" s="1"/>
  <c r="I57" i="25"/>
  <c r="K57" i="25" s="1"/>
  <c r="I58" i="25"/>
  <c r="K58" i="25" s="1"/>
  <c r="I59" i="25"/>
  <c r="K59" i="25" s="1"/>
  <c r="I60" i="25"/>
  <c r="K60" i="25" s="1"/>
  <c r="I61" i="25"/>
  <c r="K61" i="25" s="1"/>
  <c r="I62" i="25"/>
  <c r="K62" i="25" s="1"/>
  <c r="I63" i="25"/>
  <c r="K63" i="25" s="1"/>
  <c r="I64" i="25"/>
  <c r="K64" i="25" s="1"/>
  <c r="I65" i="25"/>
  <c r="K65" i="25" s="1"/>
  <c r="I66" i="25"/>
  <c r="K66" i="25" s="1"/>
  <c r="I67" i="25"/>
  <c r="K67" i="25" s="1"/>
  <c r="I68" i="25"/>
  <c r="K68" i="25" s="1"/>
  <c r="I69" i="25"/>
  <c r="K69" i="25" s="1"/>
  <c r="I70" i="25"/>
  <c r="K70" i="25" s="1"/>
  <c r="S9" i="25"/>
  <c r="U9" i="25" s="1"/>
  <c r="S10" i="25"/>
  <c r="U10" i="25" s="1"/>
  <c r="S30" i="25"/>
  <c r="U30" i="25" s="1"/>
  <c r="S31" i="25"/>
  <c r="U31" i="25" s="1"/>
  <c r="S32" i="25"/>
  <c r="U32" i="25" s="1"/>
  <c r="S33" i="25"/>
  <c r="U33" i="25" s="1"/>
  <c r="S34" i="25"/>
  <c r="U34" i="25" s="1"/>
  <c r="R68" i="25"/>
  <c r="S68" i="25" s="1"/>
  <c r="S69" i="25"/>
  <c r="U69" i="25" s="1"/>
  <c r="S70" i="25"/>
  <c r="U70" i="25" s="1"/>
  <c r="S53" i="25"/>
  <c r="U53" i="25" s="1"/>
  <c r="S54" i="25"/>
  <c r="S56" i="25"/>
  <c r="U56" i="25" s="1"/>
  <c r="S58" i="25"/>
  <c r="U58" i="25" s="1"/>
  <c r="S59" i="25"/>
  <c r="U59" i="25" s="1"/>
  <c r="S60" i="25"/>
  <c r="U60" i="25" s="1"/>
  <c r="S61" i="25"/>
  <c r="U61" i="25" s="1"/>
  <c r="S62" i="25"/>
  <c r="U62" i="25" s="1"/>
  <c r="S63" i="25"/>
  <c r="U63" i="25" s="1"/>
  <c r="S64" i="25"/>
  <c r="U64" i="25" s="1"/>
  <c r="S65" i="25"/>
  <c r="U65" i="25" s="1"/>
  <c r="I86" i="25"/>
  <c r="K86" i="25" s="1"/>
  <c r="I87" i="25"/>
  <c r="K87" i="25" s="1"/>
  <c r="I88" i="25"/>
  <c r="K88" i="25" s="1"/>
  <c r="I89" i="25"/>
  <c r="K89" i="25" s="1"/>
  <c r="I90" i="25"/>
  <c r="K90" i="25" s="1"/>
  <c r="I91" i="25"/>
  <c r="K91" i="25" s="1"/>
  <c r="I92" i="25"/>
  <c r="K92" i="25" s="1"/>
  <c r="I93" i="25"/>
  <c r="K93" i="25" s="1"/>
  <c r="I94" i="25"/>
  <c r="K94" i="25" s="1"/>
  <c r="I95" i="25"/>
  <c r="K95" i="25" s="1"/>
  <c r="P83" i="25"/>
  <c r="S87" i="25"/>
  <c r="U87" i="25" s="1"/>
  <c r="S88" i="25"/>
  <c r="U88" i="25" s="1"/>
  <c r="S89" i="25"/>
  <c r="U89" i="25" s="1"/>
  <c r="S90" i="25"/>
  <c r="U90" i="25" s="1"/>
  <c r="S91" i="25"/>
  <c r="U91" i="25" s="1"/>
  <c r="S92" i="25"/>
  <c r="U92" i="25" s="1"/>
  <c r="S93" i="25"/>
  <c r="U93" i="25" s="1"/>
  <c r="S94" i="25"/>
  <c r="U94" i="25" s="1"/>
  <c r="D101" i="25"/>
  <c r="F101" i="25" s="1"/>
  <c r="H101" i="25" s="1"/>
  <c r="H3" i="7"/>
  <c r="F39" i="26"/>
  <c r="F40" i="26" s="1"/>
  <c r="I41" i="26"/>
  <c r="K41" i="26" s="1"/>
  <c r="I42" i="26"/>
  <c r="K42" i="26" s="1"/>
  <c r="I43" i="26"/>
  <c r="K43" i="26" s="1"/>
  <c r="I44" i="26"/>
  <c r="K44" i="26" s="1"/>
  <c r="I45" i="26"/>
  <c r="K45" i="26" s="1"/>
  <c r="I46" i="26"/>
  <c r="K46" i="26" s="1"/>
  <c r="I47" i="26"/>
  <c r="K47" i="26" s="1"/>
  <c r="I48" i="26"/>
  <c r="K48" i="26" s="1"/>
  <c r="I49" i="26"/>
  <c r="K49" i="26" s="1"/>
  <c r="I50" i="26"/>
  <c r="K50" i="26" s="1"/>
  <c r="I51" i="26"/>
  <c r="K51" i="26" s="1"/>
  <c r="I52" i="26"/>
  <c r="K52" i="26" s="1"/>
  <c r="I53" i="26"/>
  <c r="K53" i="26" s="1"/>
  <c r="I54" i="26"/>
  <c r="K54" i="26" s="1"/>
  <c r="I55" i="26"/>
  <c r="K55" i="26" s="1"/>
  <c r="I56" i="26"/>
  <c r="K56" i="26" s="1"/>
  <c r="I57" i="26"/>
  <c r="K57" i="26" s="1"/>
  <c r="I58" i="26"/>
  <c r="K58" i="26" s="1"/>
  <c r="U39" i="26"/>
  <c r="P40" i="26"/>
  <c r="S44" i="26"/>
  <c r="U44" i="26" s="1"/>
  <c r="S45" i="26"/>
  <c r="U45" i="26" s="1"/>
  <c r="S46" i="26"/>
  <c r="U46" i="26" s="1"/>
  <c r="S47" i="26"/>
  <c r="U47" i="26" s="1"/>
  <c r="S48" i="26"/>
  <c r="U48" i="26" s="1"/>
  <c r="S49" i="26"/>
  <c r="U49" i="26" s="1"/>
  <c r="S50" i="26"/>
  <c r="U50" i="26" s="1"/>
  <c r="S51" i="26"/>
  <c r="U51" i="26" s="1"/>
  <c r="S52" i="26"/>
  <c r="U52" i="26" s="1"/>
  <c r="S53" i="26"/>
  <c r="U53" i="26" s="1"/>
  <c r="S54" i="26"/>
  <c r="U54" i="26" s="1"/>
  <c r="S55" i="26"/>
  <c r="U55" i="26" s="1"/>
  <c r="S56" i="26"/>
  <c r="U56" i="26" s="1"/>
  <c r="S57" i="26"/>
  <c r="U57" i="26" s="1"/>
  <c r="S58" i="26"/>
  <c r="U58" i="26" s="1"/>
  <c r="F68" i="26"/>
  <c r="D99" i="26" s="1"/>
  <c r="F69" i="26"/>
  <c r="F70" i="26"/>
  <c r="P72" i="26" s="1"/>
  <c r="I71" i="26"/>
  <c r="K71" i="26" s="1"/>
  <c r="I72" i="26"/>
  <c r="K72" i="26" s="1"/>
  <c r="I73" i="26"/>
  <c r="K73" i="26" s="1"/>
  <c r="I74" i="26"/>
  <c r="K74" i="26" s="1"/>
  <c r="I75" i="26"/>
  <c r="K75" i="26" s="1"/>
  <c r="I76" i="26"/>
  <c r="K76" i="26" s="1"/>
  <c r="I77" i="26"/>
  <c r="K77" i="26" s="1"/>
  <c r="I78" i="26"/>
  <c r="K78" i="26" s="1"/>
  <c r="I79" i="26"/>
  <c r="K79" i="26" s="1"/>
  <c r="I80" i="26"/>
  <c r="K80" i="26" s="1"/>
  <c r="I81" i="26"/>
  <c r="K81" i="26" s="1"/>
  <c r="I82" i="26"/>
  <c r="K82" i="26" s="1"/>
  <c r="I83" i="26"/>
  <c r="K83" i="26" s="1"/>
  <c r="U68" i="26"/>
  <c r="U69" i="26"/>
  <c r="J22" i="11" s="1"/>
  <c r="P71" i="26"/>
  <c r="S75" i="26"/>
  <c r="U75" i="26" s="1"/>
  <c r="S76" i="26"/>
  <c r="U76" i="26" s="1"/>
  <c r="S77" i="26"/>
  <c r="U77" i="26" s="1"/>
  <c r="S78" i="26"/>
  <c r="U78" i="26" s="1"/>
  <c r="S79" i="26"/>
  <c r="U79" i="26" s="1"/>
  <c r="S80" i="26"/>
  <c r="U80" i="26" s="1"/>
  <c r="S81" i="26"/>
  <c r="U81" i="26" s="1"/>
  <c r="S82" i="26"/>
  <c r="U82" i="26" s="1"/>
  <c r="D31" i="26"/>
  <c r="F31" i="26" s="1"/>
  <c r="H31" i="26" s="1"/>
  <c r="H2226" i="64" s="1"/>
  <c r="S11" i="26"/>
  <c r="U11" i="26" s="1"/>
  <c r="S12" i="26"/>
  <c r="U12" i="26" s="1"/>
  <c r="S14" i="26"/>
  <c r="U14" i="26" s="1"/>
  <c r="S15" i="26"/>
  <c r="U15" i="26" s="1"/>
  <c r="N31" i="26"/>
  <c r="P32" i="26"/>
  <c r="R32" i="26" s="1"/>
  <c r="S18" i="26"/>
  <c r="U18" i="26" s="1"/>
  <c r="S19" i="26"/>
  <c r="U19" i="26" s="1"/>
  <c r="S20" i="26"/>
  <c r="U20" i="26" s="1"/>
  <c r="S21" i="26"/>
  <c r="U21" i="26" s="1"/>
  <c r="P22" i="26"/>
  <c r="P23" i="26"/>
  <c r="S24" i="26"/>
  <c r="U24" i="26" s="1"/>
  <c r="S25" i="26"/>
  <c r="U25" i="26" s="1"/>
  <c r="F2338" i="64"/>
  <c r="J2338" i="64" s="1"/>
  <c r="F2339" i="64"/>
  <c r="J2339" i="64" s="1"/>
  <c r="F2340" i="64"/>
  <c r="J2340" i="64" s="1"/>
  <c r="F2341" i="64"/>
  <c r="J2341" i="64" s="1"/>
  <c r="F2360" i="64"/>
  <c r="J2360" i="64" s="1"/>
  <c r="F2361" i="64"/>
  <c r="J2361" i="64" s="1"/>
  <c r="F2387" i="64"/>
  <c r="J2387" i="64" s="1"/>
  <c r="F2388" i="64"/>
  <c r="J2388" i="64" s="1"/>
  <c r="F2389" i="64"/>
  <c r="J2389" i="64" s="1"/>
  <c r="F2390" i="64"/>
  <c r="J2390" i="64" s="1"/>
  <c r="F2395" i="64"/>
  <c r="J2395" i="64" s="1"/>
  <c r="F2407" i="64"/>
  <c r="J2407" i="64" s="1"/>
  <c r="F2408" i="64"/>
  <c r="J2408" i="64" s="1"/>
  <c r="F397" i="64"/>
  <c r="J397" i="64" s="1"/>
  <c r="B35" i="16"/>
  <c r="U25" i="15" s="1"/>
  <c r="AP25" i="15" s="1"/>
  <c r="B14" i="16"/>
  <c r="AP49" i="15"/>
  <c r="AP50" i="15"/>
  <c r="D18" i="2"/>
  <c r="B18" i="2" s="1"/>
  <c r="B6" i="30"/>
  <c r="B37" i="30" s="1"/>
  <c r="U7" i="28" s="1" a="1"/>
  <c r="U7" i="28" s="1"/>
  <c r="B43" i="16"/>
  <c r="B29" i="16"/>
  <c r="M27" i="15" s="1"/>
  <c r="AP27" i="15" s="1"/>
  <c r="AP26" i="15"/>
  <c r="F2229" i="64"/>
  <c r="J2229" i="64" s="1"/>
  <c r="F2231" i="64"/>
  <c r="J2231" i="64" s="1"/>
  <c r="F2230" i="64"/>
  <c r="J2230" i="64" s="1"/>
  <c r="F2232" i="64"/>
  <c r="J2232" i="64" s="1"/>
  <c r="F2278" i="64"/>
  <c r="H2279" i="64" s="1"/>
  <c r="F2280" i="64"/>
  <c r="J2280" i="64" s="1"/>
  <c r="F2424" i="64"/>
  <c r="J2424" i="64" s="1"/>
  <c r="F2425" i="64"/>
  <c r="J2425" i="64" s="1"/>
  <c r="F2426" i="64"/>
  <c r="J2426" i="64" s="1"/>
  <c r="F2427" i="64"/>
  <c r="J2427" i="64" s="1"/>
  <c r="F2428" i="64"/>
  <c r="J2428" i="64" s="1"/>
  <c r="F2429" i="64"/>
  <c r="J2429" i="64" s="1"/>
  <c r="F2430" i="64"/>
  <c r="J2430" i="64" s="1"/>
  <c r="F2431" i="64"/>
  <c r="J2431" i="64" s="1"/>
  <c r="F2432" i="64"/>
  <c r="J2432" i="64" s="1"/>
  <c r="F2433" i="64"/>
  <c r="J2433" i="64" s="1"/>
  <c r="F2434" i="64"/>
  <c r="J2434" i="64" s="1"/>
  <c r="F2435" i="64"/>
  <c r="J2435" i="64" s="1"/>
  <c r="F2436" i="64"/>
  <c r="J2436" i="64" s="1"/>
  <c r="F2438" i="64"/>
  <c r="J2438" i="64" s="1"/>
  <c r="F2439" i="64"/>
  <c r="J2439" i="64" s="1"/>
  <c r="F2440" i="64"/>
  <c r="J2440" i="64" s="1"/>
  <c r="F2441" i="64"/>
  <c r="J2441" i="64" s="1"/>
  <c r="F2442" i="64"/>
  <c r="J2442" i="64" s="1"/>
  <c r="F2443" i="64"/>
  <c r="J2443" i="64" s="1"/>
  <c r="F2444" i="64"/>
  <c r="J2444" i="64" s="1"/>
  <c r="F2445" i="64"/>
  <c r="J2445" i="64" s="1"/>
  <c r="F2446" i="64"/>
  <c r="J2446" i="64" s="1"/>
  <c r="F2447" i="64"/>
  <c r="J2447" i="64" s="1"/>
  <c r="F2487" i="64"/>
  <c r="F2450" i="64"/>
  <c r="J2450" i="64" s="1"/>
  <c r="F2451" i="64"/>
  <c r="J2451" i="64" s="1"/>
  <c r="F2452" i="64"/>
  <c r="J2452" i="64" s="1"/>
  <c r="F2453" i="64"/>
  <c r="J2453" i="64" s="1"/>
  <c r="F2454" i="64"/>
  <c r="J2454" i="64" s="1"/>
  <c r="F2455" i="64"/>
  <c r="J2455" i="64" s="1"/>
  <c r="F2456" i="64"/>
  <c r="J2456" i="64" s="1"/>
  <c r="F2457" i="64"/>
  <c r="J2457" i="64" s="1"/>
  <c r="F2458" i="64"/>
  <c r="J2458" i="64" s="1"/>
  <c r="F2459" i="64"/>
  <c r="J2459" i="64" s="1"/>
  <c r="F2460" i="64"/>
  <c r="J2460" i="64" s="1"/>
  <c r="F2461" i="64"/>
  <c r="J2461" i="64" s="1"/>
  <c r="F2462" i="64"/>
  <c r="J2462" i="64" s="1"/>
  <c r="F2463" i="64"/>
  <c r="J2463" i="64" s="1"/>
  <c r="F2464" i="64"/>
  <c r="J2464" i="64" s="1"/>
  <c r="F2465" i="64"/>
  <c r="J2465" i="64" s="1"/>
  <c r="F2466" i="64"/>
  <c r="J2466" i="64" s="1"/>
  <c r="F2467" i="64"/>
  <c r="J2467" i="64" s="1"/>
  <c r="F2468" i="64"/>
  <c r="J2468" i="64" s="1"/>
  <c r="F2469" i="64"/>
  <c r="J2469" i="64" s="1"/>
  <c r="F2470" i="64"/>
  <c r="J2470" i="64" s="1"/>
  <c r="F2471" i="64"/>
  <c r="J2471" i="64" s="1"/>
  <c r="F2472" i="64"/>
  <c r="J2472" i="64" s="1"/>
  <c r="F2473" i="64"/>
  <c r="J2473" i="64" s="1"/>
  <c r="F2474" i="64"/>
  <c r="J2474" i="64" s="1"/>
  <c r="F2475" i="64"/>
  <c r="J2475" i="64" s="1"/>
  <c r="F2476" i="64"/>
  <c r="J2476" i="64" s="1"/>
  <c r="F2477" i="64"/>
  <c r="J2477" i="64" s="1"/>
  <c r="F2478" i="64"/>
  <c r="J2478" i="64" s="1"/>
  <c r="F2479" i="64"/>
  <c r="J2479" i="64" s="1"/>
  <c r="F2480" i="64"/>
  <c r="J2480" i="64" s="1"/>
  <c r="F2481" i="64"/>
  <c r="J2481" i="64" s="1"/>
  <c r="F2482" i="64"/>
  <c r="J2482" i="64" s="1"/>
  <c r="F2483" i="64"/>
  <c r="J2483" i="64" s="1"/>
  <c r="F2484" i="64"/>
  <c r="J2484" i="64" s="1"/>
  <c r="F2485" i="64"/>
  <c r="J2485" i="64" s="1"/>
  <c r="F2486" i="64"/>
  <c r="J2486" i="64" s="1"/>
  <c r="F2488" i="64"/>
  <c r="J2488" i="64" s="1"/>
  <c r="F2489" i="64"/>
  <c r="J2489" i="64" s="1"/>
  <c r="F2506" i="64"/>
  <c r="J2506" i="64" s="1"/>
  <c r="F2507" i="64"/>
  <c r="J2507" i="64" s="1"/>
  <c r="F2529" i="64"/>
  <c r="J2529" i="64" s="1"/>
  <c r="F2531" i="64" a="1"/>
  <c r="F2531" i="64" s="1"/>
  <c r="J2531" i="64" s="1"/>
  <c r="F2541" i="64"/>
  <c r="J2541" i="64" s="1"/>
  <c r="F2542" i="64"/>
  <c r="J2542" i="64" s="1"/>
  <c r="F2549" i="64"/>
  <c r="J2549" i="64" s="1"/>
  <c r="F2555" i="64"/>
  <c r="J2555" i="64" s="1"/>
  <c r="F2556" i="64"/>
  <c r="J2556" i="64" s="1"/>
  <c r="F2558" i="64"/>
  <c r="J2558" i="64" s="1"/>
  <c r="F2562" i="64"/>
  <c r="J2562" i="64" s="1"/>
  <c r="F2563" i="64"/>
  <c r="J2563" i="64" s="1"/>
  <c r="F2565" i="64"/>
  <c r="J2565" i="64" s="1"/>
  <c r="F2568" i="64"/>
  <c r="J2568" i="64" s="1"/>
  <c r="F2573" i="64"/>
  <c r="J2573" i="64" s="1"/>
  <c r="H3" i="38"/>
  <c r="J11" i="38"/>
  <c r="J12" i="38"/>
  <c r="J13" i="38"/>
  <c r="J14" i="38"/>
  <c r="J15" i="38"/>
  <c r="J16" i="38"/>
  <c r="J17" i="38"/>
  <c r="J18" i="38"/>
  <c r="J19" i="38"/>
  <c r="J20" i="38"/>
  <c r="J21" i="38"/>
  <c r="J22" i="38"/>
  <c r="J23" i="38"/>
  <c r="J24" i="38"/>
  <c r="F785" i="64"/>
  <c r="J785" i="64" s="1"/>
  <c r="F2600" i="64"/>
  <c r="J2600" i="64" s="1"/>
  <c r="F2601" i="64"/>
  <c r="J2601" i="64" s="1"/>
  <c r="F2602" i="64"/>
  <c r="J2602" i="64" s="1"/>
  <c r="F2603" i="64"/>
  <c r="J2603" i="64" s="1"/>
  <c r="F2604" i="64"/>
  <c r="J2604" i="64" s="1"/>
  <c r="F2605" i="64"/>
  <c r="J2605" i="64" s="1"/>
  <c r="F2606" i="64"/>
  <c r="J2606" i="64" s="1"/>
  <c r="F2607" i="64"/>
  <c r="J2607" i="64" s="1"/>
  <c r="F2608" i="64"/>
  <c r="J2608" i="64" s="1"/>
  <c r="F2609" i="64"/>
  <c r="J2609" i="64" s="1"/>
  <c r="F2610" i="64"/>
  <c r="J2610" i="64" s="1"/>
  <c r="F2612" i="64"/>
  <c r="J2612" i="64" s="1"/>
  <c r="F2613" i="64"/>
  <c r="J2613" i="64" s="1"/>
  <c r="F2614" i="64"/>
  <c r="J2614" i="64" s="1"/>
  <c r="F2615" i="64"/>
  <c r="J2615" i="64" s="1"/>
  <c r="F2616" i="64"/>
  <c r="J2616" i="64" s="1"/>
  <c r="F2617" i="64"/>
  <c r="J2617" i="64" s="1"/>
  <c r="F2618" i="64"/>
  <c r="J2618" i="64" s="1"/>
  <c r="F2619" i="64"/>
  <c r="J2619" i="64" s="1"/>
  <c r="F2621" i="64"/>
  <c r="J2621" i="64" s="1"/>
  <c r="F2622" i="64"/>
  <c r="J2622" i="64" s="1"/>
  <c r="F2626" i="64"/>
  <c r="J2626" i="64" s="1"/>
  <c r="F2627" i="64"/>
  <c r="J2627" i="64" s="1"/>
  <c r="F2629" i="64"/>
  <c r="J2629" i="64" s="1"/>
  <c r="C45" i="28" a="1"/>
  <c r="C45" i="28" s="1"/>
  <c r="D45" i="28" a="1"/>
  <c r="D45" i="28" s="1"/>
  <c r="E45" i="28" a="1"/>
  <c r="E45" i="28" s="1"/>
  <c r="F45" i="28" a="1"/>
  <c r="F45" i="28" s="1"/>
  <c r="G45" i="28" a="1"/>
  <c r="G45" i="28" s="1"/>
  <c r="H45" i="28" a="1"/>
  <c r="H45" i="28" s="1"/>
  <c r="I45" i="28" a="1"/>
  <c r="I45" i="28" s="1"/>
  <c r="J45" i="28" a="1"/>
  <c r="J45" i="28" s="1"/>
  <c r="K45" i="28" a="1"/>
  <c r="K45" i="28" s="1"/>
  <c r="L45" i="28" a="1"/>
  <c r="L45" i="28" s="1"/>
  <c r="M45" i="28" a="1"/>
  <c r="M45" i="28" s="1"/>
  <c r="N45" i="28" a="1"/>
  <c r="N45" i="28" s="1"/>
  <c r="O45" i="28" a="1"/>
  <c r="O45" i="28" s="1"/>
  <c r="P45" i="28" a="1"/>
  <c r="P45" i="28" s="1"/>
  <c r="Q45" i="28" a="1"/>
  <c r="Q45" i="28" s="1"/>
  <c r="R45" i="28" a="1"/>
  <c r="R45" i="28" s="1"/>
  <c r="S45" i="28" a="1"/>
  <c r="S45" i="28" s="1"/>
  <c r="T45" i="28" a="1"/>
  <c r="T45" i="28" s="1"/>
  <c r="U45" i="28" a="1"/>
  <c r="U45" i="28" s="1"/>
  <c r="F2631" i="64"/>
  <c r="J2631" i="64" s="1"/>
  <c r="F2632" i="64"/>
  <c r="J2632" i="64" s="1"/>
  <c r="F2633" i="64"/>
  <c r="J2633" i="64" s="1"/>
  <c r="F2635" i="64"/>
  <c r="J2635" i="64" s="1"/>
  <c r="F2637" i="64"/>
  <c r="J2637" i="64" s="1"/>
  <c r="F2638" i="64"/>
  <c r="J2638" i="64" s="1"/>
  <c r="F2639" i="64"/>
  <c r="J2639" i="64" s="1"/>
  <c r="F2641" i="64"/>
  <c r="J2641" i="64" s="1"/>
  <c r="F2642" i="64"/>
  <c r="J2642" i="64" s="1"/>
  <c r="F2645" i="64"/>
  <c r="J2645" i="64" s="1"/>
  <c r="F2647" i="64"/>
  <c r="J2647" i="64" s="1"/>
  <c r="F2648" i="64" a="1"/>
  <c r="F2648" i="64" s="1"/>
  <c r="J2648" i="64" s="1"/>
  <c r="F2649" i="64" a="1"/>
  <c r="F2649" i="64" s="1"/>
  <c r="J2649" i="64" s="1"/>
  <c r="F2650" i="64" a="1"/>
  <c r="F2650" i="64" s="1"/>
  <c r="J2650" i="64" s="1"/>
  <c r="F2651" i="64" a="1"/>
  <c r="F2651" i="64" s="1"/>
  <c r="J2651" i="64" s="1"/>
  <c r="F2652" i="64" a="1"/>
  <c r="F2652" i="64" s="1"/>
  <c r="J2652" i="64" s="1"/>
  <c r="F2653" i="64" a="1"/>
  <c r="F2653" i="64" s="1"/>
  <c r="J2653" i="64" s="1"/>
  <c r="F2671" i="64"/>
  <c r="J2671" i="64" s="1"/>
  <c r="B41" i="30"/>
  <c r="D43" i="30" s="1"/>
  <c r="F2675" i="64" s="1"/>
  <c r="J2675" i="64" s="1"/>
  <c r="F2679" i="64"/>
  <c r="J2679" i="64" s="1"/>
  <c r="F2688" i="64"/>
  <c r="F2690" i="64"/>
  <c r="J2690" i="64" s="1"/>
  <c r="F2692" i="64"/>
  <c r="J2692" i="64" s="1"/>
  <c r="F2693" i="64"/>
  <c r="J2693" i="64" s="1"/>
  <c r="F2694" i="64"/>
  <c r="J2694" i="64" s="1"/>
  <c r="F2696" i="64"/>
  <c r="J2696" i="64" s="1"/>
  <c r="F2697" i="64"/>
  <c r="J2697" i="64" s="1"/>
  <c r="F2698" i="64"/>
  <c r="J2698" i="64" s="1"/>
  <c r="F2699" i="64"/>
  <c r="J2699" i="64" s="1"/>
  <c r="F2700" i="64"/>
  <c r="J2700" i="64" s="1"/>
  <c r="F2702" i="64"/>
  <c r="J2702" i="64" s="1"/>
  <c r="F2703" i="64"/>
  <c r="J2703" i="64" s="1"/>
  <c r="F2710" i="64"/>
  <c r="J2710" i="64" s="1"/>
  <c r="F2712" i="64"/>
  <c r="J2712" i="64" s="1"/>
  <c r="F2713" i="64"/>
  <c r="J2713" i="64" s="1"/>
  <c r="F2714" i="64"/>
  <c r="J2714" i="64" s="1"/>
  <c r="F2717" i="64"/>
  <c r="J2717" i="64" s="1"/>
  <c r="F2718" i="64"/>
  <c r="J2718" i="64" s="1"/>
  <c r="F2721" i="64"/>
  <c r="J2721" i="64" s="1"/>
  <c r="J24" i="11"/>
  <c r="F2787" i="64"/>
  <c r="J2787" i="64" s="1"/>
  <c r="F2788" i="64"/>
  <c r="J2788" i="64" s="1"/>
  <c r="F2791" i="64"/>
  <c r="J2791" i="64" s="1"/>
  <c r="F2795" i="64"/>
  <c r="J2795" i="64" s="1"/>
  <c r="F2797" i="64"/>
  <c r="J2797" i="64" s="1"/>
  <c r="H6" i="13"/>
  <c r="F1060" i="64"/>
  <c r="J1060" i="64" s="1"/>
  <c r="F1067" i="64"/>
  <c r="J1067" i="64" s="1"/>
  <c r="F1069" i="64"/>
  <c r="J1069" i="64" s="1"/>
  <c r="F1070" i="64"/>
  <c r="J1070" i="64" s="1"/>
  <c r="F1071" i="64"/>
  <c r="J1071" i="64" s="1"/>
  <c r="F1072" i="64"/>
  <c r="J1072" i="64" s="1"/>
  <c r="F1073" i="64"/>
  <c r="J1073" i="64" s="1"/>
  <c r="F1074" i="64"/>
  <c r="J1074" i="64" s="1"/>
  <c r="F1075" i="64"/>
  <c r="J1075" i="64" s="1"/>
  <c r="F1076" i="64"/>
  <c r="J1076" i="64" s="1"/>
  <c r="F1077" i="64"/>
  <c r="J1077" i="64" s="1"/>
  <c r="F1078" i="64"/>
  <c r="J1078" i="64" s="1"/>
  <c r="F1079" i="64"/>
  <c r="J1079" i="64" s="1"/>
  <c r="F1080" i="64"/>
  <c r="J1080" i="64" s="1"/>
  <c r="F1081" i="64"/>
  <c r="J1081" i="64" s="1"/>
  <c r="F1082" i="64"/>
  <c r="J1082" i="64" s="1"/>
  <c r="F1085" i="64"/>
  <c r="J1085" i="64" s="1"/>
  <c r="L9" i="52"/>
  <c r="H389" i="52"/>
  <c r="H390" i="52"/>
  <c r="H391" i="52"/>
  <c r="F1743" i="64"/>
  <c r="J1743" i="64" s="1"/>
  <c r="H392" i="52"/>
  <c r="F1746" i="64"/>
  <c r="J1746" i="64" s="1"/>
  <c r="F1754" i="64"/>
  <c r="J1754" i="64" s="1"/>
  <c r="F1755" i="64"/>
  <c r="J1755" i="64" s="1"/>
  <c r="D49" i="52"/>
  <c r="D97" i="52"/>
  <c r="D161" i="52"/>
  <c r="D193" i="52"/>
  <c r="D225" i="52"/>
  <c r="B384" i="52" s="1"/>
  <c r="F1771" i="64" s="1"/>
  <c r="J1771" i="64" s="1"/>
  <c r="D273" i="52"/>
  <c r="D321" i="52"/>
  <c r="D353" i="52"/>
  <c r="F1765" i="64"/>
  <c r="J1765" i="64" s="1"/>
  <c r="F1764" i="64"/>
  <c r="J1764" i="64" s="1"/>
  <c r="F1779" i="64"/>
  <c r="J1779" i="64" s="1"/>
  <c r="F2219" i="64"/>
  <c r="F2104" i="64"/>
  <c r="J2104" i="64" s="1"/>
  <c r="F2166" i="64"/>
  <c r="J2166" i="64" s="1"/>
  <c r="F1990" i="64" a="1"/>
  <c r="F1990" i="64" s="1"/>
  <c r="J1990" i="64" s="1"/>
  <c r="F2044" i="64"/>
  <c r="J2044" i="64" s="1"/>
  <c r="F2048" i="64"/>
  <c r="J2048" i="64" s="1"/>
  <c r="H2050" i="64"/>
  <c r="F2052" i="64"/>
  <c r="J2052" i="64" s="1"/>
  <c r="F2056" i="64"/>
  <c r="J2056" i="64" s="1"/>
  <c r="F2060" i="64"/>
  <c r="J2060" i="64" s="1"/>
  <c r="H2062" i="64"/>
  <c r="F2065" i="64"/>
  <c r="J2065" i="64" s="1"/>
  <c r="H2067" i="64"/>
  <c r="F2069" i="64"/>
  <c r="J2069" i="64" s="1"/>
  <c r="H2071" i="64"/>
  <c r="F2075" i="64"/>
  <c r="J2075" i="64" s="1"/>
  <c r="F2077" i="64"/>
  <c r="J2077" i="64" s="1"/>
  <c r="H2081" i="64"/>
  <c r="H2083" i="64"/>
  <c r="F2090" i="64" a="1"/>
  <c r="F2090" i="64" s="1"/>
  <c r="J2090" i="64" s="1"/>
  <c r="F2098" i="64"/>
  <c r="J2098" i="64" s="1"/>
  <c r="F1927" i="64"/>
  <c r="J1927" i="64" s="1"/>
  <c r="F1928" i="64"/>
  <c r="J1928" i="64" s="1"/>
  <c r="F1929" i="64"/>
  <c r="J1929" i="64" s="1"/>
  <c r="F2106" i="64"/>
  <c r="J2106" i="64" s="1"/>
  <c r="F2107" i="64"/>
  <c r="J2107" i="64" s="1"/>
  <c r="F2109" i="64"/>
  <c r="J2109" i="64" s="1"/>
  <c r="F2119" i="64"/>
  <c r="J2119" i="64" s="1"/>
  <c r="F2221" i="64"/>
  <c r="J2221" i="64" s="1"/>
  <c r="F2726" i="64"/>
  <c r="J2726" i="64" s="1"/>
  <c r="F2727" i="64"/>
  <c r="J2727" i="64" s="1"/>
  <c r="F2728" i="64"/>
  <c r="J2728" i="64" s="1"/>
  <c r="F2729" i="64"/>
  <c r="J2729" i="64" s="1"/>
  <c r="F2730" i="64"/>
  <c r="J2730" i="64" s="1"/>
  <c r="F2731" i="64"/>
  <c r="J2731" i="64" s="1"/>
  <c r="F2732" i="64"/>
  <c r="J2732" i="64" s="1"/>
  <c r="F2736" i="64"/>
  <c r="J2736" i="64" s="1"/>
  <c r="F2746" i="64"/>
  <c r="J2746" i="64" s="1"/>
  <c r="J2205" i="64"/>
  <c r="J2202" i="64"/>
  <c r="H2230" i="64"/>
  <c r="H2232" i="64"/>
  <c r="H2478" i="64"/>
  <c r="H2479" i="64"/>
  <c r="H2481" i="64"/>
  <c r="H2482" i="64"/>
  <c r="H2488" i="64"/>
  <c r="H2489" i="64"/>
  <c r="H2506" i="64"/>
  <c r="H1745" i="64"/>
  <c r="H1747" i="64"/>
  <c r="H2098" i="64"/>
  <c r="H2115" i="64"/>
  <c r="H2116" i="64"/>
  <c r="D52" i="28" a="1"/>
  <c r="D52" i="28" s="1"/>
  <c r="E52" i="28" a="1"/>
  <c r="E52" i="28" s="1"/>
  <c r="F52" i="28" a="1"/>
  <c r="F52" i="28" s="1"/>
  <c r="G52" i="28" a="1"/>
  <c r="G52" i="28" s="1"/>
  <c r="H52" i="28" a="1"/>
  <c r="H52" i="28" s="1"/>
  <c r="I52" i="28" a="1"/>
  <c r="I52" i="28" s="1"/>
  <c r="J52" i="28" a="1"/>
  <c r="J52" i="28" s="1"/>
  <c r="K52" i="28" a="1"/>
  <c r="K52" i="28" s="1"/>
  <c r="L52" i="28" a="1"/>
  <c r="L52" i="28" s="1"/>
  <c r="M52" i="28" a="1"/>
  <c r="M52" i="28" s="1"/>
  <c r="N52" i="28" a="1"/>
  <c r="N52" i="28" s="1"/>
  <c r="O52" i="28" a="1"/>
  <c r="O52" i="28" s="1"/>
  <c r="P52" i="28" a="1"/>
  <c r="P52" i="28" s="1"/>
  <c r="Q52" i="28" a="1"/>
  <c r="Q52" i="28" s="1"/>
  <c r="R52" i="28" a="1"/>
  <c r="R52" i="28" s="1"/>
  <c r="S52" i="28" a="1"/>
  <c r="S52" i="28" s="1"/>
  <c r="T52" i="28" a="1"/>
  <c r="T52" i="28" s="1"/>
  <c r="U52" i="28" a="1"/>
  <c r="U52" i="28" s="1"/>
  <c r="V52" i="28" a="1"/>
  <c r="V52" i="28" s="1"/>
  <c r="W52" i="28" a="1"/>
  <c r="W52" i="28" s="1"/>
  <c r="X52" i="28" a="1"/>
  <c r="X52" i="28" s="1"/>
  <c r="Y52" i="28" a="1"/>
  <c r="Y52" i="28" s="1"/>
  <c r="C52" i="28" a="1"/>
  <c r="C52" i="28" s="1"/>
  <c r="L352" i="52"/>
  <c r="L351" i="52"/>
  <c r="L350" i="52"/>
  <c r="L349" i="52"/>
  <c r="L348" i="52"/>
  <c r="L347" i="52"/>
  <c r="L346" i="52"/>
  <c r="L345" i="52"/>
  <c r="L344" i="52"/>
  <c r="L343" i="52"/>
  <c r="L342" i="52"/>
  <c r="L341" i="52"/>
  <c r="L340" i="52"/>
  <c r="L339" i="52"/>
  <c r="L338" i="52"/>
  <c r="L337" i="52"/>
  <c r="L336" i="52"/>
  <c r="L335" i="52"/>
  <c r="L334" i="52"/>
  <c r="L333" i="52"/>
  <c r="L332" i="52"/>
  <c r="L331" i="52"/>
  <c r="L330" i="52"/>
  <c r="L329" i="52"/>
  <c r="L328" i="52"/>
  <c r="J352" i="52"/>
  <c r="J351" i="52"/>
  <c r="J350" i="52"/>
  <c r="J349" i="52"/>
  <c r="J348" i="52"/>
  <c r="J347" i="52"/>
  <c r="J346" i="52"/>
  <c r="J345" i="52"/>
  <c r="J344" i="52"/>
  <c r="J343" i="52"/>
  <c r="J342" i="52"/>
  <c r="J341" i="52"/>
  <c r="J340" i="52"/>
  <c r="J339" i="52"/>
  <c r="J338" i="52"/>
  <c r="J337" i="52"/>
  <c r="J336" i="52"/>
  <c r="J335" i="52"/>
  <c r="J334" i="52"/>
  <c r="J333" i="52"/>
  <c r="J332" i="52"/>
  <c r="J331" i="52"/>
  <c r="J330" i="52"/>
  <c r="J329" i="52"/>
  <c r="J328" i="52"/>
  <c r="E352" i="52"/>
  <c r="E351" i="52"/>
  <c r="E350" i="52"/>
  <c r="E349" i="52"/>
  <c r="E348" i="52"/>
  <c r="E347" i="52"/>
  <c r="E346" i="52"/>
  <c r="E345" i="52"/>
  <c r="E344" i="52"/>
  <c r="E343" i="52"/>
  <c r="E342" i="52"/>
  <c r="E341" i="52"/>
  <c r="E340" i="52"/>
  <c r="E339" i="52"/>
  <c r="E338" i="52"/>
  <c r="E337" i="52"/>
  <c r="E336" i="52"/>
  <c r="E335" i="52"/>
  <c r="E334" i="52"/>
  <c r="E333" i="52"/>
  <c r="E332" i="52"/>
  <c r="E331" i="52"/>
  <c r="E330" i="52"/>
  <c r="E329" i="52"/>
  <c r="E328" i="52"/>
  <c r="C352" i="52"/>
  <c r="C351" i="52"/>
  <c r="C350" i="52"/>
  <c r="C349" i="52"/>
  <c r="C348" i="52"/>
  <c r="C347" i="52"/>
  <c r="C346" i="52"/>
  <c r="C345" i="52"/>
  <c r="C344" i="52"/>
  <c r="C343" i="52"/>
  <c r="C342" i="52"/>
  <c r="C341" i="52"/>
  <c r="C340" i="52"/>
  <c r="C339" i="52"/>
  <c r="C338" i="52"/>
  <c r="C337" i="52"/>
  <c r="C336" i="52"/>
  <c r="C335" i="52"/>
  <c r="C334" i="52"/>
  <c r="C333" i="52"/>
  <c r="C332" i="52"/>
  <c r="C331" i="52"/>
  <c r="C330" i="52"/>
  <c r="C329" i="52"/>
  <c r="C328" i="52"/>
  <c r="L272" i="52"/>
  <c r="L271" i="52"/>
  <c r="L270" i="52"/>
  <c r="L269" i="52"/>
  <c r="L268" i="52"/>
  <c r="L267" i="52"/>
  <c r="L266" i="52"/>
  <c r="L265" i="52"/>
  <c r="L264" i="52"/>
  <c r="L263" i="52"/>
  <c r="L262" i="52"/>
  <c r="L261" i="52"/>
  <c r="L260" i="52"/>
  <c r="L259" i="52"/>
  <c r="L258" i="52"/>
  <c r="L257" i="52"/>
  <c r="L256" i="52"/>
  <c r="L255" i="52"/>
  <c r="L254" i="52"/>
  <c r="L253" i="52"/>
  <c r="L252" i="52"/>
  <c r="L251" i="52"/>
  <c r="L250" i="52"/>
  <c r="L249" i="52"/>
  <c r="L248" i="52"/>
  <c r="L247" i="52"/>
  <c r="L246" i="52"/>
  <c r="L245" i="52"/>
  <c r="L244" i="52"/>
  <c r="L243" i="52"/>
  <c r="L242" i="52"/>
  <c r="L241" i="52"/>
  <c r="L240" i="52"/>
  <c r="L239" i="52"/>
  <c r="L238" i="52"/>
  <c r="L237" i="52"/>
  <c r="L236" i="52"/>
  <c r="L235" i="52"/>
  <c r="L234" i="52"/>
  <c r="L233" i="52"/>
  <c r="L232" i="52"/>
  <c r="J272" i="52"/>
  <c r="J271" i="52"/>
  <c r="J270" i="52"/>
  <c r="J269" i="52"/>
  <c r="J268" i="52"/>
  <c r="J267" i="52"/>
  <c r="J266" i="52"/>
  <c r="J265" i="52"/>
  <c r="J264" i="52"/>
  <c r="J263" i="52"/>
  <c r="J262" i="52"/>
  <c r="J261" i="52"/>
  <c r="J260" i="52"/>
  <c r="J259" i="52"/>
  <c r="J258" i="52"/>
  <c r="J257" i="52"/>
  <c r="J256" i="52"/>
  <c r="J255" i="52"/>
  <c r="J254" i="52"/>
  <c r="J253" i="52"/>
  <c r="J252" i="52"/>
  <c r="J251" i="52"/>
  <c r="J250" i="52"/>
  <c r="J249" i="52"/>
  <c r="J248" i="52"/>
  <c r="J247" i="52"/>
  <c r="J246" i="52"/>
  <c r="J245" i="52"/>
  <c r="J244" i="52"/>
  <c r="J243" i="52"/>
  <c r="J242" i="52"/>
  <c r="J241" i="52"/>
  <c r="J240" i="52"/>
  <c r="J239" i="52"/>
  <c r="J238" i="52"/>
  <c r="J237" i="52"/>
  <c r="J236" i="52"/>
  <c r="J235" i="52"/>
  <c r="J234" i="52"/>
  <c r="J233" i="52"/>
  <c r="J232" i="52"/>
  <c r="E272" i="52"/>
  <c r="E271" i="52"/>
  <c r="E270" i="52"/>
  <c r="E269" i="52"/>
  <c r="E268" i="52"/>
  <c r="E267" i="52"/>
  <c r="E266" i="52"/>
  <c r="E265" i="52"/>
  <c r="E264" i="52"/>
  <c r="E263" i="52"/>
  <c r="E262" i="52"/>
  <c r="E261" i="52"/>
  <c r="E260" i="52"/>
  <c r="E259" i="52"/>
  <c r="E258" i="52"/>
  <c r="E257" i="52"/>
  <c r="E256" i="52"/>
  <c r="E255" i="52"/>
  <c r="E254" i="52"/>
  <c r="E253" i="52"/>
  <c r="E252" i="52"/>
  <c r="E251" i="52"/>
  <c r="E250" i="52"/>
  <c r="E249" i="52"/>
  <c r="E248" i="52"/>
  <c r="E247" i="52"/>
  <c r="E246" i="52"/>
  <c r="E245" i="52"/>
  <c r="E244" i="52"/>
  <c r="E243" i="52"/>
  <c r="E242" i="52"/>
  <c r="E241" i="52"/>
  <c r="E240" i="52"/>
  <c r="E239" i="52"/>
  <c r="E238" i="52"/>
  <c r="E237" i="52"/>
  <c r="E236" i="52"/>
  <c r="E235" i="52"/>
  <c r="E234" i="52"/>
  <c r="E233" i="52"/>
  <c r="C272" i="52"/>
  <c r="C271" i="52"/>
  <c r="C270" i="52"/>
  <c r="C269" i="52"/>
  <c r="C268" i="52"/>
  <c r="C267" i="52"/>
  <c r="C266" i="52"/>
  <c r="C265" i="52"/>
  <c r="C264" i="52"/>
  <c r="C263" i="52"/>
  <c r="C262" i="52"/>
  <c r="C261" i="52"/>
  <c r="C260" i="52"/>
  <c r="C259" i="52"/>
  <c r="C258" i="52"/>
  <c r="C257" i="52"/>
  <c r="C256" i="52"/>
  <c r="C255" i="52"/>
  <c r="C254" i="52"/>
  <c r="C253" i="52"/>
  <c r="C252" i="52"/>
  <c r="C251" i="52"/>
  <c r="C250" i="52"/>
  <c r="C249" i="52"/>
  <c r="C248" i="52"/>
  <c r="C247" i="52"/>
  <c r="C246" i="52"/>
  <c r="C245" i="52"/>
  <c r="C244" i="52"/>
  <c r="C243" i="52"/>
  <c r="C242" i="52"/>
  <c r="C241" i="52"/>
  <c r="C240" i="52"/>
  <c r="C239" i="52"/>
  <c r="C238" i="52"/>
  <c r="C237" i="52"/>
  <c r="C236" i="52"/>
  <c r="C235" i="52"/>
  <c r="C234" i="52"/>
  <c r="C233" i="52"/>
  <c r="C232" i="52"/>
  <c r="L320" i="52"/>
  <c r="L319" i="52"/>
  <c r="L318" i="52"/>
  <c r="L317" i="52"/>
  <c r="L316" i="52"/>
  <c r="L315" i="52"/>
  <c r="L314" i="52"/>
  <c r="L313" i="52"/>
  <c r="L312" i="52"/>
  <c r="L311" i="52"/>
  <c r="L310" i="52"/>
  <c r="L309" i="52"/>
  <c r="L308" i="52"/>
  <c r="L307" i="52"/>
  <c r="L306" i="52"/>
  <c r="L305" i="52"/>
  <c r="L304" i="52"/>
  <c r="L303" i="52"/>
  <c r="L302" i="52"/>
  <c r="L301" i="52"/>
  <c r="L300" i="52"/>
  <c r="L299" i="52"/>
  <c r="L298" i="52"/>
  <c r="L297" i="52"/>
  <c r="L296" i="52"/>
  <c r="L295" i="52"/>
  <c r="L294" i="52"/>
  <c r="L293" i="52"/>
  <c r="L292" i="52"/>
  <c r="L291" i="52"/>
  <c r="L290" i="52"/>
  <c r="L289" i="52"/>
  <c r="L288" i="52"/>
  <c r="L287" i="52"/>
  <c r="L286" i="52"/>
  <c r="L285" i="52"/>
  <c r="L283" i="52"/>
  <c r="L282" i="52"/>
  <c r="L281" i="52"/>
  <c r="L280" i="52"/>
  <c r="J320" i="52"/>
  <c r="J319" i="52"/>
  <c r="M319" i="52" s="1"/>
  <c r="J318" i="52"/>
  <c r="J317" i="52"/>
  <c r="J316" i="52"/>
  <c r="J315" i="52"/>
  <c r="M315" i="52" s="1"/>
  <c r="J314" i="52"/>
  <c r="J313" i="52"/>
  <c r="J312" i="52"/>
  <c r="J311" i="52"/>
  <c r="J310" i="52"/>
  <c r="M310" i="52" s="1"/>
  <c r="J309" i="52"/>
  <c r="J308" i="52"/>
  <c r="M308" i="52" s="1"/>
  <c r="J307" i="52"/>
  <c r="J306" i="52"/>
  <c r="J305" i="52"/>
  <c r="M305" i="52" s="1"/>
  <c r="J304" i="52"/>
  <c r="J303" i="52"/>
  <c r="J302" i="52"/>
  <c r="M302" i="52" s="1"/>
  <c r="J301" i="52"/>
  <c r="J300" i="52"/>
  <c r="M300" i="52" s="1"/>
  <c r="J299" i="52"/>
  <c r="J298" i="52"/>
  <c r="J297" i="52"/>
  <c r="J296" i="52"/>
  <c r="J295" i="52"/>
  <c r="J294" i="52"/>
  <c r="J293" i="52"/>
  <c r="J292" i="52"/>
  <c r="M292" i="52" s="1"/>
  <c r="J291" i="52"/>
  <c r="J290" i="52"/>
  <c r="J289" i="52"/>
  <c r="J288" i="52"/>
  <c r="J287" i="52"/>
  <c r="J286" i="52"/>
  <c r="J285" i="52"/>
  <c r="J284" i="52"/>
  <c r="J283" i="52"/>
  <c r="J282" i="52"/>
  <c r="J281" i="52"/>
  <c r="J280" i="52"/>
  <c r="C320" i="52"/>
  <c r="C319" i="52"/>
  <c r="C318" i="52"/>
  <c r="C317" i="52"/>
  <c r="C316" i="52"/>
  <c r="C315" i="52"/>
  <c r="C314" i="52"/>
  <c r="C313" i="52"/>
  <c r="C312" i="52"/>
  <c r="C311" i="52"/>
  <c r="C310" i="52"/>
  <c r="C309" i="52"/>
  <c r="C308" i="52"/>
  <c r="C307" i="52"/>
  <c r="C306" i="52"/>
  <c r="C305" i="52"/>
  <c r="C304" i="52"/>
  <c r="C303" i="52"/>
  <c r="C302" i="52"/>
  <c r="C301" i="52"/>
  <c r="C300" i="52"/>
  <c r="C299" i="52"/>
  <c r="C298" i="52"/>
  <c r="C297" i="52"/>
  <c r="C296" i="52"/>
  <c r="C295" i="52"/>
  <c r="C294" i="52"/>
  <c r="C293" i="52"/>
  <c r="C292" i="52"/>
  <c r="C291" i="52"/>
  <c r="C290" i="52"/>
  <c r="C289" i="52"/>
  <c r="C288" i="52"/>
  <c r="C287" i="52"/>
  <c r="C286" i="52"/>
  <c r="C285" i="52"/>
  <c r="C284" i="52"/>
  <c r="C283" i="52"/>
  <c r="C282" i="52"/>
  <c r="C281" i="52"/>
  <c r="C280" i="52"/>
  <c r="L284" i="52"/>
  <c r="E320" i="52"/>
  <c r="E319" i="52"/>
  <c r="E318" i="52"/>
  <c r="E317" i="52"/>
  <c r="E316" i="52"/>
  <c r="E315" i="52"/>
  <c r="E314" i="52"/>
  <c r="E313" i="52"/>
  <c r="E312" i="52"/>
  <c r="E311" i="52"/>
  <c r="E310" i="52"/>
  <c r="E309" i="52"/>
  <c r="E308" i="52"/>
  <c r="E307" i="52"/>
  <c r="E306" i="52"/>
  <c r="E305" i="52"/>
  <c r="E304" i="52"/>
  <c r="E303" i="52"/>
  <c r="E302" i="52"/>
  <c r="E301" i="52"/>
  <c r="E300" i="52"/>
  <c r="E299" i="52"/>
  <c r="E298" i="52"/>
  <c r="E297" i="52"/>
  <c r="E296" i="52"/>
  <c r="E295" i="52"/>
  <c r="E294" i="52"/>
  <c r="E293" i="52"/>
  <c r="E292" i="52"/>
  <c r="E291" i="52"/>
  <c r="E290" i="52"/>
  <c r="E289" i="52"/>
  <c r="E288" i="52"/>
  <c r="E287" i="52"/>
  <c r="E286" i="52"/>
  <c r="E285" i="52"/>
  <c r="E284" i="52"/>
  <c r="E283" i="52"/>
  <c r="E282" i="52"/>
  <c r="E281" i="52"/>
  <c r="E280" i="52"/>
  <c r="U49" i="28"/>
  <c r="AP49" i="28" s="1"/>
  <c r="D2744" i="64"/>
  <c r="AQ29" i="28"/>
  <c r="AQ17" i="28"/>
  <c r="AQ9" i="28"/>
  <c r="AQ7" i="28"/>
  <c r="D2124" i="64"/>
  <c r="D2123" i="64"/>
  <c r="D2122" i="64"/>
  <c r="D2121" i="64"/>
  <c r="D2114" i="64"/>
  <c r="D2112" i="64"/>
  <c r="D2110" i="64"/>
  <c r="D2109" i="64"/>
  <c r="D2108" i="64"/>
  <c r="D2107" i="64"/>
  <c r="D2106" i="64"/>
  <c r="D1943" i="64"/>
  <c r="D1942" i="64"/>
  <c r="D1941" i="64"/>
  <c r="D1940" i="64"/>
  <c r="D1939" i="64"/>
  <c r="D1938" i="64"/>
  <c r="D1937" i="64"/>
  <c r="D1936" i="64"/>
  <c r="D1935" i="64"/>
  <c r="D1934" i="64"/>
  <c r="D1932" i="64"/>
  <c r="D1931" i="64"/>
  <c r="D1930" i="64"/>
  <c r="D1955" i="64"/>
  <c r="D1954" i="64"/>
  <c r="D1953" i="64"/>
  <c r="D2092" i="64"/>
  <c r="D2091" i="64"/>
  <c r="D2090" i="64"/>
  <c r="D2084" i="64"/>
  <c r="D2082" i="64"/>
  <c r="D2080" i="64"/>
  <c r="D2078" i="64"/>
  <c r="D2076" i="64"/>
  <c r="D2074" i="64"/>
  <c r="D2072" i="64"/>
  <c r="D2070" i="64"/>
  <c r="D2068" i="64"/>
  <c r="D2066" i="64"/>
  <c r="D2064" i="64"/>
  <c r="D2063" i="64"/>
  <c r="D2061" i="64"/>
  <c r="D2059" i="64"/>
  <c r="D2057" i="64"/>
  <c r="D2055" i="64"/>
  <c r="D2053" i="64"/>
  <c r="D2051" i="64"/>
  <c r="D2049" i="64"/>
  <c r="D2047" i="64"/>
  <c r="D2045" i="64"/>
  <c r="D2043" i="64"/>
  <c r="D2042" i="64"/>
  <c r="D2041" i="64"/>
  <c r="D2038" i="64"/>
  <c r="D2036" i="64"/>
  <c r="D2034" i="64"/>
  <c r="D2024" i="64"/>
  <c r="D2022" i="64"/>
  <c r="D2020" i="64"/>
  <c r="D2017" i="64"/>
  <c r="D2015" i="64"/>
  <c r="D2013" i="64"/>
  <c r="D2011" i="64"/>
  <c r="D2009" i="64"/>
  <c r="D2007" i="64"/>
  <c r="D2005" i="64"/>
  <c r="D2003" i="64"/>
  <c r="D2001" i="64"/>
  <c r="D1998" i="64"/>
  <c r="D1997" i="64"/>
  <c r="D1992" i="64"/>
  <c r="D1991" i="64"/>
  <c r="D1990" i="64"/>
  <c r="D1989" i="64"/>
  <c r="D1988" i="64"/>
  <c r="D1987" i="64"/>
  <c r="D1986" i="64"/>
  <c r="D1983" i="64"/>
  <c r="D1982" i="64"/>
  <c r="D1981" i="64"/>
  <c r="D1980" i="64"/>
  <c r="D1979" i="64"/>
  <c r="D1978" i="64"/>
  <c r="D1977" i="64"/>
  <c r="D1976" i="64"/>
  <c r="D1975" i="64"/>
  <c r="G1754" i="64"/>
  <c r="G1747" i="64"/>
  <c r="G1745" i="64"/>
  <c r="G1743" i="64"/>
  <c r="G1741" i="64"/>
  <c r="D1736" i="64"/>
  <c r="D1735" i="64"/>
  <c r="D1734" i="64"/>
  <c r="D1733" i="64"/>
  <c r="D1732" i="64"/>
  <c r="G1730" i="64"/>
  <c r="D1730" i="64"/>
  <c r="D1729" i="64"/>
  <c r="D1728" i="64"/>
  <c r="D1112" i="64"/>
  <c r="D1091" i="64"/>
  <c r="D1090" i="64"/>
  <c r="D1089" i="64"/>
  <c r="D1088" i="64"/>
  <c r="D1085" i="64"/>
  <c r="D1084" i="64"/>
  <c r="D1083" i="64"/>
  <c r="D1082" i="64"/>
  <c r="D1081" i="64"/>
  <c r="D1080" i="64"/>
  <c r="D1079" i="64"/>
  <c r="D1078" i="64"/>
  <c r="D1077" i="64"/>
  <c r="D1076" i="64"/>
  <c r="D1075" i="64"/>
  <c r="D1074" i="64"/>
  <c r="D1073" i="64"/>
  <c r="D1072" i="64"/>
  <c r="D1071" i="64"/>
  <c r="D1070" i="64"/>
  <c r="D1069" i="64"/>
  <c r="D1068" i="64"/>
  <c r="D1066" i="64"/>
  <c r="D1065" i="64"/>
  <c r="D1064" i="64"/>
  <c r="D1063" i="64"/>
  <c r="D1062" i="64"/>
  <c r="D1061" i="64"/>
  <c r="D984" i="64"/>
  <c r="D2798" i="64"/>
  <c r="D2797" i="64"/>
  <c r="D2796" i="64"/>
  <c r="D2795" i="64"/>
  <c r="D2794" i="64"/>
  <c r="D2793" i="64"/>
  <c r="D2792" i="64"/>
  <c r="D2791" i="64"/>
  <c r="D2790" i="64"/>
  <c r="D2789" i="64"/>
  <c r="D2788" i="64"/>
  <c r="D2787" i="64"/>
  <c r="D2786" i="64"/>
  <c r="D2784" i="64"/>
  <c r="D2783" i="64"/>
  <c r="D2781" i="64"/>
  <c r="D2780" i="64"/>
  <c r="D2779" i="64"/>
  <c r="D2778" i="64"/>
  <c r="D2777" i="64"/>
  <c r="D2776" i="64"/>
  <c r="D2775" i="64"/>
  <c r="D2774" i="64"/>
  <c r="D2773" i="64"/>
  <c r="D2772" i="64"/>
  <c r="D2771" i="64"/>
  <c r="D2770" i="64"/>
  <c r="D2769" i="64"/>
  <c r="D2768" i="64"/>
  <c r="D2767" i="64"/>
  <c r="D2764" i="64"/>
  <c r="D2762" i="64"/>
  <c r="D2761" i="64"/>
  <c r="D2760" i="64"/>
  <c r="D2759" i="64"/>
  <c r="D2758" i="64"/>
  <c r="D2757" i="64"/>
  <c r="D2756" i="64"/>
  <c r="D2755" i="64"/>
  <c r="D2754" i="64"/>
  <c r="D2753" i="64"/>
  <c r="D2752" i="64"/>
  <c r="D2751" i="64"/>
  <c r="D2750" i="64"/>
  <c r="D2723" i="64"/>
  <c r="D2722" i="64"/>
  <c r="D2721" i="64"/>
  <c r="D2720" i="64"/>
  <c r="D2719" i="64"/>
  <c r="D2718" i="64"/>
  <c r="D2717" i="64"/>
  <c r="D2716" i="64"/>
  <c r="D2715" i="64"/>
  <c r="D2714" i="64"/>
  <c r="D2713" i="64"/>
  <c r="D2712" i="64"/>
  <c r="D2711" i="64"/>
  <c r="D2710" i="64"/>
  <c r="D2709" i="64"/>
  <c r="D2708" i="64"/>
  <c r="D2707" i="64"/>
  <c r="D2706" i="64"/>
  <c r="D2705" i="64"/>
  <c r="D2704" i="64"/>
  <c r="D2703" i="64"/>
  <c r="D2702" i="64"/>
  <c r="D2701" i="64"/>
  <c r="D2700" i="64"/>
  <c r="D2699" i="64"/>
  <c r="D2698" i="64"/>
  <c r="D2697" i="64"/>
  <c r="D2696" i="64"/>
  <c r="D2695" i="64"/>
  <c r="D2694" i="64"/>
  <c r="D2693" i="64"/>
  <c r="D2692" i="64"/>
  <c r="D2691" i="64"/>
  <c r="D2690" i="64"/>
  <c r="D2689" i="64"/>
  <c r="D2688" i="64"/>
  <c r="D2686" i="64"/>
  <c r="D2685" i="64"/>
  <c r="D2684" i="64"/>
  <c r="D2683" i="64"/>
  <c r="D2681" i="64"/>
  <c r="D2680" i="64"/>
  <c r="D2679" i="64"/>
  <c r="D2678" i="64"/>
  <c r="D2677" i="64"/>
  <c r="D2676" i="64"/>
  <c r="D2675" i="64"/>
  <c r="D2674" i="64"/>
  <c r="D2672" i="64"/>
  <c r="D2670" i="64"/>
  <c r="D2669" i="64"/>
  <c r="D2668" i="64"/>
  <c r="D2667" i="64"/>
  <c r="D2666" i="64"/>
  <c r="D2665" i="64"/>
  <c r="D2664" i="64"/>
  <c r="D2663" i="64"/>
  <c r="D2662" i="64"/>
  <c r="D2661" i="64"/>
  <c r="D2660" i="64"/>
  <c r="D2659" i="64"/>
  <c r="D2658" i="64"/>
  <c r="D2657" i="64"/>
  <c r="D2656" i="64"/>
  <c r="D2655" i="64"/>
  <c r="D2654" i="64"/>
  <c r="D2653" i="64"/>
  <c r="D2652" i="64"/>
  <c r="D2651" i="64"/>
  <c r="D2650" i="64"/>
  <c r="D2649" i="64"/>
  <c r="D2648" i="64"/>
  <c r="D2647" i="64"/>
  <c r="D2646" i="64"/>
  <c r="D2645" i="64"/>
  <c r="D2644" i="64"/>
  <c r="D2643" i="64"/>
  <c r="D2642" i="64"/>
  <c r="D2641" i="64"/>
  <c r="D2640" i="64"/>
  <c r="D2639" i="64"/>
  <c r="D2638" i="64"/>
  <c r="D2637" i="64"/>
  <c r="D2636" i="64"/>
  <c r="D2635" i="64"/>
  <c r="D2634" i="64"/>
  <c r="D2633" i="64"/>
  <c r="D2632" i="64"/>
  <c r="D2631" i="64"/>
  <c r="D2630" i="64"/>
  <c r="D2629" i="64"/>
  <c r="D2628" i="64"/>
  <c r="D2627" i="64"/>
  <c r="D2626" i="64"/>
  <c r="D2625" i="64"/>
  <c r="D2623" i="64"/>
  <c r="D2609" i="64"/>
  <c r="D2608" i="64"/>
  <c r="D2607" i="64"/>
  <c r="D2606" i="64"/>
  <c r="D2605" i="64"/>
  <c r="D2604" i="64"/>
  <c r="D2603" i="64"/>
  <c r="D2602" i="64"/>
  <c r="D2601" i="64"/>
  <c r="D2599" i="64"/>
  <c r="D2598" i="64"/>
  <c r="D2597" i="64"/>
  <c r="D2596" i="64"/>
  <c r="D2595" i="64"/>
  <c r="D2594" i="64"/>
  <c r="D2593" i="64"/>
  <c r="D2592" i="64"/>
  <c r="D2591" i="64"/>
  <c r="D2590" i="64"/>
  <c r="D2588" i="64"/>
  <c r="D2587" i="64"/>
  <c r="D2586" i="64"/>
  <c r="D2585" i="64"/>
  <c r="D2584" i="64"/>
  <c r="D2583" i="64"/>
  <c r="D2582" i="64"/>
  <c r="D2580" i="64"/>
  <c r="D2578" i="64"/>
  <c r="D785" i="64"/>
  <c r="D784" i="64"/>
  <c r="D783" i="64"/>
  <c r="D779" i="64"/>
  <c r="D778" i="64"/>
  <c r="D777" i="64"/>
  <c r="D776" i="64"/>
  <c r="D775" i="64"/>
  <c r="D718" i="64"/>
  <c r="D712" i="64"/>
  <c r="D709" i="64"/>
  <c r="D697" i="64"/>
  <c r="D696" i="64"/>
  <c r="D695" i="64"/>
  <c r="D694" i="64"/>
  <c r="D693" i="64"/>
  <c r="D689" i="64"/>
  <c r="D688" i="64"/>
  <c r="D687" i="64"/>
  <c r="D668" i="64"/>
  <c r="D667" i="64"/>
  <c r="D666" i="64"/>
  <c r="D665" i="64"/>
  <c r="D663" i="64"/>
  <c r="D662" i="64"/>
  <c r="D661" i="64"/>
  <c r="D2539" i="64"/>
  <c r="D2538" i="64"/>
  <c r="D2537" i="64"/>
  <c r="D2536" i="64"/>
  <c r="D2533" i="64"/>
  <c r="D2532" i="64"/>
  <c r="D2531" i="64"/>
  <c r="D2530" i="64"/>
  <c r="D2529" i="64"/>
  <c r="D2528" i="64"/>
  <c r="D2527" i="64"/>
  <c r="D2525" i="64"/>
  <c r="D2524" i="64"/>
  <c r="D2523" i="64"/>
  <c r="D2522" i="64"/>
  <c r="D2521" i="64"/>
  <c r="D2520" i="64"/>
  <c r="D2519" i="64"/>
  <c r="D2518" i="64"/>
  <c r="D2517" i="64"/>
  <c r="D2516" i="64"/>
  <c r="D2515" i="64"/>
  <c r="D2514" i="64"/>
  <c r="D2513" i="64"/>
  <c r="D2512" i="64"/>
  <c r="D2511" i="64"/>
  <c r="D2510" i="64"/>
  <c r="D2509" i="64"/>
  <c r="D2508" i="64"/>
  <c r="D2507" i="64"/>
  <c r="D2505" i="64"/>
  <c r="D2504" i="64"/>
  <c r="D2503" i="64"/>
  <c r="D2502" i="64"/>
  <c r="D2501" i="64"/>
  <c r="D2500" i="64"/>
  <c r="D2499" i="64"/>
  <c r="D2498" i="64"/>
  <c r="D2497" i="64"/>
  <c r="D2496" i="64"/>
  <c r="D2495" i="64"/>
  <c r="D2494" i="64"/>
  <c r="D2493" i="64"/>
  <c r="D2492" i="64"/>
  <c r="D2491" i="64"/>
  <c r="D2486" i="64"/>
  <c r="D2485" i="64"/>
  <c r="D2484" i="64"/>
  <c r="D2483" i="64"/>
  <c r="D2480" i="64"/>
  <c r="D2477" i="64"/>
  <c r="D2476" i="64"/>
  <c r="D2475" i="64"/>
  <c r="D2474" i="64"/>
  <c r="D2473" i="64"/>
  <c r="D2472" i="64"/>
  <c r="D2471" i="64"/>
  <c r="D2470" i="64"/>
  <c r="D2469" i="64"/>
  <c r="D2466" i="64"/>
  <c r="D2465" i="64"/>
  <c r="D2464" i="64"/>
  <c r="D2463" i="64"/>
  <c r="D2462" i="64"/>
  <c r="D2461" i="64"/>
  <c r="D2460" i="64"/>
  <c r="D2457" i="64"/>
  <c r="D2456" i="64"/>
  <c r="D2455" i="64"/>
  <c r="D2454" i="64"/>
  <c r="D2453" i="64"/>
  <c r="D2452" i="64"/>
  <c r="D2451" i="64"/>
  <c r="D2450" i="64"/>
  <c r="D2449" i="64"/>
  <c r="D2448" i="64"/>
  <c r="D2447" i="64"/>
  <c r="D2446" i="64"/>
  <c r="D2445" i="64"/>
  <c r="D2444" i="64"/>
  <c r="D2443" i="64"/>
  <c r="D2442" i="64"/>
  <c r="D2441" i="64"/>
  <c r="D2437" i="64"/>
  <c r="D2436" i="64"/>
  <c r="D2435" i="64"/>
  <c r="D2434" i="64"/>
  <c r="D2433" i="64"/>
  <c r="D2432" i="64"/>
  <c r="D2431" i="64"/>
  <c r="D2430" i="64"/>
  <c r="D2429" i="64"/>
  <c r="D2428" i="64"/>
  <c r="D2427" i="64"/>
  <c r="D2426" i="64"/>
  <c r="D2425" i="64"/>
  <c r="D2424" i="64"/>
  <c r="D2421" i="64"/>
  <c r="D2420" i="64"/>
  <c r="D2419" i="64"/>
  <c r="D2418" i="64"/>
  <c r="D2417" i="64"/>
  <c r="D2416" i="64"/>
  <c r="D2415" i="64"/>
  <c r="D2414" i="64"/>
  <c r="D2413" i="64"/>
  <c r="D2412" i="64"/>
  <c r="D2411" i="64"/>
  <c r="D2410" i="64"/>
  <c r="D2409" i="64"/>
  <c r="D2408" i="64"/>
  <c r="D2407" i="64"/>
  <c r="D2406" i="64"/>
  <c r="D2405" i="64"/>
  <c r="D2404" i="64"/>
  <c r="D2403" i="64"/>
  <c r="D2402" i="64"/>
  <c r="D2401" i="64"/>
  <c r="D2400" i="64"/>
  <c r="D2399" i="64"/>
  <c r="D2398" i="64"/>
  <c r="D2397" i="64"/>
  <c r="D2396" i="64"/>
  <c r="D2395" i="64"/>
  <c r="D2392" i="64"/>
  <c r="D2391" i="64"/>
  <c r="D2388" i="64"/>
  <c r="D2387" i="64"/>
  <c r="D2386" i="64"/>
  <c r="D2385" i="64"/>
  <c r="D2384" i="64"/>
  <c r="D2383" i="64"/>
  <c r="D2382" i="64"/>
  <c r="D2381" i="64"/>
  <c r="D2376" i="64"/>
  <c r="D2375" i="64"/>
  <c r="D2374" i="64"/>
  <c r="D2373" i="64"/>
  <c r="D2372" i="64"/>
  <c r="D2371" i="64"/>
  <c r="D2370" i="64"/>
  <c r="D2369" i="64"/>
  <c r="D2367" i="64"/>
  <c r="D2366" i="64"/>
  <c r="D2365" i="64"/>
  <c r="D2364" i="64"/>
  <c r="D2363" i="64"/>
  <c r="D2362" i="64"/>
  <c r="D2361" i="64"/>
  <c r="D2360" i="64"/>
  <c r="D2359" i="64"/>
  <c r="D2358" i="64"/>
  <c r="D2357" i="64"/>
  <c r="D2356" i="64"/>
  <c r="D2355" i="64"/>
  <c r="D2354" i="64"/>
  <c r="D2353" i="64"/>
  <c r="D2352" i="64"/>
  <c r="D2351" i="64"/>
  <c r="D2350" i="64"/>
  <c r="D2349" i="64"/>
  <c r="D2348" i="64"/>
  <c r="D2347" i="64"/>
  <c r="D2344" i="64"/>
  <c r="D2343" i="64"/>
  <c r="D2342" i="64"/>
  <c r="D2339" i="64"/>
  <c r="D2338" i="64"/>
  <c r="D2337" i="64"/>
  <c r="D2336" i="64"/>
  <c r="D2335" i="64"/>
  <c r="D2334" i="64"/>
  <c r="D2333" i="64"/>
  <c r="D2332" i="64"/>
  <c r="D2331" i="64"/>
  <c r="D2330" i="64"/>
  <c r="D2329" i="64"/>
  <c r="D2303" i="64"/>
  <c r="D2282" i="64"/>
  <c r="D2281" i="64"/>
  <c r="D2278" i="64"/>
  <c r="D2276" i="64"/>
  <c r="D2274" i="64"/>
  <c r="D2272" i="64"/>
  <c r="D2270" i="64"/>
  <c r="D2268" i="64"/>
  <c r="D2267" i="64"/>
  <c r="D2266" i="64"/>
  <c r="D2265" i="64"/>
  <c r="D2263" i="64"/>
  <c r="D2262" i="64"/>
  <c r="D2261" i="64"/>
  <c r="D2260" i="64"/>
  <c r="D2258" i="64"/>
  <c r="D2257" i="64"/>
  <c r="D2256" i="64"/>
  <c r="D2255" i="64"/>
  <c r="D2253" i="64"/>
  <c r="D2252" i="64"/>
  <c r="D2251" i="64"/>
  <c r="D2250" i="64"/>
  <c r="D2249" i="64"/>
  <c r="D2248" i="64"/>
  <c r="D2247" i="64"/>
  <c r="D2245" i="64"/>
  <c r="D2241" i="64"/>
  <c r="D2239" i="64"/>
  <c r="D2237" i="64"/>
  <c r="D2235" i="64"/>
  <c r="D2233" i="64"/>
  <c r="D2227" i="64"/>
  <c r="D2225" i="64"/>
  <c r="H45" i="13"/>
  <c r="H46" i="13" s="1"/>
  <c r="U26" i="28"/>
  <c r="AP26" i="28" s="1"/>
  <c r="Q15" i="28"/>
  <c r="B28" i="30"/>
  <c r="B29" i="30" s="1"/>
  <c r="M27" i="28" s="1"/>
  <c r="AP27" i="28" s="1"/>
  <c r="B35" i="30"/>
  <c r="U25" i="28" s="1"/>
  <c r="AP25" i="28" s="1"/>
  <c r="AA37" i="13"/>
  <c r="AA35" i="13"/>
  <c r="AO51" i="28" a="1"/>
  <c r="AO51" i="28" s="1"/>
  <c r="AN51" i="28" a="1"/>
  <c r="AN51" i="28" s="1"/>
  <c r="AM51" i="28" a="1"/>
  <c r="AM51" i="28" s="1"/>
  <c r="AL51" i="28" a="1"/>
  <c r="AL51" i="28" s="1"/>
  <c r="AK51" i="28" a="1"/>
  <c r="AK51" i="28" s="1"/>
  <c r="AJ51" i="28" a="1"/>
  <c r="AJ51" i="28" s="1"/>
  <c r="AI51" i="28" a="1"/>
  <c r="AI51" i="28" s="1"/>
  <c r="AH51" i="28" a="1"/>
  <c r="AH51" i="28" s="1"/>
  <c r="AG51" i="28" a="1"/>
  <c r="AG51" i="28" s="1"/>
  <c r="AF51" i="28" a="1"/>
  <c r="AF51" i="28" s="1"/>
  <c r="AE51" i="28" a="1"/>
  <c r="AE51" i="28" s="1"/>
  <c r="AD51" i="28" a="1"/>
  <c r="AD51" i="28" s="1"/>
  <c r="AC51" i="28" a="1"/>
  <c r="AC51" i="28" s="1"/>
  <c r="AB51" i="28" a="1"/>
  <c r="AB51" i="28" s="1"/>
  <c r="AA51" i="28" a="1"/>
  <c r="AA51" i="28" s="1"/>
  <c r="Z51" i="28" a="1"/>
  <c r="Z51" i="28" s="1"/>
  <c r="Y51" i="28" a="1"/>
  <c r="Y51" i="28" s="1"/>
  <c r="X51" i="28" a="1"/>
  <c r="X51" i="28" s="1"/>
  <c r="W51" i="28" a="1"/>
  <c r="W51" i="28" s="1"/>
  <c r="V51" i="28" a="1"/>
  <c r="V51" i="28" s="1"/>
  <c r="U50" i="28" a="1"/>
  <c r="U50" i="28" s="1"/>
  <c r="T50" i="28" a="1"/>
  <c r="T50" i="28" s="1"/>
  <c r="S50" i="28" a="1"/>
  <c r="S50" i="28" s="1"/>
  <c r="R50" i="28" a="1"/>
  <c r="R50" i="28" s="1"/>
  <c r="Q50" i="28" a="1"/>
  <c r="Q50" i="28" s="1"/>
  <c r="P50" i="28" a="1"/>
  <c r="P50" i="28" s="1"/>
  <c r="O50" i="28" a="1"/>
  <c r="O50" i="28" s="1"/>
  <c r="N50" i="28" a="1"/>
  <c r="N50" i="28" s="1"/>
  <c r="M50" i="28" a="1"/>
  <c r="M50" i="28" s="1"/>
  <c r="L50" i="28" a="1"/>
  <c r="L50" i="28" s="1"/>
  <c r="K50" i="28" a="1"/>
  <c r="K50" i="28" s="1"/>
  <c r="J50" i="28" a="1"/>
  <c r="J50" i="28" s="1"/>
  <c r="I50" i="28" a="1"/>
  <c r="I50" i="28" s="1"/>
  <c r="H50" i="28" a="1"/>
  <c r="H50" i="28" s="1"/>
  <c r="G50" i="28" a="1"/>
  <c r="G50" i="28" s="1"/>
  <c r="C50" i="28" a="1"/>
  <c r="C50" i="28" s="1"/>
  <c r="D50" i="28" a="1"/>
  <c r="D50" i="28" s="1"/>
  <c r="E50" i="28" a="1"/>
  <c r="E50" i="28" s="1"/>
  <c r="F50" i="28" a="1"/>
  <c r="F50" i="28" s="1"/>
  <c r="U48" i="28" a="1"/>
  <c r="U48" i="28" s="1"/>
  <c r="AP48" i="28" s="1"/>
  <c r="U47" i="28" a="1"/>
  <c r="U47" i="28" s="1"/>
  <c r="AP47" i="28" s="1"/>
  <c r="AO46" i="28" a="1"/>
  <c r="AO46" i="28" s="1"/>
  <c r="AN46" i="28" a="1"/>
  <c r="AN46" i="28" s="1"/>
  <c r="AM46" i="28" a="1"/>
  <c r="AM46" i="28" s="1"/>
  <c r="AL46" i="28" a="1"/>
  <c r="AL46" i="28" s="1"/>
  <c r="AK46" i="28" a="1"/>
  <c r="AK46" i="28" s="1"/>
  <c r="AJ46" i="28" a="1"/>
  <c r="AJ46" i="28" s="1"/>
  <c r="AI46" i="28" a="1"/>
  <c r="AI46" i="28" s="1"/>
  <c r="AH46" i="28" a="1"/>
  <c r="AH46" i="28" s="1"/>
  <c r="AG46" i="28" a="1"/>
  <c r="AG46" i="28" s="1"/>
  <c r="AF46" i="28" a="1"/>
  <c r="AF46" i="28" s="1"/>
  <c r="AE46" i="28" a="1"/>
  <c r="AE46" i="28" s="1"/>
  <c r="AD46" i="28" a="1"/>
  <c r="AD46" i="28" s="1"/>
  <c r="AC46" i="28" a="1"/>
  <c r="AC46" i="28" s="1"/>
  <c r="AB46" i="28" a="1"/>
  <c r="AB46" i="28" s="1"/>
  <c r="AA46" i="28" a="1"/>
  <c r="AA46" i="28" s="1"/>
  <c r="Z46" i="28" a="1"/>
  <c r="Z46" i="28" s="1"/>
  <c r="Y46" i="28" a="1"/>
  <c r="Y46" i="28" s="1"/>
  <c r="X46" i="28" a="1"/>
  <c r="X46" i="28" s="1"/>
  <c r="W46" i="28" a="1"/>
  <c r="W46" i="28" s="1"/>
  <c r="V46" i="28" a="1"/>
  <c r="V46" i="28" s="1"/>
  <c r="AO43" i="28" a="1"/>
  <c r="AO43" i="28" s="1"/>
  <c r="AN43" i="28" a="1"/>
  <c r="AN43" i="28" s="1"/>
  <c r="AM43" i="28" a="1"/>
  <c r="AM43" i="28" s="1"/>
  <c r="AL43" i="28" a="1"/>
  <c r="AL43" i="28" s="1"/>
  <c r="AK43" i="28" a="1"/>
  <c r="AK43" i="28" s="1"/>
  <c r="AJ43" i="28" a="1"/>
  <c r="AJ43" i="28" s="1"/>
  <c r="AI43" i="28" a="1"/>
  <c r="AI43" i="28" s="1"/>
  <c r="AH43" i="28" a="1"/>
  <c r="AH43" i="28" s="1"/>
  <c r="AG43" i="28" a="1"/>
  <c r="AG43" i="28" s="1"/>
  <c r="AF43" i="28" a="1"/>
  <c r="AF43" i="28" s="1"/>
  <c r="AE43" i="28" a="1"/>
  <c r="AE43" i="28" s="1"/>
  <c r="AD43" i="28" a="1"/>
  <c r="AD43" i="28" s="1"/>
  <c r="AC43" i="28" a="1"/>
  <c r="AC43" i="28" s="1"/>
  <c r="AB43" i="28" a="1"/>
  <c r="AB43" i="28" s="1"/>
  <c r="AA43" i="28" a="1"/>
  <c r="AA43" i="28" s="1"/>
  <c r="Z43" i="28" a="1"/>
  <c r="Z43" i="28" s="1"/>
  <c r="Y43" i="28" a="1"/>
  <c r="Y43" i="28" s="1"/>
  <c r="X43" i="28" a="1"/>
  <c r="X43" i="28" s="1"/>
  <c r="W43" i="28" a="1"/>
  <c r="W43" i="28" s="1"/>
  <c r="V43" i="28" a="1"/>
  <c r="V43" i="28" s="1"/>
  <c r="U43" i="28" a="1"/>
  <c r="U43" i="28" s="1"/>
  <c r="T43" i="28" a="1"/>
  <c r="T43" i="28" s="1"/>
  <c r="S43" i="28" a="1"/>
  <c r="S43" i="28" s="1"/>
  <c r="R43" i="28" a="1"/>
  <c r="R43" i="28" s="1"/>
  <c r="Q43" i="28" a="1"/>
  <c r="Q43" i="28" s="1"/>
  <c r="P43" i="28" a="1"/>
  <c r="P43" i="28" s="1"/>
  <c r="O43" i="28" a="1"/>
  <c r="O43" i="28" s="1"/>
  <c r="N43" i="28" a="1"/>
  <c r="N43" i="28" s="1"/>
  <c r="M43" i="28" a="1"/>
  <c r="M43" i="28" s="1"/>
  <c r="L43" i="28" a="1"/>
  <c r="L43" i="28" s="1"/>
  <c r="K43" i="28" a="1"/>
  <c r="K43" i="28" s="1"/>
  <c r="J43" i="28" a="1"/>
  <c r="J43" i="28" s="1"/>
  <c r="I43" i="28" a="1"/>
  <c r="I43" i="28" s="1"/>
  <c r="H43" i="28" a="1"/>
  <c r="H43" i="28" s="1"/>
  <c r="G43" i="28" a="1"/>
  <c r="G43" i="28" s="1"/>
  <c r="F43" i="28" a="1"/>
  <c r="F43" i="28" s="1"/>
  <c r="E43" i="28" a="1"/>
  <c r="E43" i="28" s="1"/>
  <c r="D43" i="28" a="1"/>
  <c r="D43" i="28" s="1"/>
  <c r="C43" i="28" a="1"/>
  <c r="C43" i="28" s="1"/>
  <c r="AO42" i="28" a="1"/>
  <c r="AO42" i="28" s="1"/>
  <c r="AN42" i="28" a="1"/>
  <c r="AN42" i="28" s="1"/>
  <c r="AM42" i="28" a="1"/>
  <c r="AM42" i="28" s="1"/>
  <c r="AL42" i="28" a="1"/>
  <c r="AL42" i="28" s="1"/>
  <c r="AK42" i="28" a="1"/>
  <c r="AK42" i="28" s="1"/>
  <c r="AJ42" i="28" a="1"/>
  <c r="AJ42" i="28" s="1"/>
  <c r="AI42" i="28" a="1"/>
  <c r="AI42" i="28" s="1"/>
  <c r="AH42" i="28" a="1"/>
  <c r="AH42" i="28" s="1"/>
  <c r="AG42" i="28" a="1"/>
  <c r="AG42" i="28" s="1"/>
  <c r="AF42" i="28" a="1"/>
  <c r="AF42" i="28" s="1"/>
  <c r="AE42" i="28" a="1"/>
  <c r="AE42" i="28" s="1"/>
  <c r="AD42" i="28" a="1"/>
  <c r="AD42" i="28" s="1"/>
  <c r="AC42" i="28" a="1"/>
  <c r="AC42" i="28" s="1"/>
  <c r="AB42" i="28" a="1"/>
  <c r="AB42" i="28" s="1"/>
  <c r="AA42" i="28" a="1"/>
  <c r="AA42" i="28" s="1"/>
  <c r="Z42" i="28" a="1"/>
  <c r="Z42" i="28" s="1"/>
  <c r="Y42" i="28" a="1"/>
  <c r="Y42" i="28" s="1"/>
  <c r="X42" i="28" a="1"/>
  <c r="X42" i="28" s="1"/>
  <c r="W42" i="28" a="1"/>
  <c r="W42" i="28" s="1"/>
  <c r="V42" i="28" a="1"/>
  <c r="V42" i="28" s="1"/>
  <c r="U42" i="28" a="1"/>
  <c r="U42" i="28" s="1"/>
  <c r="T42" i="28" a="1"/>
  <c r="T42" i="28" s="1"/>
  <c r="S42" i="28" a="1"/>
  <c r="S42" i="28" s="1"/>
  <c r="R42" i="28" a="1"/>
  <c r="R42" i="28" s="1"/>
  <c r="Q42" i="28" a="1"/>
  <c r="Q42" i="28" s="1"/>
  <c r="P42" i="28" a="1"/>
  <c r="P42" i="28" s="1"/>
  <c r="O42" i="28" a="1"/>
  <c r="O42" i="28" s="1"/>
  <c r="N42" i="28" a="1"/>
  <c r="N42" i="28" s="1"/>
  <c r="M42" i="28" a="1"/>
  <c r="M42" i="28" s="1"/>
  <c r="L42" i="28" a="1"/>
  <c r="L42" i="28" s="1"/>
  <c r="K42" i="28" a="1"/>
  <c r="K42" i="28" s="1"/>
  <c r="J42" i="28" a="1"/>
  <c r="J42" i="28" s="1"/>
  <c r="I42" i="28" a="1"/>
  <c r="I42" i="28" s="1"/>
  <c r="H42" i="28" a="1"/>
  <c r="H42" i="28" s="1"/>
  <c r="G42" i="28" a="1"/>
  <c r="G42" i="28" s="1"/>
  <c r="F42" i="28" a="1"/>
  <c r="F42" i="28" s="1"/>
  <c r="C42" i="28" a="1"/>
  <c r="C42" i="28" s="1"/>
  <c r="D42" i="28" a="1"/>
  <c r="D42" i="28" s="1"/>
  <c r="E42" i="28" a="1"/>
  <c r="E42" i="28" s="1"/>
  <c r="AO41" i="28" a="1"/>
  <c r="AO41" i="28" s="1"/>
  <c r="AN41" i="28" a="1"/>
  <c r="AN41" i="28" s="1"/>
  <c r="AM41" i="28" a="1"/>
  <c r="AM41" i="28" s="1"/>
  <c r="AL41" i="28" a="1"/>
  <c r="AL41" i="28" s="1"/>
  <c r="AK41" i="28" a="1"/>
  <c r="AK41" i="28" s="1"/>
  <c r="AJ41" i="28" a="1"/>
  <c r="AJ41" i="28" s="1"/>
  <c r="AI41" i="28" a="1"/>
  <c r="AI41" i="28" s="1"/>
  <c r="AH41" i="28" a="1"/>
  <c r="AH41" i="28" s="1"/>
  <c r="AG41" i="28" a="1"/>
  <c r="AG41" i="28" s="1"/>
  <c r="AF41" i="28" a="1"/>
  <c r="AF41" i="28" s="1"/>
  <c r="AE41" i="28" a="1"/>
  <c r="AE41" i="28" s="1"/>
  <c r="AD41" i="28" a="1"/>
  <c r="AD41" i="28" s="1"/>
  <c r="AC41" i="28" a="1"/>
  <c r="AC41" i="28" s="1"/>
  <c r="AB41" i="28" a="1"/>
  <c r="AB41" i="28" s="1"/>
  <c r="AA41" i="28" a="1"/>
  <c r="AA41" i="28" s="1"/>
  <c r="Z41" i="28" a="1"/>
  <c r="Z41" i="28" s="1"/>
  <c r="Y41" i="28" a="1"/>
  <c r="Y41" i="28" s="1"/>
  <c r="X41" i="28" a="1"/>
  <c r="X41" i="28" s="1"/>
  <c r="W41" i="28" a="1"/>
  <c r="W41" i="28" s="1"/>
  <c r="V41" i="28" a="1"/>
  <c r="V41" i="28" s="1"/>
  <c r="U41" i="28" a="1"/>
  <c r="U41" i="28" s="1"/>
  <c r="T41" i="28" a="1"/>
  <c r="T41" i="28" s="1"/>
  <c r="S41" i="28" a="1"/>
  <c r="S41" i="28" s="1"/>
  <c r="R41" i="28" a="1"/>
  <c r="R41" i="28" s="1"/>
  <c r="Q41" i="28" a="1"/>
  <c r="Q41" i="28" s="1"/>
  <c r="P41" i="28" a="1"/>
  <c r="P41" i="28" s="1"/>
  <c r="O41" i="28" a="1"/>
  <c r="O41" i="28" s="1"/>
  <c r="N41" i="28" a="1"/>
  <c r="N41" i="28" s="1"/>
  <c r="M41" i="28" a="1"/>
  <c r="M41" i="28" s="1"/>
  <c r="L41" i="28" a="1"/>
  <c r="L41" i="28" s="1"/>
  <c r="K41" i="28" a="1"/>
  <c r="K41" i="28" s="1"/>
  <c r="J41" i="28" a="1"/>
  <c r="J41" i="28" s="1"/>
  <c r="I41" i="28" a="1"/>
  <c r="I41" i="28" s="1"/>
  <c r="H41" i="28" a="1"/>
  <c r="H41" i="28" s="1"/>
  <c r="G41" i="28" a="1"/>
  <c r="G41" i="28" s="1"/>
  <c r="F41" i="28" a="1"/>
  <c r="F41" i="28" s="1"/>
  <c r="E41" i="28" a="1"/>
  <c r="E41" i="28" s="1"/>
  <c r="D41" i="28" a="1"/>
  <c r="D41" i="28" s="1"/>
  <c r="C41" i="28" a="1"/>
  <c r="C41" i="28" s="1"/>
  <c r="AO40" i="28" a="1"/>
  <c r="AO40" i="28" s="1"/>
  <c r="AN40" i="28" a="1"/>
  <c r="AN40" i="28" s="1"/>
  <c r="AM40" i="28" a="1"/>
  <c r="AM40" i="28" s="1"/>
  <c r="AL40" i="28" a="1"/>
  <c r="AL40" i="28" s="1"/>
  <c r="AK40" i="28" a="1"/>
  <c r="AK40" i="28" s="1"/>
  <c r="AJ40" i="28" a="1"/>
  <c r="AJ40" i="28" s="1"/>
  <c r="AI40" i="28" a="1"/>
  <c r="AI40" i="28" s="1"/>
  <c r="AH40" i="28" a="1"/>
  <c r="AH40" i="28" s="1"/>
  <c r="AG40" i="28" a="1"/>
  <c r="AG40" i="28" s="1"/>
  <c r="AF40" i="28" a="1"/>
  <c r="AF40" i="28" s="1"/>
  <c r="AE40" i="28" a="1"/>
  <c r="AE40" i="28" s="1"/>
  <c r="AD40" i="28" a="1"/>
  <c r="AD40" i="28" s="1"/>
  <c r="AC40" i="28" a="1"/>
  <c r="AC40" i="28" s="1"/>
  <c r="AB40" i="28" a="1"/>
  <c r="AB40" i="28" s="1"/>
  <c r="AA40" i="28" a="1"/>
  <c r="AA40" i="28" s="1"/>
  <c r="Z40" i="28" a="1"/>
  <c r="Z40" i="28" s="1"/>
  <c r="Y40" i="28" a="1"/>
  <c r="Y40" i="28" s="1"/>
  <c r="X40" i="28" a="1"/>
  <c r="X40" i="28" s="1"/>
  <c r="W40" i="28" a="1"/>
  <c r="W40" i="28" s="1"/>
  <c r="V40" i="28" a="1"/>
  <c r="V40" i="28" s="1"/>
  <c r="U40" i="28" a="1"/>
  <c r="U40" i="28" s="1"/>
  <c r="T40" i="28" a="1"/>
  <c r="T40" i="28" s="1"/>
  <c r="S40" i="28" a="1"/>
  <c r="S40" i="28" s="1"/>
  <c r="R40" i="28" a="1"/>
  <c r="R40" i="28" s="1"/>
  <c r="Q40" i="28" a="1"/>
  <c r="Q40" i="28" s="1"/>
  <c r="P40" i="28" a="1"/>
  <c r="P40" i="28" s="1"/>
  <c r="O40" i="28" a="1"/>
  <c r="O40" i="28" s="1"/>
  <c r="N40" i="28" a="1"/>
  <c r="N40" i="28" s="1"/>
  <c r="M40" i="28" a="1"/>
  <c r="M40" i="28" s="1"/>
  <c r="L40" i="28" a="1"/>
  <c r="L40" i="28" s="1"/>
  <c r="K40" i="28" a="1"/>
  <c r="K40" i="28" s="1"/>
  <c r="J40" i="28" a="1"/>
  <c r="J40" i="28" s="1"/>
  <c r="I40" i="28" a="1"/>
  <c r="I40" i="28" s="1"/>
  <c r="H40" i="28" a="1"/>
  <c r="H40" i="28" s="1"/>
  <c r="G40" i="28" a="1"/>
  <c r="G40" i="28" s="1"/>
  <c r="F40" i="28" a="1"/>
  <c r="F40" i="28" s="1"/>
  <c r="E40" i="28" a="1"/>
  <c r="E40" i="28" s="1"/>
  <c r="D40" i="28" a="1"/>
  <c r="D40" i="28" s="1"/>
  <c r="C40" i="28" a="1"/>
  <c r="C40" i="28" s="1"/>
  <c r="AO39" i="28" a="1"/>
  <c r="AO39" i="28" s="1"/>
  <c r="AN39" i="28" a="1"/>
  <c r="AN39" i="28" s="1"/>
  <c r="AM39" i="28" a="1"/>
  <c r="AM39" i="28" s="1"/>
  <c r="AL39" i="28" a="1"/>
  <c r="AL39" i="28" s="1"/>
  <c r="AK39" i="28" a="1"/>
  <c r="AK39" i="28" s="1"/>
  <c r="AJ39" i="28" a="1"/>
  <c r="AJ39" i="28" s="1"/>
  <c r="AI39" i="28" a="1"/>
  <c r="AI39" i="28" s="1"/>
  <c r="AH39" i="28" a="1"/>
  <c r="AH39" i="28" s="1"/>
  <c r="AG39" i="28" a="1"/>
  <c r="AG39" i="28" s="1"/>
  <c r="AF39" i="28" a="1"/>
  <c r="AF39" i="28" s="1"/>
  <c r="AE39" i="28" a="1"/>
  <c r="AE39" i="28" s="1"/>
  <c r="AD39" i="28" a="1"/>
  <c r="AD39" i="28" s="1"/>
  <c r="AC39" i="28" a="1"/>
  <c r="AC39" i="28" s="1"/>
  <c r="AB39" i="28" a="1"/>
  <c r="AB39" i="28" s="1"/>
  <c r="AA39" i="28" a="1"/>
  <c r="AA39" i="28" s="1"/>
  <c r="Z39" i="28" a="1"/>
  <c r="Z39" i="28" s="1"/>
  <c r="Y39" i="28" a="1"/>
  <c r="Y39" i="28" s="1"/>
  <c r="X39" i="28" a="1"/>
  <c r="X39" i="28" s="1"/>
  <c r="W39" i="28" a="1"/>
  <c r="W39" i="28" s="1"/>
  <c r="V39" i="28" a="1"/>
  <c r="V39" i="28" s="1"/>
  <c r="U39" i="28" a="1"/>
  <c r="U39" i="28" s="1"/>
  <c r="T39" i="28" a="1"/>
  <c r="T39" i="28" s="1"/>
  <c r="S39" i="28" a="1"/>
  <c r="S39" i="28" s="1"/>
  <c r="R39" i="28" a="1"/>
  <c r="R39" i="28" s="1"/>
  <c r="Q39" i="28" a="1"/>
  <c r="Q39" i="28" s="1"/>
  <c r="P39" i="28" a="1"/>
  <c r="P39" i="28" s="1"/>
  <c r="O39" i="28" a="1"/>
  <c r="O39" i="28" s="1"/>
  <c r="N39" i="28" a="1"/>
  <c r="N39" i="28" s="1"/>
  <c r="M39" i="28" a="1"/>
  <c r="M39" i="28" s="1"/>
  <c r="L39" i="28" a="1"/>
  <c r="L39" i="28" s="1"/>
  <c r="K39" i="28" a="1"/>
  <c r="K39" i="28" s="1"/>
  <c r="J39" i="28" a="1"/>
  <c r="J39" i="28" s="1"/>
  <c r="I39" i="28" a="1"/>
  <c r="I39" i="28" s="1"/>
  <c r="H39" i="28" a="1"/>
  <c r="H39" i="28" s="1"/>
  <c r="G39" i="28" a="1"/>
  <c r="G39" i="28" s="1"/>
  <c r="F39" i="28" a="1"/>
  <c r="F39" i="28" s="1"/>
  <c r="E39" i="28" a="1"/>
  <c r="E39" i="28" s="1"/>
  <c r="D39" i="28" a="1"/>
  <c r="D39" i="28" s="1"/>
  <c r="C39" i="28" a="1"/>
  <c r="C39" i="28" s="1"/>
  <c r="AO38" i="28" a="1"/>
  <c r="AO38" i="28" s="1"/>
  <c r="AN38" i="28" a="1"/>
  <c r="AN38" i="28" s="1"/>
  <c r="AM38" i="28" a="1"/>
  <c r="AM38" i="28" s="1"/>
  <c r="AL38" i="28" a="1"/>
  <c r="AL38" i="28" s="1"/>
  <c r="AK38" i="28" a="1"/>
  <c r="AK38" i="28" s="1"/>
  <c r="AJ38" i="28" a="1"/>
  <c r="AJ38" i="28" s="1"/>
  <c r="AI38" i="28" a="1"/>
  <c r="AI38" i="28" s="1"/>
  <c r="AH38" i="28" a="1"/>
  <c r="AH38" i="28" s="1"/>
  <c r="AG38" i="28" a="1"/>
  <c r="AG38" i="28" s="1"/>
  <c r="AF38" i="28" a="1"/>
  <c r="AF38" i="28" s="1"/>
  <c r="AE38" i="28" a="1"/>
  <c r="AE38" i="28" s="1"/>
  <c r="AD38" i="28" a="1"/>
  <c r="AD38" i="28" s="1"/>
  <c r="AC38" i="28" a="1"/>
  <c r="AC38" i="28" s="1"/>
  <c r="AB38" i="28" a="1"/>
  <c r="AB38" i="28" s="1"/>
  <c r="AA38" i="28" a="1"/>
  <c r="AA38" i="28" s="1"/>
  <c r="Z38" i="28" a="1"/>
  <c r="Z38" i="28" s="1"/>
  <c r="Y38" i="28" a="1"/>
  <c r="Y38" i="28" s="1"/>
  <c r="X38" i="28" a="1"/>
  <c r="X38" i="28" s="1"/>
  <c r="W38" i="28" a="1"/>
  <c r="W38" i="28" s="1"/>
  <c r="V38" i="28" a="1"/>
  <c r="V38" i="28" s="1"/>
  <c r="U38" i="28" a="1"/>
  <c r="U38" i="28" s="1"/>
  <c r="T38" i="28" a="1"/>
  <c r="T38" i="28" s="1"/>
  <c r="S38" i="28" a="1"/>
  <c r="S38" i="28" s="1"/>
  <c r="R38" i="28" a="1"/>
  <c r="R38" i="28" s="1"/>
  <c r="Q38" i="28" a="1"/>
  <c r="Q38" i="28" s="1"/>
  <c r="P38" i="28" a="1"/>
  <c r="P38" i="28" s="1"/>
  <c r="O38" i="28" a="1"/>
  <c r="O38" i="28" s="1"/>
  <c r="N38" i="28" a="1"/>
  <c r="N38" i="28" s="1"/>
  <c r="M38" i="28" a="1"/>
  <c r="M38" i="28" s="1"/>
  <c r="L38" i="28" a="1"/>
  <c r="L38" i="28" s="1"/>
  <c r="K38" i="28" a="1"/>
  <c r="K38" i="28" s="1"/>
  <c r="J38" i="28" a="1"/>
  <c r="J38" i="28" s="1"/>
  <c r="I38" i="28" a="1"/>
  <c r="I38" i="28" s="1"/>
  <c r="H38" i="28" a="1"/>
  <c r="H38" i="28" s="1"/>
  <c r="G38" i="28" a="1"/>
  <c r="G38" i="28" s="1"/>
  <c r="F38" i="28" a="1"/>
  <c r="F38" i="28" s="1"/>
  <c r="E38" i="28" a="1"/>
  <c r="E38" i="28" s="1"/>
  <c r="D38" i="28" a="1"/>
  <c r="D38" i="28" s="1"/>
  <c r="C38" i="28" a="1"/>
  <c r="C38" i="28" s="1"/>
  <c r="AO37" i="28" a="1"/>
  <c r="AO37" i="28" s="1"/>
  <c r="AN37" i="28" a="1"/>
  <c r="AN37" i="28" s="1"/>
  <c r="AM37" i="28" a="1"/>
  <c r="AM37" i="28" s="1"/>
  <c r="AL37" i="28" a="1"/>
  <c r="AL37" i="28" s="1"/>
  <c r="AK37" i="28" a="1"/>
  <c r="AK37" i="28" s="1"/>
  <c r="AJ37" i="28" a="1"/>
  <c r="AJ37" i="28" s="1"/>
  <c r="AI37" i="28" a="1"/>
  <c r="AI37" i="28" s="1"/>
  <c r="AH37" i="28" a="1"/>
  <c r="AH37" i="28" s="1"/>
  <c r="AG37" i="28" a="1"/>
  <c r="AG37" i="28" s="1"/>
  <c r="AF37" i="28" a="1"/>
  <c r="AF37" i="28" s="1"/>
  <c r="AE37" i="28" a="1"/>
  <c r="AE37" i="28" s="1"/>
  <c r="AD37" i="28" a="1"/>
  <c r="AD37" i="28" s="1"/>
  <c r="AC37" i="28" a="1"/>
  <c r="AC37" i="28" s="1"/>
  <c r="AB37" i="28" a="1"/>
  <c r="AB37" i="28" s="1"/>
  <c r="AA37" i="28" a="1"/>
  <c r="AA37" i="28" s="1"/>
  <c r="Z37" i="28" a="1"/>
  <c r="Z37" i="28" s="1"/>
  <c r="Y37" i="28" a="1"/>
  <c r="Y37" i="28" s="1"/>
  <c r="X37" i="28" a="1"/>
  <c r="X37" i="28" s="1"/>
  <c r="W37" i="28" a="1"/>
  <c r="W37" i="28" s="1"/>
  <c r="V37" i="28" a="1"/>
  <c r="V37" i="28" s="1"/>
  <c r="U37" i="28" a="1"/>
  <c r="U37" i="28" s="1"/>
  <c r="T37" i="28" a="1"/>
  <c r="T37" i="28" s="1"/>
  <c r="S37" i="28" a="1"/>
  <c r="S37" i="28" s="1"/>
  <c r="R37" i="28" a="1"/>
  <c r="R37" i="28" s="1"/>
  <c r="Q37" i="28" a="1"/>
  <c r="Q37" i="28" s="1"/>
  <c r="P37" i="28" a="1"/>
  <c r="P37" i="28" s="1"/>
  <c r="O37" i="28" a="1"/>
  <c r="O37" i="28" s="1"/>
  <c r="N37" i="28" a="1"/>
  <c r="N37" i="28" s="1"/>
  <c r="M37" i="28" a="1"/>
  <c r="M37" i="28" s="1"/>
  <c r="L37" i="28" a="1"/>
  <c r="L37" i="28" s="1"/>
  <c r="K37" i="28" a="1"/>
  <c r="K37" i="28" s="1"/>
  <c r="J37" i="28" a="1"/>
  <c r="J37" i="28" s="1"/>
  <c r="I37" i="28" a="1"/>
  <c r="I37" i="28" s="1"/>
  <c r="H37" i="28" a="1"/>
  <c r="H37" i="28" s="1"/>
  <c r="G37" i="28" a="1"/>
  <c r="G37" i="28" s="1"/>
  <c r="F37" i="28" a="1"/>
  <c r="F37" i="28" s="1"/>
  <c r="E37" i="28" a="1"/>
  <c r="E37" i="28" s="1"/>
  <c r="D37" i="28" a="1"/>
  <c r="D37" i="28" s="1"/>
  <c r="C37" i="28" a="1"/>
  <c r="C37" i="28" s="1"/>
  <c r="AO36" i="28" a="1"/>
  <c r="AO36" i="28" s="1"/>
  <c r="AN36" i="28" a="1"/>
  <c r="AN36" i="28" s="1"/>
  <c r="AM36" i="28" a="1"/>
  <c r="AM36" i="28" s="1"/>
  <c r="AL36" i="28" a="1"/>
  <c r="AL36" i="28" s="1"/>
  <c r="AK36" i="28" a="1"/>
  <c r="AK36" i="28" s="1"/>
  <c r="AJ36" i="28" a="1"/>
  <c r="AJ36" i="28" s="1"/>
  <c r="AI36" i="28" a="1"/>
  <c r="AI36" i="28" s="1"/>
  <c r="AH36" i="28" a="1"/>
  <c r="AH36" i="28" s="1"/>
  <c r="AG36" i="28" a="1"/>
  <c r="AG36" i="28" s="1"/>
  <c r="AF36" i="28" a="1"/>
  <c r="AF36" i="28" s="1"/>
  <c r="AE36" i="28" a="1"/>
  <c r="AE36" i="28" s="1"/>
  <c r="AD36" i="28" a="1"/>
  <c r="AD36" i="28" s="1"/>
  <c r="AC36" i="28" a="1"/>
  <c r="AC36" i="28" s="1"/>
  <c r="AB36" i="28" a="1"/>
  <c r="AB36" i="28" s="1"/>
  <c r="AA36" i="28" a="1"/>
  <c r="AA36" i="28" s="1"/>
  <c r="Z36" i="28" a="1"/>
  <c r="Z36" i="28" s="1"/>
  <c r="Y36" i="28" a="1"/>
  <c r="Y36" i="28" s="1"/>
  <c r="X36" i="28" a="1"/>
  <c r="X36" i="28" s="1"/>
  <c r="W36" i="28" a="1"/>
  <c r="W36" i="28" s="1"/>
  <c r="V36" i="28" a="1"/>
  <c r="V36" i="28" s="1"/>
  <c r="U36" i="28" a="1"/>
  <c r="U36" i="28" s="1"/>
  <c r="T36" i="28" a="1"/>
  <c r="T36" i="28" s="1"/>
  <c r="S36" i="28" a="1"/>
  <c r="S36" i="28" s="1"/>
  <c r="R36" i="28" a="1"/>
  <c r="R36" i="28" s="1"/>
  <c r="Q36" i="28" a="1"/>
  <c r="Q36" i="28" s="1"/>
  <c r="P36" i="28" a="1"/>
  <c r="P36" i="28" s="1"/>
  <c r="O36" i="28" a="1"/>
  <c r="O36" i="28" s="1"/>
  <c r="N36" i="28" a="1"/>
  <c r="N36" i="28" s="1"/>
  <c r="M36" i="28" a="1"/>
  <c r="M36" i="28" s="1"/>
  <c r="L36" i="28" a="1"/>
  <c r="L36" i="28" s="1"/>
  <c r="K36" i="28" a="1"/>
  <c r="K36" i="28" s="1"/>
  <c r="J36" i="28" a="1"/>
  <c r="J36" i="28" s="1"/>
  <c r="I36" i="28" a="1"/>
  <c r="I36" i="28" s="1"/>
  <c r="H36" i="28" a="1"/>
  <c r="H36" i="28" s="1"/>
  <c r="G36" i="28" a="1"/>
  <c r="G36" i="28" s="1"/>
  <c r="F36" i="28" a="1"/>
  <c r="F36" i="28" s="1"/>
  <c r="E36" i="28" a="1"/>
  <c r="E36" i="28" s="1"/>
  <c r="D36" i="28" a="1"/>
  <c r="D36" i="28" s="1"/>
  <c r="C36" i="28" a="1"/>
  <c r="C36" i="28" s="1"/>
  <c r="AO35" i="28" a="1"/>
  <c r="AO35" i="28" s="1"/>
  <c r="AN35" i="28" a="1"/>
  <c r="AN35" i="28" s="1"/>
  <c r="AM35" i="28" a="1"/>
  <c r="AM35" i="28" s="1"/>
  <c r="AL35" i="28" a="1"/>
  <c r="AL35" i="28" s="1"/>
  <c r="AK35" i="28" a="1"/>
  <c r="AK35" i="28" s="1"/>
  <c r="AJ35" i="28" a="1"/>
  <c r="AJ35" i="28" s="1"/>
  <c r="AI35" i="28" a="1"/>
  <c r="AI35" i="28" s="1"/>
  <c r="AH35" i="28" a="1"/>
  <c r="AH35" i="28" s="1"/>
  <c r="AG35" i="28" a="1"/>
  <c r="AG35" i="28" s="1"/>
  <c r="AF35" i="28" a="1"/>
  <c r="AF35" i="28" s="1"/>
  <c r="AE35" i="28" a="1"/>
  <c r="AE35" i="28" s="1"/>
  <c r="AD35" i="28" a="1"/>
  <c r="AD35" i="28" s="1"/>
  <c r="AC35" i="28" a="1"/>
  <c r="AC35" i="28" s="1"/>
  <c r="AB35" i="28" a="1"/>
  <c r="AB35" i="28" s="1"/>
  <c r="AA35" i="28" a="1"/>
  <c r="AA35" i="28" s="1"/>
  <c r="Z35" i="28" a="1"/>
  <c r="Z35" i="28" s="1"/>
  <c r="Y35" i="28" a="1"/>
  <c r="Y35" i="28" s="1"/>
  <c r="X35" i="28" a="1"/>
  <c r="X35" i="28" s="1"/>
  <c r="W35" i="28" a="1"/>
  <c r="W35" i="28" s="1"/>
  <c r="V35" i="28" a="1"/>
  <c r="V35" i="28" s="1"/>
  <c r="U35" i="28" a="1"/>
  <c r="U35" i="28" s="1"/>
  <c r="T35" i="28" a="1"/>
  <c r="T35" i="28" s="1"/>
  <c r="S35" i="28" a="1"/>
  <c r="S35" i="28" s="1"/>
  <c r="R35" i="28" a="1"/>
  <c r="R35" i="28" s="1"/>
  <c r="Q35" i="28" a="1"/>
  <c r="Q35" i="28" s="1"/>
  <c r="P35" i="28" a="1"/>
  <c r="P35" i="28" s="1"/>
  <c r="O35" i="28" a="1"/>
  <c r="O35" i="28" s="1"/>
  <c r="N35" i="28" a="1"/>
  <c r="N35" i="28" s="1"/>
  <c r="M35" i="28" a="1"/>
  <c r="M35" i="28" s="1"/>
  <c r="L35" i="28" a="1"/>
  <c r="L35" i="28" s="1"/>
  <c r="K35" i="28" a="1"/>
  <c r="K35" i="28" s="1"/>
  <c r="J35" i="28" a="1"/>
  <c r="J35" i="28" s="1"/>
  <c r="I35" i="28" a="1"/>
  <c r="I35" i="28" s="1"/>
  <c r="H35" i="28" a="1"/>
  <c r="H35" i="28" s="1"/>
  <c r="G35" i="28" a="1"/>
  <c r="G35" i="28" s="1"/>
  <c r="F35" i="28" a="1"/>
  <c r="F35" i="28" s="1"/>
  <c r="E35" i="28" a="1"/>
  <c r="E35" i="28" s="1"/>
  <c r="D35" i="28" a="1"/>
  <c r="D35" i="28" s="1"/>
  <c r="C35" i="28" a="1"/>
  <c r="C35" i="28" s="1"/>
  <c r="AO34" i="28" a="1"/>
  <c r="AO34" i="28" s="1"/>
  <c r="AN34" i="28" a="1"/>
  <c r="AN34" i="28" s="1"/>
  <c r="AM34" i="28" a="1"/>
  <c r="AM34" i="28" s="1"/>
  <c r="AL34" i="28" a="1"/>
  <c r="AL34" i="28" s="1"/>
  <c r="AK34" i="28" a="1"/>
  <c r="AK34" i="28" s="1"/>
  <c r="AJ34" i="28" a="1"/>
  <c r="AJ34" i="28" s="1"/>
  <c r="AI34" i="28" a="1"/>
  <c r="AI34" i="28" s="1"/>
  <c r="AH34" i="28" a="1"/>
  <c r="AH34" i="28" s="1"/>
  <c r="AG34" i="28" a="1"/>
  <c r="AG34" i="28" s="1"/>
  <c r="AF34" i="28" a="1"/>
  <c r="AF34" i="28" s="1"/>
  <c r="AE34" i="28" a="1"/>
  <c r="AE34" i="28" s="1"/>
  <c r="AD34" i="28" a="1"/>
  <c r="AD34" i="28" s="1"/>
  <c r="AC34" i="28" a="1"/>
  <c r="AC34" i="28" s="1"/>
  <c r="AB34" i="28" a="1"/>
  <c r="AB34" i="28" s="1"/>
  <c r="AA34" i="28" a="1"/>
  <c r="AA34" i="28" s="1"/>
  <c r="Z34" i="28" a="1"/>
  <c r="Z34" i="28" s="1"/>
  <c r="Y34" i="28" a="1"/>
  <c r="Y34" i="28" s="1"/>
  <c r="X34" i="28" a="1"/>
  <c r="X34" i="28" s="1"/>
  <c r="W34" i="28" a="1"/>
  <c r="W34" i="28" s="1"/>
  <c r="V34" i="28" a="1"/>
  <c r="V34" i="28" s="1"/>
  <c r="U34" i="28" a="1"/>
  <c r="U34" i="28" s="1"/>
  <c r="T34" i="28" a="1"/>
  <c r="T34" i="28" s="1"/>
  <c r="S34" i="28" a="1"/>
  <c r="S34" i="28" s="1"/>
  <c r="R34" i="28" a="1"/>
  <c r="R34" i="28" s="1"/>
  <c r="Q34" i="28" a="1"/>
  <c r="Q34" i="28" s="1"/>
  <c r="P34" i="28" a="1"/>
  <c r="P34" i="28" s="1"/>
  <c r="O34" i="28" a="1"/>
  <c r="O34" i="28" s="1"/>
  <c r="N34" i="28" a="1"/>
  <c r="N34" i="28" s="1"/>
  <c r="M34" i="28" a="1"/>
  <c r="M34" i="28" s="1"/>
  <c r="L34" i="28" a="1"/>
  <c r="L34" i="28" s="1"/>
  <c r="K34" i="28" a="1"/>
  <c r="K34" i="28" s="1"/>
  <c r="J34" i="28" a="1"/>
  <c r="J34" i="28" s="1"/>
  <c r="I34" i="28" a="1"/>
  <c r="I34" i="28" s="1"/>
  <c r="H34" i="28" a="1"/>
  <c r="H34" i="28" s="1"/>
  <c r="G34" i="28" a="1"/>
  <c r="G34" i="28" s="1"/>
  <c r="F34" i="28" a="1"/>
  <c r="F34" i="28" s="1"/>
  <c r="E34" i="28" a="1"/>
  <c r="E34" i="28" s="1"/>
  <c r="D34" i="28" a="1"/>
  <c r="D34" i="28" s="1"/>
  <c r="C34" i="28" a="1"/>
  <c r="C34" i="28" s="1"/>
  <c r="AO33" i="28" a="1"/>
  <c r="AO33" i="28" s="1"/>
  <c r="AN33" i="28" a="1"/>
  <c r="AN33" i="28" s="1"/>
  <c r="AM33" i="28" a="1"/>
  <c r="AM33" i="28" s="1"/>
  <c r="AL33" i="28" a="1"/>
  <c r="AL33" i="28" s="1"/>
  <c r="AK33" i="28" a="1"/>
  <c r="AK33" i="28" s="1"/>
  <c r="AJ33" i="28" a="1"/>
  <c r="AJ33" i="28" s="1"/>
  <c r="AI33" i="28" a="1"/>
  <c r="AI33" i="28" s="1"/>
  <c r="AH33" i="28" a="1"/>
  <c r="AH33" i="28" s="1"/>
  <c r="AG33" i="28" a="1"/>
  <c r="AG33" i="28" s="1"/>
  <c r="AF33" i="28" a="1"/>
  <c r="AF33" i="28" s="1"/>
  <c r="AE33" i="28" a="1"/>
  <c r="AE33" i="28" s="1"/>
  <c r="AD33" i="28" a="1"/>
  <c r="AD33" i="28" s="1"/>
  <c r="AC33" i="28" a="1"/>
  <c r="AC33" i="28" s="1"/>
  <c r="AB33" i="28" a="1"/>
  <c r="AB33" i="28" s="1"/>
  <c r="AA33" i="28" a="1"/>
  <c r="AA33" i="28" s="1"/>
  <c r="Z33" i="28" a="1"/>
  <c r="Z33" i="28" s="1"/>
  <c r="Y33" i="28" a="1"/>
  <c r="Y33" i="28" s="1"/>
  <c r="X33" i="28" a="1"/>
  <c r="X33" i="28" s="1"/>
  <c r="W33" i="28" a="1"/>
  <c r="W33" i="28" s="1"/>
  <c r="V33" i="28" a="1"/>
  <c r="V33" i="28" s="1"/>
  <c r="U33" i="28" a="1"/>
  <c r="U33" i="28" s="1"/>
  <c r="T33" i="28" a="1"/>
  <c r="T33" i="28" s="1"/>
  <c r="S33" i="28" a="1"/>
  <c r="S33" i="28" s="1"/>
  <c r="R33" i="28" a="1"/>
  <c r="R33" i="28" s="1"/>
  <c r="Q33" i="28" a="1"/>
  <c r="Q33" i="28" s="1"/>
  <c r="P33" i="28" a="1"/>
  <c r="P33" i="28" s="1"/>
  <c r="O33" i="28" a="1"/>
  <c r="O33" i="28" s="1"/>
  <c r="N33" i="28" a="1"/>
  <c r="N33" i="28" s="1"/>
  <c r="M33" i="28" a="1"/>
  <c r="M33" i="28" s="1"/>
  <c r="L33" i="28" a="1"/>
  <c r="L33" i="28" s="1"/>
  <c r="K33" i="28" a="1"/>
  <c r="K33" i="28" s="1"/>
  <c r="J33" i="28" a="1"/>
  <c r="J33" i="28" s="1"/>
  <c r="I33" i="28" a="1"/>
  <c r="I33" i="28" s="1"/>
  <c r="H33" i="28" a="1"/>
  <c r="H33" i="28" s="1"/>
  <c r="G33" i="28" a="1"/>
  <c r="G33" i="28" s="1"/>
  <c r="F33" i="28" a="1"/>
  <c r="F33" i="28" s="1"/>
  <c r="E33" i="28" a="1"/>
  <c r="E33" i="28" s="1"/>
  <c r="D33" i="28" a="1"/>
  <c r="D33" i="28" s="1"/>
  <c r="C33" i="28" a="1"/>
  <c r="C33" i="28" s="1"/>
  <c r="AO32" i="28" a="1"/>
  <c r="AO32" i="28" s="1"/>
  <c r="AN32" i="28" a="1"/>
  <c r="AN32" i="28" s="1"/>
  <c r="AM32" i="28" a="1"/>
  <c r="AM32" i="28" s="1"/>
  <c r="AL32" i="28" a="1"/>
  <c r="AL32" i="28" s="1"/>
  <c r="AK32" i="28" a="1"/>
  <c r="AK32" i="28" s="1"/>
  <c r="AJ32" i="28" a="1"/>
  <c r="AJ32" i="28" s="1"/>
  <c r="AI32" i="28" a="1"/>
  <c r="AI32" i="28" s="1"/>
  <c r="AH32" i="28" a="1"/>
  <c r="AH32" i="28" s="1"/>
  <c r="AG32" i="28" a="1"/>
  <c r="AG32" i="28" s="1"/>
  <c r="AF32" i="28" a="1"/>
  <c r="AF32" i="28" s="1"/>
  <c r="AE32" i="28" a="1"/>
  <c r="AE32" i="28" s="1"/>
  <c r="AD32" i="28" a="1"/>
  <c r="AD32" i="28" s="1"/>
  <c r="AC32" i="28" a="1"/>
  <c r="AC32" i="28" s="1"/>
  <c r="AB32" i="28" a="1"/>
  <c r="AB32" i="28" s="1"/>
  <c r="AA32" i="28" a="1"/>
  <c r="AA32" i="28" s="1"/>
  <c r="Z32" i="28" a="1"/>
  <c r="Z32" i="28" s="1"/>
  <c r="Y32" i="28" a="1"/>
  <c r="Y32" i="28" s="1"/>
  <c r="X32" i="28" a="1"/>
  <c r="X32" i="28" s="1"/>
  <c r="W32" i="28" a="1"/>
  <c r="W32" i="28" s="1"/>
  <c r="V32" i="28" a="1"/>
  <c r="V32" i="28" s="1"/>
  <c r="U32" i="28" a="1"/>
  <c r="U32" i="28" s="1"/>
  <c r="T32" i="28" a="1"/>
  <c r="T32" i="28" s="1"/>
  <c r="S32" i="28" a="1"/>
  <c r="S32" i="28" s="1"/>
  <c r="R32" i="28" a="1"/>
  <c r="R32" i="28" s="1"/>
  <c r="Q32" i="28" a="1"/>
  <c r="Q32" i="28" s="1"/>
  <c r="P32" i="28" a="1"/>
  <c r="P32" i="28" s="1"/>
  <c r="O32" i="28" a="1"/>
  <c r="O32" i="28" s="1"/>
  <c r="N32" i="28" a="1"/>
  <c r="N32" i="28" s="1"/>
  <c r="M32" i="28" a="1"/>
  <c r="M32" i="28" s="1"/>
  <c r="L32" i="28" a="1"/>
  <c r="L32" i="28" s="1"/>
  <c r="K32" i="28" a="1"/>
  <c r="K32" i="28" s="1"/>
  <c r="J32" i="28" a="1"/>
  <c r="J32" i="28" s="1"/>
  <c r="I32" i="28" a="1"/>
  <c r="I32" i="28" s="1"/>
  <c r="H32" i="28" a="1"/>
  <c r="H32" i="28" s="1"/>
  <c r="G32" i="28" a="1"/>
  <c r="G32" i="28" s="1"/>
  <c r="F32" i="28" a="1"/>
  <c r="F32" i="28" s="1"/>
  <c r="E32" i="28" a="1"/>
  <c r="E32" i="28" s="1"/>
  <c r="D32" i="28" a="1"/>
  <c r="D32" i="28" s="1"/>
  <c r="C32" i="28" a="1"/>
  <c r="C32" i="28" s="1"/>
  <c r="AO31" i="28" a="1"/>
  <c r="AO31" i="28" s="1"/>
  <c r="AN31" i="28" a="1"/>
  <c r="AN31" i="28" s="1"/>
  <c r="AM31" i="28" a="1"/>
  <c r="AM31" i="28" s="1"/>
  <c r="AL31" i="28" a="1"/>
  <c r="AL31" i="28" s="1"/>
  <c r="AK31" i="28" a="1"/>
  <c r="AK31" i="28" s="1"/>
  <c r="AJ31" i="28" a="1"/>
  <c r="AJ31" i="28" s="1"/>
  <c r="AI31" i="28" a="1"/>
  <c r="AI31" i="28" s="1"/>
  <c r="AH31" i="28" a="1"/>
  <c r="AH31" i="28" s="1"/>
  <c r="AG31" i="28" a="1"/>
  <c r="AG31" i="28" s="1"/>
  <c r="AF31" i="28" a="1"/>
  <c r="AF31" i="28" s="1"/>
  <c r="AE31" i="28" a="1"/>
  <c r="AE31" i="28" s="1"/>
  <c r="AD31" i="28" a="1"/>
  <c r="AD31" i="28" s="1"/>
  <c r="AC31" i="28" a="1"/>
  <c r="AC31" i="28" s="1"/>
  <c r="AB31" i="28" a="1"/>
  <c r="AB31" i="28" s="1"/>
  <c r="AA31" i="28" a="1"/>
  <c r="AA31" i="28" s="1"/>
  <c r="Z31" i="28" a="1"/>
  <c r="Z31" i="28" s="1"/>
  <c r="Y31" i="28" a="1"/>
  <c r="Y31" i="28" s="1"/>
  <c r="X31" i="28" a="1"/>
  <c r="X31" i="28" s="1"/>
  <c r="W31" i="28" a="1"/>
  <c r="W31" i="28" s="1"/>
  <c r="V31" i="28" a="1"/>
  <c r="V31" i="28" s="1"/>
  <c r="U31" i="28" a="1"/>
  <c r="U31" i="28" s="1"/>
  <c r="T31" i="28" a="1"/>
  <c r="T31" i="28" s="1"/>
  <c r="S31" i="28" a="1"/>
  <c r="S31" i="28" s="1"/>
  <c r="R31" i="28" a="1"/>
  <c r="R31" i="28" s="1"/>
  <c r="Q31" i="28" a="1"/>
  <c r="Q31" i="28" s="1"/>
  <c r="P31" i="28" a="1"/>
  <c r="P31" i="28" s="1"/>
  <c r="O31" i="28" a="1"/>
  <c r="O31" i="28" s="1"/>
  <c r="N31" i="28" a="1"/>
  <c r="N31" i="28" s="1"/>
  <c r="M31" i="28" a="1"/>
  <c r="M31" i="28" s="1"/>
  <c r="L31" i="28" a="1"/>
  <c r="L31" i="28" s="1"/>
  <c r="K31" i="28" a="1"/>
  <c r="K31" i="28" s="1"/>
  <c r="J31" i="28" a="1"/>
  <c r="J31" i="28" s="1"/>
  <c r="I31" i="28" a="1"/>
  <c r="I31" i="28" s="1"/>
  <c r="H31" i="28" a="1"/>
  <c r="H31" i="28" s="1"/>
  <c r="G31" i="28" a="1"/>
  <c r="G31" i="28" s="1"/>
  <c r="F31" i="28" a="1"/>
  <c r="F31" i="28" s="1"/>
  <c r="E31" i="28" a="1"/>
  <c r="E31" i="28" s="1"/>
  <c r="D31" i="28" a="1"/>
  <c r="D31" i="28" s="1"/>
  <c r="C31" i="28" a="1"/>
  <c r="C31" i="28" s="1"/>
  <c r="AO30" i="28" a="1"/>
  <c r="AO30" i="28" s="1"/>
  <c r="AN30" i="28" a="1"/>
  <c r="AN30" i="28" s="1"/>
  <c r="AM30" i="28" a="1"/>
  <c r="AM30" i="28" s="1"/>
  <c r="AL30" i="28" a="1"/>
  <c r="AL30" i="28" s="1"/>
  <c r="AK30" i="28" a="1"/>
  <c r="AK30" i="28" s="1"/>
  <c r="AJ30" i="28" a="1"/>
  <c r="AJ30" i="28" s="1"/>
  <c r="AI30" i="28" a="1"/>
  <c r="AI30" i="28" s="1"/>
  <c r="AH30" i="28" a="1"/>
  <c r="AH30" i="28" s="1"/>
  <c r="AG30" i="28" a="1"/>
  <c r="AG30" i="28" s="1"/>
  <c r="AF30" i="28" a="1"/>
  <c r="AF30" i="28" s="1"/>
  <c r="AE30" i="28" a="1"/>
  <c r="AE30" i="28" s="1"/>
  <c r="AD30" i="28" a="1"/>
  <c r="AD30" i="28" s="1"/>
  <c r="AC30" i="28" a="1"/>
  <c r="AC30" i="28" s="1"/>
  <c r="AB30" i="28" a="1"/>
  <c r="AB30" i="28" s="1"/>
  <c r="AA30" i="28" a="1"/>
  <c r="AA30" i="28" s="1"/>
  <c r="Z30" i="28" a="1"/>
  <c r="Z30" i="28" s="1"/>
  <c r="Y30" i="28" a="1"/>
  <c r="Y30" i="28" s="1"/>
  <c r="X30" i="28" a="1"/>
  <c r="X30" i="28" s="1"/>
  <c r="W30" i="28" a="1"/>
  <c r="W30" i="28" s="1"/>
  <c r="V30" i="28" a="1"/>
  <c r="V30" i="28" s="1"/>
  <c r="U30" i="28" a="1"/>
  <c r="U30" i="28" s="1"/>
  <c r="T30" i="28" a="1"/>
  <c r="T30" i="28" s="1"/>
  <c r="S30" i="28" a="1"/>
  <c r="S30" i="28" s="1"/>
  <c r="R30" i="28" a="1"/>
  <c r="R30" i="28" s="1"/>
  <c r="Q30" i="28" a="1"/>
  <c r="Q30" i="28" s="1"/>
  <c r="P30" i="28" a="1"/>
  <c r="P30" i="28" s="1"/>
  <c r="O30" i="28" a="1"/>
  <c r="O30" i="28" s="1"/>
  <c r="N30" i="28" a="1"/>
  <c r="N30" i="28" s="1"/>
  <c r="M30" i="28" a="1"/>
  <c r="M30" i="28" s="1"/>
  <c r="L30" i="28" a="1"/>
  <c r="L30" i="28" s="1"/>
  <c r="K30" i="28" a="1"/>
  <c r="K30" i="28" s="1"/>
  <c r="J30" i="28" a="1"/>
  <c r="J30" i="28" s="1"/>
  <c r="I30" i="28" a="1"/>
  <c r="I30" i="28" s="1"/>
  <c r="H30" i="28" a="1"/>
  <c r="H30" i="28" s="1"/>
  <c r="G30" i="28" a="1"/>
  <c r="G30" i="28" s="1"/>
  <c r="F30" i="28" a="1"/>
  <c r="F30" i="28" s="1"/>
  <c r="E30" i="28" a="1"/>
  <c r="E30" i="28" s="1"/>
  <c r="D30" i="28" a="1"/>
  <c r="D30" i="28" s="1"/>
  <c r="C30" i="28" a="1"/>
  <c r="C30" i="28" s="1"/>
  <c r="AO29" i="28" a="1"/>
  <c r="AO29" i="28" s="1"/>
  <c r="AN29" i="28" a="1"/>
  <c r="AN29" i="28" s="1"/>
  <c r="AM29" i="28" a="1"/>
  <c r="AM29" i="28" s="1"/>
  <c r="AL29" i="28" a="1"/>
  <c r="AL29" i="28" s="1"/>
  <c r="AK29" i="28" a="1"/>
  <c r="AK29" i="28" s="1"/>
  <c r="AJ29" i="28" a="1"/>
  <c r="AJ29" i="28" s="1"/>
  <c r="AI29" i="28" a="1"/>
  <c r="AI29" i="28" s="1"/>
  <c r="AH29" i="28" a="1"/>
  <c r="AH29" i="28" s="1"/>
  <c r="AG29" i="28" a="1"/>
  <c r="AG29" i="28" s="1"/>
  <c r="AF29" i="28" a="1"/>
  <c r="AF29" i="28" s="1"/>
  <c r="AE29" i="28" a="1"/>
  <c r="AE29" i="28" s="1"/>
  <c r="AD29" i="28" a="1"/>
  <c r="AD29" i="28" s="1"/>
  <c r="AC29" i="28" a="1"/>
  <c r="AC29" i="28" s="1"/>
  <c r="AB29" i="28" a="1"/>
  <c r="AB29" i="28" s="1"/>
  <c r="AA29" i="28" a="1"/>
  <c r="AA29" i="28" s="1"/>
  <c r="Z29" i="28" a="1"/>
  <c r="Z29" i="28" s="1"/>
  <c r="Y29" i="28" a="1"/>
  <c r="Y29" i="28" s="1"/>
  <c r="X29" i="28" a="1"/>
  <c r="X29" i="28" s="1"/>
  <c r="W29" i="28" a="1"/>
  <c r="W29" i="28" s="1"/>
  <c r="V29" i="28" a="1"/>
  <c r="V29" i="28" s="1"/>
  <c r="U29" i="28" a="1"/>
  <c r="U29" i="28" s="1"/>
  <c r="T29" i="28" a="1"/>
  <c r="T29" i="28" s="1"/>
  <c r="S29" i="28" a="1"/>
  <c r="S29" i="28" s="1"/>
  <c r="R29" i="28" a="1"/>
  <c r="R29" i="28" s="1"/>
  <c r="Q29" i="28" a="1"/>
  <c r="Q29" i="28" s="1"/>
  <c r="P29" i="28" a="1"/>
  <c r="P29" i="28" s="1"/>
  <c r="O29" i="28" a="1"/>
  <c r="O29" i="28" s="1"/>
  <c r="N29" i="28" a="1"/>
  <c r="N29" i="28" s="1"/>
  <c r="M29" i="28" a="1"/>
  <c r="M29" i="28" s="1"/>
  <c r="L29" i="28" a="1"/>
  <c r="L29" i="28" s="1"/>
  <c r="K29" i="28" a="1"/>
  <c r="K29" i="28" s="1"/>
  <c r="J29" i="28" a="1"/>
  <c r="J29" i="28" s="1"/>
  <c r="I29" i="28" a="1"/>
  <c r="I29" i="28" s="1"/>
  <c r="H29" i="28" a="1"/>
  <c r="H29" i="28" s="1"/>
  <c r="G29" i="28" a="1"/>
  <c r="G29" i="28" s="1"/>
  <c r="F29" i="28" a="1"/>
  <c r="F29" i="28" s="1"/>
  <c r="E29" i="28" a="1"/>
  <c r="E29" i="28" s="1"/>
  <c r="D29" i="28" a="1"/>
  <c r="D29" i="28" s="1"/>
  <c r="C29" i="28" a="1"/>
  <c r="C29" i="28" s="1"/>
  <c r="AO24" i="28" a="1"/>
  <c r="AO24" i="28" s="1"/>
  <c r="AN24" i="28" a="1"/>
  <c r="AN24" i="28" s="1"/>
  <c r="AM24" i="28" a="1"/>
  <c r="AM24" i="28" s="1"/>
  <c r="AL24" i="28" a="1"/>
  <c r="AL24" i="28" s="1"/>
  <c r="AK24" i="28" a="1"/>
  <c r="AK24" i="28" s="1"/>
  <c r="AJ24" i="28" a="1"/>
  <c r="AJ24" i="28" s="1"/>
  <c r="AI24" i="28" a="1"/>
  <c r="AI24" i="28" s="1"/>
  <c r="AH24" i="28" a="1"/>
  <c r="AH24" i="28" s="1"/>
  <c r="AG24" i="28" a="1"/>
  <c r="AG24" i="28" s="1"/>
  <c r="AF24" i="28" a="1"/>
  <c r="AF24" i="28" s="1"/>
  <c r="AE24" i="28" a="1"/>
  <c r="AE24" i="28" s="1"/>
  <c r="AD24" i="28" a="1"/>
  <c r="AD24" i="28" s="1"/>
  <c r="AC24" i="28" a="1"/>
  <c r="AC24" i="28" s="1"/>
  <c r="AB24" i="28" a="1"/>
  <c r="AB24" i="28" s="1"/>
  <c r="AA24" i="28" a="1"/>
  <c r="AA24" i="28" s="1"/>
  <c r="Z24" i="28" a="1"/>
  <c r="Z24" i="28" s="1"/>
  <c r="Y24" i="28" a="1"/>
  <c r="Y24" i="28" s="1"/>
  <c r="X24" i="28" a="1"/>
  <c r="X24" i="28" s="1"/>
  <c r="W24" i="28" a="1"/>
  <c r="W24" i="28" s="1"/>
  <c r="V24" i="28" a="1"/>
  <c r="V24" i="28" s="1"/>
  <c r="U23" i="28" a="1"/>
  <c r="U23" i="28" s="1"/>
  <c r="T23" i="28" a="1"/>
  <c r="T23" i="28" s="1"/>
  <c r="S23" i="28" a="1"/>
  <c r="S23" i="28" s="1"/>
  <c r="R23" i="28" a="1"/>
  <c r="R23" i="28" s="1"/>
  <c r="Q23" i="28" a="1"/>
  <c r="Q23" i="28" s="1"/>
  <c r="P23" i="28" a="1"/>
  <c r="P23" i="28" s="1"/>
  <c r="O23" i="28" a="1"/>
  <c r="O23" i="28" s="1"/>
  <c r="N23" i="28" a="1"/>
  <c r="N23" i="28" s="1"/>
  <c r="M23" i="28" a="1"/>
  <c r="M23" i="28" s="1"/>
  <c r="L23" i="28" a="1"/>
  <c r="L23" i="28" s="1"/>
  <c r="K23" i="28" a="1"/>
  <c r="K23" i="28" s="1"/>
  <c r="J23" i="28" a="1"/>
  <c r="J23" i="28" s="1"/>
  <c r="I23" i="28" a="1"/>
  <c r="I23" i="28" s="1"/>
  <c r="H23" i="28" a="1"/>
  <c r="H23" i="28" s="1"/>
  <c r="G23" i="28" a="1"/>
  <c r="G23" i="28" s="1"/>
  <c r="F23" i="28" a="1"/>
  <c r="F23" i="28" s="1"/>
  <c r="E23" i="28" a="1"/>
  <c r="E23" i="28" s="1"/>
  <c r="D23" i="28" a="1"/>
  <c r="D23" i="28" s="1"/>
  <c r="C23" i="28" a="1"/>
  <c r="C23" i="28" s="1"/>
  <c r="U21" i="28" a="1"/>
  <c r="U21" i="28" s="1"/>
  <c r="S21" i="28" a="1"/>
  <c r="S21" i="28" s="1"/>
  <c r="Q21" i="28" a="1"/>
  <c r="Q21" i="28" s="1"/>
  <c r="O21" i="28" a="1"/>
  <c r="O21" i="28" s="1"/>
  <c r="M21" i="28" a="1"/>
  <c r="M21" i="28" s="1"/>
  <c r="K21" i="28" a="1"/>
  <c r="K21" i="28" s="1"/>
  <c r="I21" i="28" a="1"/>
  <c r="I21" i="28" s="1"/>
  <c r="G21" i="28" a="1"/>
  <c r="G21" i="28" s="1"/>
  <c r="E21" i="28" a="1"/>
  <c r="E21" i="28" s="1"/>
  <c r="C21" i="28" a="1"/>
  <c r="C21" i="28" s="1"/>
  <c r="U20" i="28" a="1"/>
  <c r="U20" i="28" s="1"/>
  <c r="T20" i="28" a="1"/>
  <c r="T20" i="28" s="1"/>
  <c r="S20" i="28" a="1"/>
  <c r="S20" i="28" s="1"/>
  <c r="R20" i="28" a="1"/>
  <c r="R20" i="28" s="1"/>
  <c r="Q20" i="28" a="1"/>
  <c r="Q20" i="28" s="1"/>
  <c r="P20" i="28" a="1"/>
  <c r="P20" i="28" s="1"/>
  <c r="O20" i="28" a="1"/>
  <c r="O20" i="28" s="1"/>
  <c r="N20" i="28" a="1"/>
  <c r="N20" i="28" s="1"/>
  <c r="M20" i="28" a="1"/>
  <c r="M20" i="28" s="1"/>
  <c r="L20" i="28" a="1"/>
  <c r="L20" i="28" s="1"/>
  <c r="K20" i="28" a="1"/>
  <c r="K20" i="28" s="1"/>
  <c r="J20" i="28" a="1"/>
  <c r="J20" i="28" s="1"/>
  <c r="I20" i="28" a="1"/>
  <c r="I20" i="28" s="1"/>
  <c r="H20" i="28" a="1"/>
  <c r="H20" i="28" s="1"/>
  <c r="G20" i="28" a="1"/>
  <c r="G20" i="28" s="1"/>
  <c r="F20" i="28" a="1"/>
  <c r="F20" i="28" s="1"/>
  <c r="E20" i="28" a="1"/>
  <c r="E20" i="28" s="1"/>
  <c r="D20" i="28" a="1"/>
  <c r="D20" i="28" s="1"/>
  <c r="C20" i="28" a="1"/>
  <c r="C20" i="28" s="1"/>
  <c r="U19" i="28" a="1"/>
  <c r="U19" i="28" s="1"/>
  <c r="T19" i="28" a="1"/>
  <c r="T19" i="28" s="1"/>
  <c r="S19" i="28" a="1"/>
  <c r="S19" i="28" s="1"/>
  <c r="R19" i="28" a="1"/>
  <c r="R19" i="28" s="1"/>
  <c r="Q19" i="28" a="1"/>
  <c r="Q19" i="28" s="1"/>
  <c r="P19" i="28" a="1"/>
  <c r="P19" i="28" s="1"/>
  <c r="O19" i="28" a="1"/>
  <c r="O19" i="28" s="1"/>
  <c r="N19" i="28" a="1"/>
  <c r="N19" i="28" s="1"/>
  <c r="M19" i="28" a="1"/>
  <c r="M19" i="28" s="1"/>
  <c r="L19" i="28" a="1"/>
  <c r="L19" i="28" s="1"/>
  <c r="K19" i="28" a="1"/>
  <c r="K19" i="28" s="1"/>
  <c r="J19" i="28" a="1"/>
  <c r="J19" i="28" s="1"/>
  <c r="I19" i="28" a="1"/>
  <c r="I19" i="28" s="1"/>
  <c r="H19" i="28" a="1"/>
  <c r="H19" i="28" s="1"/>
  <c r="G19" i="28" a="1"/>
  <c r="G19" i="28" s="1"/>
  <c r="F19" i="28" a="1"/>
  <c r="F19" i="28" s="1"/>
  <c r="E19" i="28" a="1"/>
  <c r="E19" i="28" s="1"/>
  <c r="D19" i="28" a="1"/>
  <c r="D19" i="28" s="1"/>
  <c r="C19" i="28" a="1"/>
  <c r="C19" i="28" s="1"/>
  <c r="U18" i="28" a="1"/>
  <c r="U18" i="28" s="1"/>
  <c r="T18" i="28" a="1"/>
  <c r="T18" i="28" s="1"/>
  <c r="S18" i="28" a="1"/>
  <c r="S18" i="28" s="1"/>
  <c r="R18" i="28" a="1"/>
  <c r="R18" i="28" s="1"/>
  <c r="Q18" i="28" a="1"/>
  <c r="Q18" i="28" s="1"/>
  <c r="P18" i="28" a="1"/>
  <c r="P18" i="28" s="1"/>
  <c r="O18" i="28" a="1"/>
  <c r="O18" i="28" s="1"/>
  <c r="N18" i="28" a="1"/>
  <c r="N18" i="28" s="1"/>
  <c r="M18" i="28" a="1"/>
  <c r="M18" i="28" s="1"/>
  <c r="L18" i="28" a="1"/>
  <c r="L18" i="28" s="1"/>
  <c r="K18" i="28" a="1"/>
  <c r="K18" i="28" s="1"/>
  <c r="J18" i="28" a="1"/>
  <c r="J18" i="28" s="1"/>
  <c r="I18" i="28" a="1"/>
  <c r="I18" i="28" s="1"/>
  <c r="H18" i="28" a="1"/>
  <c r="H18" i="28" s="1"/>
  <c r="G18" i="28" a="1"/>
  <c r="G18" i="28" s="1"/>
  <c r="F18" i="28" a="1"/>
  <c r="F18" i="28" s="1"/>
  <c r="E18" i="28" a="1"/>
  <c r="E18" i="28" s="1"/>
  <c r="D18" i="28" a="1"/>
  <c r="D18" i="28" s="1"/>
  <c r="C18" i="28" a="1"/>
  <c r="C18" i="28" s="1"/>
  <c r="U17" i="28" a="1"/>
  <c r="U17" i="28" s="1"/>
  <c r="T17" i="28" a="1"/>
  <c r="T17" i="28" s="1"/>
  <c r="S17" i="28" a="1"/>
  <c r="S17" i="28" s="1"/>
  <c r="R17" i="28" a="1"/>
  <c r="R17" i="28" s="1"/>
  <c r="Q17" i="28" a="1"/>
  <c r="Q17" i="28" s="1"/>
  <c r="P17" i="28" a="1"/>
  <c r="P17" i="28" s="1"/>
  <c r="O17" i="28" a="1"/>
  <c r="O17" i="28" s="1"/>
  <c r="N17" i="28" a="1"/>
  <c r="N17" i="28" s="1"/>
  <c r="M17" i="28" a="1"/>
  <c r="M17" i="28" s="1"/>
  <c r="L17" i="28" a="1"/>
  <c r="L17" i="28" s="1"/>
  <c r="K17" i="28" a="1"/>
  <c r="K17" i="28" s="1"/>
  <c r="J17" i="28" a="1"/>
  <c r="J17" i="28" s="1"/>
  <c r="I17" i="28" a="1"/>
  <c r="I17" i="28" s="1"/>
  <c r="H17" i="28" a="1"/>
  <c r="H17" i="28" s="1"/>
  <c r="G17" i="28" a="1"/>
  <c r="G17" i="28" s="1"/>
  <c r="F17" i="28" a="1"/>
  <c r="F17" i="28" s="1"/>
  <c r="E17" i="28" a="1"/>
  <c r="E17" i="28" s="1"/>
  <c r="D17" i="28" a="1"/>
  <c r="D17" i="28" s="1"/>
  <c r="C17" i="28" a="1"/>
  <c r="C17" i="28" s="1"/>
  <c r="Y15" i="28" a="1"/>
  <c r="Y15" i="28" s="1"/>
  <c r="W15" i="28" a="1"/>
  <c r="W15" i="28" s="1"/>
  <c r="U15" i="28" a="1"/>
  <c r="U15" i="28" s="1"/>
  <c r="S15" i="28" a="1"/>
  <c r="S15" i="28" s="1"/>
  <c r="AO14" i="28" a="1"/>
  <c r="AO14" i="28" s="1"/>
  <c r="AN14" i="28" a="1"/>
  <c r="AN14" i="28" s="1"/>
  <c r="AM14" i="28" a="1"/>
  <c r="AM14" i="28" s="1"/>
  <c r="AL14" i="28" a="1"/>
  <c r="AL14" i="28" s="1"/>
  <c r="AK14" i="28" a="1"/>
  <c r="AK14" i="28" s="1"/>
  <c r="AJ14" i="28" a="1"/>
  <c r="AJ14" i="28" s="1"/>
  <c r="AI14" i="28" a="1"/>
  <c r="AI14" i="28" s="1"/>
  <c r="AH14" i="28" a="1"/>
  <c r="AH14" i="28" s="1"/>
  <c r="AG14" i="28" a="1"/>
  <c r="AG14" i="28" s="1"/>
  <c r="AF14" i="28" a="1"/>
  <c r="AF14" i="28" s="1"/>
  <c r="AE14" i="28" a="1"/>
  <c r="AE14" i="28" s="1"/>
  <c r="AD14" i="28" a="1"/>
  <c r="AD14" i="28" s="1"/>
  <c r="AC14" i="28" a="1"/>
  <c r="AC14" i="28" s="1"/>
  <c r="AB14" i="28" a="1"/>
  <c r="AB14" i="28" s="1"/>
  <c r="AA14" i="28" a="1"/>
  <c r="AA14" i="28" s="1"/>
  <c r="Z14" i="28" a="1"/>
  <c r="Z14" i="28" s="1"/>
  <c r="Y14" i="28" a="1"/>
  <c r="Y14" i="28" s="1"/>
  <c r="X14" i="28" a="1"/>
  <c r="X14" i="28" s="1"/>
  <c r="W14" i="28" a="1"/>
  <c r="W14" i="28" s="1"/>
  <c r="V14" i="28" a="1"/>
  <c r="V14" i="28" s="1"/>
  <c r="U13" i="28" a="1"/>
  <c r="U13" i="28" s="1"/>
  <c r="T13" i="28" a="1"/>
  <c r="T13" i="28" s="1"/>
  <c r="S13" i="28" a="1"/>
  <c r="S13" i="28" s="1"/>
  <c r="R13" i="28" a="1"/>
  <c r="R13" i="28" s="1"/>
  <c r="Q13" i="28" a="1"/>
  <c r="Q13" i="28" s="1"/>
  <c r="P13" i="28" a="1"/>
  <c r="P13" i="28" s="1"/>
  <c r="O13" i="28" a="1"/>
  <c r="O13" i="28" s="1"/>
  <c r="N13" i="28" a="1"/>
  <c r="N13" i="28" s="1"/>
  <c r="M13" i="28" a="1"/>
  <c r="M13" i="28" s="1"/>
  <c r="L13" i="28" a="1"/>
  <c r="L13" i="28" s="1"/>
  <c r="K13" i="28" a="1"/>
  <c r="K13" i="28" s="1"/>
  <c r="J13" i="28" a="1"/>
  <c r="J13" i="28" s="1"/>
  <c r="I13" i="28" a="1"/>
  <c r="I13" i="28" s="1"/>
  <c r="H13" i="28" a="1"/>
  <c r="H13" i="28" s="1"/>
  <c r="G13" i="28" a="1"/>
  <c r="G13" i="28" s="1"/>
  <c r="F13" i="28" a="1"/>
  <c r="F13" i="28" s="1"/>
  <c r="E13" i="28" a="1"/>
  <c r="E13" i="28" s="1"/>
  <c r="D13" i="28" a="1"/>
  <c r="D13" i="28" s="1"/>
  <c r="C13" i="28" a="1"/>
  <c r="C13" i="28" s="1"/>
  <c r="AO12" i="28" a="1"/>
  <c r="AO12" i="28" s="1"/>
  <c r="AN12" i="28" a="1"/>
  <c r="AN12" i="28" s="1"/>
  <c r="AM12" i="28" a="1"/>
  <c r="AM12" i="28" s="1"/>
  <c r="AL12" i="28" a="1"/>
  <c r="AL12" i="28" s="1"/>
  <c r="AK12" i="28" a="1"/>
  <c r="AK12" i="28" s="1"/>
  <c r="AJ12" i="28" a="1"/>
  <c r="AJ12" i="28" s="1"/>
  <c r="AI12" i="28" a="1"/>
  <c r="AI12" i="28" s="1"/>
  <c r="AH12" i="28" a="1"/>
  <c r="AH12" i="28" s="1"/>
  <c r="AG12" i="28" a="1"/>
  <c r="AG12" i="28" s="1"/>
  <c r="AF12" i="28" a="1"/>
  <c r="AF12" i="28" s="1"/>
  <c r="AE12" i="28" a="1"/>
  <c r="AE12" i="28" s="1"/>
  <c r="AD12" i="28" a="1"/>
  <c r="AD12" i="28" s="1"/>
  <c r="AC12" i="28" a="1"/>
  <c r="AC12" i="28" s="1"/>
  <c r="AB12" i="28" a="1"/>
  <c r="AB12" i="28" s="1"/>
  <c r="AA12" i="28" a="1"/>
  <c r="AA12" i="28" s="1"/>
  <c r="Z12" i="28" a="1"/>
  <c r="Z12" i="28" s="1"/>
  <c r="Y12" i="28" a="1"/>
  <c r="Y12" i="28" s="1"/>
  <c r="X12" i="28" a="1"/>
  <c r="X12" i="28" s="1"/>
  <c r="W12" i="28" a="1"/>
  <c r="W12" i="28" s="1"/>
  <c r="V12" i="28" a="1"/>
  <c r="V12" i="28" s="1"/>
  <c r="U11" i="28" a="1"/>
  <c r="U11" i="28" s="1"/>
  <c r="T11" i="28" a="1"/>
  <c r="T11" i="28" s="1"/>
  <c r="S11" i="28" a="1"/>
  <c r="S11" i="28" s="1"/>
  <c r="R11" i="28" a="1"/>
  <c r="R11" i="28" s="1"/>
  <c r="Q11" i="28" a="1"/>
  <c r="Q11" i="28" s="1"/>
  <c r="P11" i="28" a="1"/>
  <c r="P11" i="28" s="1"/>
  <c r="O11" i="28" a="1"/>
  <c r="O11" i="28" s="1"/>
  <c r="N11" i="28" a="1"/>
  <c r="N11" i="28" s="1"/>
  <c r="M11" i="28" a="1"/>
  <c r="M11" i="28" s="1"/>
  <c r="L11" i="28" a="1"/>
  <c r="L11" i="28" s="1"/>
  <c r="K11" i="28" a="1"/>
  <c r="K11" i="28" s="1"/>
  <c r="J11" i="28" a="1"/>
  <c r="J11" i="28" s="1"/>
  <c r="I11" i="28" a="1"/>
  <c r="I11" i="28" s="1"/>
  <c r="H11" i="28" a="1"/>
  <c r="H11" i="28" s="1"/>
  <c r="G11" i="28" a="1"/>
  <c r="G11" i="28" s="1"/>
  <c r="F11" i="28" a="1"/>
  <c r="F11" i="28" s="1"/>
  <c r="E11" i="28" a="1"/>
  <c r="E11" i="28" s="1"/>
  <c r="D11" i="28" a="1"/>
  <c r="D11" i="28" s="1"/>
  <c r="C11" i="28" a="1"/>
  <c r="C11" i="28" s="1"/>
  <c r="AO10" i="28" a="1"/>
  <c r="AO10" i="28" s="1"/>
  <c r="AN10" i="28" a="1"/>
  <c r="AN10" i="28" s="1"/>
  <c r="AM10" i="28" a="1"/>
  <c r="AM10" i="28" s="1"/>
  <c r="AL10" i="28" a="1"/>
  <c r="AL10" i="28" s="1"/>
  <c r="AK10" i="28" a="1"/>
  <c r="AK10" i="28" s="1"/>
  <c r="AJ10" i="28" a="1"/>
  <c r="AJ10" i="28" s="1"/>
  <c r="AI10" i="28" a="1"/>
  <c r="AI10" i="28" s="1"/>
  <c r="AH10" i="28" a="1"/>
  <c r="AH10" i="28" s="1"/>
  <c r="AG10" i="28" a="1"/>
  <c r="AG10" i="28" s="1"/>
  <c r="AF10" i="28" a="1"/>
  <c r="AF10" i="28" s="1"/>
  <c r="AE10" i="28" a="1"/>
  <c r="AE10" i="28" s="1"/>
  <c r="AD10" i="28" a="1"/>
  <c r="AD10" i="28" s="1"/>
  <c r="AC10" i="28" a="1"/>
  <c r="AC10" i="28" s="1"/>
  <c r="AB10" i="28" a="1"/>
  <c r="AB10" i="28" s="1"/>
  <c r="AA10" i="28" a="1"/>
  <c r="AA10" i="28" s="1"/>
  <c r="Z10" i="28" a="1"/>
  <c r="Z10" i="28" s="1"/>
  <c r="Y10" i="28" a="1"/>
  <c r="Y10" i="28" s="1"/>
  <c r="X10" i="28" a="1"/>
  <c r="X10" i="28" s="1"/>
  <c r="W10" i="28" a="1"/>
  <c r="W10" i="28" s="1"/>
  <c r="V10" i="28" a="1"/>
  <c r="V10" i="28" s="1"/>
  <c r="U9" i="28" a="1"/>
  <c r="U9" i="28" s="1"/>
  <c r="T9" i="28" a="1"/>
  <c r="T9" i="28" s="1"/>
  <c r="S9" i="28" a="1"/>
  <c r="S9" i="28" s="1"/>
  <c r="R9" i="28" a="1"/>
  <c r="R9" i="28" s="1"/>
  <c r="Q9" i="28" a="1"/>
  <c r="Q9" i="28" s="1"/>
  <c r="P9" i="28" a="1"/>
  <c r="P9" i="28" s="1"/>
  <c r="O9" i="28" a="1"/>
  <c r="O9" i="28" s="1"/>
  <c r="N9" i="28" a="1"/>
  <c r="N9" i="28" s="1"/>
  <c r="M9" i="28" a="1"/>
  <c r="M9" i="28" s="1"/>
  <c r="L9" i="28" a="1"/>
  <c r="L9" i="28" s="1"/>
  <c r="K9" i="28" a="1"/>
  <c r="K9" i="28" s="1"/>
  <c r="J9" i="28" a="1"/>
  <c r="J9" i="28" s="1"/>
  <c r="I9" i="28" a="1"/>
  <c r="I9" i="28" s="1"/>
  <c r="H9" i="28" a="1"/>
  <c r="H9" i="28" s="1"/>
  <c r="G9" i="28" a="1"/>
  <c r="G9" i="28" s="1"/>
  <c r="F9" i="28" a="1"/>
  <c r="F9" i="28" s="1"/>
  <c r="E9" i="28" a="1"/>
  <c r="E9" i="28" s="1"/>
  <c r="D9" i="28" a="1"/>
  <c r="D9" i="28" s="1"/>
  <c r="C9" i="28" a="1"/>
  <c r="C9" i="28" s="1"/>
  <c r="AO8" i="28" a="1"/>
  <c r="AO8" i="28" s="1"/>
  <c r="AN8" i="28" a="1"/>
  <c r="AN8" i="28" s="1"/>
  <c r="AM8" i="28" a="1"/>
  <c r="AM8" i="28" s="1"/>
  <c r="AL8" i="28" a="1"/>
  <c r="AL8" i="28" s="1"/>
  <c r="AK8" i="28" a="1"/>
  <c r="AK8" i="28" s="1"/>
  <c r="AJ8" i="28" a="1"/>
  <c r="AJ8" i="28" s="1"/>
  <c r="AI8" i="28" a="1"/>
  <c r="AI8" i="28" s="1"/>
  <c r="AH8" i="28" a="1"/>
  <c r="AH8" i="28" s="1"/>
  <c r="AG8" i="28" a="1"/>
  <c r="AG8" i="28" s="1"/>
  <c r="AF8" i="28" a="1"/>
  <c r="AF8" i="28" s="1"/>
  <c r="AE8" i="28" a="1"/>
  <c r="AE8" i="28" s="1"/>
  <c r="AD8" i="28" a="1"/>
  <c r="AD8" i="28" s="1"/>
  <c r="AC8" i="28" a="1"/>
  <c r="AC8" i="28" s="1"/>
  <c r="AB8" i="28" a="1"/>
  <c r="AB8" i="28" s="1"/>
  <c r="AA8" i="28" a="1"/>
  <c r="AA8" i="28" s="1"/>
  <c r="Z8" i="28" a="1"/>
  <c r="Z8" i="28" s="1"/>
  <c r="Y8" i="28" a="1"/>
  <c r="Y8" i="28" s="1"/>
  <c r="X8" i="28" a="1"/>
  <c r="X8" i="28" s="1"/>
  <c r="W8" i="28" a="1"/>
  <c r="W8" i="28" s="1"/>
  <c r="V8" i="28" a="1"/>
  <c r="V8" i="28" s="1"/>
  <c r="T7" i="28" a="1"/>
  <c r="T7" i="28" s="1"/>
  <c r="S7" i="28" a="1"/>
  <c r="S7" i="28" s="1"/>
  <c r="R7" i="28" a="1"/>
  <c r="R7" i="28" s="1"/>
  <c r="Q7" i="28" a="1"/>
  <c r="Q7" i="28" s="1"/>
  <c r="P7" i="28" a="1"/>
  <c r="P7" i="28" s="1"/>
  <c r="O7" i="28" a="1"/>
  <c r="O7" i="28" s="1"/>
  <c r="N7" i="28" a="1"/>
  <c r="N7" i="28" s="1"/>
  <c r="M7" i="28" a="1"/>
  <c r="M7" i="28" s="1"/>
  <c r="L7" i="28" a="1"/>
  <c r="L7" i="28" s="1"/>
  <c r="K7" i="28" a="1"/>
  <c r="K7" i="28" s="1"/>
  <c r="J7" i="28" a="1"/>
  <c r="J7" i="28" s="1"/>
  <c r="I7" i="28" a="1"/>
  <c r="I7" i="28" s="1"/>
  <c r="H7" i="28" a="1"/>
  <c r="H7" i="28" s="1"/>
  <c r="G7" i="28" a="1"/>
  <c r="G7" i="28" s="1"/>
  <c r="F7" i="28" a="1"/>
  <c r="F7" i="28" s="1"/>
  <c r="E7" i="28" a="1"/>
  <c r="E7" i="28" s="1"/>
  <c r="D7" i="28" a="1"/>
  <c r="D7" i="28" s="1"/>
  <c r="C7" i="28" a="1"/>
  <c r="C7" i="28" s="1"/>
  <c r="B1" i="15"/>
  <c r="B1" i="28"/>
  <c r="B14" i="30"/>
  <c r="V54" i="28"/>
  <c r="AP54" i="28" s="1"/>
  <c r="AP55" i="15"/>
  <c r="D112" i="25"/>
  <c r="N45" i="13"/>
  <c r="G70" i="7"/>
  <c r="G37" i="7"/>
  <c r="G38" i="7"/>
  <c r="G39" i="7"/>
  <c r="G40" i="7"/>
  <c r="G41" i="7"/>
  <c r="G42" i="7"/>
  <c r="G43" i="7"/>
  <c r="G44" i="7"/>
  <c r="G45" i="7"/>
  <c r="G46" i="7"/>
  <c r="G47" i="7"/>
  <c r="G48" i="7"/>
  <c r="G49" i="7"/>
  <c r="G50" i="7"/>
  <c r="G51" i="7"/>
  <c r="G52" i="7"/>
  <c r="G53" i="7"/>
  <c r="G54" i="7"/>
  <c r="G55" i="7"/>
  <c r="G56" i="7"/>
  <c r="G57" i="7"/>
  <c r="G58" i="7"/>
  <c r="G59" i="7"/>
  <c r="G60" i="7"/>
  <c r="G61" i="7"/>
  <c r="G62" i="7"/>
  <c r="G63" i="7"/>
  <c r="G64" i="7"/>
  <c r="G65" i="7"/>
  <c r="G66" i="7"/>
  <c r="G67" i="7"/>
  <c r="G68" i="7"/>
  <c r="G69" i="7"/>
  <c r="K390" i="52"/>
  <c r="K391" i="52"/>
  <c r="E391" i="52" s="1"/>
  <c r="F1741" i="64" s="1"/>
  <c r="J1741" i="64" s="1"/>
  <c r="K392" i="52"/>
  <c r="K393" i="52"/>
  <c r="K394" i="52"/>
  <c r="K396" i="52"/>
  <c r="F1745" i="64"/>
  <c r="J1745" i="64" s="1"/>
  <c r="F1747" i="64"/>
  <c r="J1747" i="64" s="1"/>
  <c r="D18" i="11"/>
  <c r="Q25" i="46"/>
  <c r="C70" i="26"/>
  <c r="D101" i="26"/>
  <c r="D103" i="26"/>
  <c r="D104" i="26"/>
  <c r="F103" i="26"/>
  <c r="D102" i="26"/>
  <c r="F113" i="25"/>
  <c r="H393" i="52"/>
  <c r="H1746" i="64" s="1"/>
  <c r="H394" i="52"/>
  <c r="H396" i="52"/>
  <c r="F1750" i="64" s="1"/>
  <c r="J1750" i="64" s="1"/>
  <c r="F1773" i="64"/>
  <c r="J1773" i="64" s="1"/>
  <c r="A372" i="52"/>
  <c r="A371" i="52"/>
  <c r="A370" i="52"/>
  <c r="A369" i="52"/>
  <c r="A368" i="52"/>
  <c r="A367" i="52"/>
  <c r="A366" i="52"/>
  <c r="A365" i="52"/>
  <c r="A364" i="52"/>
  <c r="A363" i="52"/>
  <c r="A362" i="52"/>
  <c r="A361" i="52"/>
  <c r="A360" i="52"/>
  <c r="A359" i="52"/>
  <c r="A358" i="52"/>
  <c r="A357" i="52"/>
  <c r="A356" i="52"/>
  <c r="M276" i="52"/>
  <c r="G1720" i="64" s="1"/>
  <c r="M228" i="52"/>
  <c r="L224" i="52"/>
  <c r="J224" i="52"/>
  <c r="E224" i="52"/>
  <c r="C224" i="52"/>
  <c r="L223" i="52"/>
  <c r="J223" i="52"/>
  <c r="E223" i="52"/>
  <c r="C223" i="52"/>
  <c r="L222" i="52"/>
  <c r="J222" i="52"/>
  <c r="E222" i="52"/>
  <c r="C222" i="52"/>
  <c r="L221" i="52"/>
  <c r="J221" i="52"/>
  <c r="E221" i="52"/>
  <c r="C221" i="52"/>
  <c r="L220" i="52"/>
  <c r="J220" i="52"/>
  <c r="E220" i="52"/>
  <c r="C220" i="52"/>
  <c r="L219" i="52"/>
  <c r="J219" i="52"/>
  <c r="E219" i="52"/>
  <c r="C219" i="52"/>
  <c r="L218" i="52"/>
  <c r="J218" i="52"/>
  <c r="E218" i="52"/>
  <c r="C218" i="52"/>
  <c r="L217" i="52"/>
  <c r="J217" i="52"/>
  <c r="E217" i="52"/>
  <c r="C217" i="52"/>
  <c r="L216" i="52"/>
  <c r="J216" i="52"/>
  <c r="E216" i="52"/>
  <c r="C216" i="52"/>
  <c r="L215" i="52"/>
  <c r="J215" i="52"/>
  <c r="E215" i="52"/>
  <c r="C215" i="52"/>
  <c r="L214" i="52"/>
  <c r="J214" i="52"/>
  <c r="E214" i="52"/>
  <c r="C214" i="52"/>
  <c r="L213" i="52"/>
  <c r="J213" i="52"/>
  <c r="E213" i="52"/>
  <c r="C213" i="52"/>
  <c r="L212" i="52"/>
  <c r="J212" i="52"/>
  <c r="E212" i="52"/>
  <c r="C212" i="52"/>
  <c r="L211" i="52"/>
  <c r="J211" i="52"/>
  <c r="E211" i="52"/>
  <c r="C211" i="52"/>
  <c r="L210" i="52"/>
  <c r="J210" i="52"/>
  <c r="E210" i="52"/>
  <c r="C210" i="52"/>
  <c r="L209" i="52"/>
  <c r="J209" i="52"/>
  <c r="E209" i="52"/>
  <c r="C209" i="52"/>
  <c r="L208" i="52"/>
  <c r="J208" i="52"/>
  <c r="E208" i="52"/>
  <c r="C208" i="52"/>
  <c r="L207" i="52"/>
  <c r="J207" i="52"/>
  <c r="E207" i="52"/>
  <c r="C207" i="52"/>
  <c r="L206" i="52"/>
  <c r="J206" i="52"/>
  <c r="E206" i="52"/>
  <c r="C206" i="52"/>
  <c r="L205" i="52"/>
  <c r="J205" i="52"/>
  <c r="E205" i="52"/>
  <c r="C205" i="52"/>
  <c r="L204" i="52"/>
  <c r="J204" i="52"/>
  <c r="E204" i="52"/>
  <c r="C204" i="52"/>
  <c r="L203" i="52"/>
  <c r="J203" i="52"/>
  <c r="E203" i="52"/>
  <c r="C203" i="52"/>
  <c r="L202" i="52"/>
  <c r="J202" i="52"/>
  <c r="E202" i="52"/>
  <c r="C202" i="52"/>
  <c r="L201" i="52"/>
  <c r="J201" i="52"/>
  <c r="E201" i="52"/>
  <c r="C201" i="52"/>
  <c r="L200" i="52"/>
  <c r="J200" i="52"/>
  <c r="E200" i="52"/>
  <c r="C200" i="52"/>
  <c r="L192" i="52"/>
  <c r="J192" i="52"/>
  <c r="E192" i="52"/>
  <c r="C192" i="52"/>
  <c r="L191" i="52"/>
  <c r="J191" i="52"/>
  <c r="E191" i="52"/>
  <c r="C191" i="52"/>
  <c r="L190" i="52"/>
  <c r="J190" i="52"/>
  <c r="E190" i="52"/>
  <c r="C190" i="52"/>
  <c r="L189" i="52"/>
  <c r="J189" i="52"/>
  <c r="E189" i="52"/>
  <c r="C189" i="52"/>
  <c r="L188" i="52"/>
  <c r="J188" i="52"/>
  <c r="E188" i="52"/>
  <c r="C188" i="52"/>
  <c r="L187" i="52"/>
  <c r="J187" i="52"/>
  <c r="E187" i="52"/>
  <c r="C187" i="52"/>
  <c r="L186" i="52"/>
  <c r="J186" i="52"/>
  <c r="E186" i="52"/>
  <c r="C186" i="52"/>
  <c r="L185" i="52"/>
  <c r="J185" i="52"/>
  <c r="E185" i="52"/>
  <c r="C185" i="52"/>
  <c r="L184" i="52"/>
  <c r="J184" i="52"/>
  <c r="E184" i="52"/>
  <c r="C184" i="52"/>
  <c r="L183" i="52"/>
  <c r="J183" i="52"/>
  <c r="E183" i="52"/>
  <c r="C183" i="52"/>
  <c r="L182" i="52"/>
  <c r="J182" i="52"/>
  <c r="E182" i="52"/>
  <c r="C182" i="52"/>
  <c r="L181" i="52"/>
  <c r="J181" i="52"/>
  <c r="E181" i="52"/>
  <c r="C181" i="52"/>
  <c r="L180" i="52"/>
  <c r="J180" i="52"/>
  <c r="E180" i="52"/>
  <c r="C180" i="52"/>
  <c r="L179" i="52"/>
  <c r="J179" i="52"/>
  <c r="E179" i="52"/>
  <c r="C179" i="52"/>
  <c r="L178" i="52"/>
  <c r="J178" i="52"/>
  <c r="E178" i="52"/>
  <c r="C178" i="52"/>
  <c r="L177" i="52"/>
  <c r="J177" i="52"/>
  <c r="E177" i="52"/>
  <c r="C177" i="52"/>
  <c r="L176" i="52"/>
  <c r="J176" i="52"/>
  <c r="E176" i="52"/>
  <c r="C176" i="52"/>
  <c r="L175" i="52"/>
  <c r="J175" i="52"/>
  <c r="E175" i="52"/>
  <c r="C175" i="52"/>
  <c r="L174" i="52"/>
  <c r="J174" i="52"/>
  <c r="E174" i="52"/>
  <c r="C174" i="52"/>
  <c r="L173" i="52"/>
  <c r="J173" i="52"/>
  <c r="E173" i="52"/>
  <c r="C173" i="52"/>
  <c r="L172" i="52"/>
  <c r="J172" i="52"/>
  <c r="E172" i="52"/>
  <c r="C172" i="52"/>
  <c r="L171" i="52"/>
  <c r="J171" i="52"/>
  <c r="E171" i="52"/>
  <c r="C171" i="52"/>
  <c r="L170" i="52"/>
  <c r="J170" i="52"/>
  <c r="E170" i="52"/>
  <c r="C170" i="52"/>
  <c r="L169" i="52"/>
  <c r="J169" i="52"/>
  <c r="E169" i="52"/>
  <c r="C169" i="52"/>
  <c r="L168" i="52"/>
  <c r="J168" i="52"/>
  <c r="E168" i="52"/>
  <c r="C168" i="52"/>
  <c r="M164" i="52"/>
  <c r="L160" i="52"/>
  <c r="J160" i="52"/>
  <c r="E160" i="52"/>
  <c r="C160" i="52"/>
  <c r="L159" i="52"/>
  <c r="J159" i="52"/>
  <c r="E159" i="52"/>
  <c r="C159" i="52"/>
  <c r="L158" i="52"/>
  <c r="J158" i="52"/>
  <c r="E158" i="52"/>
  <c r="C158" i="52"/>
  <c r="L157" i="52"/>
  <c r="J157" i="52"/>
  <c r="E157" i="52"/>
  <c r="C157" i="52"/>
  <c r="L156" i="52"/>
  <c r="J156" i="52"/>
  <c r="E156" i="52"/>
  <c r="C156" i="52"/>
  <c r="L155" i="52"/>
  <c r="J155" i="52"/>
  <c r="E155" i="52"/>
  <c r="C155" i="52"/>
  <c r="L154" i="52"/>
  <c r="J154" i="52"/>
  <c r="E154" i="52"/>
  <c r="C154" i="52"/>
  <c r="L153" i="52"/>
  <c r="J153" i="52"/>
  <c r="E153" i="52"/>
  <c r="C153" i="52"/>
  <c r="L152" i="52"/>
  <c r="J152" i="52"/>
  <c r="E152" i="52"/>
  <c r="C152" i="52"/>
  <c r="L151" i="52"/>
  <c r="J151" i="52"/>
  <c r="E151" i="52"/>
  <c r="C151" i="52"/>
  <c r="L150" i="52"/>
  <c r="J150" i="52"/>
  <c r="E150" i="52"/>
  <c r="C150" i="52"/>
  <c r="L149" i="52"/>
  <c r="J149" i="52"/>
  <c r="E149" i="52"/>
  <c r="C149" i="52"/>
  <c r="L148" i="52"/>
  <c r="J148" i="52"/>
  <c r="E148" i="52"/>
  <c r="C148" i="52"/>
  <c r="L147" i="52"/>
  <c r="J147" i="52"/>
  <c r="E147" i="52"/>
  <c r="C147" i="52"/>
  <c r="L146" i="52"/>
  <c r="J146" i="52"/>
  <c r="E146" i="52"/>
  <c r="C146" i="52"/>
  <c r="L145" i="52"/>
  <c r="J145" i="52"/>
  <c r="E145" i="52"/>
  <c r="C145" i="52"/>
  <c r="L144" i="52"/>
  <c r="J144" i="52"/>
  <c r="E144" i="52"/>
  <c r="C144" i="52"/>
  <c r="L143" i="52"/>
  <c r="J143" i="52"/>
  <c r="E143" i="52"/>
  <c r="C143" i="52"/>
  <c r="L142" i="52"/>
  <c r="J142" i="52"/>
  <c r="E142" i="52"/>
  <c r="C142" i="52"/>
  <c r="L141" i="52"/>
  <c r="J141" i="52"/>
  <c r="E141" i="52"/>
  <c r="C141" i="52"/>
  <c r="L140" i="52"/>
  <c r="J140" i="52"/>
  <c r="E140" i="52"/>
  <c r="C140" i="52"/>
  <c r="L139" i="52"/>
  <c r="J139" i="52"/>
  <c r="E139" i="52"/>
  <c r="C139" i="52"/>
  <c r="L138" i="52"/>
  <c r="J138" i="52"/>
  <c r="E138" i="52"/>
  <c r="C138" i="52"/>
  <c r="L137" i="52"/>
  <c r="J137" i="52"/>
  <c r="E137" i="52"/>
  <c r="C137" i="52"/>
  <c r="L136" i="52"/>
  <c r="J136" i="52"/>
  <c r="E136" i="52"/>
  <c r="C136" i="52"/>
  <c r="D129" i="52"/>
  <c r="L128" i="52"/>
  <c r="J128" i="52"/>
  <c r="E128" i="52"/>
  <c r="C128" i="52"/>
  <c r="L127" i="52"/>
  <c r="J127" i="52"/>
  <c r="E127" i="52"/>
  <c r="C127" i="52"/>
  <c r="L126" i="52"/>
  <c r="J126" i="52"/>
  <c r="E126" i="52"/>
  <c r="C126" i="52"/>
  <c r="L125" i="52"/>
  <c r="J125" i="52"/>
  <c r="E125" i="52"/>
  <c r="C125" i="52"/>
  <c r="L124" i="52"/>
  <c r="J124" i="52"/>
  <c r="E124" i="52"/>
  <c r="C124" i="52"/>
  <c r="L123" i="52"/>
  <c r="J123" i="52"/>
  <c r="E123" i="52"/>
  <c r="C123" i="52"/>
  <c r="L122" i="52"/>
  <c r="J122" i="52"/>
  <c r="E122" i="52"/>
  <c r="C122" i="52"/>
  <c r="L121" i="52"/>
  <c r="J121" i="52"/>
  <c r="E121" i="52"/>
  <c r="C121" i="52"/>
  <c r="L120" i="52"/>
  <c r="J120" i="52"/>
  <c r="E120" i="52"/>
  <c r="C120" i="52"/>
  <c r="L119" i="52"/>
  <c r="J119" i="52"/>
  <c r="E119" i="52"/>
  <c r="C119" i="52"/>
  <c r="L118" i="52"/>
  <c r="J118" i="52"/>
  <c r="E118" i="52"/>
  <c r="C118" i="52"/>
  <c r="L117" i="52"/>
  <c r="J117" i="52"/>
  <c r="E117" i="52"/>
  <c r="C117" i="52"/>
  <c r="L116" i="52"/>
  <c r="J116" i="52"/>
  <c r="E116" i="52"/>
  <c r="C116" i="52"/>
  <c r="L115" i="52"/>
  <c r="J115" i="52"/>
  <c r="E115" i="52"/>
  <c r="C115" i="52"/>
  <c r="L114" i="52"/>
  <c r="J114" i="52"/>
  <c r="E114" i="52"/>
  <c r="C114" i="52"/>
  <c r="L113" i="52"/>
  <c r="J113" i="52"/>
  <c r="E113" i="52"/>
  <c r="C113" i="52"/>
  <c r="L112" i="52"/>
  <c r="J112" i="52"/>
  <c r="E112" i="52"/>
  <c r="C112" i="52"/>
  <c r="L111" i="52"/>
  <c r="J111" i="52"/>
  <c r="E111" i="52"/>
  <c r="C111" i="52"/>
  <c r="L110" i="52"/>
  <c r="J110" i="52"/>
  <c r="E110" i="52"/>
  <c r="C110" i="52"/>
  <c r="L109" i="52"/>
  <c r="J109" i="52"/>
  <c r="E109" i="52"/>
  <c r="C109" i="52"/>
  <c r="L108" i="52"/>
  <c r="J108" i="52"/>
  <c r="E108" i="52"/>
  <c r="C108" i="52"/>
  <c r="L107" i="52"/>
  <c r="J107" i="52"/>
  <c r="E107" i="52"/>
  <c r="C107" i="52"/>
  <c r="L106" i="52"/>
  <c r="J106" i="52"/>
  <c r="E106" i="52"/>
  <c r="C106" i="52"/>
  <c r="L105" i="52"/>
  <c r="J105" i="52"/>
  <c r="E105" i="52"/>
  <c r="C105" i="52"/>
  <c r="L104" i="52"/>
  <c r="J104" i="52"/>
  <c r="E104" i="52"/>
  <c r="C104" i="52"/>
  <c r="M100" i="52"/>
  <c r="G1716" i="64" s="1"/>
  <c r="L96" i="52"/>
  <c r="J96" i="52"/>
  <c r="E96" i="52"/>
  <c r="C96" i="52"/>
  <c r="L95" i="52"/>
  <c r="J95" i="52"/>
  <c r="E95" i="52"/>
  <c r="C95" i="52"/>
  <c r="L94" i="52"/>
  <c r="J94" i="52"/>
  <c r="E94" i="52"/>
  <c r="C94" i="52"/>
  <c r="L93" i="52"/>
  <c r="J93" i="52"/>
  <c r="E93" i="52"/>
  <c r="C93" i="52"/>
  <c r="L92" i="52"/>
  <c r="J92" i="52"/>
  <c r="E92" i="52"/>
  <c r="C92" i="52"/>
  <c r="L91" i="52"/>
  <c r="J91" i="52"/>
  <c r="E91" i="52"/>
  <c r="C91" i="52"/>
  <c r="L90" i="52"/>
  <c r="J90" i="52"/>
  <c r="E90" i="52"/>
  <c r="C90" i="52"/>
  <c r="L89" i="52"/>
  <c r="J89" i="52"/>
  <c r="E89" i="52"/>
  <c r="C89" i="52"/>
  <c r="L88" i="52"/>
  <c r="J88" i="52"/>
  <c r="E88" i="52"/>
  <c r="C88" i="52"/>
  <c r="L87" i="52"/>
  <c r="J87" i="52"/>
  <c r="E87" i="52"/>
  <c r="C87" i="52"/>
  <c r="L86" i="52"/>
  <c r="J86" i="52"/>
  <c r="E86" i="52"/>
  <c r="C86" i="52"/>
  <c r="L85" i="52"/>
  <c r="J85" i="52"/>
  <c r="E85" i="52"/>
  <c r="C85" i="52"/>
  <c r="L84" i="52"/>
  <c r="J84" i="52"/>
  <c r="E84" i="52"/>
  <c r="C84" i="52"/>
  <c r="L83" i="52"/>
  <c r="J83" i="52"/>
  <c r="E83" i="52"/>
  <c r="C83" i="52"/>
  <c r="L82" i="52"/>
  <c r="J82" i="52"/>
  <c r="E82" i="52"/>
  <c r="C82" i="52"/>
  <c r="L81" i="52"/>
  <c r="J81" i="52"/>
  <c r="E81" i="52"/>
  <c r="C81" i="52"/>
  <c r="L80" i="52"/>
  <c r="J80" i="52"/>
  <c r="E80" i="52"/>
  <c r="C80" i="52"/>
  <c r="L79" i="52"/>
  <c r="J79" i="52"/>
  <c r="E79" i="52"/>
  <c r="C79" i="52"/>
  <c r="L78" i="52"/>
  <c r="J78" i="52"/>
  <c r="E78" i="52"/>
  <c r="C78" i="52"/>
  <c r="L77" i="52"/>
  <c r="J77" i="52"/>
  <c r="E77" i="52"/>
  <c r="C77" i="52"/>
  <c r="L76" i="52"/>
  <c r="J76" i="52"/>
  <c r="E76" i="52"/>
  <c r="C76" i="52"/>
  <c r="L75" i="52"/>
  <c r="J75" i="52"/>
  <c r="E75" i="52"/>
  <c r="C75" i="52"/>
  <c r="L74" i="52"/>
  <c r="J74" i="52"/>
  <c r="E74" i="52"/>
  <c r="C74" i="52"/>
  <c r="L73" i="52"/>
  <c r="J73" i="52"/>
  <c r="E73" i="52"/>
  <c r="C73" i="52"/>
  <c r="L72" i="52"/>
  <c r="J72" i="52"/>
  <c r="E72" i="52"/>
  <c r="C72" i="52"/>
  <c r="L71" i="52"/>
  <c r="J71" i="52"/>
  <c r="E71" i="52"/>
  <c r="C71" i="52"/>
  <c r="L70" i="52"/>
  <c r="J70" i="52"/>
  <c r="E70" i="52"/>
  <c r="C70" i="52"/>
  <c r="L69" i="52"/>
  <c r="J69" i="52"/>
  <c r="E69" i="52"/>
  <c r="C69" i="52"/>
  <c r="L68" i="52"/>
  <c r="J68" i="52"/>
  <c r="E68" i="52"/>
  <c r="C68" i="52"/>
  <c r="L67" i="52"/>
  <c r="J67" i="52"/>
  <c r="E67" i="52"/>
  <c r="C67" i="52"/>
  <c r="L66" i="52"/>
  <c r="J66" i="52"/>
  <c r="E66" i="52"/>
  <c r="C66" i="52"/>
  <c r="L65" i="52"/>
  <c r="J65" i="52"/>
  <c r="E65" i="52"/>
  <c r="C65" i="52"/>
  <c r="L64" i="52"/>
  <c r="J64" i="52"/>
  <c r="E64" i="52"/>
  <c r="C64" i="52"/>
  <c r="L63" i="52"/>
  <c r="J63" i="52"/>
  <c r="E63" i="52"/>
  <c r="C63" i="52"/>
  <c r="L62" i="52"/>
  <c r="J62" i="52"/>
  <c r="E62" i="52"/>
  <c r="C62" i="52"/>
  <c r="L61" i="52"/>
  <c r="J61" i="52"/>
  <c r="E61" i="52"/>
  <c r="C61" i="52"/>
  <c r="L60" i="52"/>
  <c r="J60" i="52"/>
  <c r="E60" i="52"/>
  <c r="C60" i="52"/>
  <c r="L59" i="52"/>
  <c r="J59" i="52"/>
  <c r="E59" i="52"/>
  <c r="C59" i="52"/>
  <c r="L58" i="52"/>
  <c r="J58" i="52"/>
  <c r="E58" i="52"/>
  <c r="C58" i="52"/>
  <c r="L57" i="52"/>
  <c r="J57" i="52"/>
  <c r="E57" i="52"/>
  <c r="C57" i="52"/>
  <c r="L56" i="52"/>
  <c r="J56" i="52"/>
  <c r="E56" i="52"/>
  <c r="C56" i="52"/>
  <c r="M52" i="52"/>
  <c r="G1712" i="64" s="1"/>
  <c r="F52" i="52"/>
  <c r="G1711" i="64" s="1"/>
  <c r="L48" i="52"/>
  <c r="J48" i="52"/>
  <c r="E48" i="52"/>
  <c r="C48" i="52"/>
  <c r="L47" i="52"/>
  <c r="J47" i="52"/>
  <c r="E47" i="52"/>
  <c r="C47" i="52"/>
  <c r="L46" i="52"/>
  <c r="J46" i="52"/>
  <c r="E46" i="52"/>
  <c r="C46" i="52"/>
  <c r="L45" i="52"/>
  <c r="J45" i="52"/>
  <c r="E45" i="52"/>
  <c r="C45" i="52"/>
  <c r="L44" i="52"/>
  <c r="J44" i="52"/>
  <c r="E44" i="52"/>
  <c r="C44" i="52"/>
  <c r="L43" i="52"/>
  <c r="J43" i="52"/>
  <c r="E43" i="52"/>
  <c r="C43" i="52"/>
  <c r="L42" i="52"/>
  <c r="J42" i="52"/>
  <c r="E42" i="52"/>
  <c r="C42" i="52"/>
  <c r="L41" i="52"/>
  <c r="J41" i="52"/>
  <c r="E41" i="52"/>
  <c r="C41" i="52"/>
  <c r="L40" i="52"/>
  <c r="J40" i="52"/>
  <c r="E40" i="52"/>
  <c r="C40" i="52"/>
  <c r="L39" i="52"/>
  <c r="J39" i="52"/>
  <c r="E39" i="52"/>
  <c r="C39" i="52"/>
  <c r="L38" i="52"/>
  <c r="J38" i="52"/>
  <c r="E38" i="52"/>
  <c r="C38" i="52"/>
  <c r="L37" i="52"/>
  <c r="J37" i="52"/>
  <c r="E37" i="52"/>
  <c r="C37" i="52"/>
  <c r="L36" i="52"/>
  <c r="J36" i="52"/>
  <c r="E36" i="52"/>
  <c r="C36" i="52"/>
  <c r="L35" i="52"/>
  <c r="J35" i="52"/>
  <c r="E35" i="52"/>
  <c r="C35" i="52"/>
  <c r="L34" i="52"/>
  <c r="J34" i="52"/>
  <c r="E34" i="52"/>
  <c r="C34" i="52"/>
  <c r="L33" i="52"/>
  <c r="J33" i="52"/>
  <c r="E33" i="52"/>
  <c r="C33" i="52"/>
  <c r="L32" i="52"/>
  <c r="J32" i="52"/>
  <c r="E32" i="52"/>
  <c r="C32" i="52"/>
  <c r="L31" i="52"/>
  <c r="J31" i="52"/>
  <c r="E31" i="52"/>
  <c r="C31" i="52"/>
  <c r="L30" i="52"/>
  <c r="J30" i="52"/>
  <c r="E30" i="52"/>
  <c r="C30" i="52"/>
  <c r="L29" i="52"/>
  <c r="J29" i="52"/>
  <c r="E29" i="52"/>
  <c r="C29" i="52"/>
  <c r="L28" i="52"/>
  <c r="J28" i="52"/>
  <c r="E28" i="52"/>
  <c r="C28" i="52"/>
  <c r="L27" i="52"/>
  <c r="J27" i="52"/>
  <c r="E27" i="52"/>
  <c r="C27" i="52"/>
  <c r="L26" i="52"/>
  <c r="J26" i="52"/>
  <c r="E26" i="52"/>
  <c r="C26" i="52"/>
  <c r="L25" i="52"/>
  <c r="J25" i="52"/>
  <c r="E25" i="52"/>
  <c r="C25" i="52"/>
  <c r="L24" i="52"/>
  <c r="J24" i="52"/>
  <c r="E24" i="52"/>
  <c r="C24" i="52"/>
  <c r="L23" i="52"/>
  <c r="J23" i="52"/>
  <c r="E23" i="52"/>
  <c r="C23" i="52"/>
  <c r="L22" i="52"/>
  <c r="J22" i="52"/>
  <c r="E22" i="52"/>
  <c r="C22" i="52"/>
  <c r="L21" i="52"/>
  <c r="J21" i="52"/>
  <c r="E21" i="52"/>
  <c r="C21" i="52"/>
  <c r="L20" i="52"/>
  <c r="J20" i="52"/>
  <c r="E20" i="52"/>
  <c r="C20" i="52"/>
  <c r="L19" i="52"/>
  <c r="J19" i="52"/>
  <c r="E19" i="52"/>
  <c r="C19" i="52"/>
  <c r="L18" i="52"/>
  <c r="J18" i="52"/>
  <c r="E18" i="52"/>
  <c r="C18" i="52"/>
  <c r="L17" i="52"/>
  <c r="J17" i="52"/>
  <c r="E17" i="52"/>
  <c r="C17" i="52"/>
  <c r="L16" i="52"/>
  <c r="J16" i="52"/>
  <c r="E16" i="52"/>
  <c r="C16" i="52"/>
  <c r="L15" i="52"/>
  <c r="J15" i="52"/>
  <c r="E15" i="52"/>
  <c r="C15" i="52"/>
  <c r="L14" i="52"/>
  <c r="J14" i="52"/>
  <c r="E14" i="52"/>
  <c r="C14" i="52"/>
  <c r="L13" i="52"/>
  <c r="J13" i="52"/>
  <c r="E13" i="52"/>
  <c r="C13" i="52"/>
  <c r="L12" i="52"/>
  <c r="J12" i="52"/>
  <c r="E12" i="52"/>
  <c r="C12" i="52"/>
  <c r="L11" i="52"/>
  <c r="J11" i="52"/>
  <c r="E11" i="52"/>
  <c r="C11" i="52"/>
  <c r="L10" i="52"/>
  <c r="J10" i="52"/>
  <c r="E10" i="52"/>
  <c r="C10" i="52"/>
  <c r="J9" i="52"/>
  <c r="E9" i="52"/>
  <c r="C9" i="52"/>
  <c r="L8" i="52"/>
  <c r="J8" i="52"/>
  <c r="E8" i="52"/>
  <c r="C8" i="52"/>
  <c r="P4" i="52"/>
  <c r="O4" i="52"/>
  <c r="D31" i="9"/>
  <c r="Q34" i="46"/>
  <c r="J16" i="11"/>
  <c r="H16" i="11"/>
  <c r="H12" i="11"/>
  <c r="J12" i="11" s="1"/>
  <c r="J13" i="11"/>
  <c r="H13" i="11"/>
  <c r="AD44" i="13"/>
  <c r="F1316" i="64" s="1"/>
  <c r="J1316" i="64" s="1"/>
  <c r="V42" i="25"/>
  <c r="V41" i="25"/>
  <c r="V40" i="25"/>
  <c r="V39" i="25"/>
  <c r="V38" i="25"/>
  <c r="A1" i="18"/>
  <c r="G17" i="12"/>
  <c r="G18" i="12"/>
  <c r="Q3" i="46"/>
  <c r="Q4" i="46"/>
  <c r="Q5" i="46"/>
  <c r="Q6" i="46"/>
  <c r="Q7" i="46"/>
  <c r="Q8" i="46"/>
  <c r="Q9" i="46"/>
  <c r="Q10" i="46"/>
  <c r="Q11" i="46"/>
  <c r="Q12" i="46"/>
  <c r="Q13" i="46"/>
  <c r="Q14" i="46"/>
  <c r="Q15" i="46"/>
  <c r="Q16" i="46"/>
  <c r="Q17" i="46"/>
  <c r="Q18" i="46"/>
  <c r="Q19" i="46"/>
  <c r="Q20" i="46"/>
  <c r="Q21" i="46"/>
  <c r="Q22" i="46"/>
  <c r="Q23" i="46"/>
  <c r="Q24" i="46"/>
  <c r="Q27" i="46"/>
  <c r="Q28" i="46"/>
  <c r="Q2" i="46"/>
  <c r="G45" i="9"/>
  <c r="G44" i="9"/>
  <c r="G41" i="9"/>
  <c r="G40" i="9"/>
  <c r="G39" i="9"/>
  <c r="G38" i="9"/>
  <c r="G35" i="9"/>
  <c r="F12" i="38"/>
  <c r="F13" i="38"/>
  <c r="F14" i="38"/>
  <c r="F15" i="38"/>
  <c r="F16" i="38"/>
  <c r="F17" i="38"/>
  <c r="F18" i="38"/>
  <c r="F19" i="38"/>
  <c r="F20" i="38"/>
  <c r="F21" i="38"/>
  <c r="F22" i="38"/>
  <c r="F23" i="38"/>
  <c r="F24" i="38"/>
  <c r="H73" i="17"/>
  <c r="G21" i="12"/>
  <c r="G20" i="12"/>
  <c r="G16" i="12"/>
  <c r="G9" i="12"/>
  <c r="G8" i="12"/>
  <c r="G7" i="12"/>
  <c r="G6" i="12"/>
  <c r="G5" i="12"/>
  <c r="F6" i="11"/>
  <c r="W27" i="25"/>
  <c r="W26" i="25"/>
  <c r="D17" i="9"/>
  <c r="I114" i="17"/>
  <c r="I115" i="17"/>
  <c r="I116" i="17"/>
  <c r="I117" i="17"/>
  <c r="I118" i="17"/>
  <c r="I119" i="17"/>
  <c r="I120" i="17"/>
  <c r="I121" i="17"/>
  <c r="I122" i="17"/>
  <c r="I123" i="17"/>
  <c r="I124" i="17"/>
  <c r="I125" i="17"/>
  <c r="I126" i="17"/>
  <c r="I127" i="17"/>
  <c r="I128" i="17"/>
  <c r="I129" i="17"/>
  <c r="I130" i="17"/>
  <c r="I131" i="17"/>
  <c r="I132" i="17"/>
  <c r="I133" i="17"/>
  <c r="I134" i="17"/>
  <c r="I135" i="17"/>
  <c r="I136" i="17"/>
  <c r="I138" i="17"/>
  <c r="I139" i="17"/>
  <c r="I140" i="17"/>
  <c r="I142" i="17"/>
  <c r="I143" i="17"/>
  <c r="I144" i="17"/>
  <c r="I145" i="17"/>
  <c r="I146" i="17"/>
  <c r="I147" i="17"/>
  <c r="I148" i="17"/>
  <c r="I149" i="17"/>
  <c r="I150" i="17"/>
  <c r="I151" i="17"/>
  <c r="I152" i="17"/>
  <c r="I153" i="17"/>
  <c r="I154" i="17"/>
  <c r="I113" i="17"/>
  <c r="H15" i="11"/>
  <c r="H9" i="11"/>
  <c r="J9" i="11" s="1"/>
  <c r="H10" i="11"/>
  <c r="J10" i="11" s="1"/>
  <c r="H11" i="11"/>
  <c r="J11" i="11" s="1"/>
  <c r="P46" i="13"/>
  <c r="AB41" i="13"/>
  <c r="AB32" i="13"/>
  <c r="AB33" i="13"/>
  <c r="AB35" i="13"/>
  <c r="AB37" i="13"/>
  <c r="AB38" i="13"/>
  <c r="D3" i="13"/>
  <c r="B2" i="9"/>
  <c r="E2" i="9"/>
  <c r="H3" i="13"/>
  <c r="P55" i="25"/>
  <c r="P54" i="25"/>
  <c r="B162" i="17"/>
  <c r="C162" i="17" s="1"/>
  <c r="A162" i="17"/>
  <c r="B32" i="30"/>
  <c r="B33" i="30" s="1"/>
  <c r="B39" i="30"/>
  <c r="H45" i="9"/>
  <c r="H44" i="9"/>
  <c r="H43" i="9"/>
  <c r="H42" i="9"/>
  <c r="H41" i="9"/>
  <c r="H40" i="9"/>
  <c r="H39" i="9"/>
  <c r="H38" i="9"/>
  <c r="H37" i="9"/>
  <c r="H36" i="9"/>
  <c r="H35" i="9"/>
  <c r="G31" i="13"/>
  <c r="G32" i="13"/>
  <c r="G33" i="13"/>
  <c r="G34" i="13"/>
  <c r="G35" i="13"/>
  <c r="G36" i="13"/>
  <c r="G37" i="13"/>
  <c r="G38" i="13"/>
  <c r="G39" i="13"/>
  <c r="G30" i="13"/>
  <c r="J27" i="11"/>
  <c r="AC21" i="13"/>
  <c r="AC20" i="13"/>
  <c r="AC19" i="13"/>
  <c r="B15" i="30"/>
  <c r="P42" i="26"/>
  <c r="P43" i="26"/>
  <c r="M22" i="46"/>
  <c r="J52" i="38"/>
  <c r="F52" i="38"/>
  <c r="E52" i="38"/>
  <c r="J51" i="38"/>
  <c r="F51" i="38"/>
  <c r="E51" i="38"/>
  <c r="J50" i="38"/>
  <c r="F50" i="38"/>
  <c r="E50" i="38"/>
  <c r="J49" i="38"/>
  <c r="F49" i="38"/>
  <c r="E49" i="38"/>
  <c r="J48" i="38"/>
  <c r="F48" i="38"/>
  <c r="E48" i="38"/>
  <c r="J47" i="38"/>
  <c r="F47" i="38"/>
  <c r="E47" i="38"/>
  <c r="J46" i="38"/>
  <c r="F46" i="38"/>
  <c r="E46" i="38"/>
  <c r="J45" i="38"/>
  <c r="F45" i="38"/>
  <c r="E45" i="38"/>
  <c r="J44" i="38"/>
  <c r="F44" i="38"/>
  <c r="E44" i="38"/>
  <c r="J43" i="38"/>
  <c r="F43" i="38"/>
  <c r="E43" i="38"/>
  <c r="J42" i="38"/>
  <c r="F42" i="38"/>
  <c r="E42" i="38"/>
  <c r="J41" i="38"/>
  <c r="F41" i="38"/>
  <c r="E41" i="38"/>
  <c r="J40" i="38"/>
  <c r="F40" i="38"/>
  <c r="E40" i="38"/>
  <c r="J39" i="38"/>
  <c r="F39" i="38"/>
  <c r="E39" i="38"/>
  <c r="J38" i="38"/>
  <c r="F38" i="38"/>
  <c r="E38" i="38"/>
  <c r="J37" i="38"/>
  <c r="F37" i="38"/>
  <c r="E37" i="38"/>
  <c r="J36" i="38"/>
  <c r="F36" i="38"/>
  <c r="E36" i="38"/>
  <c r="J35" i="38"/>
  <c r="F35" i="38"/>
  <c r="E35" i="38"/>
  <c r="J34" i="38"/>
  <c r="F34" i="38"/>
  <c r="E34" i="38"/>
  <c r="J33" i="38"/>
  <c r="F33" i="38"/>
  <c r="E33" i="38"/>
  <c r="J32" i="38"/>
  <c r="F32" i="38"/>
  <c r="E32" i="38"/>
  <c r="J31" i="38"/>
  <c r="F31" i="38"/>
  <c r="E31" i="38"/>
  <c r="J30" i="38"/>
  <c r="F30" i="38"/>
  <c r="E30" i="38"/>
  <c r="J29" i="38"/>
  <c r="F29" i="38"/>
  <c r="E29" i="38"/>
  <c r="J28" i="38"/>
  <c r="F28" i="38"/>
  <c r="E28" i="38"/>
  <c r="G24" i="38"/>
  <c r="E24" i="38"/>
  <c r="G23" i="38"/>
  <c r="E23" i="38"/>
  <c r="G22" i="38"/>
  <c r="E22" i="38"/>
  <c r="G21" i="38"/>
  <c r="E21" i="38"/>
  <c r="G20" i="38"/>
  <c r="E20" i="38"/>
  <c r="G19" i="38"/>
  <c r="E19" i="38"/>
  <c r="G18" i="38"/>
  <c r="E18" i="38"/>
  <c r="G17" i="38"/>
  <c r="E17" i="38"/>
  <c r="G16" i="38"/>
  <c r="E16" i="38"/>
  <c r="G15" i="38"/>
  <c r="E15" i="38"/>
  <c r="G14" i="38"/>
  <c r="E14" i="38"/>
  <c r="G13" i="38"/>
  <c r="E13" i="38"/>
  <c r="G12" i="38"/>
  <c r="E12" i="38"/>
  <c r="E11" i="38"/>
  <c r="B113" i="17"/>
  <c r="A113" i="17"/>
  <c r="C166" i="17"/>
  <c r="C165" i="17"/>
  <c r="C164" i="17"/>
  <c r="C163" i="17"/>
  <c r="D161" i="17"/>
  <c r="C161" i="17"/>
  <c r="G161" i="17" s="1"/>
  <c r="D160" i="17"/>
  <c r="C160" i="17"/>
  <c r="H160" i="17" s="1"/>
  <c r="D159" i="17"/>
  <c r="C159" i="17"/>
  <c r="G159" i="17" s="1"/>
  <c r="D158" i="17"/>
  <c r="C158" i="17"/>
  <c r="G158" i="17" s="1"/>
  <c r="D157" i="17"/>
  <c r="C157" i="17"/>
  <c r="G157" i="17" s="1"/>
  <c r="D156" i="17"/>
  <c r="C156" i="17"/>
  <c r="F156" i="17" s="1"/>
  <c r="D155" i="17"/>
  <c r="H154" i="17"/>
  <c r="G154" i="17"/>
  <c r="F154" i="17"/>
  <c r="E154" i="17"/>
  <c r="D154" i="17"/>
  <c r="H153" i="17"/>
  <c r="G153" i="17"/>
  <c r="F153" i="17"/>
  <c r="E153" i="17"/>
  <c r="D153" i="17"/>
  <c r="H152" i="17"/>
  <c r="G152" i="17"/>
  <c r="F152" i="17"/>
  <c r="E152" i="17"/>
  <c r="D152" i="17"/>
  <c r="H151" i="17"/>
  <c r="G151" i="17"/>
  <c r="F151" i="17"/>
  <c r="E151" i="17"/>
  <c r="D151" i="17"/>
  <c r="U150" i="17"/>
  <c r="V150" i="17" s="1"/>
  <c r="H150" i="17"/>
  <c r="G150" i="17"/>
  <c r="F150" i="17"/>
  <c r="E150" i="17"/>
  <c r="D150" i="17"/>
  <c r="U149" i="17"/>
  <c r="V149" i="17" s="1"/>
  <c r="H149" i="17"/>
  <c r="G149" i="17"/>
  <c r="F149" i="17"/>
  <c r="E149" i="17"/>
  <c r="D149" i="17"/>
  <c r="U148" i="17"/>
  <c r="V148" i="17" s="1"/>
  <c r="H148" i="17"/>
  <c r="G148" i="17"/>
  <c r="F148" i="17"/>
  <c r="E148" i="17"/>
  <c r="D148" i="17"/>
  <c r="U147" i="17"/>
  <c r="V147" i="17" s="1"/>
  <c r="H147" i="17"/>
  <c r="G147" i="17"/>
  <c r="F147" i="17"/>
  <c r="E147" i="17"/>
  <c r="D147" i="17"/>
  <c r="U146" i="17"/>
  <c r="V146" i="17" s="1"/>
  <c r="H146" i="17"/>
  <c r="G146" i="17"/>
  <c r="F146" i="17"/>
  <c r="E146" i="17"/>
  <c r="D146" i="17"/>
  <c r="U145" i="17"/>
  <c r="V145" i="17" s="1"/>
  <c r="H145" i="17"/>
  <c r="G145" i="17"/>
  <c r="F145" i="17"/>
  <c r="E145" i="17"/>
  <c r="D145" i="17"/>
  <c r="U144" i="17"/>
  <c r="V144" i="17" s="1"/>
  <c r="H144" i="17"/>
  <c r="G144" i="17"/>
  <c r="F144" i="17"/>
  <c r="E144" i="17"/>
  <c r="D144" i="17"/>
  <c r="U143" i="17"/>
  <c r="V143" i="17" s="1"/>
  <c r="H143" i="17"/>
  <c r="G143" i="17"/>
  <c r="F143" i="17"/>
  <c r="E143" i="17"/>
  <c r="D143" i="17"/>
  <c r="U142" i="17"/>
  <c r="V142" i="17" s="1"/>
  <c r="H142" i="17"/>
  <c r="G142" i="17"/>
  <c r="F142" i="17"/>
  <c r="E142" i="17"/>
  <c r="D142" i="17"/>
  <c r="U141" i="17"/>
  <c r="V141" i="17" s="1"/>
  <c r="D141" i="17"/>
  <c r="U140" i="17"/>
  <c r="V140" i="17" s="1"/>
  <c r="H140" i="17"/>
  <c r="G140" i="17"/>
  <c r="F140" i="17"/>
  <c r="E140" i="17"/>
  <c r="D140" i="17"/>
  <c r="U139" i="17"/>
  <c r="V139" i="17" s="1"/>
  <c r="H139" i="17"/>
  <c r="G139" i="17"/>
  <c r="F139" i="17"/>
  <c r="E139" i="17"/>
  <c r="D139" i="17"/>
  <c r="U138" i="17"/>
  <c r="V138" i="17" s="1"/>
  <c r="H138" i="17"/>
  <c r="G138" i="17"/>
  <c r="F138" i="17"/>
  <c r="E138" i="17"/>
  <c r="D138" i="17"/>
  <c r="U137" i="17"/>
  <c r="V137" i="17" s="1"/>
  <c r="U136" i="17"/>
  <c r="V136" i="17" s="1"/>
  <c r="H136" i="17"/>
  <c r="G136" i="17"/>
  <c r="F136" i="17"/>
  <c r="E136" i="17"/>
  <c r="D136" i="17"/>
  <c r="U135" i="17"/>
  <c r="V135" i="17" s="1"/>
  <c r="H135" i="17"/>
  <c r="G135" i="17"/>
  <c r="F135" i="17"/>
  <c r="E135" i="17"/>
  <c r="D135" i="17"/>
  <c r="U134" i="17"/>
  <c r="V134" i="17" s="1"/>
  <c r="H134" i="17"/>
  <c r="G134" i="17"/>
  <c r="F134" i="17"/>
  <c r="E134" i="17"/>
  <c r="D134" i="17"/>
  <c r="U133" i="17"/>
  <c r="V133" i="17" s="1"/>
  <c r="H133" i="17"/>
  <c r="G133" i="17"/>
  <c r="F133" i="17"/>
  <c r="E133" i="17"/>
  <c r="D133" i="17"/>
  <c r="U132" i="17"/>
  <c r="V132" i="17" s="1"/>
  <c r="H132" i="17"/>
  <c r="G132" i="17"/>
  <c r="F132" i="17"/>
  <c r="E132" i="17"/>
  <c r="D132" i="17"/>
  <c r="U131" i="17"/>
  <c r="V131" i="17" s="1"/>
  <c r="H131" i="17"/>
  <c r="G131" i="17"/>
  <c r="F131" i="17"/>
  <c r="E131" i="17"/>
  <c r="D131" i="17"/>
  <c r="U130" i="17"/>
  <c r="V130" i="17" s="1"/>
  <c r="H130" i="17"/>
  <c r="G130" i="17"/>
  <c r="F130" i="17"/>
  <c r="E130" i="17"/>
  <c r="D130" i="17"/>
  <c r="U129" i="17"/>
  <c r="V129" i="17" s="1"/>
  <c r="H129" i="17"/>
  <c r="G129" i="17"/>
  <c r="F129" i="17"/>
  <c r="E129" i="17"/>
  <c r="D129" i="17"/>
  <c r="U128" i="17"/>
  <c r="V128" i="17" s="1"/>
  <c r="H128" i="17"/>
  <c r="G128" i="17"/>
  <c r="F128" i="17"/>
  <c r="E128" i="17"/>
  <c r="D128" i="17"/>
  <c r="U127" i="17"/>
  <c r="V127" i="17" s="1"/>
  <c r="H127" i="17"/>
  <c r="G127" i="17"/>
  <c r="F127" i="17"/>
  <c r="E127" i="17"/>
  <c r="D127" i="17"/>
  <c r="U126" i="17"/>
  <c r="V126" i="17" s="1"/>
  <c r="H126" i="17"/>
  <c r="G126" i="17"/>
  <c r="F126" i="17"/>
  <c r="E126" i="17"/>
  <c r="D126" i="17"/>
  <c r="U125" i="17"/>
  <c r="V125" i="17" s="1"/>
  <c r="H125" i="17"/>
  <c r="G125" i="17"/>
  <c r="F125" i="17"/>
  <c r="E125" i="17"/>
  <c r="D125" i="17"/>
  <c r="U124" i="17"/>
  <c r="V124" i="17" s="1"/>
  <c r="H124" i="17"/>
  <c r="G124" i="17"/>
  <c r="F124" i="17"/>
  <c r="E124" i="17"/>
  <c r="D124" i="17"/>
  <c r="U123" i="17"/>
  <c r="V123" i="17" s="1"/>
  <c r="H123" i="17"/>
  <c r="G123" i="17"/>
  <c r="F123" i="17"/>
  <c r="E123" i="17"/>
  <c r="D123" i="17"/>
  <c r="U122" i="17"/>
  <c r="V122" i="17" s="1"/>
  <c r="H122" i="17"/>
  <c r="G122" i="17"/>
  <c r="F122" i="17"/>
  <c r="E122" i="17"/>
  <c r="D122" i="17"/>
  <c r="U121" i="17"/>
  <c r="V121" i="17" s="1"/>
  <c r="H121" i="17"/>
  <c r="G121" i="17"/>
  <c r="F121" i="17"/>
  <c r="E121" i="17"/>
  <c r="D121" i="17"/>
  <c r="U120" i="17"/>
  <c r="V120" i="17" s="1"/>
  <c r="H120" i="17"/>
  <c r="G120" i="17"/>
  <c r="F120" i="17"/>
  <c r="E120" i="17"/>
  <c r="D120" i="17"/>
  <c r="U119" i="17"/>
  <c r="V119" i="17" s="1"/>
  <c r="H119" i="17"/>
  <c r="G119" i="17"/>
  <c r="F119" i="17"/>
  <c r="E119" i="17"/>
  <c r="D119" i="17"/>
  <c r="U118" i="17"/>
  <c r="V118" i="17" s="1"/>
  <c r="H118" i="17"/>
  <c r="G118" i="17"/>
  <c r="F118" i="17"/>
  <c r="E118" i="17"/>
  <c r="D118" i="17"/>
  <c r="U117" i="17"/>
  <c r="V117" i="17" s="1"/>
  <c r="H117" i="17"/>
  <c r="G117" i="17"/>
  <c r="F117" i="17"/>
  <c r="E117" i="17"/>
  <c r="D117" i="17"/>
  <c r="U116" i="17"/>
  <c r="V116" i="17" s="1"/>
  <c r="H116" i="17"/>
  <c r="G116" i="17"/>
  <c r="F116" i="17"/>
  <c r="E116" i="17"/>
  <c r="D116" i="17"/>
  <c r="U115" i="17"/>
  <c r="V115" i="17" s="1"/>
  <c r="H115" i="17"/>
  <c r="G115" i="17"/>
  <c r="F115" i="17"/>
  <c r="E115" i="17"/>
  <c r="D115" i="17"/>
  <c r="U114" i="17"/>
  <c r="V114" i="17" s="1"/>
  <c r="H114" i="17"/>
  <c r="G114" i="17"/>
  <c r="F114" i="17"/>
  <c r="E114" i="17"/>
  <c r="D114" i="17"/>
  <c r="U113" i="17"/>
  <c r="V113" i="17" s="1"/>
  <c r="H113" i="17"/>
  <c r="G113" i="17"/>
  <c r="F113" i="17"/>
  <c r="E113" i="17"/>
  <c r="U112" i="17"/>
  <c r="V112" i="17" s="1"/>
  <c r="U111" i="17"/>
  <c r="V111" i="17" s="1"/>
  <c r="U110" i="17"/>
  <c r="V110" i="17" s="1"/>
  <c r="U109" i="17"/>
  <c r="V109" i="17" s="1"/>
  <c r="U108" i="17"/>
  <c r="V108" i="17" s="1"/>
  <c r="U107" i="17"/>
  <c r="V107" i="17" s="1"/>
  <c r="U106" i="17"/>
  <c r="V106" i="17" s="1"/>
  <c r="U105" i="17"/>
  <c r="V105" i="17" s="1"/>
  <c r="U104" i="17"/>
  <c r="V104" i="17" s="1"/>
  <c r="U103" i="17"/>
  <c r="V103" i="17" s="1"/>
  <c r="U102" i="17"/>
  <c r="V102" i="17" s="1"/>
  <c r="U101" i="17"/>
  <c r="V101" i="17" s="1"/>
  <c r="U100" i="17"/>
  <c r="V100" i="17" s="1"/>
  <c r="U99" i="17"/>
  <c r="V99" i="17" s="1"/>
  <c r="U98" i="17"/>
  <c r="V98" i="17" s="1"/>
  <c r="U97" i="17"/>
  <c r="V97" i="17" s="1"/>
  <c r="U96" i="17"/>
  <c r="V96" i="17" s="1"/>
  <c r="U95" i="17"/>
  <c r="V95" i="17" s="1"/>
  <c r="U94" i="17"/>
  <c r="V94" i="17" s="1"/>
  <c r="U93" i="17"/>
  <c r="V93" i="17" s="1"/>
  <c r="U92" i="17"/>
  <c r="V92" i="17" s="1"/>
  <c r="U91" i="17"/>
  <c r="V91" i="17" s="1"/>
  <c r="U90" i="17"/>
  <c r="V90" i="17" s="1"/>
  <c r="Z89" i="17"/>
  <c r="AA89" i="17" s="1"/>
  <c r="U89" i="17"/>
  <c r="V89" i="17" s="1"/>
  <c r="U88" i="17"/>
  <c r="V88" i="17" s="1"/>
  <c r="U87" i="17"/>
  <c r="V87" i="17" s="1"/>
  <c r="Z86" i="17"/>
  <c r="AA86" i="17" s="1"/>
  <c r="U86" i="17"/>
  <c r="V86" i="17" s="1"/>
  <c r="U85" i="17"/>
  <c r="V85" i="17" s="1"/>
  <c r="U84" i="17"/>
  <c r="V84" i="17" s="1"/>
  <c r="Z83" i="17"/>
  <c r="Z84" i="17" s="1"/>
  <c r="U83" i="17"/>
  <c r="V83" i="17" s="1"/>
  <c r="U82" i="17"/>
  <c r="V82" i="17" s="1"/>
  <c r="U81" i="17"/>
  <c r="V81" i="17" s="1"/>
  <c r="Z80" i="17"/>
  <c r="Z81" i="17" s="1"/>
  <c r="U80" i="17"/>
  <c r="V80" i="17" s="1"/>
  <c r="U79" i="17"/>
  <c r="V79" i="17" s="1"/>
  <c r="U78" i="17"/>
  <c r="V78" i="17" s="1"/>
  <c r="Z77" i="17"/>
  <c r="Z78" i="17" s="1"/>
  <c r="AA78" i="17" s="1"/>
  <c r="U77" i="17"/>
  <c r="V77" i="17" s="1"/>
  <c r="U76" i="17"/>
  <c r="V76" i="17" s="1"/>
  <c r="U75" i="17"/>
  <c r="V75" i="17" s="1"/>
  <c r="Z74" i="17"/>
  <c r="Z75" i="17" s="1"/>
  <c r="AA75" i="17" s="1"/>
  <c r="U74" i="17"/>
  <c r="V74" i="17" s="1"/>
  <c r="U73" i="17"/>
  <c r="V73" i="17" s="1"/>
  <c r="U72" i="17"/>
  <c r="V72" i="17" s="1"/>
  <c r="Z71" i="17"/>
  <c r="Z72" i="17" s="1"/>
  <c r="AA72" i="17" s="1"/>
  <c r="U71" i="17"/>
  <c r="V71" i="17" s="1"/>
  <c r="U70" i="17"/>
  <c r="V70" i="17" s="1"/>
  <c r="U69" i="17"/>
  <c r="V69" i="17" s="1"/>
  <c r="Z68" i="17"/>
  <c r="AA68" i="17" s="1"/>
  <c r="U68" i="17"/>
  <c r="V68" i="17" s="1"/>
  <c r="U67" i="17"/>
  <c r="V67" i="17" s="1"/>
  <c r="U66" i="17"/>
  <c r="V66" i="17" s="1"/>
  <c r="Z65" i="17"/>
  <c r="Z66" i="17" s="1"/>
  <c r="Z67" i="17" s="1"/>
  <c r="AA67" i="17" s="1"/>
  <c r="U65" i="17"/>
  <c r="V65" i="17" s="1"/>
  <c r="U64" i="17"/>
  <c r="V64" i="17" s="1"/>
  <c r="U63" i="17"/>
  <c r="V63" i="17" s="1"/>
  <c r="Z62" i="17"/>
  <c r="Z63" i="17" s="1"/>
  <c r="U62" i="17"/>
  <c r="V62" i="17" s="1"/>
  <c r="U61" i="17"/>
  <c r="V61" i="17" s="1"/>
  <c r="U60" i="17"/>
  <c r="V60" i="17" s="1"/>
  <c r="Z59" i="17"/>
  <c r="Z60" i="17" s="1"/>
  <c r="AA60" i="17" s="1"/>
  <c r="U59" i="17"/>
  <c r="V59" i="17" s="1"/>
  <c r="U58" i="17"/>
  <c r="V58" i="17" s="1"/>
  <c r="U57" i="17"/>
  <c r="V57" i="17" s="1"/>
  <c r="Z56" i="17"/>
  <c r="AA56" i="17" s="1"/>
  <c r="U56" i="17"/>
  <c r="V56" i="17" s="1"/>
  <c r="U55" i="17"/>
  <c r="V55" i="17" s="1"/>
  <c r="U54" i="17"/>
  <c r="V54" i="17" s="1"/>
  <c r="Z53" i="17"/>
  <c r="Z54" i="17" s="1"/>
  <c r="U53" i="17"/>
  <c r="V53" i="17" s="1"/>
  <c r="U52" i="17"/>
  <c r="V52" i="17" s="1"/>
  <c r="U51" i="17"/>
  <c r="V51" i="17" s="1"/>
  <c r="Z50" i="17"/>
  <c r="Z51" i="17" s="1"/>
  <c r="Z52" i="17" s="1"/>
  <c r="AA52" i="17" s="1"/>
  <c r="U50" i="17"/>
  <c r="V50" i="17" s="1"/>
  <c r="U49" i="17"/>
  <c r="V49" i="17" s="1"/>
  <c r="U48" i="17"/>
  <c r="V48" i="17" s="1"/>
  <c r="Z47" i="17"/>
  <c r="Z48" i="17" s="1"/>
  <c r="U47" i="17"/>
  <c r="V47" i="17" s="1"/>
  <c r="U46" i="17"/>
  <c r="V46" i="17" s="1"/>
  <c r="U45" i="17"/>
  <c r="V45" i="17" s="1"/>
  <c r="Z44" i="17"/>
  <c r="AA44" i="17" s="1"/>
  <c r="U44" i="17"/>
  <c r="V44" i="17" s="1"/>
  <c r="U43" i="17"/>
  <c r="V43" i="17" s="1"/>
  <c r="U42" i="17"/>
  <c r="V42" i="17" s="1"/>
  <c r="Z41" i="17"/>
  <c r="Z42" i="17" s="1"/>
  <c r="AA42" i="17" s="1"/>
  <c r="U41" i="17"/>
  <c r="V41" i="17" s="1"/>
  <c r="U40" i="17"/>
  <c r="V40" i="17" s="1"/>
  <c r="U39" i="17"/>
  <c r="V39" i="17" s="1"/>
  <c r="Z38" i="17"/>
  <c r="AA38" i="17" s="1"/>
  <c r="U38" i="17"/>
  <c r="V38" i="17" s="1"/>
  <c r="U37" i="17"/>
  <c r="V37" i="17" s="1"/>
  <c r="U36" i="17"/>
  <c r="V36" i="17" s="1"/>
  <c r="Z35" i="17"/>
  <c r="Z36" i="17" s="1"/>
  <c r="U35" i="17"/>
  <c r="V35" i="17" s="1"/>
  <c r="U34" i="17"/>
  <c r="V34" i="17" s="1"/>
  <c r="U33" i="17"/>
  <c r="V33" i="17" s="1"/>
  <c r="Z32" i="17"/>
  <c r="Z33" i="17" s="1"/>
  <c r="U32" i="17"/>
  <c r="V32" i="17" s="1"/>
  <c r="U31" i="17"/>
  <c r="V31" i="17" s="1"/>
  <c r="U30" i="17"/>
  <c r="V30" i="17" s="1"/>
  <c r="Z29" i="17"/>
  <c r="Z30" i="17" s="1"/>
  <c r="U29" i="17"/>
  <c r="V29" i="17" s="1"/>
  <c r="U28" i="17"/>
  <c r="V28" i="17" s="1"/>
  <c r="U27" i="17"/>
  <c r="V27" i="17" s="1"/>
  <c r="Z26" i="17"/>
  <c r="AA26" i="17" s="1"/>
  <c r="U26" i="17"/>
  <c r="V26" i="17" s="1"/>
  <c r="U25" i="17"/>
  <c r="V25" i="17" s="1"/>
  <c r="U24" i="17"/>
  <c r="V24" i="17" s="1"/>
  <c r="Z23" i="17"/>
  <c r="AA23" i="17" s="1"/>
  <c r="U23" i="17"/>
  <c r="V23" i="17" s="1"/>
  <c r="U22" i="17"/>
  <c r="V22" i="17" s="1"/>
  <c r="U21" i="17"/>
  <c r="V21" i="17" s="1"/>
  <c r="Z20" i="17"/>
  <c r="AA20" i="17" s="1"/>
  <c r="U20" i="17"/>
  <c r="V20" i="17" s="1"/>
  <c r="U19" i="17"/>
  <c r="V19" i="17" s="1"/>
  <c r="U18" i="17"/>
  <c r="V18" i="17" s="1"/>
  <c r="Z17" i="17"/>
  <c r="AA17" i="17" s="1"/>
  <c r="U17" i="17"/>
  <c r="V17" i="17" s="1"/>
  <c r="U16" i="17"/>
  <c r="V16" i="17" s="1"/>
  <c r="U15" i="17"/>
  <c r="V15" i="17" s="1"/>
  <c r="Z14" i="17"/>
  <c r="AA14" i="17" s="1"/>
  <c r="U14" i="17"/>
  <c r="V14" i="17" s="1"/>
  <c r="U13" i="17"/>
  <c r="V13" i="17" s="1"/>
  <c r="U12" i="17"/>
  <c r="V12" i="17" s="1"/>
  <c r="Z11" i="17"/>
  <c r="AA11" i="17" s="1"/>
  <c r="U11" i="17"/>
  <c r="V11" i="17" s="1"/>
  <c r="U10" i="17"/>
  <c r="V10" i="17" s="1"/>
  <c r="U9" i="17"/>
  <c r="V9" i="17" s="1"/>
  <c r="Z8" i="17"/>
  <c r="AA8" i="17" s="1"/>
  <c r="U8" i="17"/>
  <c r="V8" i="17" s="1"/>
  <c r="U7" i="17"/>
  <c r="V7" i="17" s="1"/>
  <c r="U6" i="17"/>
  <c r="V6" i="17" s="1"/>
  <c r="Z5" i="17"/>
  <c r="AA5" i="17" s="1"/>
  <c r="U5" i="17"/>
  <c r="V5" i="17" s="1"/>
  <c r="U4" i="17"/>
  <c r="V4" i="17" s="1"/>
  <c r="Z3" i="17"/>
  <c r="AA3" i="17" s="1"/>
  <c r="U3" i="17"/>
  <c r="V3" i="17" s="1"/>
  <c r="AC2" i="17"/>
  <c r="AB17" i="17" s="1"/>
  <c r="AA2" i="17"/>
  <c r="U2" i="17"/>
  <c r="V2" i="17" s="1"/>
  <c r="AC1" i="17"/>
  <c r="W138" i="17" s="1"/>
  <c r="X46" i="13"/>
  <c r="V46" i="13"/>
  <c r="T46" i="13"/>
  <c r="R46" i="13"/>
  <c r="N46" i="13"/>
  <c r="F1910" i="64" s="1"/>
  <c r="J1910" i="64" s="1"/>
  <c r="J46" i="13"/>
  <c r="X45" i="13"/>
  <c r="Y45" i="13" s="1"/>
  <c r="V45" i="13"/>
  <c r="W45" i="13" s="1"/>
  <c r="T45" i="13"/>
  <c r="U45" i="13" s="1"/>
  <c r="R45" i="13"/>
  <c r="S45" i="13" s="1"/>
  <c r="J45" i="13"/>
  <c r="K45" i="13" s="1"/>
  <c r="B45" i="13"/>
  <c r="F1016" i="64" s="1"/>
  <c r="J1016" i="64" s="1"/>
  <c r="X44" i="13"/>
  <c r="Y44" i="13" s="1"/>
  <c r="V44" i="13"/>
  <c r="W44" i="13" s="1"/>
  <c r="T44" i="13"/>
  <c r="U44" i="13" s="1"/>
  <c r="R44" i="13"/>
  <c r="S44" i="13" s="1"/>
  <c r="N44" i="13"/>
  <c r="O44" i="13" s="1"/>
  <c r="J44" i="13"/>
  <c r="K44" i="13" s="1"/>
  <c r="X43" i="13"/>
  <c r="Y43" i="13" s="1"/>
  <c r="V43" i="13"/>
  <c r="W43" i="13" s="1"/>
  <c r="T43" i="13"/>
  <c r="U43" i="13" s="1"/>
  <c r="R43" i="13"/>
  <c r="S43" i="13" s="1"/>
  <c r="N43" i="13"/>
  <c r="O43" i="13" s="1"/>
  <c r="J43" i="13"/>
  <c r="K43" i="13" s="1"/>
  <c r="X42" i="13"/>
  <c r="Y42" i="13" s="1"/>
  <c r="V42" i="13"/>
  <c r="W42" i="13" s="1"/>
  <c r="T42" i="13"/>
  <c r="U42" i="13" s="1"/>
  <c r="R42" i="13"/>
  <c r="S42" i="13" s="1"/>
  <c r="N42" i="13"/>
  <c r="O42" i="13" s="1"/>
  <c r="J42" i="13"/>
  <c r="K42" i="13" s="1"/>
  <c r="X41" i="13"/>
  <c r="Y41" i="13" s="1"/>
  <c r="V41" i="13"/>
  <c r="W41" i="13" s="1"/>
  <c r="T41" i="13"/>
  <c r="U41" i="13" s="1"/>
  <c r="R41" i="13"/>
  <c r="S41" i="13" s="1"/>
  <c r="N41" i="13"/>
  <c r="O41" i="13" s="1"/>
  <c r="J41" i="13"/>
  <c r="K41" i="13" s="1"/>
  <c r="X40" i="13"/>
  <c r="Y40" i="13" s="1"/>
  <c r="V40" i="13"/>
  <c r="W40" i="13" s="1"/>
  <c r="T40" i="13"/>
  <c r="U40" i="13" s="1"/>
  <c r="R40" i="13"/>
  <c r="S40" i="13" s="1"/>
  <c r="N40" i="13"/>
  <c r="O40" i="13" s="1"/>
  <c r="J40" i="13"/>
  <c r="K40" i="13" s="1"/>
  <c r="X39" i="13"/>
  <c r="Y39" i="13" s="1"/>
  <c r="V39" i="13"/>
  <c r="W39" i="13" s="1"/>
  <c r="T39" i="13"/>
  <c r="U39" i="13" s="1"/>
  <c r="R39" i="13"/>
  <c r="S39" i="13" s="1"/>
  <c r="N39" i="13"/>
  <c r="O39" i="13" s="1"/>
  <c r="J39" i="13"/>
  <c r="K39" i="13" s="1"/>
  <c r="X38" i="13"/>
  <c r="Y38" i="13" s="1"/>
  <c r="V38" i="13"/>
  <c r="W38" i="13" s="1"/>
  <c r="T38" i="13"/>
  <c r="U38" i="13" s="1"/>
  <c r="R38" i="13"/>
  <c r="S38" i="13" s="1"/>
  <c r="N38" i="13"/>
  <c r="O38" i="13" s="1"/>
  <c r="J38" i="13"/>
  <c r="K38" i="13" s="1"/>
  <c r="X37" i="13"/>
  <c r="Y37" i="13" s="1"/>
  <c r="V37" i="13"/>
  <c r="W37" i="13" s="1"/>
  <c r="T37" i="13"/>
  <c r="U37" i="13" s="1"/>
  <c r="R37" i="13"/>
  <c r="S37" i="13" s="1"/>
  <c r="N37" i="13"/>
  <c r="O37" i="13" s="1"/>
  <c r="J37" i="13"/>
  <c r="K37" i="13" s="1"/>
  <c r="X36" i="13"/>
  <c r="Y36" i="13" s="1"/>
  <c r="V36" i="13"/>
  <c r="W36" i="13" s="1"/>
  <c r="T36" i="13"/>
  <c r="U36" i="13" s="1"/>
  <c r="R36" i="13"/>
  <c r="S36" i="13" s="1"/>
  <c r="N36" i="13"/>
  <c r="O36" i="13" s="1"/>
  <c r="J36" i="13"/>
  <c r="K36" i="13" s="1"/>
  <c r="X35" i="13"/>
  <c r="Y35" i="13" s="1"/>
  <c r="V35" i="13"/>
  <c r="W35" i="13" s="1"/>
  <c r="T35" i="13"/>
  <c r="U35" i="13" s="1"/>
  <c r="R35" i="13"/>
  <c r="S35" i="13" s="1"/>
  <c r="N35" i="13"/>
  <c r="O35" i="13" s="1"/>
  <c r="J35" i="13"/>
  <c r="K35" i="13" s="1"/>
  <c r="X34" i="13"/>
  <c r="Y34" i="13" s="1"/>
  <c r="V34" i="13"/>
  <c r="W34" i="13" s="1"/>
  <c r="T34" i="13"/>
  <c r="U34" i="13" s="1"/>
  <c r="R34" i="13"/>
  <c r="S34" i="13" s="1"/>
  <c r="N34" i="13"/>
  <c r="O34" i="13" s="1"/>
  <c r="J34" i="13"/>
  <c r="K34" i="13" s="1"/>
  <c r="AG33" i="13"/>
  <c r="F1578" i="64" s="1"/>
  <c r="J1578" i="64" s="1"/>
  <c r="X33" i="13"/>
  <c r="Y33" i="13" s="1"/>
  <c r="V33" i="13"/>
  <c r="W33" i="13" s="1"/>
  <c r="T33" i="13"/>
  <c r="U33" i="13" s="1"/>
  <c r="R33" i="13"/>
  <c r="S33" i="13" s="1"/>
  <c r="N33" i="13"/>
  <c r="O33" i="13" s="1"/>
  <c r="J33" i="13"/>
  <c r="K33" i="13" s="1"/>
  <c r="AG32" i="13"/>
  <c r="X32" i="13"/>
  <c r="Y32" i="13" s="1"/>
  <c r="V32" i="13"/>
  <c r="W32" i="13" s="1"/>
  <c r="T32" i="13"/>
  <c r="U32" i="13" s="1"/>
  <c r="R32" i="13"/>
  <c r="S32" i="13" s="1"/>
  <c r="N32" i="13"/>
  <c r="O32" i="13" s="1"/>
  <c r="J32" i="13"/>
  <c r="K32" i="13" s="1"/>
  <c r="X31" i="13"/>
  <c r="Y31" i="13" s="1"/>
  <c r="V31" i="13"/>
  <c r="W31" i="13" s="1"/>
  <c r="T31" i="13"/>
  <c r="U31" i="13" s="1"/>
  <c r="R31" i="13"/>
  <c r="S31" i="13" s="1"/>
  <c r="N31" i="13"/>
  <c r="O31" i="13" s="1"/>
  <c r="J31" i="13"/>
  <c r="K31" i="13" s="1"/>
  <c r="X30" i="13"/>
  <c r="Y30" i="13" s="1"/>
  <c r="V30" i="13"/>
  <c r="W30" i="13" s="1"/>
  <c r="T30" i="13"/>
  <c r="U30" i="13" s="1"/>
  <c r="R30" i="13"/>
  <c r="S30" i="13" s="1"/>
  <c r="N30" i="13"/>
  <c r="O30" i="13" s="1"/>
  <c r="J30" i="13"/>
  <c r="K30" i="13" s="1"/>
  <c r="AC27" i="13"/>
  <c r="AE26" i="13"/>
  <c r="AD26" i="13"/>
  <c r="AC26" i="13"/>
  <c r="AE25" i="13"/>
  <c r="AD25" i="13"/>
  <c r="AC25" i="13"/>
  <c r="AE24" i="13"/>
  <c r="AD24" i="13"/>
  <c r="AC24" i="13"/>
  <c r="AE23" i="13"/>
  <c r="AD23" i="13"/>
  <c r="AC23" i="13"/>
  <c r="AE22" i="13"/>
  <c r="AD22" i="13"/>
  <c r="AC22" i="13"/>
  <c r="AE21" i="13"/>
  <c r="AD21" i="13"/>
  <c r="AE20" i="13"/>
  <c r="AD20" i="13"/>
  <c r="AE19" i="13"/>
  <c r="AD19" i="13"/>
  <c r="AE18" i="13"/>
  <c r="AD18" i="13"/>
  <c r="AC18" i="13"/>
  <c r="AE17" i="13"/>
  <c r="AD17" i="13"/>
  <c r="AE16" i="13"/>
  <c r="AD16" i="13"/>
  <c r="AE15" i="13"/>
  <c r="AD15" i="13"/>
  <c r="AE14" i="13"/>
  <c r="AD14" i="13"/>
  <c r="AE13" i="13"/>
  <c r="AD13" i="13"/>
  <c r="AE12" i="13"/>
  <c r="AD12" i="13"/>
  <c r="AE11" i="13"/>
  <c r="AD11" i="13"/>
  <c r="D5" i="13"/>
  <c r="H46" i="9"/>
  <c r="G46" i="9"/>
  <c r="C31" i="9"/>
  <c r="A30" i="9"/>
  <c r="A29" i="9"/>
  <c r="A28" i="9"/>
  <c r="A27" i="9"/>
  <c r="A26" i="9"/>
  <c r="A25" i="9"/>
  <c r="A24" i="9"/>
  <c r="A23" i="9"/>
  <c r="A22" i="9"/>
  <c r="A21" i="9"/>
  <c r="A20" i="9"/>
  <c r="G43" i="9" s="1"/>
  <c r="A19" i="9"/>
  <c r="G42" i="9" s="1"/>
  <c r="C17" i="9"/>
  <c r="H16" i="9"/>
  <c r="A16" i="9"/>
  <c r="A15" i="9"/>
  <c r="A14" i="9"/>
  <c r="A13" i="9"/>
  <c r="H12" i="9"/>
  <c r="A12" i="9"/>
  <c r="H11" i="9"/>
  <c r="A11" i="9"/>
  <c r="H10" i="9"/>
  <c r="A10" i="9"/>
  <c r="H9" i="9"/>
  <c r="A9" i="9"/>
  <c r="H8" i="9"/>
  <c r="A8" i="9"/>
  <c r="H7" i="9"/>
  <c r="A7" i="9"/>
  <c r="H6" i="9"/>
  <c r="A6" i="9"/>
  <c r="H5" i="9"/>
  <c r="A5" i="9"/>
  <c r="H4" i="9"/>
  <c r="A4" i="9"/>
  <c r="AD45" i="13"/>
  <c r="F1317" i="64" s="1"/>
  <c r="J1317" i="64" s="1"/>
  <c r="AA32" i="13"/>
  <c r="AA33" i="13"/>
  <c r="H14" i="11"/>
  <c r="B33" i="16"/>
  <c r="W66" i="25"/>
  <c r="L102" i="25"/>
  <c r="L101" i="25"/>
  <c r="L100" i="25"/>
  <c r="L76" i="25"/>
  <c r="L75" i="25"/>
  <c r="L74" i="25"/>
  <c r="H42" i="25"/>
  <c r="I42" i="25" s="1"/>
  <c r="L40" i="25"/>
  <c r="L39" i="25"/>
  <c r="L38" i="25"/>
  <c r="L5" i="37"/>
  <c r="L6" i="37"/>
  <c r="L7" i="37"/>
  <c r="L8" i="37"/>
  <c r="L9" i="37"/>
  <c r="L10" i="37"/>
  <c r="L11" i="37"/>
  <c r="L12" i="37"/>
  <c r="L13" i="37"/>
  <c r="L14" i="37"/>
  <c r="L15" i="37"/>
  <c r="L16" i="37"/>
  <c r="L17" i="37"/>
  <c r="L18" i="37"/>
  <c r="L19" i="37"/>
  <c r="L20" i="37"/>
  <c r="L21" i="37"/>
  <c r="L22" i="37"/>
  <c r="L23" i="37"/>
  <c r="L24" i="37"/>
  <c r="L25" i="37"/>
  <c r="L26" i="37"/>
  <c r="L27" i="37"/>
  <c r="L28" i="37"/>
  <c r="L29" i="37"/>
  <c r="L30" i="37"/>
  <c r="L31" i="37"/>
  <c r="L32" i="37"/>
  <c r="L33" i="37"/>
  <c r="L34" i="37"/>
  <c r="L35" i="37"/>
  <c r="L4" i="37"/>
  <c r="L3" i="37"/>
  <c r="L42" i="37"/>
  <c r="L43" i="37"/>
  <c r="L44" i="37"/>
  <c r="L45" i="37"/>
  <c r="L46" i="37"/>
  <c r="L47" i="37"/>
  <c r="L48" i="37"/>
  <c r="M17" i="7"/>
  <c r="M28" i="7"/>
  <c r="M29" i="7"/>
  <c r="M30" i="7"/>
  <c r="M35" i="7"/>
  <c r="B61" i="37"/>
  <c r="B60" i="37"/>
  <c r="B59" i="37"/>
  <c r="B58" i="37"/>
  <c r="G48" i="37"/>
  <c r="F48" i="37"/>
  <c r="E48" i="37"/>
  <c r="D48" i="37"/>
  <c r="G47" i="37"/>
  <c r="F47" i="37"/>
  <c r="E47" i="37"/>
  <c r="D47" i="37"/>
  <c r="G46" i="37"/>
  <c r="F46" i="37"/>
  <c r="E46" i="37"/>
  <c r="D46" i="37"/>
  <c r="G45" i="37"/>
  <c r="F45" i="37"/>
  <c r="E45" i="37"/>
  <c r="D45" i="37"/>
  <c r="G44" i="37"/>
  <c r="F44" i="37"/>
  <c r="E44" i="37"/>
  <c r="D44" i="37"/>
  <c r="G43" i="37"/>
  <c r="F43" i="37"/>
  <c r="E43" i="37"/>
  <c r="D43" i="37"/>
  <c r="G42" i="37"/>
  <c r="F42" i="37"/>
  <c r="E42" i="37"/>
  <c r="D42" i="37"/>
  <c r="G41" i="37"/>
  <c r="F41" i="37"/>
  <c r="D41" i="37"/>
  <c r="E41" i="37"/>
  <c r="G40" i="37"/>
  <c r="F40" i="37"/>
  <c r="E40" i="37"/>
  <c r="D40" i="37"/>
  <c r="G39" i="37"/>
  <c r="F39" i="37"/>
  <c r="D39" i="37"/>
  <c r="E39" i="37"/>
  <c r="G38" i="37"/>
  <c r="F38" i="37"/>
  <c r="E38" i="37"/>
  <c r="D38" i="37"/>
  <c r="G35" i="37"/>
  <c r="F35" i="37"/>
  <c r="E35" i="37"/>
  <c r="D35" i="37"/>
  <c r="G34" i="37"/>
  <c r="F34" i="37"/>
  <c r="E34" i="37"/>
  <c r="D34" i="37"/>
  <c r="G33" i="37"/>
  <c r="F33" i="37"/>
  <c r="E33" i="37"/>
  <c r="D33" i="37"/>
  <c r="G32" i="37"/>
  <c r="F32" i="37"/>
  <c r="E32" i="37"/>
  <c r="D32" i="37"/>
  <c r="G31" i="37"/>
  <c r="F31" i="37"/>
  <c r="E31" i="37"/>
  <c r="D31" i="37"/>
  <c r="G30" i="37"/>
  <c r="F30" i="37"/>
  <c r="E30" i="37"/>
  <c r="D30" i="37"/>
  <c r="G29" i="37"/>
  <c r="F29" i="37"/>
  <c r="E29" i="37"/>
  <c r="D29" i="37"/>
  <c r="G28" i="37"/>
  <c r="F28" i="37"/>
  <c r="E28" i="37"/>
  <c r="D28" i="37"/>
  <c r="G27" i="37"/>
  <c r="F27" i="37"/>
  <c r="E27" i="37"/>
  <c r="D27" i="37"/>
  <c r="G26" i="37"/>
  <c r="F26" i="37"/>
  <c r="E26" i="37"/>
  <c r="D26" i="37"/>
  <c r="G25" i="37"/>
  <c r="F25" i="37"/>
  <c r="E25" i="37"/>
  <c r="D25" i="37"/>
  <c r="G24" i="37"/>
  <c r="F24" i="37"/>
  <c r="E24" i="37"/>
  <c r="D24" i="37"/>
  <c r="G23" i="37"/>
  <c r="F23" i="37"/>
  <c r="E23" i="37"/>
  <c r="D23" i="37"/>
  <c r="G22" i="37"/>
  <c r="F22" i="37"/>
  <c r="E22" i="37"/>
  <c r="D22" i="37"/>
  <c r="G21" i="37"/>
  <c r="F21" i="37"/>
  <c r="E21" i="37"/>
  <c r="D21" i="37"/>
  <c r="G20" i="37"/>
  <c r="F20" i="37"/>
  <c r="E20" i="37"/>
  <c r="D20" i="37"/>
  <c r="G19" i="37"/>
  <c r="F19" i="37"/>
  <c r="E19" i="37"/>
  <c r="D19" i="37"/>
  <c r="G18" i="37"/>
  <c r="F18" i="37"/>
  <c r="E18" i="37"/>
  <c r="D18" i="37"/>
  <c r="G17" i="37"/>
  <c r="F17" i="37"/>
  <c r="E17" i="37"/>
  <c r="D17" i="37"/>
  <c r="G16" i="37"/>
  <c r="F16" i="37"/>
  <c r="E16" i="37"/>
  <c r="D16" i="37"/>
  <c r="G15" i="37"/>
  <c r="F15" i="37"/>
  <c r="E15" i="37"/>
  <c r="D15" i="37"/>
  <c r="G14" i="37"/>
  <c r="F14" i="37"/>
  <c r="E14" i="37"/>
  <c r="D14" i="37"/>
  <c r="G13" i="37"/>
  <c r="F13" i="37"/>
  <c r="E13" i="37"/>
  <c r="D13" i="37"/>
  <c r="G12" i="37"/>
  <c r="F12" i="37"/>
  <c r="E12" i="37"/>
  <c r="D12" i="37"/>
  <c r="G11" i="37"/>
  <c r="F11" i="37"/>
  <c r="E11" i="37"/>
  <c r="D11" i="37"/>
  <c r="G10" i="37"/>
  <c r="F10" i="37"/>
  <c r="E10" i="37"/>
  <c r="D10" i="37"/>
  <c r="G9" i="37"/>
  <c r="F9" i="37"/>
  <c r="D9" i="37"/>
  <c r="E9" i="37"/>
  <c r="G8" i="37"/>
  <c r="F8" i="37"/>
  <c r="E8" i="37"/>
  <c r="D8" i="37"/>
  <c r="G7" i="37"/>
  <c r="F7" i="37"/>
  <c r="D7" i="37"/>
  <c r="E7" i="37"/>
  <c r="G6" i="37"/>
  <c r="F6" i="37"/>
  <c r="E6" i="37"/>
  <c r="D6" i="37"/>
  <c r="G5" i="37"/>
  <c r="F5" i="37"/>
  <c r="E5" i="37"/>
  <c r="D5" i="37"/>
  <c r="G4" i="37"/>
  <c r="F4" i="37"/>
  <c r="E4" i="37"/>
  <c r="D4" i="37"/>
  <c r="G3" i="37"/>
  <c r="F3" i="37"/>
  <c r="D3" i="37"/>
  <c r="E3" i="37"/>
  <c r="B25" i="30"/>
  <c r="B11" i="30"/>
  <c r="P6" i="28" s="1"/>
  <c r="P6" i="26"/>
  <c r="P5" i="26"/>
  <c r="F4" i="26"/>
  <c r="F5" i="26" s="1"/>
  <c r="L90" i="26"/>
  <c r="L89" i="26"/>
  <c r="F89" i="26"/>
  <c r="H89" i="26" s="1"/>
  <c r="L88" i="26"/>
  <c r="P83" i="26"/>
  <c r="N83" i="26"/>
  <c r="L64" i="26"/>
  <c r="L63" i="26"/>
  <c r="L62" i="26"/>
  <c r="V35" i="26"/>
  <c r="V34" i="26"/>
  <c r="V33" i="26"/>
  <c r="V32" i="26"/>
  <c r="V31" i="26"/>
  <c r="H35" i="26"/>
  <c r="I35" i="26" s="1"/>
  <c r="L33" i="26"/>
  <c r="L32" i="26"/>
  <c r="L31" i="26"/>
  <c r="S27" i="26"/>
  <c r="U27" i="26" s="1"/>
  <c r="S26" i="26"/>
  <c r="U26" i="26" s="1"/>
  <c r="I26" i="26"/>
  <c r="K26" i="26" s="1"/>
  <c r="I25" i="26"/>
  <c r="K25" i="26" s="1"/>
  <c r="I24" i="26"/>
  <c r="K24" i="26" s="1"/>
  <c r="I23" i="26"/>
  <c r="K23" i="26" s="1"/>
  <c r="I22" i="26"/>
  <c r="K22" i="26" s="1"/>
  <c r="I21" i="26"/>
  <c r="K21" i="26" s="1"/>
  <c r="I20" i="26"/>
  <c r="K20" i="26" s="1"/>
  <c r="I19" i="26"/>
  <c r="K19" i="26" s="1"/>
  <c r="I18" i="26"/>
  <c r="K18" i="26" s="1"/>
  <c r="I17" i="26"/>
  <c r="K17" i="26" s="1"/>
  <c r="I16" i="26"/>
  <c r="K16" i="26" s="1"/>
  <c r="I15" i="26"/>
  <c r="K15" i="26" s="1"/>
  <c r="I14" i="26"/>
  <c r="K14" i="26" s="1"/>
  <c r="S13" i="26"/>
  <c r="U13" i="26" s="1"/>
  <c r="I13" i="26"/>
  <c r="K13" i="26" s="1"/>
  <c r="I12" i="26"/>
  <c r="K12" i="26" s="1"/>
  <c r="I11" i="26"/>
  <c r="K11" i="26" s="1"/>
  <c r="S10" i="26"/>
  <c r="U10" i="26" s="1"/>
  <c r="S9" i="26"/>
  <c r="U9" i="26" s="1"/>
  <c r="I9" i="26"/>
  <c r="K9" i="26" s="1"/>
  <c r="S8" i="26"/>
  <c r="U8" i="26" s="1"/>
  <c r="I8" i="26"/>
  <c r="K8" i="26" s="1"/>
  <c r="S7" i="26"/>
  <c r="U7" i="26" s="1"/>
  <c r="I7" i="26"/>
  <c r="K7" i="26" s="1"/>
  <c r="M6" i="7"/>
  <c r="M7" i="7"/>
  <c r="M9" i="7"/>
  <c r="M10" i="7"/>
  <c r="M11" i="7"/>
  <c r="M12" i="7"/>
  <c r="M13" i="7"/>
  <c r="M14" i="7"/>
  <c r="M15" i="7"/>
  <c r="M16" i="7"/>
  <c r="M18" i="7"/>
  <c r="M19" i="7"/>
  <c r="M20" i="7"/>
  <c r="M21" i="7"/>
  <c r="M22" i="7"/>
  <c r="M23" i="7"/>
  <c r="M24" i="7"/>
  <c r="M25" i="7"/>
  <c r="M26" i="7"/>
  <c r="M27" i="7"/>
  <c r="M31" i="7"/>
  <c r="M32" i="7"/>
  <c r="M33" i="7"/>
  <c r="M34" i="7"/>
  <c r="M36" i="7"/>
  <c r="G36" i="7" s="1"/>
  <c r="M37" i="7"/>
  <c r="M38" i="7"/>
  <c r="M39" i="7"/>
  <c r="M40" i="7"/>
  <c r="M41" i="7"/>
  <c r="M42" i="7"/>
  <c r="M43" i="7"/>
  <c r="O43" i="7"/>
  <c r="M44" i="7"/>
  <c r="M45" i="7"/>
  <c r="M46" i="7"/>
  <c r="M47" i="7"/>
  <c r="M48" i="7"/>
  <c r="M49" i="7"/>
  <c r="M50" i="7"/>
  <c r="M51" i="7"/>
  <c r="M52" i="7"/>
  <c r="M53" i="7"/>
  <c r="M54" i="7"/>
  <c r="M55" i="7"/>
  <c r="M56" i="7"/>
  <c r="M57" i="7"/>
  <c r="M58" i="7"/>
  <c r="M59" i="7"/>
  <c r="M60" i="7"/>
  <c r="O60" i="7"/>
  <c r="M61" i="7"/>
  <c r="M62" i="7"/>
  <c r="M63" i="7"/>
  <c r="M64" i="7"/>
  <c r="M65" i="7"/>
  <c r="M66" i="7"/>
  <c r="M67" i="7"/>
  <c r="M68" i="7"/>
  <c r="M69" i="7"/>
  <c r="M70" i="7"/>
  <c r="M5" i="7"/>
  <c r="O55" i="7"/>
  <c r="O57" i="7"/>
  <c r="O58" i="7"/>
  <c r="O59" i="7"/>
  <c r="O61" i="7"/>
  <c r="O62" i="7"/>
  <c r="O63" i="7"/>
  <c r="O64" i="7"/>
  <c r="O65" i="7"/>
  <c r="O66" i="7"/>
  <c r="O67" i="7"/>
  <c r="O68" i="7"/>
  <c r="O69" i="7"/>
  <c r="O70" i="7"/>
  <c r="N46" i="7"/>
  <c r="N47" i="7"/>
  <c r="O47" i="7"/>
  <c r="N48" i="7"/>
  <c r="N49" i="7"/>
  <c r="N50" i="7"/>
  <c r="N51" i="7"/>
  <c r="N52" i="7"/>
  <c r="N53" i="7"/>
  <c r="N54" i="7"/>
  <c r="N55" i="7"/>
  <c r="N56" i="7"/>
  <c r="N57" i="7"/>
  <c r="N58" i="7"/>
  <c r="N59" i="7"/>
  <c r="N60" i="7"/>
  <c r="N61" i="7"/>
  <c r="N62" i="7"/>
  <c r="N63" i="7"/>
  <c r="N64" i="7"/>
  <c r="N65" i="7"/>
  <c r="N66" i="7"/>
  <c r="N67" i="7"/>
  <c r="N68" i="7"/>
  <c r="N69" i="7"/>
  <c r="N70" i="7"/>
  <c r="L38" i="16"/>
  <c r="C4" i="10"/>
  <c r="N42" i="7"/>
  <c r="N41" i="7"/>
  <c r="N44" i="7"/>
  <c r="N37" i="7"/>
  <c r="N45" i="7"/>
  <c r="N40" i="7"/>
  <c r="N43" i="7"/>
  <c r="N36" i="7"/>
  <c r="I10" i="26"/>
  <c r="K10" i="26" s="1"/>
  <c r="I6" i="26"/>
  <c r="K6" i="26" s="1"/>
  <c r="N38" i="7"/>
  <c r="N39" i="7"/>
  <c r="O56" i="7"/>
  <c r="O54" i="7"/>
  <c r="O53" i="7"/>
  <c r="O52" i="7"/>
  <c r="O48" i="7"/>
  <c r="O46" i="7"/>
  <c r="O45" i="7"/>
  <c r="O44" i="7"/>
  <c r="O39" i="7"/>
  <c r="L40" i="37"/>
  <c r="L41" i="37"/>
  <c r="L39" i="37"/>
  <c r="L38" i="37"/>
  <c r="O51" i="7"/>
  <c r="O49" i="7"/>
  <c r="O50" i="7"/>
  <c r="O41" i="7"/>
  <c r="O40" i="7"/>
  <c r="O42" i="7"/>
  <c r="O37" i="7"/>
  <c r="L38" i="30"/>
  <c r="U4" i="26"/>
  <c r="M25" i="46"/>
  <c r="D7" i="11"/>
  <c r="F18" i="11"/>
  <c r="D97" i="26"/>
  <c r="M9" i="46"/>
  <c r="C2" i="47"/>
  <c r="M7" i="46"/>
  <c r="M10" i="46"/>
  <c r="M6" i="46"/>
  <c r="M23" i="46"/>
  <c r="M19" i="46"/>
  <c r="M2" i="46"/>
  <c r="M20" i="46"/>
  <c r="M13" i="46"/>
  <c r="O38" i="7"/>
  <c r="F11" i="38"/>
  <c r="G11" i="38"/>
  <c r="AA38" i="13"/>
  <c r="AA41" i="13"/>
  <c r="F137" i="17"/>
  <c r="M28" i="46"/>
  <c r="M32" i="46"/>
  <c r="H17" i="11"/>
  <c r="J17" i="11" s="1"/>
  <c r="D6" i="11"/>
  <c r="G19" i="12"/>
  <c r="A13" i="10"/>
  <c r="F1581" i="64" l="1"/>
  <c r="J1581" i="64" s="1"/>
  <c r="F1594" i="64"/>
  <c r="J1594" i="64" s="1"/>
  <c r="F1595" i="64"/>
  <c r="J1595" i="64" s="1"/>
  <c r="G35" i="7"/>
  <c r="G34" i="7"/>
  <c r="G33" i="7"/>
  <c r="M291" i="52"/>
  <c r="M304" i="52"/>
  <c r="M296" i="52"/>
  <c r="F1868" i="64"/>
  <c r="J1868" i="64" s="1"/>
  <c r="E13" i="10"/>
  <c r="M313" i="52"/>
  <c r="G29" i="7"/>
  <c r="G28" i="7"/>
  <c r="G32" i="7"/>
  <c r="G31" i="7"/>
  <c r="G27" i="7"/>
  <c r="G25" i="7"/>
  <c r="G30" i="7"/>
  <c r="G6" i="38"/>
  <c r="J2219" i="64"/>
  <c r="F767" i="64"/>
  <c r="J767" i="64" s="1"/>
  <c r="G11" i="7"/>
  <c r="B381" i="52"/>
  <c r="F1776" i="64" s="1" a="1"/>
  <c r="F1776" i="64" s="1"/>
  <c r="J1776" i="64" s="1"/>
  <c r="F1314" i="64"/>
  <c r="J1314" i="64" s="1"/>
  <c r="M290" i="52"/>
  <c r="J628" i="64"/>
  <c r="B380" i="52"/>
  <c r="F1770" i="64" s="1"/>
  <c r="J1770" i="64" s="1"/>
  <c r="G5" i="7"/>
  <c r="P20" i="25"/>
  <c r="G18" i="7"/>
  <c r="E15" i="12"/>
  <c r="D15" i="12"/>
  <c r="M298" i="52"/>
  <c r="M316" i="52"/>
  <c r="J112" i="64"/>
  <c r="J73" i="64"/>
  <c r="J75" i="64"/>
  <c r="J125" i="64"/>
  <c r="O36" i="7"/>
  <c r="J713" i="64"/>
  <c r="F2709" i="64"/>
  <c r="J2709" i="64" s="1"/>
  <c r="J2688" i="64"/>
  <c r="F2448" i="64"/>
  <c r="J2448" i="64" s="1"/>
  <c r="J2487" i="64"/>
  <c r="F2279" i="64"/>
  <c r="H2280" i="64" s="1"/>
  <c r="J2278" i="64"/>
  <c r="F2110" i="64"/>
  <c r="J2110" i="64" s="1"/>
  <c r="F1781" i="64"/>
  <c r="J1781" i="64" s="1"/>
  <c r="G1755" i="64"/>
  <c r="W44" i="17"/>
  <c r="Z43" i="17"/>
  <c r="AA43" i="17" s="1"/>
  <c r="B382" i="52"/>
  <c r="F1778" i="64" s="1"/>
  <c r="J1778" i="64" s="1"/>
  <c r="M307" i="52"/>
  <c r="W96" i="17"/>
  <c r="M312" i="52"/>
  <c r="W28" i="17"/>
  <c r="G24" i="7"/>
  <c r="G23" i="7"/>
  <c r="AB32" i="17"/>
  <c r="G26" i="7"/>
  <c r="F158" i="17"/>
  <c r="AB5" i="17"/>
  <c r="Z6" i="17"/>
  <c r="Z7" i="17" s="1"/>
  <c r="AA7" i="17" s="1"/>
  <c r="AA47" i="17"/>
  <c r="AB77" i="17"/>
  <c r="AB83" i="17"/>
  <c r="W52" i="17"/>
  <c r="H157" i="17"/>
  <c r="W134" i="17"/>
  <c r="AB74" i="17"/>
  <c r="W76" i="17"/>
  <c r="AB50" i="17"/>
  <c r="AA80" i="17"/>
  <c r="AB65" i="17"/>
  <c r="AB20" i="17"/>
  <c r="AB68" i="17"/>
  <c r="AB14" i="17"/>
  <c r="AB80" i="17"/>
  <c r="AB2" i="17"/>
  <c r="F196" i="52"/>
  <c r="G1724" i="64" s="1"/>
  <c r="F276" i="52"/>
  <c r="G1719" i="64" s="1"/>
  <c r="F4" i="52"/>
  <c r="G1709" i="64" s="1"/>
  <c r="M196" i="52"/>
  <c r="G1726" i="64" s="1"/>
  <c r="F324" i="52"/>
  <c r="C363" i="52" s="1"/>
  <c r="F132" i="52"/>
  <c r="C364" i="52" s="1"/>
  <c r="M324" i="52"/>
  <c r="C371" i="52" s="1"/>
  <c r="M132" i="52"/>
  <c r="C372" i="52" s="1"/>
  <c r="F228" i="52"/>
  <c r="G1717" i="64" s="1"/>
  <c r="F2036" i="64"/>
  <c r="F2022" i="64"/>
  <c r="J2022" i="64" s="1"/>
  <c r="F2013" i="64"/>
  <c r="J2013" i="64" s="1"/>
  <c r="F2009" i="64"/>
  <c r="J2009" i="64" s="1"/>
  <c r="F2005" i="64"/>
  <c r="J2005" i="64" s="1"/>
  <c r="F2038" i="64"/>
  <c r="J2038" i="64" s="1"/>
  <c r="F2015" i="64"/>
  <c r="J2015" i="64" s="1"/>
  <c r="F2034" i="64"/>
  <c r="J2034" i="64" s="1"/>
  <c r="F2011" i="64"/>
  <c r="J2011" i="64" s="1"/>
  <c r="F2007" i="64"/>
  <c r="J2007" i="64" s="1"/>
  <c r="F2024" i="64"/>
  <c r="J2024" i="64" s="1"/>
  <c r="F2020" i="64"/>
  <c r="J2020" i="64" s="1"/>
  <c r="M299" i="52"/>
  <c r="M306" i="52"/>
  <c r="M314" i="52"/>
  <c r="F1313" i="64"/>
  <c r="J1313" i="64" s="1"/>
  <c r="F1315" i="64"/>
  <c r="J1315" i="64" s="1"/>
  <c r="F190" i="64"/>
  <c r="F595" i="64"/>
  <c r="F185" i="64"/>
  <c r="F186" i="64"/>
  <c r="G27" i="11"/>
  <c r="F1872" i="64"/>
  <c r="J1872" i="64" s="1"/>
  <c r="F189" i="64"/>
  <c r="J1920" i="64"/>
  <c r="J1187" i="64"/>
  <c r="F1580" i="64"/>
  <c r="J1580" i="64" s="1"/>
  <c r="F1579" i="64"/>
  <c r="J1579" i="64" s="1"/>
  <c r="F2786" i="64"/>
  <c r="G24" i="11"/>
  <c r="E389" i="52"/>
  <c r="E396" i="52"/>
  <c r="F1749" i="64" s="1"/>
  <c r="J1749" i="64" s="1"/>
  <c r="E390" i="52"/>
  <c r="F1739" i="64" s="1"/>
  <c r="J1739" i="64" s="1"/>
  <c r="F100" i="52"/>
  <c r="F164" i="52"/>
  <c r="G1721" i="64" s="1"/>
  <c r="M320" i="52"/>
  <c r="M288" i="52"/>
  <c r="M297" i="52"/>
  <c r="M289" i="52"/>
  <c r="M335" i="52"/>
  <c r="M343" i="52"/>
  <c r="M351" i="52"/>
  <c r="F337" i="52"/>
  <c r="F109" i="64"/>
  <c r="F1938" i="64"/>
  <c r="J1938" i="64" s="1"/>
  <c r="F1930" i="64"/>
  <c r="J1930" i="64" s="1"/>
  <c r="F1937" i="64"/>
  <c r="J1937" i="64" s="1"/>
  <c r="F1944" i="64"/>
  <c r="J1944" i="64" s="1"/>
  <c r="F1936" i="64"/>
  <c r="J1936" i="64" s="1"/>
  <c r="F1943" i="64"/>
  <c r="J1943" i="64" s="1"/>
  <c r="F1935" i="64"/>
  <c r="J1935" i="64" s="1"/>
  <c r="F1942" i="64"/>
  <c r="J1942" i="64" s="1"/>
  <c r="F1934" i="64"/>
  <c r="J1934" i="64" s="1"/>
  <c r="F1933" i="64"/>
  <c r="J1933" i="64" s="1"/>
  <c r="F1941" i="64"/>
  <c r="J1941" i="64" s="1"/>
  <c r="F1940" i="64"/>
  <c r="J1940" i="64" s="1"/>
  <c r="F1932" i="64"/>
  <c r="J1932" i="64" s="1"/>
  <c r="F1939" i="64"/>
  <c r="J1939" i="64" s="1"/>
  <c r="F1931" i="64"/>
  <c r="J1931" i="64" s="1"/>
  <c r="G36" i="9"/>
  <c r="G37" i="9"/>
  <c r="M318" i="52"/>
  <c r="F263" i="52"/>
  <c r="F240" i="52"/>
  <c r="F248" i="52"/>
  <c r="F256" i="52"/>
  <c r="M91" i="52"/>
  <c r="F461" i="64"/>
  <c r="F464" i="64"/>
  <c r="F454" i="64"/>
  <c r="F468" i="64"/>
  <c r="F460" i="64"/>
  <c r="F467" i="64"/>
  <c r="F458" i="64"/>
  <c r="F450" i="64"/>
  <c r="F462" i="64"/>
  <c r="F466" i="64"/>
  <c r="F457" i="64"/>
  <c r="F465" i="64"/>
  <c r="F456" i="64"/>
  <c r="F183" i="64"/>
  <c r="J183" i="64" s="1"/>
  <c r="F463" i="64"/>
  <c r="F453" i="64"/>
  <c r="J453" i="64" s="1"/>
  <c r="F202" i="64"/>
  <c r="F201" i="64"/>
  <c r="F200" i="64"/>
  <c r="F198" i="64"/>
  <c r="F199" i="64"/>
  <c r="F197" i="64"/>
  <c r="AB23" i="17"/>
  <c r="AB71" i="17"/>
  <c r="AB8" i="17"/>
  <c r="Z61" i="17"/>
  <c r="AA61" i="17" s="1"/>
  <c r="AB53" i="17"/>
  <c r="G160" i="17"/>
  <c r="AB47" i="17"/>
  <c r="AB44" i="17"/>
  <c r="Z27" i="17"/>
  <c r="AA27" i="17" s="1"/>
  <c r="AB38" i="17"/>
  <c r="F160" i="17"/>
  <c r="AB29" i="17"/>
  <c r="AB35" i="17"/>
  <c r="AB11" i="17"/>
  <c r="Z69" i="17"/>
  <c r="Z70" i="17" s="1"/>
  <c r="AA70" i="17" s="1"/>
  <c r="M347" i="52"/>
  <c r="M105" i="52"/>
  <c r="M107" i="52"/>
  <c r="M121" i="52"/>
  <c r="Z85" i="17"/>
  <c r="AA85" i="17" s="1"/>
  <c r="AA84" i="17"/>
  <c r="I158" i="17"/>
  <c r="E158" i="17"/>
  <c r="F234" i="52"/>
  <c r="F242" i="52"/>
  <c r="F250" i="52"/>
  <c r="F258" i="52"/>
  <c r="F266" i="52"/>
  <c r="F334" i="52"/>
  <c r="F342" i="52"/>
  <c r="F350" i="52"/>
  <c r="M332" i="52"/>
  <c r="M340" i="52"/>
  <c r="M348" i="52"/>
  <c r="F295" i="52"/>
  <c r="W72" i="17"/>
  <c r="W80" i="17"/>
  <c r="I33" i="25" s="1"/>
  <c r="K33" i="25" s="1"/>
  <c r="W82" i="17"/>
  <c r="F335" i="52"/>
  <c r="M333" i="52"/>
  <c r="M349" i="52"/>
  <c r="W68" i="17"/>
  <c r="W14" i="17"/>
  <c r="AA83" i="17"/>
  <c r="F161" i="17"/>
  <c r="W130" i="17"/>
  <c r="W60" i="17"/>
  <c r="AB59" i="17"/>
  <c r="W46" i="17"/>
  <c r="W102" i="17"/>
  <c r="AB89" i="17"/>
  <c r="AB26" i="17"/>
  <c r="B56" i="37"/>
  <c r="AA41" i="17"/>
  <c r="AB86" i="17"/>
  <c r="Z39" i="17"/>
  <c r="Z40" i="17" s="1"/>
  <c r="AA40" i="17" s="1"/>
  <c r="AA48" i="17"/>
  <c r="Z49" i="17"/>
  <c r="AA49" i="17" s="1"/>
  <c r="AA81" i="17"/>
  <c r="Z82" i="17"/>
  <c r="AA82" i="17" s="1"/>
  <c r="G156" i="17"/>
  <c r="B54" i="37"/>
  <c r="W70" i="17"/>
  <c r="W62" i="17"/>
  <c r="B52" i="37"/>
  <c r="B55" i="37"/>
  <c r="W106" i="17"/>
  <c r="M175" i="52"/>
  <c r="M177" i="52"/>
  <c r="F257" i="52"/>
  <c r="F1003" i="64"/>
  <c r="J1003" i="64" s="1"/>
  <c r="I159" i="17"/>
  <c r="W20" i="17"/>
  <c r="W114" i="17"/>
  <c r="Z24" i="17"/>
  <c r="AA62" i="17"/>
  <c r="F136" i="52"/>
  <c r="F144" i="52"/>
  <c r="F148" i="52"/>
  <c r="F156" i="52"/>
  <c r="F160" i="52"/>
  <c r="M168" i="52"/>
  <c r="F259" i="52"/>
  <c r="F159" i="17"/>
  <c r="H159" i="17"/>
  <c r="M342" i="52"/>
  <c r="B57" i="37"/>
  <c r="H156" i="17"/>
  <c r="H17" i="9"/>
  <c r="M331" i="52"/>
  <c r="M339" i="52"/>
  <c r="M341" i="52"/>
  <c r="F328" i="52"/>
  <c r="F336" i="52"/>
  <c r="F344" i="52"/>
  <c r="F352" i="52"/>
  <c r="F343" i="52"/>
  <c r="F333" i="52"/>
  <c r="F351" i="52"/>
  <c r="F339" i="52"/>
  <c r="M283" i="52"/>
  <c r="M282" i="52"/>
  <c r="F301" i="52"/>
  <c r="F309" i="52"/>
  <c r="F284" i="52"/>
  <c r="F292" i="52"/>
  <c r="F300" i="52"/>
  <c r="F308" i="52"/>
  <c r="F316" i="52"/>
  <c r="F311" i="52"/>
  <c r="F319" i="52"/>
  <c r="F282" i="52"/>
  <c r="F290" i="52"/>
  <c r="F298" i="52"/>
  <c r="F306" i="52"/>
  <c r="F314" i="52"/>
  <c r="M237" i="52"/>
  <c r="M245" i="52"/>
  <c r="M253" i="52"/>
  <c r="M261" i="52"/>
  <c r="M269" i="52"/>
  <c r="F236" i="52"/>
  <c r="F244" i="52"/>
  <c r="F252" i="52"/>
  <c r="F260" i="52"/>
  <c r="F268" i="52"/>
  <c r="F239" i="52"/>
  <c r="F247" i="52"/>
  <c r="F255" i="52"/>
  <c r="F271" i="52"/>
  <c r="F241" i="52"/>
  <c r="F249" i="52"/>
  <c r="F235" i="52"/>
  <c r="F243" i="52"/>
  <c r="F267" i="52"/>
  <c r="M223" i="52"/>
  <c r="F212" i="52"/>
  <c r="F170" i="52"/>
  <c r="M141" i="52"/>
  <c r="M157" i="52"/>
  <c r="F137" i="52"/>
  <c r="F139" i="52"/>
  <c r="M58" i="52"/>
  <c r="AA63" i="17"/>
  <c r="Z64" i="17"/>
  <c r="AA64" i="17" s="1"/>
  <c r="Z55" i="17"/>
  <c r="AA55" i="17" s="1"/>
  <c r="AA54" i="17"/>
  <c r="AA77" i="17"/>
  <c r="F179" i="52"/>
  <c r="F183" i="52"/>
  <c r="M205" i="52"/>
  <c r="M219" i="52"/>
  <c r="F329" i="52"/>
  <c r="B46" i="13"/>
  <c r="W40" i="17"/>
  <c r="W22" i="17"/>
  <c r="W104" i="17"/>
  <c r="W92" i="17"/>
  <c r="W36" i="17"/>
  <c r="AA53" i="17"/>
  <c r="AB62" i="17"/>
  <c r="F157" i="17"/>
  <c r="W26" i="17"/>
  <c r="W78" i="17"/>
  <c r="H158" i="17"/>
  <c r="E159" i="17"/>
  <c r="AB41" i="17"/>
  <c r="Z79" i="17"/>
  <c r="AA79" i="17" s="1"/>
  <c r="AB56" i="17"/>
  <c r="AA59" i="17"/>
  <c r="F305" i="52"/>
  <c r="I157" i="17"/>
  <c r="AA74" i="17"/>
  <c r="E157" i="17"/>
  <c r="Z57" i="17"/>
  <c r="Z18" i="17"/>
  <c r="Z19" i="17" s="1"/>
  <c r="AA19" i="17" s="1"/>
  <c r="AA32" i="17"/>
  <c r="AA51" i="17"/>
  <c r="D113" i="17"/>
  <c r="F11" i="52"/>
  <c r="F15" i="52"/>
  <c r="F17" i="52"/>
  <c r="F19" i="52"/>
  <c r="F21" i="52"/>
  <c r="F23" i="52"/>
  <c r="F27" i="52"/>
  <c r="F33" i="52"/>
  <c r="F35" i="52"/>
  <c r="F37" i="52"/>
  <c r="F43" i="52"/>
  <c r="F45" i="52"/>
  <c r="F47" i="52"/>
  <c r="Z37" i="17"/>
  <c r="AA37" i="17" s="1"/>
  <c r="AA36" i="17"/>
  <c r="Z34" i="17"/>
  <c r="AA34" i="17" s="1"/>
  <c r="AA33" i="17"/>
  <c r="H2277" i="64"/>
  <c r="I89" i="26"/>
  <c r="F2276" i="64" s="1"/>
  <c r="G1718" i="64"/>
  <c r="C366" i="52"/>
  <c r="AA30" i="17"/>
  <c r="Z31" i="17"/>
  <c r="AA31" i="17" s="1"/>
  <c r="F63" i="52"/>
  <c r="F89" i="52"/>
  <c r="W64" i="17"/>
  <c r="W48" i="17"/>
  <c r="W84" i="17"/>
  <c r="W148" i="17"/>
  <c r="W30" i="17"/>
  <c r="Z73" i="17"/>
  <c r="AA73" i="17" s="1"/>
  <c r="W118" i="17"/>
  <c r="AA50" i="17"/>
  <c r="W34" i="17"/>
  <c r="E161" i="17"/>
  <c r="I161" i="17"/>
  <c r="H161" i="17"/>
  <c r="W100" i="17"/>
  <c r="W116" i="17"/>
  <c r="W124" i="17"/>
  <c r="W150" i="17"/>
  <c r="W140" i="17"/>
  <c r="W122" i="17"/>
  <c r="W42" i="17"/>
  <c r="W98" i="17"/>
  <c r="W88" i="17"/>
  <c r="Z45" i="17"/>
  <c r="E156" i="17"/>
  <c r="Z4" i="17"/>
  <c r="AA4" i="17" s="1"/>
  <c r="Z12" i="17"/>
  <c r="AA35" i="17"/>
  <c r="W32" i="17"/>
  <c r="W38" i="17"/>
  <c r="W24" i="17"/>
  <c r="H8" i="11" s="1"/>
  <c r="J8" i="11" s="1"/>
  <c r="W112" i="17"/>
  <c r="W94" i="17"/>
  <c r="W128" i="17"/>
  <c r="W108" i="17"/>
  <c r="W144" i="17"/>
  <c r="AA66" i="17"/>
  <c r="AA71" i="17"/>
  <c r="M144" i="52"/>
  <c r="M146" i="52"/>
  <c r="M150" i="52"/>
  <c r="M152" i="52"/>
  <c r="M154" i="52"/>
  <c r="M156" i="52"/>
  <c r="M158" i="52"/>
  <c r="M160" i="52"/>
  <c r="F104" i="52"/>
  <c r="F106" i="52"/>
  <c r="F108" i="52"/>
  <c r="F110" i="52"/>
  <c r="F112" i="52"/>
  <c r="F114" i="52"/>
  <c r="F116" i="52"/>
  <c r="F120" i="52"/>
  <c r="F122" i="52"/>
  <c r="F126" i="52"/>
  <c r="F128" i="52"/>
  <c r="M184" i="52"/>
  <c r="W136" i="17"/>
  <c r="W16" i="17"/>
  <c r="W90" i="17"/>
  <c r="I160" i="17"/>
  <c r="W58" i="17"/>
  <c r="W18" i="17"/>
  <c r="W86" i="17"/>
  <c r="W12" i="17"/>
  <c r="W126" i="17"/>
  <c r="AA29" i="17"/>
  <c r="C368" i="52"/>
  <c r="Z76" i="17"/>
  <c r="AA76" i="17" s="1"/>
  <c r="W146" i="17"/>
  <c r="W110" i="17"/>
  <c r="W120" i="17"/>
  <c r="E160" i="17"/>
  <c r="W142" i="17"/>
  <c r="W132" i="17"/>
  <c r="W10" i="17"/>
  <c r="W66" i="17"/>
  <c r="W74" i="17"/>
  <c r="I156" i="17"/>
  <c r="AD36" i="13"/>
  <c r="F1009" i="64" s="1"/>
  <c r="J1009" i="64" s="1"/>
  <c r="Z21" i="17"/>
  <c r="F20" i="52"/>
  <c r="F30" i="52"/>
  <c r="F32" i="52"/>
  <c r="F34" i="52"/>
  <c r="F36" i="52"/>
  <c r="F40" i="52"/>
  <c r="B53" i="37"/>
  <c r="Z87" i="17"/>
  <c r="AA65" i="17"/>
  <c r="Z9" i="17"/>
  <c r="Z15" i="17"/>
  <c r="F287" i="52"/>
  <c r="F303" i="52"/>
  <c r="P49" i="25"/>
  <c r="P47" i="25"/>
  <c r="M10" i="52"/>
  <c r="M12" i="52"/>
  <c r="M14" i="52"/>
  <c r="M16" i="52"/>
  <c r="M18" i="52"/>
  <c r="M20" i="52"/>
  <c r="M22" i="52"/>
  <c r="M24" i="52"/>
  <c r="M26" i="52"/>
  <c r="M28" i="52"/>
  <c r="M30" i="52"/>
  <c r="M32" i="52"/>
  <c r="M34" i="52"/>
  <c r="M36" i="52"/>
  <c r="M38" i="52"/>
  <c r="M40" i="52"/>
  <c r="M42" i="52"/>
  <c r="M44" i="52"/>
  <c r="M46" i="52"/>
  <c r="M62" i="52"/>
  <c r="M74" i="52"/>
  <c r="M76" i="52"/>
  <c r="M78" i="52"/>
  <c r="F141" i="52"/>
  <c r="F151" i="52"/>
  <c r="F155" i="52"/>
  <c r="M213" i="52"/>
  <c r="M286" i="52"/>
  <c r="M294" i="52"/>
  <c r="C1750" i="64"/>
  <c r="F238" i="52"/>
  <c r="F246" i="52"/>
  <c r="F254" i="52"/>
  <c r="F262" i="52"/>
  <c r="F270" i="52"/>
  <c r="F330" i="52"/>
  <c r="F338" i="52"/>
  <c r="F346" i="52"/>
  <c r="H1750" i="64"/>
  <c r="M206" i="52"/>
  <c r="M208" i="52"/>
  <c r="M222" i="52"/>
  <c r="F232" i="52"/>
  <c r="F264" i="52"/>
  <c r="F272" i="52"/>
  <c r="F331" i="52"/>
  <c r="M329" i="52"/>
  <c r="M337" i="52"/>
  <c r="F599" i="64"/>
  <c r="F577" i="64"/>
  <c r="C1748" i="64"/>
  <c r="C1745" i="64"/>
  <c r="C1727" i="64"/>
  <c r="C1730" i="64"/>
  <c r="G6" i="7"/>
  <c r="P24" i="25"/>
  <c r="P26" i="25" s="1"/>
  <c r="G9" i="7"/>
  <c r="F2509" i="64" s="1"/>
  <c r="J2509" i="64" s="1"/>
  <c r="G8" i="7"/>
  <c r="G7" i="7"/>
  <c r="D113" i="25"/>
  <c r="M338" i="52"/>
  <c r="M346" i="52"/>
  <c r="M345" i="52"/>
  <c r="M330" i="52"/>
  <c r="F345" i="52"/>
  <c r="F347" i="52"/>
  <c r="M287" i="52"/>
  <c r="F286" i="52"/>
  <c r="F283" i="52"/>
  <c r="F299" i="52"/>
  <c r="F307" i="52"/>
  <c r="F315" i="52"/>
  <c r="F251" i="52"/>
  <c r="M224" i="52"/>
  <c r="M215" i="52"/>
  <c r="M221" i="52"/>
  <c r="M210" i="52"/>
  <c r="F200" i="52"/>
  <c r="F202" i="52"/>
  <c r="F204" i="52"/>
  <c r="F206" i="52"/>
  <c r="F208" i="52"/>
  <c r="F210" i="52"/>
  <c r="F218" i="52"/>
  <c r="F220" i="52"/>
  <c r="F222" i="52"/>
  <c r="F205" i="52"/>
  <c r="F207" i="52"/>
  <c r="M191" i="52"/>
  <c r="M172" i="52"/>
  <c r="M182" i="52"/>
  <c r="F187" i="52"/>
  <c r="F191" i="52"/>
  <c r="F171" i="52"/>
  <c r="F192" i="52"/>
  <c r="F182" i="52"/>
  <c r="F146" i="52"/>
  <c r="F150" i="52"/>
  <c r="D111" i="25"/>
  <c r="M336" i="52"/>
  <c r="M344" i="52"/>
  <c r="M352" i="52"/>
  <c r="M334" i="52"/>
  <c r="M350" i="52"/>
  <c r="F332" i="52"/>
  <c r="F340" i="52"/>
  <c r="F341" i="52"/>
  <c r="F349" i="52"/>
  <c r="F348" i="52"/>
  <c r="M295" i="52"/>
  <c r="M303" i="52"/>
  <c r="M311" i="52"/>
  <c r="M284" i="52"/>
  <c r="M285" i="52"/>
  <c r="M293" i="52"/>
  <c r="M301" i="52"/>
  <c r="M309" i="52"/>
  <c r="M317" i="52"/>
  <c r="F296" i="52"/>
  <c r="F281" i="52"/>
  <c r="F289" i="52"/>
  <c r="F297" i="52"/>
  <c r="F313" i="52"/>
  <c r="F291" i="52"/>
  <c r="F237" i="52"/>
  <c r="F245" i="52"/>
  <c r="F261" i="52"/>
  <c r="F269" i="52"/>
  <c r="F265" i="52"/>
  <c r="F253" i="52"/>
  <c r="M214" i="52"/>
  <c r="F201" i="52"/>
  <c r="M186" i="52"/>
  <c r="M188" i="52"/>
  <c r="M190" i="52"/>
  <c r="M192" i="52"/>
  <c r="M183" i="52"/>
  <c r="M180" i="52"/>
  <c r="F174" i="52"/>
  <c r="F178" i="52"/>
  <c r="F180" i="52"/>
  <c r="M137" i="52"/>
  <c r="M139" i="52"/>
  <c r="F158" i="52"/>
  <c r="M112" i="52"/>
  <c r="M114" i="52"/>
  <c r="M116" i="52"/>
  <c r="M118" i="52"/>
  <c r="M120" i="52"/>
  <c r="M124" i="52"/>
  <c r="F107" i="52"/>
  <c r="F111" i="52"/>
  <c r="F113" i="52"/>
  <c r="F115" i="52"/>
  <c r="F117" i="52"/>
  <c r="F123" i="52"/>
  <c r="F127" i="52"/>
  <c r="M86" i="52"/>
  <c r="M88" i="52"/>
  <c r="M80" i="52"/>
  <c r="M82" i="52"/>
  <c r="M85" i="52"/>
  <c r="F66" i="52"/>
  <c r="F72" i="52"/>
  <c r="F94" i="52"/>
  <c r="F57" i="52"/>
  <c r="F83" i="52"/>
  <c r="F93" i="52"/>
  <c r="F95" i="52"/>
  <c r="F64" i="52"/>
  <c r="F90" i="52"/>
  <c r="F96" i="52"/>
  <c r="F16" i="52"/>
  <c r="F26" i="52"/>
  <c r="F28" i="52"/>
  <c r="F38" i="52"/>
  <c r="F42" i="52"/>
  <c r="F44" i="52"/>
  <c r="F46" i="52"/>
  <c r="F9" i="52"/>
  <c r="AE46" i="13"/>
  <c r="F2297" i="64" a="1"/>
  <c r="F2297" i="64" s="1"/>
  <c r="J2297" i="64" s="1"/>
  <c r="F702" i="64" a="1"/>
  <c r="F702" i="64" s="1"/>
  <c r="F2296" i="64" a="1"/>
  <c r="F2296" i="64" s="1"/>
  <c r="J2296" i="64" s="1"/>
  <c r="F2293" i="64" a="1"/>
  <c r="F2293" i="64" s="1"/>
  <c r="J2293" i="64" s="1"/>
  <c r="F2262" i="64" a="1"/>
  <c r="F2262" i="64" s="1"/>
  <c r="J2262" i="64" s="1"/>
  <c r="J700" i="64"/>
  <c r="F2283" i="64" a="1"/>
  <c r="F2283" i="64" s="1"/>
  <c r="J2283" i="64" s="1"/>
  <c r="F2261" i="64" a="1"/>
  <c r="F2261" i="64" s="1"/>
  <c r="J2261" i="64" s="1"/>
  <c r="F341" i="64"/>
  <c r="F339" i="64"/>
  <c r="F331" i="64" a="1"/>
  <c r="F331" i="64" s="1"/>
  <c r="J331" i="64" s="1"/>
  <c r="F340" i="64"/>
  <c r="F358" i="64"/>
  <c r="F352" i="64"/>
  <c r="J352" i="64" s="1"/>
  <c r="F349" i="64"/>
  <c r="J349" i="64" s="1"/>
  <c r="F348" i="64"/>
  <c r="J348" i="64" s="1"/>
  <c r="F343" i="64"/>
  <c r="J343" i="64" s="1"/>
  <c r="F360" i="64"/>
  <c r="F351" i="64" a="1"/>
  <c r="F351" i="64" s="1"/>
  <c r="J351" i="64" s="1"/>
  <c r="F333" i="64"/>
  <c r="J333" i="64" s="1"/>
  <c r="F350" i="64"/>
  <c r="F342" i="64"/>
  <c r="F353" i="64"/>
  <c r="J353" i="64" s="1"/>
  <c r="F332" i="64"/>
  <c r="J332" i="64" s="1"/>
  <c r="F359" i="64"/>
  <c r="F338" i="64"/>
  <c r="H18" i="11"/>
  <c r="J18" i="11" s="1"/>
  <c r="C1723" i="64"/>
  <c r="C1734" i="64"/>
  <c r="C1755" i="64"/>
  <c r="C1733" i="64"/>
  <c r="C1732" i="64"/>
  <c r="C1722" i="64"/>
  <c r="C1740" i="64"/>
  <c r="C1728" i="64"/>
  <c r="C1738" i="64"/>
  <c r="C1747" i="64"/>
  <c r="C1744" i="64"/>
  <c r="C1719" i="64"/>
  <c r="C1735" i="64"/>
  <c r="C1714" i="64"/>
  <c r="C1713" i="64"/>
  <c r="C1736" i="64"/>
  <c r="C1746" i="64"/>
  <c r="C1720" i="64"/>
  <c r="C1754" i="64"/>
  <c r="C1742" i="64"/>
  <c r="G1734" i="64"/>
  <c r="C1729" i="64"/>
  <c r="C1717" i="64"/>
  <c r="C1741" i="64"/>
  <c r="C1743" i="64"/>
  <c r="C1718" i="64"/>
  <c r="C1725" i="64"/>
  <c r="G22" i="7"/>
  <c r="G21" i="7"/>
  <c r="G20" i="7"/>
  <c r="G19" i="7"/>
  <c r="G16" i="7"/>
  <c r="G15" i="7"/>
  <c r="G14" i="7"/>
  <c r="G13" i="7"/>
  <c r="G12" i="7"/>
  <c r="G10" i="7"/>
  <c r="P52" i="25"/>
  <c r="G17" i="7"/>
  <c r="W2" i="17"/>
  <c r="S29" i="25" s="1"/>
  <c r="U29" i="25" s="1"/>
  <c r="W8" i="17"/>
  <c r="W6" i="17"/>
  <c r="I83" i="25" s="1"/>
  <c r="K83" i="25" s="1"/>
  <c r="W4" i="17"/>
  <c r="W54" i="17"/>
  <c r="W50" i="17"/>
  <c r="W56" i="17"/>
  <c r="I80" i="25" s="1"/>
  <c r="F646" i="64" s="1"/>
  <c r="J646" i="64" s="1"/>
  <c r="F1748" i="64"/>
  <c r="J1748" i="64" s="1"/>
  <c r="H1748" i="64"/>
  <c r="J711" i="64"/>
  <c r="F1873" i="64"/>
  <c r="J1873" i="64" s="1"/>
  <c r="F1732" i="64"/>
  <c r="J1732" i="64" s="1"/>
  <c r="F1733" i="64"/>
  <c r="J1733" i="64" s="1"/>
  <c r="F73" i="52"/>
  <c r="M176" i="52"/>
  <c r="M178" i="52"/>
  <c r="F213" i="52"/>
  <c r="F215" i="52"/>
  <c r="F217" i="52"/>
  <c r="F219" i="52"/>
  <c r="F221" i="52"/>
  <c r="F223" i="52"/>
  <c r="B6" i="16"/>
  <c r="B37" i="16" s="1"/>
  <c r="M11" i="52"/>
  <c r="M13" i="52"/>
  <c r="M15" i="52"/>
  <c r="M17" i="52"/>
  <c r="M19" i="52"/>
  <c r="M21" i="52"/>
  <c r="M23" i="52"/>
  <c r="M25" i="52"/>
  <c r="M27" i="52"/>
  <c r="M29" i="52"/>
  <c r="M31" i="52"/>
  <c r="M33" i="52"/>
  <c r="M35" i="52"/>
  <c r="M37" i="52"/>
  <c r="M39" i="52"/>
  <c r="M41" i="52"/>
  <c r="M65" i="52"/>
  <c r="M67" i="52"/>
  <c r="M69" i="52"/>
  <c r="M71" i="52"/>
  <c r="M73" i="52"/>
  <c r="M75" i="52"/>
  <c r="M77" i="52"/>
  <c r="M79" i="52"/>
  <c r="M83" i="52"/>
  <c r="M87" i="52"/>
  <c r="M89" i="52"/>
  <c r="M113" i="52"/>
  <c r="M115" i="52"/>
  <c r="M119" i="52"/>
  <c r="M123" i="52"/>
  <c r="M149" i="52"/>
  <c r="M151" i="52"/>
  <c r="M153" i="52"/>
  <c r="M155" i="52"/>
  <c r="M171" i="52"/>
  <c r="M207" i="52"/>
  <c r="M209" i="52"/>
  <c r="M233" i="52"/>
  <c r="M241" i="52"/>
  <c r="M249" i="52"/>
  <c r="M257" i="52"/>
  <c r="M265" i="52"/>
  <c r="F36" i="64"/>
  <c r="F32" i="64"/>
  <c r="F172" i="64"/>
  <c r="J172" i="64" s="1"/>
  <c r="F170" i="64"/>
  <c r="F164" i="64"/>
  <c r="F168" i="64"/>
  <c r="F171" i="64"/>
  <c r="J171" i="64" s="1"/>
  <c r="F169" i="64"/>
  <c r="J169" i="64" s="1"/>
  <c r="F165" i="64"/>
  <c r="J165" i="64" s="1"/>
  <c r="M235" i="52"/>
  <c r="M243" i="52"/>
  <c r="M251" i="52"/>
  <c r="M259" i="52"/>
  <c r="M267" i="52"/>
  <c r="I101" i="25"/>
  <c r="S32" i="26"/>
  <c r="F2237" i="64" s="1"/>
  <c r="M71" i="7"/>
  <c r="M281" i="52"/>
  <c r="F285" i="52"/>
  <c r="F293" i="52"/>
  <c r="F317" i="52"/>
  <c r="F294" i="52"/>
  <c r="F302" i="52"/>
  <c r="F310" i="52"/>
  <c r="M236" i="52"/>
  <c r="M244" i="52"/>
  <c r="M252" i="52"/>
  <c r="M260" i="52"/>
  <c r="M268" i="52"/>
  <c r="M239" i="52"/>
  <c r="M247" i="52"/>
  <c r="M255" i="52"/>
  <c r="M263" i="52"/>
  <c r="M271" i="52"/>
  <c r="F233" i="52"/>
  <c r="M211" i="52"/>
  <c r="M216" i="52"/>
  <c r="M220" i="52"/>
  <c r="M201" i="52"/>
  <c r="M203" i="52"/>
  <c r="M212" i="52"/>
  <c r="M218" i="52"/>
  <c r="F211" i="52"/>
  <c r="F214" i="52"/>
  <c r="F203" i="52"/>
  <c r="F216" i="52"/>
  <c r="F209" i="52"/>
  <c r="F224" i="52"/>
  <c r="M170" i="52"/>
  <c r="M181" i="52"/>
  <c r="M174" i="52"/>
  <c r="M173" i="52"/>
  <c r="M169" i="52"/>
  <c r="M179" i="52"/>
  <c r="M187" i="52"/>
  <c r="M185" i="52"/>
  <c r="F186" i="52"/>
  <c r="F188" i="52"/>
  <c r="F190" i="52"/>
  <c r="F185" i="52"/>
  <c r="F177" i="52"/>
  <c r="F189" i="52"/>
  <c r="F176" i="52"/>
  <c r="M159" i="52"/>
  <c r="M142" i="52"/>
  <c r="M148" i="52"/>
  <c r="M143" i="52"/>
  <c r="M145" i="52"/>
  <c r="F153" i="52"/>
  <c r="F159" i="52"/>
  <c r="F143" i="52"/>
  <c r="F145" i="52"/>
  <c r="F147" i="52"/>
  <c r="F157" i="52"/>
  <c r="F142" i="52"/>
  <c r="F154" i="52"/>
  <c r="M109" i="52"/>
  <c r="M127" i="52"/>
  <c r="M128" i="52"/>
  <c r="M110" i="52"/>
  <c r="M57" i="52"/>
  <c r="M59" i="52"/>
  <c r="M93" i="52"/>
  <c r="M60" i="52"/>
  <c r="M68" i="52"/>
  <c r="M70" i="52"/>
  <c r="M72" i="52"/>
  <c r="M90" i="52"/>
  <c r="M81" i="52"/>
  <c r="M66" i="52"/>
  <c r="M92" i="52"/>
  <c r="M61" i="52"/>
  <c r="M63" i="52"/>
  <c r="F60" i="52"/>
  <c r="F87" i="52"/>
  <c r="F74" i="52"/>
  <c r="F82" i="52"/>
  <c r="F59" i="52"/>
  <c r="F88" i="52"/>
  <c r="F77" i="52"/>
  <c r="F85" i="52"/>
  <c r="F91" i="52"/>
  <c r="F86" i="52"/>
  <c r="F65" i="52"/>
  <c r="F69" i="52"/>
  <c r="F75" i="52"/>
  <c r="F79" i="52"/>
  <c r="F39" i="52"/>
  <c r="F22" i="52"/>
  <c r="F24" i="52"/>
  <c r="F29" i="52"/>
  <c r="F31" i="52"/>
  <c r="F10" i="52"/>
  <c r="F12" i="52"/>
  <c r="F14" i="52"/>
  <c r="AD34" i="13"/>
  <c r="AE34" i="13" s="1"/>
  <c r="AD33" i="13"/>
  <c r="AE33" i="13" s="1"/>
  <c r="AD40" i="13"/>
  <c r="AE40" i="13" s="1"/>
  <c r="AD41" i="13"/>
  <c r="AE41" i="13" s="1"/>
  <c r="AD32" i="13"/>
  <c r="AE32" i="13" s="1"/>
  <c r="AD38" i="13"/>
  <c r="AE38" i="13" s="1"/>
  <c r="AD39" i="13"/>
  <c r="AE39" i="13" s="1"/>
  <c r="U54" i="25"/>
  <c r="F280" i="52"/>
  <c r="F288" i="52"/>
  <c r="F304" i="52"/>
  <c r="F312" i="52"/>
  <c r="F320" i="52"/>
  <c r="F318" i="52"/>
  <c r="M234" i="52"/>
  <c r="M242" i="52"/>
  <c r="M250" i="52"/>
  <c r="M258" i="52"/>
  <c r="M266" i="52"/>
  <c r="M238" i="52"/>
  <c r="M246" i="52"/>
  <c r="M254" i="52"/>
  <c r="M262" i="52"/>
  <c r="M270" i="52"/>
  <c r="M240" i="52"/>
  <c r="M248" i="52"/>
  <c r="M256" i="52"/>
  <c r="M264" i="52"/>
  <c r="M272" i="52"/>
  <c r="M202" i="52"/>
  <c r="M204" i="52"/>
  <c r="M217" i="52"/>
  <c r="M189" i="52"/>
  <c r="F172" i="52"/>
  <c r="F181" i="52"/>
  <c r="F169" i="52"/>
  <c r="F173" i="52"/>
  <c r="F168" i="52"/>
  <c r="F175" i="52"/>
  <c r="F184" i="52"/>
  <c r="M140" i="52"/>
  <c r="M147" i="52"/>
  <c r="M138" i="52"/>
  <c r="F138" i="52"/>
  <c r="F152" i="52"/>
  <c r="F140" i="52"/>
  <c r="F149" i="52"/>
  <c r="M122" i="52"/>
  <c r="M126" i="52"/>
  <c r="M111" i="52"/>
  <c r="M117" i="52"/>
  <c r="M106" i="52"/>
  <c r="M108" i="52"/>
  <c r="M125" i="52"/>
  <c r="F121" i="52"/>
  <c r="F109" i="52"/>
  <c r="F125" i="52"/>
  <c r="F118" i="52"/>
  <c r="F124" i="52"/>
  <c r="F105" i="52"/>
  <c r="F119" i="52"/>
  <c r="M95" i="52"/>
  <c r="M84" i="52"/>
  <c r="M64" i="52"/>
  <c r="M94" i="52"/>
  <c r="M96" i="52"/>
  <c r="F76" i="52"/>
  <c r="F68" i="52"/>
  <c r="F71" i="52"/>
  <c r="F78" i="52"/>
  <c r="F80" i="52"/>
  <c r="F61" i="52"/>
  <c r="F84" i="52"/>
  <c r="F56" i="52"/>
  <c r="F58" i="52"/>
  <c r="F67" i="52"/>
  <c r="F70" i="52"/>
  <c r="F62" i="52"/>
  <c r="F81" i="52"/>
  <c r="F92" i="52"/>
  <c r="M48" i="52"/>
  <c r="M43" i="52"/>
  <c r="M45" i="52"/>
  <c r="M47" i="52"/>
  <c r="M9" i="52"/>
  <c r="F13" i="52"/>
  <c r="F48" i="52"/>
  <c r="F25" i="52"/>
  <c r="F41" i="52"/>
  <c r="F8" i="52"/>
  <c r="F18" i="52"/>
  <c r="AD35" i="13"/>
  <c r="F1008" i="64" s="1"/>
  <c r="J1008" i="64" s="1"/>
  <c r="F1013" i="64"/>
  <c r="J1013" i="64" s="1"/>
  <c r="F1012" i="64"/>
  <c r="J1012" i="64" s="1"/>
  <c r="F1011" i="64"/>
  <c r="J1011" i="64" s="1"/>
  <c r="AD37" i="13"/>
  <c r="F1010" i="64" s="1"/>
  <c r="J1010" i="64" s="1"/>
  <c r="F698" i="64" a="1"/>
  <c r="F698" i="64" s="1"/>
  <c r="J698" i="64" s="1"/>
  <c r="F2287" i="64" a="1"/>
  <c r="F2287" i="64" s="1"/>
  <c r="J2287" i="64" s="1"/>
  <c r="M4" i="46"/>
  <c r="M16" i="46"/>
  <c r="M24" i="46"/>
  <c r="M30" i="46"/>
  <c r="M21" i="46"/>
  <c r="M11" i="46"/>
  <c r="M5" i="46"/>
  <c r="M27" i="46"/>
  <c r="M3" i="46"/>
  <c r="M15" i="46"/>
  <c r="M17" i="46"/>
  <c r="M34" i="46"/>
  <c r="M14" i="46"/>
  <c r="M31" i="46"/>
  <c r="M12" i="46"/>
  <c r="M18" i="46"/>
  <c r="R95" i="25"/>
  <c r="D43" i="16"/>
  <c r="J709" i="64" s="1"/>
  <c r="P23" i="7"/>
  <c r="D107" i="25"/>
  <c r="F188" i="64" s="1"/>
  <c r="F2598" i="64"/>
  <c r="J2598" i="64" s="1"/>
  <c r="F2590" i="64"/>
  <c r="J2590" i="64" s="1"/>
  <c r="F2334" i="64"/>
  <c r="J2334" i="64" s="1"/>
  <c r="F782" i="64"/>
  <c r="P70" i="7"/>
  <c r="P6" i="7"/>
  <c r="F2302" i="64" a="1"/>
  <c r="F2302" i="64" s="1"/>
  <c r="J2302" i="64" s="1"/>
  <c r="F2292" i="64" a="1"/>
  <c r="F2292" i="64" s="1"/>
  <c r="J2292" i="64" s="1"/>
  <c r="F2264" i="64" a="1"/>
  <c r="F2264" i="64" s="1"/>
  <c r="J2264" i="64" s="1"/>
  <c r="F2254" i="64" a="1"/>
  <c r="F2254" i="64" s="1"/>
  <c r="J2254" i="64" s="1"/>
  <c r="F2263" i="64" a="1"/>
  <c r="F2263" i="64" s="1"/>
  <c r="J2263" i="64" s="1"/>
  <c r="P55" i="7"/>
  <c r="M18" i="25"/>
  <c r="F693" i="64"/>
  <c r="J693" i="64" s="1"/>
  <c r="F2294" i="64" a="1"/>
  <c r="F2294" i="64" s="1"/>
  <c r="J2294" i="64" s="1"/>
  <c r="F2285" i="64" a="1"/>
  <c r="F2285" i="64" s="1"/>
  <c r="J2285" i="64" s="1"/>
  <c r="F2260" i="64" a="1"/>
  <c r="F2260" i="64" s="1"/>
  <c r="J2260" i="64" s="1"/>
  <c r="P43" i="7"/>
  <c r="P36" i="7"/>
  <c r="P31" i="7"/>
  <c r="AP41" i="15"/>
  <c r="I3" i="38"/>
  <c r="P59" i="7"/>
  <c r="P12" i="7"/>
  <c r="S55" i="15"/>
  <c r="B25" i="16"/>
  <c r="B45" i="30"/>
  <c r="F2578" i="64" s="1"/>
  <c r="J2578" i="64" s="1"/>
  <c r="F2701" i="64"/>
  <c r="J2701" i="64" s="1"/>
  <c r="F2585" i="64"/>
  <c r="J2585" i="64" s="1"/>
  <c r="P47" i="7"/>
  <c r="P67" i="7"/>
  <c r="P19" i="7"/>
  <c r="F717" i="64"/>
  <c r="J717" i="64" s="1"/>
  <c r="F2681" i="64" a="1"/>
  <c r="F2681" i="64" s="1"/>
  <c r="F718" i="64"/>
  <c r="J718" i="64" s="1"/>
  <c r="F719" i="64"/>
  <c r="J719" i="64" s="1"/>
  <c r="J715" i="64"/>
  <c r="F2672" i="64"/>
  <c r="J707" i="64"/>
  <c r="J21" i="11"/>
  <c r="P65" i="7"/>
  <c r="P52" i="7"/>
  <c r="P39" i="7"/>
  <c r="P28" i="7"/>
  <c r="P15" i="7"/>
  <c r="D114" i="25"/>
  <c r="P63" i="7"/>
  <c r="P50" i="7"/>
  <c r="P38" i="7"/>
  <c r="P27" i="7"/>
  <c r="P14" i="7"/>
  <c r="P60" i="7"/>
  <c r="P49" i="7"/>
  <c r="P37" i="7"/>
  <c r="P25" i="7"/>
  <c r="P13" i="7"/>
  <c r="P6" i="25"/>
  <c r="F2102" i="64"/>
  <c r="J2102" i="64" s="1"/>
  <c r="P69" i="7"/>
  <c r="P58" i="7"/>
  <c r="P46" i="7"/>
  <c r="P34" i="7"/>
  <c r="P22" i="7"/>
  <c r="P11" i="7"/>
  <c r="P68" i="7"/>
  <c r="P57" i="7"/>
  <c r="P45" i="7"/>
  <c r="P33" i="7"/>
  <c r="P21" i="7"/>
  <c r="P9" i="7"/>
  <c r="F2719" i="64"/>
  <c r="J2719" i="64" s="1"/>
  <c r="F2706" i="64"/>
  <c r="J2706" i="64" s="1"/>
  <c r="P66" i="7"/>
  <c r="P54" i="7"/>
  <c r="P42" i="7"/>
  <c r="P29" i="7"/>
  <c r="P18" i="7"/>
  <c r="P5" i="7"/>
  <c r="B460" i="46"/>
  <c r="F2319" i="64"/>
  <c r="J2319" i="64" s="1"/>
  <c r="F2311" i="64"/>
  <c r="J2311" i="64" s="1"/>
  <c r="F2318" i="64"/>
  <c r="J2318" i="64" s="1"/>
  <c r="F2310" i="64"/>
  <c r="J2310" i="64" s="1"/>
  <c r="F2316" i="64"/>
  <c r="J2316" i="64" s="1"/>
  <c r="F2308" i="64"/>
  <c r="J2308" i="64" s="1"/>
  <c r="F2325" i="64"/>
  <c r="J2325" i="64" s="1"/>
  <c r="F2317" i="64"/>
  <c r="J2317" i="64" s="1"/>
  <c r="F2309" i="64"/>
  <c r="J2309" i="64" s="1"/>
  <c r="F2323" i="64"/>
  <c r="J2323" i="64" s="1"/>
  <c r="F2315" i="64"/>
  <c r="J2315" i="64" s="1"/>
  <c r="F2307" i="64"/>
  <c r="J2307" i="64" s="1"/>
  <c r="F2321" i="64"/>
  <c r="J2321" i="64" s="1"/>
  <c r="F2313" i="64"/>
  <c r="J2313" i="64" s="1"/>
  <c r="F2305" i="64"/>
  <c r="J2305" i="64" s="1"/>
  <c r="F2320" i="64"/>
  <c r="J2320" i="64" s="1"/>
  <c r="F2312" i="64"/>
  <c r="J2312" i="64" s="1"/>
  <c r="F2306" i="64"/>
  <c r="J2306" i="64" s="1"/>
  <c r="F121" i="64"/>
  <c r="F106" i="64"/>
  <c r="F120" i="64"/>
  <c r="F105" i="64"/>
  <c r="F104" i="64"/>
  <c r="H27" i="12"/>
  <c r="F2083" i="64"/>
  <c r="J2083" i="64" s="1"/>
  <c r="F7" i="11"/>
  <c r="AP45" i="28"/>
  <c r="F383" i="64"/>
  <c r="O53" i="28"/>
  <c r="F399" i="64"/>
  <c r="J399" i="64" s="1"/>
  <c r="B50" i="30"/>
  <c r="G137" i="17"/>
  <c r="D19" i="2"/>
  <c r="B20" i="30"/>
  <c r="B21" i="30" s="1"/>
  <c r="B23" i="30" s="1"/>
  <c r="U22" i="28" s="1"/>
  <c r="AP22" i="28" s="1"/>
  <c r="F2711" i="64"/>
  <c r="J2711" i="64" s="1"/>
  <c r="AP11" i="28"/>
  <c r="U68" i="25"/>
  <c r="F2593" i="64"/>
  <c r="J2593" i="64" s="1"/>
  <c r="D33" i="26"/>
  <c r="F33" i="26" s="1"/>
  <c r="H33" i="26" s="1"/>
  <c r="F2244" i="64" s="1"/>
  <c r="AP42" i="15"/>
  <c r="B43" i="30"/>
  <c r="F2674" i="64" s="1"/>
  <c r="J2674" i="64" s="1"/>
  <c r="B16" i="30"/>
  <c r="P16" i="28" s="1"/>
  <c r="AP16" i="28" s="1"/>
  <c r="P61" i="7"/>
  <c r="P51" i="7"/>
  <c r="P41" i="7"/>
  <c r="P30" i="7"/>
  <c r="P20" i="7"/>
  <c r="P10" i="7"/>
  <c r="P5" i="25"/>
  <c r="F2582" i="64"/>
  <c r="J2582" i="64" s="1"/>
  <c r="F2689" i="64"/>
  <c r="J2689" i="64" s="1"/>
  <c r="F2646" i="64"/>
  <c r="J2646" i="64" s="1"/>
  <c r="F2580" i="64"/>
  <c r="J2580" i="64" s="1"/>
  <c r="B50" i="16"/>
  <c r="F2067" i="64"/>
  <c r="J2067" i="64" s="1"/>
  <c r="F1991" i="64" a="1"/>
  <c r="F1991" i="64" s="1"/>
  <c r="J1991" i="64" s="1"/>
  <c r="F1992" i="64" a="1"/>
  <c r="F1992" i="64" s="1"/>
  <c r="J1992" i="64" s="1"/>
  <c r="H2056" i="64"/>
  <c r="F1989" i="64" a="1"/>
  <c r="F1989" i="64" s="1"/>
  <c r="J1989" i="64" s="1"/>
  <c r="F1987" i="64" a="1"/>
  <c r="F1987" i="64" s="1"/>
  <c r="J1987" i="64" s="1"/>
  <c r="F2071" i="64"/>
  <c r="J2071" i="64" s="1"/>
  <c r="J30" i="11"/>
  <c r="B5" i="30"/>
  <c r="B7" i="30" s="1"/>
  <c r="Q6" i="28" s="1"/>
  <c r="AP6" i="28" s="1"/>
  <c r="F2054" i="64"/>
  <c r="J2054" i="64" s="1"/>
  <c r="H2054" i="64"/>
  <c r="I137" i="17"/>
  <c r="D100" i="26"/>
  <c r="D105" i="26" s="1"/>
  <c r="D106" i="26" s="1"/>
  <c r="F2117" i="64"/>
  <c r="J2117" i="64" s="1"/>
  <c r="AP31" i="15"/>
  <c r="AP32" i="15"/>
  <c r="AP34" i="15"/>
  <c r="F2058" i="64"/>
  <c r="J2058" i="64" s="1"/>
  <c r="H2058" i="64"/>
  <c r="F2586" i="64"/>
  <c r="J2586" i="64" s="1"/>
  <c r="F2594" i="64"/>
  <c r="J2594" i="64" s="1"/>
  <c r="F2587" i="64"/>
  <c r="J2587" i="64" s="1"/>
  <c r="F2595" i="64"/>
  <c r="J2595" i="64" s="1"/>
  <c r="F2588" i="64"/>
  <c r="J2588" i="64" s="1"/>
  <c r="F2596" i="64"/>
  <c r="J2596" i="64" s="1"/>
  <c r="F2589" i="64"/>
  <c r="J2589" i="64" s="1"/>
  <c r="F2597" i="64"/>
  <c r="J2597" i="64" s="1"/>
  <c r="F2583" i="64"/>
  <c r="J2583" i="64" s="1"/>
  <c r="F2591" i="64"/>
  <c r="J2591" i="64" s="1"/>
  <c r="F2599" i="64"/>
  <c r="J2599" i="64" s="1"/>
  <c r="F2584" i="64"/>
  <c r="J2584" i="64" s="1"/>
  <c r="F2592" i="64"/>
  <c r="J2592" i="64" s="1"/>
  <c r="H2052" i="64"/>
  <c r="F1988" i="64" a="1"/>
  <c r="F1988" i="64" s="1"/>
  <c r="J1988" i="64" s="1"/>
  <c r="F400" i="64"/>
  <c r="J400" i="64" s="1"/>
  <c r="F15" i="12"/>
  <c r="P70" i="26"/>
  <c r="P95" i="25"/>
  <c r="P62" i="7"/>
  <c r="P53" i="7"/>
  <c r="P44" i="7"/>
  <c r="P35" i="7"/>
  <c r="P26" i="7"/>
  <c r="P17" i="7"/>
  <c r="P7" i="7"/>
  <c r="F2449" i="64"/>
  <c r="J2449" i="64" s="1"/>
  <c r="AP15" i="28"/>
  <c r="F2739" i="64" a="1"/>
  <c r="F2739" i="64" s="1"/>
  <c r="J2739" i="64" s="1"/>
  <c r="L46" i="13"/>
  <c r="D64" i="26"/>
  <c r="F64" i="26" s="1"/>
  <c r="H64" i="26" s="1"/>
  <c r="F1744" i="64"/>
  <c r="J1744" i="64" s="1"/>
  <c r="H1744" i="64"/>
  <c r="C358" i="52"/>
  <c r="AP38" i="15"/>
  <c r="C369" i="52"/>
  <c r="AP19" i="28"/>
  <c r="AP33" i="15"/>
  <c r="AP37" i="15"/>
  <c r="C365" i="52"/>
  <c r="AP7" i="28"/>
  <c r="H1742" i="64"/>
  <c r="F1742" i="64"/>
  <c r="J1742" i="64" s="1"/>
  <c r="AP46" i="28"/>
  <c r="AP35" i="15"/>
  <c r="AP50" i="28"/>
  <c r="H2079" i="64"/>
  <c r="F2079" i="64"/>
  <c r="J2079" i="64" s="1"/>
  <c r="AP44" i="15"/>
  <c r="AP21" i="28"/>
  <c r="AP39" i="15"/>
  <c r="AP37" i="28"/>
  <c r="AP52" i="28"/>
  <c r="H2046" i="64"/>
  <c r="F2046" i="64"/>
  <c r="J2046" i="64" s="1"/>
  <c r="AP51" i="28"/>
  <c r="AP19" i="15"/>
  <c r="F2620" i="64"/>
  <c r="F703" i="64"/>
  <c r="J703" i="64" s="1"/>
  <c r="AP24" i="15"/>
  <c r="B379" i="52"/>
  <c r="F1760" i="64" s="1"/>
  <c r="J1760" i="64" s="1"/>
  <c r="AP17" i="15"/>
  <c r="AP36" i="28"/>
  <c r="AP29" i="15"/>
  <c r="AP30" i="15"/>
  <c r="F2062" i="64"/>
  <c r="J2062" i="64" s="1"/>
  <c r="F2050" i="64"/>
  <c r="J2050" i="64" s="1"/>
  <c r="F2073" i="64"/>
  <c r="J2073" i="64" s="1"/>
  <c r="H2073" i="64"/>
  <c r="D32" i="26"/>
  <c r="I31" i="26"/>
  <c r="F2225" i="64" s="1"/>
  <c r="F2226" i="64"/>
  <c r="J2226" i="64" s="1"/>
  <c r="F2628" i="64"/>
  <c r="J2628" i="64" s="1"/>
  <c r="F2543" i="64"/>
  <c r="J2543" i="64" s="1"/>
  <c r="B16" i="16"/>
  <c r="P16" i="15" s="1"/>
  <c r="P31" i="26"/>
  <c r="R31" i="26" s="1"/>
  <c r="F1986" i="64"/>
  <c r="J1986" i="64" s="1"/>
  <c r="B378" i="52"/>
  <c r="F1751" i="64" s="1"/>
  <c r="F679" i="64"/>
  <c r="C1" i="47"/>
  <c r="F2295" i="64" a="1"/>
  <c r="F2295" i="64" s="1"/>
  <c r="J2295" i="64" s="1"/>
  <c r="D34" i="26"/>
  <c r="F34" i="26" s="1"/>
  <c r="H34" i="26" s="1"/>
  <c r="I34" i="26" s="1"/>
  <c r="F401" i="64"/>
  <c r="J401" i="64" s="1"/>
  <c r="G14" i="12"/>
  <c r="F618" i="64"/>
  <c r="J618" i="64" s="1"/>
  <c r="P27" i="25"/>
  <c r="P16" i="7"/>
  <c r="P24" i="7"/>
  <c r="P32" i="7"/>
  <c r="P40" i="7"/>
  <c r="P48" i="7"/>
  <c r="P56" i="7"/>
  <c r="P64" i="7"/>
  <c r="U66" i="25"/>
  <c r="G30" i="12"/>
  <c r="D1" i="12"/>
  <c r="E28" i="12" s="1"/>
  <c r="F86" i="64"/>
  <c r="AP39" i="28"/>
  <c r="AP20" i="28"/>
  <c r="AP41" i="28"/>
  <c r="AP29" i="28"/>
  <c r="G162" i="17"/>
  <c r="H162" i="17"/>
  <c r="F162" i="17"/>
  <c r="E162" i="17"/>
  <c r="I162" i="17"/>
  <c r="AP32" i="28"/>
  <c r="AP35" i="28"/>
  <c r="AP10" i="28"/>
  <c r="AP14" i="28"/>
  <c r="AP24" i="28"/>
  <c r="AP23" i="28"/>
  <c r="AP30" i="28"/>
  <c r="H52" i="37"/>
  <c r="D162" i="17"/>
  <c r="C367" i="52"/>
  <c r="AP31" i="28"/>
  <c r="AP38" i="28"/>
  <c r="AP43" i="28"/>
  <c r="F46" i="13"/>
  <c r="AP8" i="28"/>
  <c r="AP17" i="28"/>
  <c r="AP18" i="28"/>
  <c r="AP33" i="28"/>
  <c r="AP36" i="15"/>
  <c r="AP34" i="28"/>
  <c r="AP9" i="28"/>
  <c r="AP12" i="28"/>
  <c r="E137" i="17"/>
  <c r="H137" i="17"/>
  <c r="AP13" i="28"/>
  <c r="AP42" i="28"/>
  <c r="F2740" i="64" a="1"/>
  <c r="F2740" i="64" s="1"/>
  <c r="J2740" i="64" s="1"/>
  <c r="F2741" i="64" a="1"/>
  <c r="F2741" i="64" s="1"/>
  <c r="J2741" i="64" s="1"/>
  <c r="F2738" i="64" a="1"/>
  <c r="F2738" i="64" s="1"/>
  <c r="J2738" i="64" s="1"/>
  <c r="F1738" i="64"/>
  <c r="J1738" i="64" s="1"/>
  <c r="H1738" i="64"/>
  <c r="H2069" i="64"/>
  <c r="F2081" i="64"/>
  <c r="J2081" i="64" s="1"/>
  <c r="H2060" i="64"/>
  <c r="F2737" i="64" a="1"/>
  <c r="F2737" i="64" s="1"/>
  <c r="J2737" i="64" s="1"/>
  <c r="H2077" i="64"/>
  <c r="F2118" i="64"/>
  <c r="J2118" i="64" s="1"/>
  <c r="F2103" i="64"/>
  <c r="J2103" i="64" s="1"/>
  <c r="H1740" i="64"/>
  <c r="F1740" i="64"/>
  <c r="J1740" i="64" s="1"/>
  <c r="AP11" i="15"/>
  <c r="B383" i="52"/>
  <c r="F1766" i="64" s="1"/>
  <c r="J1766" i="64" s="1"/>
  <c r="AP12" i="15"/>
  <c r="AP51" i="15"/>
  <c r="AP18" i="15"/>
  <c r="AP15" i="15"/>
  <c r="AP21" i="15"/>
  <c r="AP13" i="15"/>
  <c r="AP10" i="15"/>
  <c r="AP23" i="15"/>
  <c r="AP14" i="15"/>
  <c r="F2630" i="64"/>
  <c r="J2630" i="64" s="1"/>
  <c r="F689" i="64"/>
  <c r="F668" i="64"/>
  <c r="F695" i="64"/>
  <c r="J695" i="64" s="1"/>
  <c r="AP20" i="15"/>
  <c r="AP46" i="15"/>
  <c r="AP8" i="15"/>
  <c r="F2643" i="64"/>
  <c r="J2643" i="64" s="1"/>
  <c r="F697" i="64"/>
  <c r="AP47" i="15"/>
  <c r="AP52" i="15"/>
  <c r="F385" i="64"/>
  <c r="J385" i="64" s="1"/>
  <c r="F384" i="64"/>
  <c r="F394" i="64"/>
  <c r="F402" i="64"/>
  <c r="J402" i="64" s="1"/>
  <c r="F393" i="64"/>
  <c r="J393" i="64" s="1"/>
  <c r="C862" i="64" l="1"/>
  <c r="G862" i="64" s="1"/>
  <c r="F2380" i="64"/>
  <c r="J2380" i="64" s="1"/>
  <c r="F2379" i="64"/>
  <c r="J2379" i="64" s="1"/>
  <c r="F706" i="64"/>
  <c r="F726" i="64" s="1" a="1"/>
  <c r="F726" i="64" s="1"/>
  <c r="F92" i="64"/>
  <c r="J92" i="64" s="1"/>
  <c r="F93" i="64"/>
  <c r="J93" i="64" s="1"/>
  <c r="F90" i="64"/>
  <c r="J90" i="64" s="1"/>
  <c r="F91" i="64"/>
  <c r="J91" i="64" s="1"/>
  <c r="F94" i="64"/>
  <c r="J94" i="64" s="1"/>
  <c r="F95" i="64"/>
  <c r="J95" i="64" s="1"/>
  <c r="F89" i="64"/>
  <c r="J89" i="64" s="1"/>
  <c r="K8" i="25" a="1"/>
  <c r="K8" i="25" s="1"/>
  <c r="K50" i="25" a="1"/>
  <c r="K50" i="25" s="1"/>
  <c r="K52" i="25" a="1"/>
  <c r="K52" i="25" s="1"/>
  <c r="J1751" i="64"/>
  <c r="N8" i="7"/>
  <c r="O8" i="7" s="1"/>
  <c r="F964" i="64" a="1"/>
  <c r="F964" i="64" s="1"/>
  <c r="I12" i="25"/>
  <c r="I54" i="25"/>
  <c r="K54" i="25" s="1"/>
  <c r="J105" i="64"/>
  <c r="F10" i="10"/>
  <c r="F13" i="10"/>
  <c r="G13" i="10" s="1"/>
  <c r="K51" i="25" a="1"/>
  <c r="K51" i="25" s="1"/>
  <c r="K49" i="25" a="1"/>
  <c r="K49" i="25" s="1"/>
  <c r="K9" i="25" a="1"/>
  <c r="K9" i="25" s="1"/>
  <c r="K47" i="25" a="1"/>
  <c r="K47" i="25" s="1"/>
  <c r="K46" i="25" a="1"/>
  <c r="K46" i="25" s="1"/>
  <c r="I5" i="26"/>
  <c r="K5" i="26" s="1"/>
  <c r="K82" i="25" a="1"/>
  <c r="K82" i="25" s="1"/>
  <c r="E8" i="38"/>
  <c r="F8" i="38" s="1"/>
  <c r="G8" i="38" s="1"/>
  <c r="J8" i="38"/>
  <c r="N20" i="7"/>
  <c r="O20" i="7" s="1"/>
  <c r="E9" i="38"/>
  <c r="F9" i="38" s="1"/>
  <c r="J9" i="38"/>
  <c r="G9" i="38" s="1"/>
  <c r="J452" i="64"/>
  <c r="N18" i="7"/>
  <c r="O18" i="7" s="1"/>
  <c r="F962" i="64" a="1"/>
  <c r="F962" i="64" s="1"/>
  <c r="J962" i="64" s="1"/>
  <c r="F977" i="64" a="1"/>
  <c r="F977" i="64" s="1"/>
  <c r="J977" i="64" s="1"/>
  <c r="F1905" i="64"/>
  <c r="J1905" i="64" s="1"/>
  <c r="F1590" i="64"/>
  <c r="J1590" i="64" s="1"/>
  <c r="F2014" i="64"/>
  <c r="J2014" i="64" s="1"/>
  <c r="F644" i="64" a="1"/>
  <c r="F644" i="64" s="1"/>
  <c r="J644" i="64" s="1"/>
  <c r="F647" i="64" a="1"/>
  <c r="F647" i="64" s="1"/>
  <c r="J647" i="64" s="1"/>
  <c r="F630" i="64" a="1"/>
  <c r="F630" i="64" s="1"/>
  <c r="J630" i="64" s="1"/>
  <c r="J190" i="64"/>
  <c r="J461" i="64"/>
  <c r="J458" i="64"/>
  <c r="J466" i="64"/>
  <c r="J456" i="64"/>
  <c r="J460" i="64"/>
  <c r="J457" i="64"/>
  <c r="J467" i="64"/>
  <c r="J170" i="64"/>
  <c r="J350" i="64"/>
  <c r="J340" i="64"/>
  <c r="J342" i="64"/>
  <c r="J338" i="64"/>
  <c r="J339" i="64"/>
  <c r="J341" i="64"/>
  <c r="AA6" i="17"/>
  <c r="S57" i="25"/>
  <c r="U57" i="25" s="1"/>
  <c r="I13" i="25"/>
  <c r="K13" i="25" s="1"/>
  <c r="G1713" i="64"/>
  <c r="F984" i="64"/>
  <c r="J984" i="64" s="1"/>
  <c r="F2164" i="64"/>
  <c r="J2164" i="64" s="1"/>
  <c r="J164" i="64"/>
  <c r="J109" i="64"/>
  <c r="J359" i="64"/>
  <c r="J383" i="64"/>
  <c r="J188" i="64"/>
  <c r="J104" i="64"/>
  <c r="J465" i="64"/>
  <c r="J201" i="64"/>
  <c r="J464" i="64"/>
  <c r="J384" i="64"/>
  <c r="J358" i="64"/>
  <c r="J86" i="64"/>
  <c r="J120" i="64"/>
  <c r="J106" i="64"/>
  <c r="J121" i="64"/>
  <c r="J167" i="64"/>
  <c r="J168" i="64"/>
  <c r="J32" i="64"/>
  <c r="J36" i="64"/>
  <c r="J197" i="64"/>
  <c r="J199" i="64"/>
  <c r="J198" i="64"/>
  <c r="J200" i="64"/>
  <c r="J202" i="64"/>
  <c r="J463" i="64"/>
  <c r="J462" i="64"/>
  <c r="J189" i="64"/>
  <c r="J720" i="64"/>
  <c r="J186" i="64"/>
  <c r="J185" i="64"/>
  <c r="J595" i="64"/>
  <c r="J2279" i="64"/>
  <c r="J679" i="64"/>
  <c r="J705" i="64"/>
  <c r="J577" i="64"/>
  <c r="J599" i="64"/>
  <c r="J468" i="64"/>
  <c r="J454" i="64"/>
  <c r="J450" i="64"/>
  <c r="J782" i="64"/>
  <c r="J668" i="64"/>
  <c r="J689" i="64"/>
  <c r="J697" i="64"/>
  <c r="J394" i="64"/>
  <c r="J360" i="64"/>
  <c r="J702" i="64"/>
  <c r="J710" i="64"/>
  <c r="H2244" i="64"/>
  <c r="J2244" i="64"/>
  <c r="F2277" i="64"/>
  <c r="J2277" i="64" s="1"/>
  <c r="J2276" i="64"/>
  <c r="F2238" i="64"/>
  <c r="J2238" i="64" s="1"/>
  <c r="J2237" i="64"/>
  <c r="H2682" i="64"/>
  <c r="J2681" i="64"/>
  <c r="G42" i="38"/>
  <c r="G32" i="38"/>
  <c r="G45" i="38"/>
  <c r="F2037" i="64"/>
  <c r="J2037" i="64" s="1"/>
  <c r="J2036" i="64"/>
  <c r="G35" i="38"/>
  <c r="G47" i="38"/>
  <c r="G37" i="38"/>
  <c r="G34" i="38"/>
  <c r="G39" i="38"/>
  <c r="G29" i="38"/>
  <c r="G49" i="38"/>
  <c r="G31" i="38"/>
  <c r="G52" i="38"/>
  <c r="G41" i="38"/>
  <c r="G46" i="38"/>
  <c r="G44" i="38"/>
  <c r="G51" i="38"/>
  <c r="G33" i="38"/>
  <c r="G38" i="38"/>
  <c r="G36" i="38"/>
  <c r="G50" i="38"/>
  <c r="G48" i="38"/>
  <c r="G30" i="38"/>
  <c r="H2673" i="64"/>
  <c r="J2672" i="64"/>
  <c r="G43" i="38"/>
  <c r="G40" i="38"/>
  <c r="G28" i="38"/>
  <c r="F2798" i="64"/>
  <c r="F2799" i="64" s="1"/>
  <c r="J2799" i="64" s="1"/>
  <c r="J2786" i="64"/>
  <c r="F2250" i="64" a="1"/>
  <c r="F2250" i="64" s="1"/>
  <c r="J2250" i="64" s="1"/>
  <c r="J2225" i="64"/>
  <c r="F2623" i="64"/>
  <c r="J2623" i="64" s="1"/>
  <c r="J2620" i="64"/>
  <c r="F388" i="64"/>
  <c r="F387" i="64"/>
  <c r="F386" i="64"/>
  <c r="F2010" i="64"/>
  <c r="J2010" i="64" s="1"/>
  <c r="F1921" i="64"/>
  <c r="J1921" i="64" s="1"/>
  <c r="F1780" i="64"/>
  <c r="F1874" i="64"/>
  <c r="J1874" i="64" s="1"/>
  <c r="C357" i="52"/>
  <c r="G1725" i="64"/>
  <c r="J27" i="38" a="1"/>
  <c r="J27" i="38" s="1"/>
  <c r="F774" i="64" a="1"/>
  <c r="F774" i="64" s="1"/>
  <c r="J5" i="38" a="1"/>
  <c r="J5" i="38" s="1"/>
  <c r="J36" i="11" s="1" a="1"/>
  <c r="J36" i="11" s="1"/>
  <c r="G1714" i="64"/>
  <c r="F179" i="64"/>
  <c r="C2158" i="64"/>
  <c r="G2158" i="64" s="1"/>
  <c r="C359" i="52"/>
  <c r="I69" i="26"/>
  <c r="K69" i="26" s="1"/>
  <c r="N31" i="7"/>
  <c r="O31" i="7" s="1"/>
  <c r="N33" i="7"/>
  <c r="O33" i="7" s="1"/>
  <c r="N35" i="7"/>
  <c r="O35" i="7" s="1"/>
  <c r="N30" i="7"/>
  <c r="O30" i="7" s="1"/>
  <c r="N26" i="7"/>
  <c r="O26" i="7" s="1"/>
  <c r="N27" i="7"/>
  <c r="O27" i="7" s="1"/>
  <c r="N28" i="7"/>
  <c r="O28" i="7" s="1"/>
  <c r="N29" i="7"/>
  <c r="O29" i="7" s="1"/>
  <c r="I4" i="25"/>
  <c r="N34" i="7"/>
  <c r="O34" i="7" s="1"/>
  <c r="N32" i="7"/>
  <c r="O32" i="7" s="1"/>
  <c r="Z28" i="17"/>
  <c r="AA28" i="17" s="1"/>
  <c r="AA69" i="17"/>
  <c r="F2625" i="64"/>
  <c r="J2625" i="64" s="1"/>
  <c r="F987" i="64"/>
  <c r="J987" i="64" s="1"/>
  <c r="AA39" i="17"/>
  <c r="C370" i="52"/>
  <c r="G1727" i="64"/>
  <c r="C356" i="52"/>
  <c r="C362" i="52"/>
  <c r="F1753" i="64"/>
  <c r="J1753" i="64" s="1"/>
  <c r="F428" i="64"/>
  <c r="J428" i="64" s="1"/>
  <c r="K10" i="25" a="1"/>
  <c r="K10" i="25" s="1"/>
  <c r="J26" i="11" a="1"/>
  <c r="J26" i="11" s="1"/>
  <c r="F424" i="64"/>
  <c r="F591" i="64"/>
  <c r="F592" i="64"/>
  <c r="F459" i="64"/>
  <c r="J459" i="64" s="1"/>
  <c r="F590" i="64"/>
  <c r="U7" i="15" a="1"/>
  <c r="U7" i="15" s="1"/>
  <c r="AP7" i="15" s="1"/>
  <c r="C360" i="52"/>
  <c r="C361" i="52"/>
  <c r="G1715" i="64"/>
  <c r="F1759" i="64"/>
  <c r="J1759" i="64" s="1"/>
  <c r="F1761" i="64"/>
  <c r="J1761" i="64" s="1"/>
  <c r="B11" i="16"/>
  <c r="P6" i="15" s="1"/>
  <c r="F763" i="64"/>
  <c r="F1737" i="64"/>
  <c r="J1737" i="64" s="1"/>
  <c r="F728" i="64" a="1"/>
  <c r="F728" i="64" s="1"/>
  <c r="U48" i="15" a="1"/>
  <c r="U48" i="15" s="1"/>
  <c r="AP48" i="15" s="1"/>
  <c r="U14" i="25" a="1"/>
  <c r="U14" i="25" s="1"/>
  <c r="D38" i="25" s="1"/>
  <c r="U15" i="25" a="1"/>
  <c r="U15" i="25" s="1"/>
  <c r="D41" i="25" s="1"/>
  <c r="N22" i="7"/>
  <c r="O22" i="7" s="1"/>
  <c r="F28" i="12"/>
  <c r="H28" i="12" s="1"/>
  <c r="U9" i="15" a="1"/>
  <c r="U9" i="15" s="1"/>
  <c r="AP9" i="15" s="1"/>
  <c r="AQ9" i="15"/>
  <c r="H38" i="12"/>
  <c r="F11" i="12"/>
  <c r="F13" i="12" s="1"/>
  <c r="F4" i="12"/>
  <c r="E4" i="12"/>
  <c r="I40" i="26"/>
  <c r="K40" i="26" s="1"/>
  <c r="S7" i="25"/>
  <c r="U7" i="25" s="1"/>
  <c r="S86" i="25"/>
  <c r="U86" i="25" s="1"/>
  <c r="F2300" i="64" a="1"/>
  <c r="F2300" i="64" s="1"/>
  <c r="J2300" i="64" s="1"/>
  <c r="F2265" i="64" a="1"/>
  <c r="F2265" i="64" s="1"/>
  <c r="J2265" i="64" s="1"/>
  <c r="K12" i="25"/>
  <c r="S20" i="25"/>
  <c r="U20" i="25" s="1"/>
  <c r="S74" i="26"/>
  <c r="U74" i="26" s="1"/>
  <c r="N10" i="7"/>
  <c r="O10" i="7" s="1"/>
  <c r="N5" i="7"/>
  <c r="O5" i="7" s="1"/>
  <c r="K81" i="25" a="1"/>
  <c r="K81" i="25" s="1"/>
  <c r="K7" i="25" a="1"/>
  <c r="K7" i="25" s="1"/>
  <c r="U67" i="25" a="1"/>
  <c r="U67" i="25" s="1"/>
  <c r="D76" i="25" s="1"/>
  <c r="J15" i="11" a="1"/>
  <c r="J15" i="11" s="1"/>
  <c r="J14" i="11" a="1"/>
  <c r="J14" i="11" s="1"/>
  <c r="K5" i="25" a="1"/>
  <c r="K5" i="25" s="1"/>
  <c r="N24" i="7"/>
  <c r="O24" i="7" s="1"/>
  <c r="N23" i="7"/>
  <c r="O23" i="7" s="1"/>
  <c r="N25" i="7"/>
  <c r="O25" i="7" s="1"/>
  <c r="F181" i="64"/>
  <c r="N12" i="7"/>
  <c r="O12" i="7" s="1"/>
  <c r="F2290" i="64" a="1"/>
  <c r="F2290" i="64" s="1"/>
  <c r="J2290" i="64" s="1"/>
  <c r="F2255" i="64" a="1"/>
  <c r="F2255" i="64" s="1"/>
  <c r="J2255" i="64" s="1"/>
  <c r="AA18" i="17"/>
  <c r="Z25" i="17"/>
  <c r="AA25" i="17" s="1"/>
  <c r="AA24" i="17"/>
  <c r="I33" i="26"/>
  <c r="F2243" i="64" s="1"/>
  <c r="J2243" i="64" s="1"/>
  <c r="AE36" i="13"/>
  <c r="S49" i="25"/>
  <c r="U49" i="25" s="1"/>
  <c r="S24" i="25"/>
  <c r="U24" i="25" s="1"/>
  <c r="Z58" i="17"/>
  <c r="AA58" i="17" s="1"/>
  <c r="AA57" i="17"/>
  <c r="F439" i="64"/>
  <c r="Z22" i="17"/>
  <c r="AA22" i="17" s="1"/>
  <c r="AA21" i="17"/>
  <c r="N15" i="7"/>
  <c r="O15" i="7" s="1"/>
  <c r="N13" i="7"/>
  <c r="O13" i="7" s="1"/>
  <c r="AA87" i="17"/>
  <c r="Z88" i="17"/>
  <c r="AA88" i="17" s="1"/>
  <c r="AA12" i="17"/>
  <c r="Z13" i="17"/>
  <c r="AA13" i="17" s="1"/>
  <c r="Z46" i="17"/>
  <c r="AA46" i="17" s="1"/>
  <c r="AA45" i="17"/>
  <c r="N7" i="7"/>
  <c r="O7" i="7" s="1"/>
  <c r="N11" i="7"/>
  <c r="O11" i="7" s="1"/>
  <c r="N6" i="7"/>
  <c r="O6" i="7" s="1"/>
  <c r="N14" i="7"/>
  <c r="O14" i="7" s="1"/>
  <c r="AA15" i="17"/>
  <c r="Z16" i="17"/>
  <c r="AA16" i="17" s="1"/>
  <c r="AA9" i="17"/>
  <c r="Z10" i="17"/>
  <c r="AA10" i="17" s="1"/>
  <c r="F425" i="64"/>
  <c r="F353" i="52"/>
  <c r="B363" i="52" s="1"/>
  <c r="F1725" i="64" s="1"/>
  <c r="J1725" i="64" s="1"/>
  <c r="M353" i="52"/>
  <c r="B371" i="52" s="1"/>
  <c r="F1727" i="64" s="1"/>
  <c r="J1727" i="64" s="1"/>
  <c r="M321" i="52"/>
  <c r="B368" i="52" s="1"/>
  <c r="F1720" i="64" s="1"/>
  <c r="J1720" i="64" s="1"/>
  <c r="M273" i="52"/>
  <c r="B366" i="52" s="1"/>
  <c r="F1718" i="64" s="1"/>
  <c r="J1718" i="64" s="1"/>
  <c r="F273" i="52"/>
  <c r="B357" i="52" s="1"/>
  <c r="F180" i="64"/>
  <c r="F694" i="64"/>
  <c r="J694" i="64" s="1"/>
  <c r="F2685" i="64"/>
  <c r="J2685" i="64" s="1"/>
  <c r="F696" i="64"/>
  <c r="J696" i="64" s="1"/>
  <c r="F178" i="64"/>
  <c r="J178" i="64" s="1"/>
  <c r="F177" i="64"/>
  <c r="P39" i="25"/>
  <c r="R39" i="25" s="1"/>
  <c r="H2238" i="64" s="1"/>
  <c r="F2673" i="64"/>
  <c r="J2673" i="64" s="1"/>
  <c r="F2677" i="64"/>
  <c r="J2677" i="64" s="1"/>
  <c r="I68" i="26"/>
  <c r="K68" i="26" s="1"/>
  <c r="S19" i="25"/>
  <c r="U19" i="25" s="1"/>
  <c r="H6" i="11"/>
  <c r="J6" i="11" s="1"/>
  <c r="H7" i="11"/>
  <c r="J7" i="11" s="1"/>
  <c r="F2683" i="64"/>
  <c r="J2683" i="64" s="1"/>
  <c r="F225" i="52"/>
  <c r="B362" i="52" s="1"/>
  <c r="I39" i="26"/>
  <c r="K39" i="26" s="1"/>
  <c r="N19" i="7"/>
  <c r="O19" i="7" s="1"/>
  <c r="N21" i="7"/>
  <c r="O21" i="7" s="1"/>
  <c r="N9" i="7"/>
  <c r="I4" i="26"/>
  <c r="K4" i="26" s="1"/>
  <c r="N17" i="7"/>
  <c r="O17" i="7" s="1"/>
  <c r="N16" i="7"/>
  <c r="O16" i="7" s="1"/>
  <c r="S5" i="26"/>
  <c r="U5" i="26" s="1"/>
  <c r="S6" i="26"/>
  <c r="U6" i="26" s="1"/>
  <c r="S85" i="25"/>
  <c r="U85" i="25" s="1"/>
  <c r="J19" i="11" s="1"/>
  <c r="S12" i="25"/>
  <c r="U12" i="25" s="1"/>
  <c r="S22" i="25"/>
  <c r="U22" i="25" s="1"/>
  <c r="S70" i="26"/>
  <c r="U70" i="26" s="1"/>
  <c r="S83" i="26"/>
  <c r="U83" i="26" s="1"/>
  <c r="J20" i="11" s="1"/>
  <c r="S82" i="25"/>
  <c r="S71" i="26"/>
  <c r="U71" i="26" s="1"/>
  <c r="S25" i="25"/>
  <c r="U25" i="25" s="1"/>
  <c r="S83" i="25"/>
  <c r="S16" i="26"/>
  <c r="U16" i="26" s="1"/>
  <c r="N35" i="26" s="1"/>
  <c r="S11" i="25"/>
  <c r="U11" i="25" s="1"/>
  <c r="S73" i="26"/>
  <c r="U73" i="26" s="1"/>
  <c r="I70" i="26"/>
  <c r="K70" i="26" s="1"/>
  <c r="S43" i="26"/>
  <c r="U43" i="26" s="1"/>
  <c r="S28" i="25"/>
  <c r="U28" i="25" s="1"/>
  <c r="S48" i="25"/>
  <c r="S55" i="25"/>
  <c r="U55" i="25" s="1"/>
  <c r="S22" i="26"/>
  <c r="U22" i="26" s="1"/>
  <c r="S5" i="25"/>
  <c r="U5" i="25" s="1"/>
  <c r="S21" i="25"/>
  <c r="U21" i="25" s="1"/>
  <c r="S6" i="25"/>
  <c r="U6" i="25" s="1"/>
  <c r="S50" i="25"/>
  <c r="U50" i="25" s="1"/>
  <c r="S40" i="26"/>
  <c r="U40" i="26" s="1"/>
  <c r="S17" i="26"/>
  <c r="U17" i="26" s="1"/>
  <c r="N33" i="26" s="1"/>
  <c r="P33" i="26" s="1"/>
  <c r="R33" i="26" s="1"/>
  <c r="S33" i="26" s="1"/>
  <c r="F2239" i="64" s="1"/>
  <c r="J2239" i="64" s="1"/>
  <c r="S23" i="26"/>
  <c r="U23" i="26" s="1"/>
  <c r="S23" i="25"/>
  <c r="U23" i="25" s="1"/>
  <c r="S51" i="25"/>
  <c r="U51" i="25" s="1"/>
  <c r="S41" i="26"/>
  <c r="U41" i="26" s="1"/>
  <c r="S16" i="25"/>
  <c r="U16" i="25" s="1"/>
  <c r="S42" i="26"/>
  <c r="U42" i="26" s="1"/>
  <c r="S17" i="25"/>
  <c r="U17" i="25" s="1"/>
  <c r="S52" i="25"/>
  <c r="U52" i="25" s="1"/>
  <c r="S18" i="25"/>
  <c r="U18" i="25" s="1"/>
  <c r="S26" i="25"/>
  <c r="U26" i="25" s="1"/>
  <c r="S72" i="26"/>
  <c r="U72" i="26" s="1"/>
  <c r="S27" i="25"/>
  <c r="U27" i="25" s="1"/>
  <c r="S47" i="25"/>
  <c r="U47" i="25" s="1"/>
  <c r="S84" i="25"/>
  <c r="U84" i="25" s="1"/>
  <c r="F2676" i="64"/>
  <c r="J2676" i="64" s="1"/>
  <c r="H2014" i="64"/>
  <c r="F2686" i="64"/>
  <c r="J2686" i="64" s="1"/>
  <c r="F321" i="52"/>
  <c r="B359" i="52" s="1"/>
  <c r="F1719" i="64" s="1"/>
  <c r="J1719" i="64" s="1"/>
  <c r="M225" i="52"/>
  <c r="B370" i="52" s="1"/>
  <c r="F1726" i="64" s="1"/>
  <c r="J1726" i="64" s="1"/>
  <c r="M193" i="52"/>
  <c r="F193" i="52"/>
  <c r="B360" i="52" s="1"/>
  <c r="F1721" i="64" s="1"/>
  <c r="J1721" i="64" s="1"/>
  <c r="M161" i="52"/>
  <c r="B372" i="52" s="1"/>
  <c r="F1714" i="64" s="1"/>
  <c r="J1714" i="64" s="1"/>
  <c r="F161" i="52"/>
  <c r="B364" i="52" s="1"/>
  <c r="F1713" i="64" s="1"/>
  <c r="J1713" i="64" s="1"/>
  <c r="M129" i="52"/>
  <c r="B369" i="52" s="1"/>
  <c r="F129" i="52"/>
  <c r="B361" i="52" s="1"/>
  <c r="F1715" i="64" s="1"/>
  <c r="J1715" i="64" s="1"/>
  <c r="M97" i="52"/>
  <c r="B367" i="52" s="1"/>
  <c r="F1712" i="64" s="1"/>
  <c r="J1712" i="64" s="1"/>
  <c r="F97" i="52"/>
  <c r="B358" i="52" s="1"/>
  <c r="F1711" i="64" s="1"/>
  <c r="J1711" i="64" s="1"/>
  <c r="M49" i="52"/>
  <c r="B365" i="52" s="1"/>
  <c r="F1710" i="64" s="1"/>
  <c r="J1710" i="64" s="1"/>
  <c r="F49" i="52"/>
  <c r="B356" i="52" s="1"/>
  <c r="F1709" i="64" s="1"/>
  <c r="J1709" i="64" s="1"/>
  <c r="D45" i="13"/>
  <c r="F1014" i="64" s="1"/>
  <c r="J1014" i="64" s="1"/>
  <c r="S95" i="25"/>
  <c r="U95" i="25" s="1"/>
  <c r="AE35" i="13"/>
  <c r="AE37" i="13"/>
  <c r="F2499" i="64"/>
  <c r="J2499" i="64" s="1"/>
  <c r="F2536" i="64" a="1"/>
  <c r="F2536" i="64" s="1"/>
  <c r="J2536" i="64" s="1"/>
  <c r="F432" i="64"/>
  <c r="J432" i="64" s="1"/>
  <c r="F2496" i="64"/>
  <c r="J2496" i="64" s="1"/>
  <c r="F2497" i="64"/>
  <c r="J2497" i="64" s="1"/>
  <c r="F2504" i="64"/>
  <c r="J2504" i="64" s="1"/>
  <c r="F431" i="64"/>
  <c r="F433" i="64"/>
  <c r="J433" i="64" s="1"/>
  <c r="F429" i="64"/>
  <c r="J429" i="64" s="1"/>
  <c r="F2343" i="64"/>
  <c r="J2343" i="64" s="1"/>
  <c r="F445" i="64"/>
  <c r="J445" i="64" s="1"/>
  <c r="F438" i="64"/>
  <c r="J438" i="64" s="1"/>
  <c r="F2503" i="64"/>
  <c r="J2503" i="64" s="1"/>
  <c r="F2501" i="64"/>
  <c r="J2501" i="64" s="1"/>
  <c r="F448" i="64"/>
  <c r="J448" i="64" s="1"/>
  <c r="F427" i="64"/>
  <c r="J427" i="64" s="1"/>
  <c r="F441" i="64"/>
  <c r="J441" i="64" s="1"/>
  <c r="F2494" i="64"/>
  <c r="J2494" i="64" s="1"/>
  <c r="F2530" i="64"/>
  <c r="J2530" i="64" s="1"/>
  <c r="F2510" i="64"/>
  <c r="J2510" i="64" s="1"/>
  <c r="F2514" i="64"/>
  <c r="J2514" i="64" s="1"/>
  <c r="F2493" i="64"/>
  <c r="J2493" i="64" s="1"/>
  <c r="F2528" i="64"/>
  <c r="J2528" i="64" s="1"/>
  <c r="F423" i="64"/>
  <c r="F444" i="64"/>
  <c r="J444" i="64" s="1"/>
  <c r="F430" i="64"/>
  <c r="J430" i="64" s="1"/>
  <c r="F2534" i="64"/>
  <c r="J2534" i="64" s="1"/>
  <c r="F1" i="9"/>
  <c r="F2495" i="64"/>
  <c r="J2495" i="64" s="1"/>
  <c r="F440" i="64"/>
  <c r="F2538" i="64" a="1"/>
  <c r="F2538" i="64" s="1"/>
  <c r="J2538" i="64" s="1"/>
  <c r="F2523" i="64"/>
  <c r="J2523" i="64" s="1"/>
  <c r="F2521" i="64"/>
  <c r="J2521" i="64" s="1"/>
  <c r="F446" i="64"/>
  <c r="J446" i="64" s="1"/>
  <c r="F2537" i="64" a="1"/>
  <c r="F2537" i="64" s="1"/>
  <c r="J2537" i="64" s="1"/>
  <c r="F2492" i="64"/>
  <c r="J2492" i="64" s="1"/>
  <c r="F434" i="64"/>
  <c r="J434" i="64" s="1"/>
  <c r="F2520" i="64"/>
  <c r="J2520" i="64" s="1"/>
  <c r="F2491" i="64"/>
  <c r="J2491" i="64" s="1"/>
  <c r="F2502" i="64"/>
  <c r="J2502" i="64" s="1"/>
  <c r="F2392" i="64"/>
  <c r="J2392" i="64" s="1"/>
  <c r="F442" i="64"/>
  <c r="J442" i="64" s="1"/>
  <c r="F2533" i="64"/>
  <c r="J2533" i="64" s="1"/>
  <c r="F447" i="64"/>
  <c r="J447" i="64" s="1"/>
  <c r="F2500" i="64"/>
  <c r="J2500" i="64" s="1"/>
  <c r="F435" i="64"/>
  <c r="F2512" i="64"/>
  <c r="J2512" i="64" s="1"/>
  <c r="F2498" i="64"/>
  <c r="J2498" i="64" s="1"/>
  <c r="F2517" i="64"/>
  <c r="J2517" i="64" s="1"/>
  <c r="F2524" i="64"/>
  <c r="J2524" i="64" s="1"/>
  <c r="F2682" i="64"/>
  <c r="J2682" i="64" s="1"/>
  <c r="G15" i="12"/>
  <c r="F2519" i="64"/>
  <c r="J2519" i="64" s="1"/>
  <c r="F2525" i="64"/>
  <c r="J2525" i="64" s="1"/>
  <c r="F2511" i="64"/>
  <c r="J2511" i="64" s="1"/>
  <c r="F2526" i="64"/>
  <c r="J2526" i="64" s="1"/>
  <c r="F449" i="64"/>
  <c r="J449" i="64" s="1"/>
  <c r="F2522" i="64"/>
  <c r="J2522" i="64" s="1"/>
  <c r="F443" i="64"/>
  <c r="J443" i="64" s="1"/>
  <c r="F437" i="64"/>
  <c r="J437" i="64" s="1"/>
  <c r="F2532" i="64"/>
  <c r="J2532" i="64" s="1"/>
  <c r="N82" i="25"/>
  <c r="N83" i="25"/>
  <c r="D107" i="26"/>
  <c r="F2535" i="64"/>
  <c r="J2535" i="64" s="1"/>
  <c r="F2516" i="64"/>
  <c r="J2516" i="64" s="1"/>
  <c r="F2515" i="64"/>
  <c r="J2515" i="64" s="1"/>
  <c r="F2527" i="64"/>
  <c r="J2527" i="64" s="1"/>
  <c r="H2010" i="64"/>
  <c r="F2518" i="64"/>
  <c r="J2518" i="64" s="1"/>
  <c r="F781" i="64"/>
  <c r="G3" i="7"/>
  <c r="F2513" i="64"/>
  <c r="J2513" i="64" s="1"/>
  <c r="J2684" i="64"/>
  <c r="F2345" i="64"/>
  <c r="J2345" i="64" s="1"/>
  <c r="F2346" i="64"/>
  <c r="J2346" i="64" s="1"/>
  <c r="H2037" i="64"/>
  <c r="F2611" i="64"/>
  <c r="J2611" i="64" s="1"/>
  <c r="F2381" i="64"/>
  <c r="J2381" i="64" s="1"/>
  <c r="F2391" i="64"/>
  <c r="J2391" i="64" s="1"/>
  <c r="F2366" i="64"/>
  <c r="J2366" i="64" s="1"/>
  <c r="I64" i="26"/>
  <c r="H2246" i="64"/>
  <c r="F2552" i="64"/>
  <c r="J2552" i="64" s="1"/>
  <c r="AP53" i="15"/>
  <c r="F32" i="26"/>
  <c r="H32" i="26" s="1"/>
  <c r="B37" i="12"/>
  <c r="D37" i="12" s="1"/>
  <c r="D10" i="12"/>
  <c r="F26" i="12"/>
  <c r="H30" i="12" s="1"/>
  <c r="F2342" i="64"/>
  <c r="J2342" i="64" s="1"/>
  <c r="AQ29" i="15"/>
  <c r="AQ17" i="15"/>
  <c r="S31" i="26"/>
  <c r="F2233" i="64" s="1"/>
  <c r="J2233" i="64" s="1"/>
  <c r="H2234" i="64"/>
  <c r="F2332" i="64"/>
  <c r="J2332" i="64" s="1"/>
  <c r="F2352" i="64"/>
  <c r="J2352" i="64" s="1"/>
  <c r="F2362" i="64"/>
  <c r="J2362" i="64" s="1"/>
  <c r="F2353" i="64"/>
  <c r="J2353" i="64" s="1"/>
  <c r="F2363" i="64"/>
  <c r="J2363" i="64" s="1"/>
  <c r="F2398" i="64"/>
  <c r="J2398" i="64" s="1"/>
  <c r="F2415" i="64"/>
  <c r="F2335" i="64"/>
  <c r="J2335" i="64" s="1"/>
  <c r="F2354" i="64"/>
  <c r="J2354" i="64" s="1"/>
  <c r="F2364" i="64"/>
  <c r="J2364" i="64" s="1"/>
  <c r="F2399" i="64"/>
  <c r="J2399" i="64" s="1"/>
  <c r="F2357" i="64"/>
  <c r="J2357" i="64" s="1"/>
  <c r="F2401" i="64"/>
  <c r="J2401" i="64" s="1"/>
  <c r="F2410" i="64"/>
  <c r="J2410" i="64" s="1"/>
  <c r="F2402" i="64"/>
  <c r="J2402" i="64" s="1"/>
  <c r="F2411" i="64"/>
  <c r="J2411" i="64" s="1"/>
  <c r="F2393" i="64"/>
  <c r="J2393" i="64" s="1"/>
  <c r="F2404" i="64"/>
  <c r="J2404" i="64" s="1"/>
  <c r="F2412" i="64"/>
  <c r="J2412" i="64" s="1"/>
  <c r="F2347" i="64"/>
  <c r="J2347" i="64" s="1"/>
  <c r="F2384" i="64"/>
  <c r="F2394" i="64"/>
  <c r="J2394" i="64" s="1"/>
  <c r="F2413" i="64"/>
  <c r="J2413" i="64" s="1"/>
  <c r="F2348" i="64"/>
  <c r="J2348" i="64" s="1"/>
  <c r="F2386" i="64"/>
  <c r="J2386" i="64" s="1"/>
  <c r="F2414" i="64"/>
  <c r="J2414" i="64" s="1"/>
  <c r="F2336" i="64"/>
  <c r="F2349" i="64"/>
  <c r="J2349" i="64" s="1"/>
  <c r="F2365" i="64"/>
  <c r="J2365" i="64" s="1"/>
  <c r="F2396" i="64"/>
  <c r="J2396" i="64" s="1"/>
  <c r="F2417" i="64"/>
  <c r="J2417" i="64" s="1"/>
  <c r="F2350" i="64"/>
  <c r="J2350" i="64" s="1"/>
  <c r="F2351" i="64"/>
  <c r="J2351" i="64" s="1"/>
  <c r="F2409" i="64"/>
  <c r="J2409" i="64" s="1"/>
  <c r="F2367" i="64"/>
  <c r="J2367" i="64" s="1"/>
  <c r="F2368" i="64"/>
  <c r="J2368" i="64" s="1"/>
  <c r="F2397" i="64"/>
  <c r="J2397" i="64" s="1"/>
  <c r="F2400" i="64"/>
  <c r="J2400" i="64" s="1"/>
  <c r="AP16" i="15"/>
  <c r="H2075" i="64"/>
  <c r="H2044" i="64"/>
  <c r="H2048" i="64"/>
  <c r="H2065" i="64"/>
  <c r="H2023" i="64"/>
  <c r="F2023" i="64"/>
  <c r="J2023" i="64" s="1"/>
  <c r="F2021" i="64"/>
  <c r="J2021" i="64" s="1"/>
  <c r="H2021" i="64"/>
  <c r="H2006" i="64"/>
  <c r="F2006" i="64"/>
  <c r="J2006" i="64" s="1"/>
  <c r="H56" i="37"/>
  <c r="H55" i="37"/>
  <c r="H54" i="37"/>
  <c r="H58" i="37"/>
  <c r="H57" i="37"/>
  <c r="F2012" i="64"/>
  <c r="J2012" i="64" s="1"/>
  <c r="H2012" i="64"/>
  <c r="F2008" i="64"/>
  <c r="J2008" i="64" s="1"/>
  <c r="H2008" i="64"/>
  <c r="H2039" i="64"/>
  <c r="F2039" i="64"/>
  <c r="J2039" i="64" s="1"/>
  <c r="H2025" i="64"/>
  <c r="F2025" i="64"/>
  <c r="J2025" i="64" s="1"/>
  <c r="F2016" i="64"/>
  <c r="J2016" i="64" s="1"/>
  <c r="H2016" i="64"/>
  <c r="H2035" i="64"/>
  <c r="F2035" i="64"/>
  <c r="J2035" i="64" s="1"/>
  <c r="F725" i="64" l="1" a="1"/>
  <c r="F725" i="64" s="1"/>
  <c r="J725" i="64" s="1"/>
  <c r="F723" i="64" a="1"/>
  <c r="F723" i="64" s="1"/>
  <c r="J723" i="64" s="1"/>
  <c r="F727" i="64" a="1"/>
  <c r="F727" i="64" s="1"/>
  <c r="J727" i="64" s="1"/>
  <c r="G10" i="10"/>
  <c r="H10" i="10" s="1"/>
  <c r="F2018" i="64" s="1"/>
  <c r="J2018" i="64" s="1"/>
  <c r="J2100" i="64"/>
  <c r="J706" i="64"/>
  <c r="F729" i="64"/>
  <c r="J729" i="64" s="1"/>
  <c r="J1780" i="64"/>
  <c r="J439" i="64"/>
  <c r="J440" i="64"/>
  <c r="I13" i="10"/>
  <c r="H13" i="10"/>
  <c r="I71" i="7"/>
  <c r="F422" i="64" s="1"/>
  <c r="F1891" i="64"/>
  <c r="J1891" i="64" s="1"/>
  <c r="F426" i="64"/>
  <c r="J181" i="64"/>
  <c r="J179" i="64"/>
  <c r="J431" i="64"/>
  <c r="J425" i="64"/>
  <c r="J424" i="64"/>
  <c r="K59" i="26"/>
  <c r="K27" i="26" s="1"/>
  <c r="K28" i="26" s="1"/>
  <c r="J591" i="64"/>
  <c r="J180" i="64"/>
  <c r="F2028" i="64"/>
  <c r="J2028" i="64" s="1"/>
  <c r="J423" i="64"/>
  <c r="J386" i="64"/>
  <c r="F409" i="64" a="1"/>
  <c r="F409" i="64" s="1"/>
  <c r="J409" i="64" s="1"/>
  <c r="F417" i="64" a="1"/>
  <c r="F417" i="64" s="1"/>
  <c r="F416" i="64"/>
  <c r="F412" i="64"/>
  <c r="J412" i="64" s="1"/>
  <c r="J55" i="38"/>
  <c r="F407" i="64"/>
  <c r="J407" i="64" s="1"/>
  <c r="F403" i="64"/>
  <c r="J403" i="64" s="1"/>
  <c r="F413" i="64"/>
  <c r="F418" i="64"/>
  <c r="F414" i="64"/>
  <c r="F404" i="64"/>
  <c r="J404" i="64" s="1"/>
  <c r="F406" i="64"/>
  <c r="J406" i="64" s="1"/>
  <c r="F411" i="64"/>
  <c r="J411" i="64" s="1"/>
  <c r="F415" i="64"/>
  <c r="F408" i="64"/>
  <c r="J408" i="64" s="1"/>
  <c r="F410" i="64"/>
  <c r="J410" i="64" s="1"/>
  <c r="F405" i="64"/>
  <c r="J405" i="64" s="1"/>
  <c r="J387" i="64"/>
  <c r="J592" i="64"/>
  <c r="J726" i="64"/>
  <c r="J724" i="64"/>
  <c r="J781" i="64"/>
  <c r="J177" i="64"/>
  <c r="J590" i="64"/>
  <c r="F1717" i="64"/>
  <c r="J1717" i="64" s="1"/>
  <c r="B373" i="52" a="1"/>
  <c r="B373" i="52" s="1"/>
  <c r="F1708" i="64" s="1"/>
  <c r="J763" i="64"/>
  <c r="J774" i="64"/>
  <c r="J435" i="64"/>
  <c r="J728" i="64"/>
  <c r="J388" i="64"/>
  <c r="F2337" i="64"/>
  <c r="J2337" i="64" s="1"/>
  <c r="J2336" i="64"/>
  <c r="F2385" i="64"/>
  <c r="J2385" i="64" s="1"/>
  <c r="J2384" i="64"/>
  <c r="F2416" i="64"/>
  <c r="J2416" i="64" s="1"/>
  <c r="J2415" i="64"/>
  <c r="J2798" i="64"/>
  <c r="G27" i="38"/>
  <c r="H52" i="38" s="1"/>
  <c r="F123" i="64"/>
  <c r="D40" i="25"/>
  <c r="F40" i="25" s="1"/>
  <c r="H40" i="25" s="1"/>
  <c r="G26" i="11"/>
  <c r="F895" i="64"/>
  <c r="J895" i="64" s="1"/>
  <c r="F1892" i="64"/>
  <c r="J1892" i="64" s="1"/>
  <c r="F1724" i="64"/>
  <c r="J1724" i="64" s="1"/>
  <c r="F1787" i="64"/>
  <c r="F1774" i="64"/>
  <c r="J1774" i="64" s="1"/>
  <c r="F1716" i="64"/>
  <c r="J1716" i="64" s="1"/>
  <c r="F41" i="25"/>
  <c r="H41" i="25" s="1"/>
  <c r="I41" i="25" s="1"/>
  <c r="F568" i="64"/>
  <c r="F2245" i="64"/>
  <c r="F2298" i="64" a="1"/>
  <c r="F2298" i="64" s="1"/>
  <c r="J2298" i="64" s="1"/>
  <c r="F2269" i="64" a="1"/>
  <c r="F2269" i="64" s="1"/>
  <c r="J2269" i="64" s="1"/>
  <c r="G5" i="38"/>
  <c r="H24" i="38" s="1"/>
  <c r="F1888" i="64" s="1"/>
  <c r="K84" i="26"/>
  <c r="U48" i="25"/>
  <c r="D75" i="25" s="1"/>
  <c r="F2259" i="64" a="1"/>
  <c r="F2259" i="64" s="1"/>
  <c r="J2259" i="64" s="1"/>
  <c r="F2288" i="64" a="1"/>
  <c r="F2288" i="64" s="1"/>
  <c r="J2288" i="64" s="1"/>
  <c r="N42" i="25"/>
  <c r="P42" i="25" s="1"/>
  <c r="R42" i="25" s="1"/>
  <c r="H2236" i="64" s="1"/>
  <c r="N34" i="26"/>
  <c r="P34" i="26" s="1"/>
  <c r="R34" i="26" s="1"/>
  <c r="S34" i="26" s="1"/>
  <c r="F2241" i="64" s="1"/>
  <c r="J2241" i="64" s="1"/>
  <c r="U28" i="26"/>
  <c r="K71" i="25"/>
  <c r="K34" i="25" s="1"/>
  <c r="F2240" i="64"/>
  <c r="J2240" i="64" s="1"/>
  <c r="F2253" i="64" a="1"/>
  <c r="F2253" i="64" s="1"/>
  <c r="J2253" i="64" s="1"/>
  <c r="U84" i="26"/>
  <c r="D90" i="26"/>
  <c r="F2551" i="64" s="1"/>
  <c r="J2551" i="64" s="1"/>
  <c r="N41" i="25"/>
  <c r="P41" i="25" s="1"/>
  <c r="R41" i="25" s="1"/>
  <c r="U83" i="25"/>
  <c r="U59" i="26"/>
  <c r="D63" i="26"/>
  <c r="P35" i="26"/>
  <c r="R35" i="26" s="1"/>
  <c r="S35" i="26" s="1"/>
  <c r="F2235" i="64" s="1"/>
  <c r="F2545" i="64"/>
  <c r="J2545" i="64" s="1"/>
  <c r="O9" i="7"/>
  <c r="U4" i="25" s="1"/>
  <c r="U35" i="25" s="1"/>
  <c r="N71" i="7"/>
  <c r="B374" i="52"/>
  <c r="B375" i="52"/>
  <c r="D46" i="13"/>
  <c r="F1577" i="64" s="1"/>
  <c r="F2539" i="64"/>
  <c r="J2539" i="64" s="1"/>
  <c r="S39" i="25"/>
  <c r="E11" i="12"/>
  <c r="G11" i="12" s="1"/>
  <c r="F52" i="64"/>
  <c r="F76" i="64"/>
  <c r="G12" i="12"/>
  <c r="F2234" i="64"/>
  <c r="J2234" i="64" s="1"/>
  <c r="H2228" i="64"/>
  <c r="F2228" i="64"/>
  <c r="J2228" i="64" s="1"/>
  <c r="I32" i="26"/>
  <c r="F2405" i="64"/>
  <c r="J2405" i="64" s="1"/>
  <c r="F2406" i="64"/>
  <c r="J2406" i="64" s="1"/>
  <c r="F2333" i="64"/>
  <c r="N40" i="25"/>
  <c r="F2358" i="64"/>
  <c r="J2358" i="64" s="1"/>
  <c r="F2355" i="64"/>
  <c r="F2359" i="64"/>
  <c r="J2359" i="64" s="1"/>
  <c r="F77" i="64"/>
  <c r="H31" i="12"/>
  <c r="H40" i="12"/>
  <c r="F76" i="25"/>
  <c r="H76" i="25" s="1"/>
  <c r="F2327" i="64" l="1"/>
  <c r="F2331" i="64" s="1"/>
  <c r="J2331" i="64" s="1"/>
  <c r="F2328" i="64"/>
  <c r="J2328" i="64" s="1"/>
  <c r="G22" i="10"/>
  <c r="F2086" i="64" s="1" a="1"/>
  <c r="F2086" i="64" s="1"/>
  <c r="I10" i="10"/>
  <c r="I22" i="10" s="1"/>
  <c r="F913" i="64"/>
  <c r="J913" i="64" s="1"/>
  <c r="F911" i="64"/>
  <c r="J911" i="64" s="1"/>
  <c r="F2003" i="64"/>
  <c r="F2001" i="64"/>
  <c r="J1787" i="64"/>
  <c r="H22" i="10"/>
  <c r="J422" i="64"/>
  <c r="F486" i="64"/>
  <c r="F478" i="64" a="1"/>
  <c r="F478" i="64" s="1"/>
  <c r="J426" i="64"/>
  <c r="F481" i="64"/>
  <c r="F472" i="64"/>
  <c r="F490" i="64"/>
  <c r="J490" i="64" s="1"/>
  <c r="F474" i="64"/>
  <c r="F475" i="64"/>
  <c r="F483" i="64"/>
  <c r="F484" i="64"/>
  <c r="J484" i="64" s="1"/>
  <c r="F480" i="64"/>
  <c r="F487" i="64"/>
  <c r="J487" i="64" s="1"/>
  <c r="F485" i="64"/>
  <c r="J485" i="64" s="1"/>
  <c r="F473" i="64"/>
  <c r="F477" i="64"/>
  <c r="F482" i="64"/>
  <c r="J482" i="64" s="1"/>
  <c r="F479" i="64"/>
  <c r="J479" i="64" s="1"/>
  <c r="F476" i="64"/>
  <c r="F488" i="64"/>
  <c r="J488" i="64" s="1"/>
  <c r="F491" i="64"/>
  <c r="N60" i="26"/>
  <c r="D62" i="26" s="1"/>
  <c r="F62" i="26" s="1"/>
  <c r="H62" i="26" s="1"/>
  <c r="I62" i="26" s="1"/>
  <c r="F1756" i="64"/>
  <c r="F2032" i="64"/>
  <c r="H2033" i="64" s="1"/>
  <c r="H2096" i="64" s="1"/>
  <c r="F1999" i="64"/>
  <c r="J1999" i="64" s="1"/>
  <c r="J1577" i="64"/>
  <c r="J1708" i="64"/>
  <c r="F770" i="64"/>
  <c r="F761" i="64"/>
  <c r="J761" i="64" s="1"/>
  <c r="F769" i="64"/>
  <c r="J642" i="64"/>
  <c r="J641" i="64"/>
  <c r="J638" i="64"/>
  <c r="F2026" i="64"/>
  <c r="J2026" i="64" s="1"/>
  <c r="J414" i="64"/>
  <c r="J416" i="64"/>
  <c r="J417" i="64"/>
  <c r="J413" i="64"/>
  <c r="J415" i="64"/>
  <c r="U46" i="25"/>
  <c r="U71" i="25" s="1"/>
  <c r="N72" i="25" s="1"/>
  <c r="D74" i="25" s="1"/>
  <c r="J418" i="64"/>
  <c r="J77" i="64"/>
  <c r="J52" i="64"/>
  <c r="J568" i="64"/>
  <c r="J76" i="64"/>
  <c r="J123" i="64"/>
  <c r="F916" i="64"/>
  <c r="J916" i="64" s="1"/>
  <c r="F907" i="64"/>
  <c r="J907" i="64" s="1"/>
  <c r="F2249" i="64"/>
  <c r="J2249" i="64" s="1"/>
  <c r="J2245" i="64"/>
  <c r="F2257" i="64" a="1"/>
  <c r="F2257" i="64" s="1"/>
  <c r="J2257" i="64" s="1"/>
  <c r="J2235" i="64"/>
  <c r="F2356" i="64"/>
  <c r="J2356" i="64" s="1"/>
  <c r="J2355" i="64"/>
  <c r="F2567" i="64"/>
  <c r="J2567" i="64" s="1"/>
  <c r="J2333" i="64"/>
  <c r="F1735" i="64"/>
  <c r="J1735" i="64" s="1"/>
  <c r="F2030" i="64"/>
  <c r="J2030" i="64" s="1"/>
  <c r="F912" i="64"/>
  <c r="J912" i="64" s="1"/>
  <c r="F910" i="64"/>
  <c r="J910" i="64" s="1"/>
  <c r="N85" i="26"/>
  <c r="D88" i="26" s="1"/>
  <c r="F88" i="26" s="1"/>
  <c r="H88" i="26" s="1"/>
  <c r="I88" i="26" s="1"/>
  <c r="N29" i="26"/>
  <c r="F566" i="64"/>
  <c r="F1869" i="64"/>
  <c r="J1869" i="64" s="1"/>
  <c r="H53" i="38"/>
  <c r="H54" i="38" s="1"/>
  <c r="H55" i="38" s="1"/>
  <c r="F688" i="64" s="1"/>
  <c r="J1888" i="64"/>
  <c r="F1736" i="64"/>
  <c r="J1736" i="64" s="1"/>
  <c r="F2246" i="64"/>
  <c r="J2246" i="64" s="1"/>
  <c r="F2267" i="64" a="1"/>
  <c r="F2267" i="64" s="1"/>
  <c r="J2267" i="64" s="1"/>
  <c r="F2242" i="64"/>
  <c r="J2242" i="64" s="1"/>
  <c r="F2268" i="64" a="1"/>
  <c r="F2268" i="64" s="1"/>
  <c r="J2268" i="64" s="1"/>
  <c r="F2258" i="64" a="1"/>
  <c r="F2258" i="64" s="1"/>
  <c r="J2258" i="64" s="1"/>
  <c r="F2383" i="64"/>
  <c r="J2383" i="64" s="1"/>
  <c r="F75" i="25"/>
  <c r="P40" i="25"/>
  <c r="R40" i="25" s="1"/>
  <c r="S40" i="25" s="1"/>
  <c r="S42" i="25"/>
  <c r="F90" i="26"/>
  <c r="H90" i="26" s="1"/>
  <c r="I90" i="26" s="1"/>
  <c r="F2544" i="64"/>
  <c r="J2544" i="64" s="1"/>
  <c r="F2236" i="64"/>
  <c r="J2236" i="64" s="1"/>
  <c r="F2252" i="64" a="1"/>
  <c r="F2252" i="64" s="1"/>
  <c r="J2252" i="64" s="1"/>
  <c r="S41" i="25"/>
  <c r="F228" i="64" s="1"/>
  <c r="H2240" i="64"/>
  <c r="F2248" i="64"/>
  <c r="J2248" i="64" s="1"/>
  <c r="F63" i="26"/>
  <c r="H63" i="26" s="1"/>
  <c r="I63" i="26" s="1"/>
  <c r="F2554" i="64"/>
  <c r="J2554" i="64" s="1"/>
  <c r="U80" i="25"/>
  <c r="O71" i="7"/>
  <c r="E13" i="12"/>
  <c r="G13" i="12" s="1"/>
  <c r="I40" i="25"/>
  <c r="I76" i="25"/>
  <c r="F2227" i="64"/>
  <c r="J2227" i="64" s="1"/>
  <c r="J2327" i="64" l="1"/>
  <c r="F2329" i="64"/>
  <c r="J2329" i="64" s="1"/>
  <c r="F2087" i="64" a="1"/>
  <c r="F2087" i="64" s="1"/>
  <c r="J2088" i="64"/>
  <c r="F227" i="64"/>
  <c r="J227" i="64" s="1"/>
  <c r="J2003" i="64"/>
  <c r="F2004" i="64"/>
  <c r="H2004" i="64"/>
  <c r="J483" i="64"/>
  <c r="J2001" i="64"/>
  <c r="F2002" i="64"/>
  <c r="J2002" i="64" s="1"/>
  <c r="H2002" i="64"/>
  <c r="J481" i="64"/>
  <c r="J480" i="64"/>
  <c r="J486" i="64"/>
  <c r="J478" i="64"/>
  <c r="J472" i="64"/>
  <c r="J475" i="64"/>
  <c r="J474" i="64"/>
  <c r="J473" i="64"/>
  <c r="J477" i="64"/>
  <c r="J476" i="64"/>
  <c r="J491" i="64"/>
  <c r="F2553" i="64"/>
  <c r="J2553" i="64" s="1"/>
  <c r="H75" i="25"/>
  <c r="I75" i="25" s="1"/>
  <c r="J2032" i="64"/>
  <c r="F2033" i="64"/>
  <c r="F2096" i="64" s="1"/>
  <c r="J2086" i="64"/>
  <c r="F2089" i="64" a="1"/>
  <c r="F2089" i="64" s="1"/>
  <c r="F2000" i="64"/>
  <c r="J2000" i="64" s="1"/>
  <c r="F229" i="64"/>
  <c r="J229" i="64" s="1"/>
  <c r="F223" i="64"/>
  <c r="J223" i="64" s="1"/>
  <c r="F2027" i="64"/>
  <c r="H2027" i="64"/>
  <c r="J228" i="64"/>
  <c r="J566" i="64"/>
  <c r="J770" i="64"/>
  <c r="J769" i="64"/>
  <c r="J688" i="64"/>
  <c r="F875" i="64"/>
  <c r="J875" i="64" s="1"/>
  <c r="F1734" i="64"/>
  <c r="J1734" i="64" s="1"/>
  <c r="H2031" i="64"/>
  <c r="H2095" i="64" s="1"/>
  <c r="F2031" i="64"/>
  <c r="H2000" i="64"/>
  <c r="F2548" i="64"/>
  <c r="J2548" i="64" s="1"/>
  <c r="F244" i="64"/>
  <c r="F222" i="64"/>
  <c r="J222" i="64" s="1"/>
  <c r="F234" i="64"/>
  <c r="J234" i="64" s="1"/>
  <c r="F233" i="64"/>
  <c r="J233" i="64" s="1"/>
  <c r="F2256" i="64" a="1"/>
  <c r="F2256" i="64" s="1"/>
  <c r="J2256" i="64" s="1"/>
  <c r="F2266" i="64" a="1"/>
  <c r="F2266" i="64" s="1"/>
  <c r="J2266" i="64" s="1"/>
  <c r="F2019" i="64"/>
  <c r="F221" i="64"/>
  <c r="J221" i="64" s="1"/>
  <c r="F239" i="64"/>
  <c r="F235" i="64"/>
  <c r="F238" i="64"/>
  <c r="F237" i="64"/>
  <c r="J237" i="64" s="1"/>
  <c r="F292" i="64" a="1"/>
  <c r="F292" i="64" s="1"/>
  <c r="F291" i="64" a="1"/>
  <c r="F291" i="64" s="1"/>
  <c r="H2242" i="64"/>
  <c r="F2382" i="64"/>
  <c r="F2274" i="64"/>
  <c r="J2274" i="64" s="1"/>
  <c r="R97" i="26"/>
  <c r="F2314" i="64" s="1"/>
  <c r="J2314" i="64" s="1"/>
  <c r="F74" i="25"/>
  <c r="F2247" i="64"/>
  <c r="J2247" i="64" s="1"/>
  <c r="F2251" i="64" a="1"/>
  <c r="F2251" i="64" s="1"/>
  <c r="J2251" i="64" s="1"/>
  <c r="F347" i="64"/>
  <c r="H2275" i="64"/>
  <c r="H2273" i="64"/>
  <c r="F2272" i="64"/>
  <c r="F2330" i="64"/>
  <c r="J2330" i="64" s="1"/>
  <c r="G2093" i="64" l="1"/>
  <c r="J2087" i="64"/>
  <c r="J2031" i="64"/>
  <c r="F2095" i="64"/>
  <c r="J2095" i="64" s="1"/>
  <c r="J2019" i="64"/>
  <c r="F2094" i="64"/>
  <c r="J2094" i="64" s="1"/>
  <c r="J2027" i="64"/>
  <c r="J2004" i="64"/>
  <c r="J2033" i="64"/>
  <c r="J238" i="64"/>
  <c r="H74" i="25"/>
  <c r="I74" i="25" s="1"/>
  <c r="J2089" i="64"/>
  <c r="J239" i="64"/>
  <c r="J244" i="64"/>
  <c r="J291" i="64"/>
  <c r="J292" i="64"/>
  <c r="J235" i="64"/>
  <c r="F883" i="64" a="1"/>
  <c r="F883" i="64" s="1"/>
  <c r="J883" i="64" s="1"/>
  <c r="F881" i="64" a="1"/>
  <c r="F881" i="64" s="1"/>
  <c r="J881" i="64" s="1"/>
  <c r="F876" i="64" a="1"/>
  <c r="F876" i="64" s="1"/>
  <c r="J876" i="64" s="1"/>
  <c r="F878" i="64" a="1"/>
  <c r="F878" i="64" s="1"/>
  <c r="J878" i="64" s="1"/>
  <c r="F880" i="64" a="1"/>
  <c r="F880" i="64" s="1"/>
  <c r="J880" i="64" s="1"/>
  <c r="F879" i="64" a="1"/>
  <c r="F879" i="64" s="1"/>
  <c r="J879" i="64" s="1"/>
  <c r="J347" i="64"/>
  <c r="F877" i="64" a="1"/>
  <c r="F877" i="64" s="1"/>
  <c r="J877" i="64" s="1"/>
  <c r="F882" i="64" a="1"/>
  <c r="F882" i="64" s="1"/>
  <c r="J882" i="64" s="1"/>
  <c r="F2299" i="64" a="1"/>
  <c r="F2299" i="64" s="1"/>
  <c r="J2299" i="64" s="1"/>
  <c r="J2272" i="64"/>
  <c r="F2422" i="64"/>
  <c r="J2422" i="64" s="1"/>
  <c r="J2382" i="64"/>
  <c r="J1756" i="64"/>
  <c r="H2019" i="64"/>
  <c r="H2094" i="64" s="1"/>
  <c r="F2322" i="64"/>
  <c r="J2322" i="64" s="1"/>
  <c r="F2324" i="64"/>
  <c r="J2324" i="64" s="1"/>
  <c r="F2372" i="64"/>
  <c r="J2372" i="64" s="1"/>
  <c r="F2376" i="64"/>
  <c r="J2376" i="64" s="1"/>
  <c r="F2371" i="64"/>
  <c r="J2371" i="64" s="1"/>
  <c r="F2370" i="64"/>
  <c r="J2370" i="64" s="1"/>
  <c r="F2369" i="64"/>
  <c r="J2369" i="64" s="1"/>
  <c r="F2373" i="64"/>
  <c r="J2373" i="64" s="1"/>
  <c r="F2375" i="64"/>
  <c r="J2375" i="64" s="1"/>
  <c r="F2374" i="64"/>
  <c r="J2374" i="64" s="1"/>
  <c r="F2291" i="64" a="1"/>
  <c r="F2291" i="64" s="1"/>
  <c r="J2291" i="64" s="1"/>
  <c r="F2301" i="64" a="1"/>
  <c r="F2301" i="64" s="1"/>
  <c r="J2301" i="64" s="1"/>
  <c r="F2284" i="64" a="1"/>
  <c r="F2284" i="64" s="1"/>
  <c r="J2284" i="64" s="1"/>
  <c r="F2289" i="64" a="1"/>
  <c r="F2289" i="64" s="1"/>
  <c r="J2289" i="64" s="1"/>
  <c r="F2282" i="64"/>
  <c r="J2282" i="64" s="1"/>
  <c r="F2286" i="64" a="1"/>
  <c r="F2286" i="64" s="1"/>
  <c r="J2286" i="64" s="1"/>
  <c r="F2275" i="64"/>
  <c r="J2275" i="64" s="1"/>
  <c r="F2029" i="64"/>
  <c r="H2029" i="64"/>
  <c r="F2091" i="64" a="1"/>
  <c r="F2091" i="64" s="1"/>
  <c r="J2091" i="64" s="1"/>
  <c r="F2092" i="64" a="1"/>
  <c r="F2092" i="64" s="1"/>
  <c r="J2092" i="64" s="1"/>
  <c r="F2273" i="64"/>
  <c r="J2273" i="64" s="1"/>
  <c r="F2281" i="64"/>
  <c r="J2281" i="64" s="1"/>
  <c r="J2029" i="64" l="1"/>
  <c r="J2096" i="64"/>
  <c r="F2093" i="64"/>
  <c r="J2093" i="64" s="1"/>
  <c r="F2377" i="64"/>
  <c r="J2377" i="64" s="1"/>
  <c r="D4" i="12" l="1"/>
  <c r="F783" i="64"/>
  <c r="J33" i="11"/>
  <c r="G26" i="12"/>
  <c r="C43" i="12"/>
  <c r="J32" i="11"/>
  <c r="C39" i="12" l="1"/>
  <c r="J783" i="64"/>
  <c r="F1971" i="64"/>
  <c r="J1971" i="64" s="1"/>
  <c r="F1973" i="64"/>
  <c r="J1973" i="64" s="1"/>
  <c r="C40" i="12"/>
  <c r="D40" i="12" s="1"/>
  <c r="F110" i="64" s="1"/>
  <c r="K4" i="25"/>
  <c r="B5" i="10"/>
  <c r="C3" i="10"/>
  <c r="H26" i="12"/>
  <c r="F124" i="64" s="1"/>
  <c r="J124" i="64" s="1"/>
  <c r="C36" i="12"/>
  <c r="F49" i="64" s="1"/>
  <c r="B20" i="16"/>
  <c r="B21" i="16" s="1"/>
  <c r="B23" i="16" s="1"/>
  <c r="U22" i="15" s="1"/>
  <c r="AP22" i="15" s="1"/>
  <c r="G4" i="12"/>
  <c r="G22" i="12" s="1"/>
  <c r="F116" i="64" s="1"/>
  <c r="D29" i="12"/>
  <c r="H29" i="12" s="1"/>
  <c r="C37" i="12"/>
  <c r="F53" i="64" s="1"/>
  <c r="D109" i="25"/>
  <c r="D115" i="25" s="1"/>
  <c r="F593" i="64" s="1"/>
  <c r="K80" i="25"/>
  <c r="J4" i="11" s="1" a="1"/>
  <c r="J4" i="11" s="1"/>
  <c r="B5" i="16"/>
  <c r="B7" i="16" s="1"/>
  <c r="Q6" i="15" s="1"/>
  <c r="AP6" i="15" s="1"/>
  <c r="U82" i="25"/>
  <c r="F50" i="64" l="1"/>
  <c r="J50" i="64" s="1"/>
  <c r="F48" i="64"/>
  <c r="F645" i="64" a="1"/>
  <c r="F645" i="64" s="1"/>
  <c r="J645" i="64" s="1"/>
  <c r="J5" i="11" a="1"/>
  <c r="J5" i="11" s="1"/>
  <c r="F965" i="64" s="1" a="1"/>
  <c r="F965" i="64" s="1"/>
  <c r="J965" i="64" s="1"/>
  <c r="J964" i="64"/>
  <c r="K35" i="25"/>
  <c r="N36" i="25" s="1"/>
  <c r="N38" i="25" s="1"/>
  <c r="F868" i="64"/>
  <c r="J53" i="64"/>
  <c r="J116" i="64"/>
  <c r="J110" i="64"/>
  <c r="J593" i="64"/>
  <c r="K96" i="25"/>
  <c r="F51" i="64"/>
  <c r="F54" i="64"/>
  <c r="D116" i="25"/>
  <c r="D117" i="25" s="1"/>
  <c r="F187" i="64" s="1"/>
  <c r="H32" i="12"/>
  <c r="F117" i="64" s="1"/>
  <c r="G23" i="12"/>
  <c r="C5" i="10"/>
  <c r="C6" i="10"/>
  <c r="D102" i="25"/>
  <c r="F569" i="64" s="1"/>
  <c r="U96" i="25"/>
  <c r="F1981" i="64"/>
  <c r="J1981" i="64" s="1"/>
  <c r="F1960" i="64" l="1"/>
  <c r="J1960" i="64" s="1"/>
  <c r="F1957" i="64"/>
  <c r="J1957" i="64" s="1"/>
  <c r="F994" i="64" a="1"/>
  <c r="F994" i="64" s="1"/>
  <c r="J994" i="64" s="1"/>
  <c r="P38" i="25"/>
  <c r="R38" i="25" s="1"/>
  <c r="J23" i="11"/>
  <c r="F1908" i="64" s="1"/>
  <c r="J1908" i="64" s="1"/>
  <c r="F872" i="64" a="1"/>
  <c r="F872" i="64" s="1"/>
  <c r="J872" i="64" s="1"/>
  <c r="F870" i="64" a="1"/>
  <c r="F870" i="64" s="1"/>
  <c r="J870" i="64" s="1"/>
  <c r="F871" i="64" a="1"/>
  <c r="F871" i="64" s="1"/>
  <c r="J871" i="64" s="1"/>
  <c r="F873" i="64" a="1"/>
  <c r="F873" i="64" s="1"/>
  <c r="J873" i="64" s="1"/>
  <c r="J868" i="64"/>
  <c r="F869" i="64" a="1"/>
  <c r="F869" i="64" s="1"/>
  <c r="J869" i="64" s="1"/>
  <c r="J49" i="64"/>
  <c r="J54" i="64"/>
  <c r="J569" i="64"/>
  <c r="J51" i="64"/>
  <c r="J117" i="64"/>
  <c r="J187" i="64"/>
  <c r="J48" i="64"/>
  <c r="F1945" i="64"/>
  <c r="J1945" i="64" s="1"/>
  <c r="J1946" i="64"/>
  <c r="F38" i="25"/>
  <c r="H38" i="25" s="1"/>
  <c r="I38" i="25" s="1"/>
  <c r="D39" i="25"/>
  <c r="F39" i="25" s="1"/>
  <c r="H39" i="25" s="1"/>
  <c r="I39" i="25" s="1"/>
  <c r="F225" i="64" s="1"/>
  <c r="J225" i="64" s="1"/>
  <c r="F1955" i="64"/>
  <c r="J1955" i="64" s="1"/>
  <c r="F1959" i="64"/>
  <c r="J1959" i="64" s="1"/>
  <c r="N97" i="25"/>
  <c r="D100" i="25" s="1"/>
  <c r="F567" i="64" s="1"/>
  <c r="F102" i="25"/>
  <c r="H33" i="12"/>
  <c r="H34" i="12" s="1"/>
  <c r="F101" i="64" s="1"/>
  <c r="J101" i="64" s="1"/>
  <c r="F159" i="64" l="1"/>
  <c r="F162" i="64" s="1"/>
  <c r="F224" i="64"/>
  <c r="J230" i="64"/>
  <c r="F346" i="64" a="1"/>
  <c r="F346" i="64" s="1"/>
  <c r="J346" i="64" s="1"/>
  <c r="F565" i="64"/>
  <c r="F992" i="64"/>
  <c r="J992" i="64" s="1"/>
  <c r="F268" i="64" a="1"/>
  <c r="F268" i="64" s="1"/>
  <c r="J231" i="64"/>
  <c r="H102" i="25"/>
  <c r="I102" i="25" s="1"/>
  <c r="F344" i="64" a="1"/>
  <c r="F344" i="64" s="1"/>
  <c r="F345" i="64" a="1"/>
  <c r="F345" i="64" s="1"/>
  <c r="G23" i="11"/>
  <c r="F1956" i="64"/>
  <c r="J1956" i="64" s="1"/>
  <c r="F570" i="64"/>
  <c r="F240" i="64"/>
  <c r="F267" i="64" a="1"/>
  <c r="F267" i="64" s="1"/>
  <c r="F176" i="64"/>
  <c r="F103" i="64" a="1"/>
  <c r="F103" i="64" s="1"/>
  <c r="F102" i="64" a="1"/>
  <c r="F102" i="64" s="1"/>
  <c r="F364" i="64" a="1"/>
  <c r="F364" i="64" s="1"/>
  <c r="F938" i="64"/>
  <c r="J938" i="64" s="1"/>
  <c r="F932" i="64"/>
  <c r="F163" i="64"/>
  <c r="F294" i="64" a="1"/>
  <c r="F294" i="64" s="1"/>
  <c r="F100" i="25"/>
  <c r="F270" i="64" a="1"/>
  <c r="F270" i="64" s="1"/>
  <c r="S38" i="25"/>
  <c r="F336" i="64" s="1" a="1"/>
  <c r="F336" i="64" s="1"/>
  <c r="J336" i="64" s="1"/>
  <c r="F367" i="64"/>
  <c r="F337" i="64"/>
  <c r="F107" i="64"/>
  <c r="J224" i="64" l="1"/>
  <c r="F610" i="64" a="1"/>
  <c r="F610" i="64" s="1"/>
  <c r="J610" i="64" s="1"/>
  <c r="F160" i="64"/>
  <c r="J160" i="64" s="1"/>
  <c r="J159" i="64"/>
  <c r="F161" i="64"/>
  <c r="J161" i="64" s="1"/>
  <c r="F941" i="64"/>
  <c r="J941" i="64" s="1"/>
  <c r="F936" i="64"/>
  <c r="J936" i="64" s="1"/>
  <c r="F254" i="64"/>
  <c r="F365" i="64" a="1"/>
  <c r="F365" i="64" s="1"/>
  <c r="J365" i="64" s="1"/>
  <c r="F935" i="64"/>
  <c r="J935" i="64" s="1"/>
  <c r="J268" i="64"/>
  <c r="F607" i="64"/>
  <c r="J565" i="64"/>
  <c r="F243" i="64"/>
  <c r="F363" i="64" a="1"/>
  <c r="F363" i="64" s="1"/>
  <c r="H100" i="25"/>
  <c r="I100" i="25" s="1"/>
  <c r="J932" i="64"/>
  <c r="F983" i="64"/>
  <c r="J983" i="64" s="1"/>
  <c r="F937" i="64"/>
  <c r="J937" i="64" s="1"/>
  <c r="J344" i="64"/>
  <c r="J345" i="64"/>
  <c r="J267" i="64"/>
  <c r="J102" i="64"/>
  <c r="J163" i="64"/>
  <c r="J103" i="64"/>
  <c r="J176" i="64"/>
  <c r="J162" i="64"/>
  <c r="J107" i="64"/>
  <c r="J240" i="64"/>
  <c r="J570" i="64"/>
  <c r="J367" i="64"/>
  <c r="J270" i="64"/>
  <c r="J364" i="64"/>
  <c r="J294" i="64"/>
  <c r="J337" i="64"/>
  <c r="J567" i="64"/>
  <c r="F606" i="64"/>
  <c r="F226" i="64"/>
  <c r="F335" i="64" a="1"/>
  <c r="F335" i="64" s="1"/>
  <c r="F232" i="64"/>
  <c r="F241" i="64"/>
  <c r="F220" i="64"/>
  <c r="R107" i="25"/>
  <c r="F269" i="64" a="1"/>
  <c r="F269" i="64" s="1"/>
  <c r="F293" i="64" a="1"/>
  <c r="F293" i="64" s="1"/>
  <c r="F334" i="64" a="1"/>
  <c r="F334" i="64" s="1"/>
  <c r="F236" i="64"/>
  <c r="F266" i="64" a="1"/>
  <c r="F266" i="64" s="1"/>
  <c r="F357" i="64"/>
  <c r="F355" i="64" l="1" a="1"/>
  <c r="F355" i="64" s="1"/>
  <c r="J355" i="64" s="1"/>
  <c r="F356" i="64" a="1"/>
  <c r="F356" i="64" s="1"/>
  <c r="J356" i="64" s="1"/>
  <c r="F141" i="64"/>
  <c r="F146" i="64"/>
  <c r="J146" i="64" s="1"/>
  <c r="J243" i="64"/>
  <c r="J363" i="64"/>
  <c r="J607" i="64"/>
  <c r="J254" i="64"/>
  <c r="F354" i="64" a="1"/>
  <c r="F354" i="64" s="1"/>
  <c r="F245" i="64"/>
  <c r="F255" i="64"/>
  <c r="J236" i="64"/>
  <c r="J269" i="64"/>
  <c r="J226" i="64"/>
  <c r="J220" i="64"/>
  <c r="J266" i="64"/>
  <c r="J334" i="64"/>
  <c r="J241" i="64"/>
  <c r="J232" i="64"/>
  <c r="J293" i="64"/>
  <c r="J606" i="64"/>
  <c r="J357" i="64"/>
  <c r="J335" i="64"/>
  <c r="F154" i="64"/>
  <c r="F156" i="64"/>
  <c r="F137" i="64"/>
  <c r="F329" i="64"/>
  <c r="F2128" i="64"/>
  <c r="J2128" i="64" s="1"/>
  <c r="J255" i="64" l="1"/>
  <c r="J245" i="64"/>
  <c r="J354" i="64"/>
  <c r="J137" i="64"/>
  <c r="J141" i="64"/>
  <c r="J154" i="64"/>
  <c r="J156" i="64"/>
  <c r="J329" i="6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Paul Newton</author>
    <author>Main</author>
    <author>tc={613522B8-7B80-4D58-9F8B-9F09D7F24927}</author>
    <author>tc={8FE6CD2D-A751-4EBB-956B-901A53C9302F}</author>
  </authors>
  <commentList>
    <comment ref="C21" authorId="0" shapeId="0" xr:uid="{53BB4037-5A21-4EFA-9644-2BDB668214E4}">
      <text>
        <r>
          <rPr>
            <b/>
            <sz val="9"/>
            <color indexed="81"/>
            <rFont val="Tahoma"/>
            <family val="2"/>
          </rPr>
          <t>10339 is Augusta Electrics
04423 is Cousins Electrics
11164800 is Custom Electrics</t>
        </r>
      </text>
    </comment>
    <comment ref="C23" authorId="0" shapeId="0" xr:uid="{D7BF0E5C-7B2F-4C56-A54E-129F98DDECD2}">
      <text>
        <r>
          <rPr>
            <b/>
            <sz val="9"/>
            <color indexed="81"/>
            <rFont val="Tahoma"/>
            <family val="2"/>
          </rPr>
          <t>11462 is Doust
50001 is Owner</t>
        </r>
      </text>
    </comment>
    <comment ref="C24" authorId="1" shapeId="0" xr:uid="{7EC5053F-8F1C-40C8-996F-C519871ABC10}">
      <text>
        <r>
          <rPr>
            <b/>
            <sz val="9"/>
            <color indexed="81"/>
            <rFont val="Tahoma"/>
            <family val="2"/>
          </rPr>
          <t>Dummy</t>
        </r>
      </text>
    </comment>
    <comment ref="C26" authorId="1" shapeId="0" xr:uid="{BD7C542A-A48C-45F4-8C68-61FF2ABCDAEC}">
      <text>
        <r>
          <rPr>
            <b/>
            <sz val="9"/>
            <color indexed="81"/>
            <rFont val="Tahoma"/>
            <family val="2"/>
          </rPr>
          <t>Complete Portables</t>
        </r>
      </text>
    </comment>
    <comment ref="C27" authorId="1" shapeId="0" xr:uid="{BB7F9CFB-406F-42F0-892A-C753B28D6F8E}">
      <text>
        <r>
          <rPr>
            <b/>
            <sz val="9"/>
            <color indexed="81"/>
            <rFont val="Tahoma"/>
            <family val="2"/>
          </rPr>
          <t>Complete Portables</t>
        </r>
      </text>
    </comment>
    <comment ref="C28" authorId="1" shapeId="0" xr:uid="{F075EAF6-697B-4FE0-93C4-193A134A7A41}">
      <text>
        <r>
          <rPr>
            <b/>
            <sz val="9"/>
            <color indexed="81"/>
            <rFont val="Tahoma"/>
            <family val="2"/>
          </rPr>
          <t>Complete Portables</t>
        </r>
      </text>
    </comment>
    <comment ref="C30" authorId="1" shapeId="0" xr:uid="{420AABD1-C825-4F88-9E90-5DF4AA9BE287}">
      <text>
        <r>
          <rPr>
            <b/>
            <sz val="9"/>
            <color indexed="81"/>
            <rFont val="Tahoma"/>
            <family val="2"/>
          </rPr>
          <t>CRANEFORD PLUMBING</t>
        </r>
      </text>
    </comment>
    <comment ref="C32" authorId="1" shapeId="0" xr:uid="{DB780481-575F-4158-889D-75A0523D73B5}">
      <text>
        <r>
          <rPr>
            <b/>
            <sz val="9"/>
            <color indexed="81"/>
            <rFont val="Tahoma"/>
            <family val="2"/>
          </rPr>
          <t>Instant Bins</t>
        </r>
      </text>
    </comment>
    <comment ref="C33" authorId="1" shapeId="0" xr:uid="{8365BF27-A91A-4C8F-8784-A9F7BA56CAEE}">
      <text>
        <r>
          <rPr>
            <b/>
            <sz val="9"/>
            <color indexed="81"/>
            <rFont val="Tahoma"/>
            <family val="2"/>
          </rPr>
          <t>Instant Bins</t>
        </r>
      </text>
    </comment>
    <comment ref="C34" authorId="1" shapeId="0" xr:uid="{E3BC4B25-9D74-44BF-A11F-D228F93FAF90}">
      <text>
        <r>
          <rPr>
            <b/>
            <sz val="9"/>
            <color indexed="81"/>
            <rFont val="Tahoma"/>
            <family val="2"/>
          </rPr>
          <t>Instant Bins</t>
        </r>
      </text>
    </comment>
    <comment ref="C35" authorId="1" shapeId="0" xr:uid="{6356B812-BAB8-47BB-85B4-3E0D4F8F3088}">
      <text>
        <r>
          <rPr>
            <b/>
            <sz val="9"/>
            <color indexed="81"/>
            <rFont val="Tahoma"/>
            <family val="2"/>
          </rPr>
          <t>Instant Bins</t>
        </r>
      </text>
    </comment>
    <comment ref="C36" authorId="1" shapeId="0" xr:uid="{64A99B87-EF10-40C2-BB62-ADDA003788DB}">
      <text>
        <r>
          <rPr>
            <b/>
            <sz val="9"/>
            <color indexed="81"/>
            <rFont val="Tahoma"/>
            <family val="2"/>
          </rPr>
          <t>Instant Bins</t>
        </r>
      </text>
    </comment>
    <comment ref="C42" authorId="0" shapeId="0" xr:uid="{AEE68342-9049-4D2D-BAAF-DA93C4F0F424}">
      <text>
        <r>
          <rPr>
            <b/>
            <sz val="9"/>
            <color indexed="81"/>
            <rFont val="Tahoma"/>
            <family val="2"/>
          </rPr>
          <t>Busselton
10339 is Augusta Electrics
Bunbury North
04423 is Cousins Electrics
Plunkett
11164800 is Custom Electrics
Bridgetown South
11164600 is Solar Power Solutions</t>
        </r>
      </text>
    </comment>
    <comment ref="C44" authorId="0" shapeId="0" xr:uid="{609F25E0-E634-4C21-A788-073C0D48D321}">
      <text>
        <r>
          <rPr>
            <b/>
            <sz val="9"/>
            <color indexed="81"/>
            <rFont val="Tahoma"/>
            <family val="2"/>
          </rPr>
          <t>Active Plumbing</t>
        </r>
      </text>
    </comment>
    <comment ref="B46" authorId="1" shapeId="0" xr:uid="{1FE6039F-8FD3-4043-BFF2-9AC64697B683}">
      <text>
        <r>
          <rPr>
            <b/>
            <sz val="9"/>
            <color indexed="81"/>
            <rFont val="Tahoma"/>
            <family val="2"/>
          </rPr>
          <t>Concrete Curing</t>
        </r>
      </text>
    </comment>
    <comment ref="C46" authorId="1" shapeId="0" xr:uid="{816F8B74-0D57-4A42-9677-FB1D19779D9C}">
      <text>
        <r>
          <rPr>
            <b/>
            <sz val="9"/>
            <color indexed="81"/>
            <rFont val="Tahoma"/>
            <family val="2"/>
          </rPr>
          <t>Termico Pest Management</t>
        </r>
      </text>
    </comment>
    <comment ref="C48" authorId="0" shapeId="0" xr:uid="{848B91F2-55E1-4FF7-A47C-352B4169CE02}">
      <text>
        <r>
          <rPr>
            <b/>
            <sz val="9"/>
            <color indexed="81"/>
            <rFont val="Tahoma"/>
            <family val="2"/>
          </rPr>
          <t>Paul Newton:</t>
        </r>
        <r>
          <rPr>
            <sz val="9"/>
            <color indexed="81"/>
            <rFont val="Tahoma"/>
            <family val="2"/>
          </rPr>
          <t xml:space="preserve">
BBP</t>
        </r>
      </text>
    </comment>
    <comment ref="B79" authorId="1" shapeId="0" xr:uid="{AC5B3F2C-53F7-4ACC-935E-EE95274AF09D}">
      <text>
        <r>
          <rPr>
            <b/>
            <sz val="9"/>
            <color indexed="81"/>
            <rFont val="Tahoma"/>
            <family val="2"/>
          </rPr>
          <t>White Ant Treatment</t>
        </r>
      </text>
    </comment>
    <comment ref="C79" authorId="1" shapeId="0" xr:uid="{96FA493E-7649-4004-9F40-E11A97006C03}">
      <text>
        <r>
          <rPr>
            <b/>
            <sz val="9"/>
            <color indexed="81"/>
            <rFont val="Tahoma"/>
            <family val="2"/>
          </rPr>
          <t>Termico Pest Management</t>
        </r>
      </text>
    </comment>
    <comment ref="B80" authorId="1" shapeId="0" xr:uid="{599782EC-9404-4F35-9C34-F7A8F3EEBAAB}">
      <text>
        <r>
          <rPr>
            <b/>
            <sz val="9"/>
            <color indexed="81"/>
            <rFont val="Tahoma"/>
            <family val="2"/>
          </rPr>
          <t>White Ant Treatment</t>
        </r>
      </text>
    </comment>
    <comment ref="C80" authorId="1" shapeId="0" xr:uid="{8A21DD5F-D20E-458F-AC61-398F6FB4AF10}">
      <text>
        <r>
          <rPr>
            <b/>
            <sz val="9"/>
            <color indexed="81"/>
            <rFont val="Tahoma"/>
            <family val="2"/>
          </rPr>
          <t>Termico Pest Management</t>
        </r>
      </text>
    </comment>
    <comment ref="B81" authorId="1" shapeId="0" xr:uid="{37DAEB58-8FC0-4244-A909-2C986C1E64AF}">
      <text>
        <r>
          <rPr>
            <b/>
            <sz val="9"/>
            <color indexed="81"/>
            <rFont val="Tahoma"/>
            <family val="2"/>
          </rPr>
          <t>White Ant Treatment</t>
        </r>
      </text>
    </comment>
    <comment ref="C81" authorId="1" shapeId="0" xr:uid="{2C6FDE78-5214-4A5E-8AB6-5959BDDC09CD}">
      <text>
        <r>
          <rPr>
            <b/>
            <sz val="9"/>
            <color indexed="81"/>
            <rFont val="Tahoma"/>
            <family val="2"/>
          </rPr>
          <t>Termico Pest Management</t>
        </r>
      </text>
    </comment>
    <comment ref="B82" authorId="1" shapeId="0" xr:uid="{3AEBDBF2-2E69-4D95-ACE4-2122A63B830C}">
      <text>
        <r>
          <rPr>
            <b/>
            <sz val="9"/>
            <color indexed="81"/>
            <rFont val="Tahoma"/>
            <family val="2"/>
          </rPr>
          <t>White Ant Treatment</t>
        </r>
      </text>
    </comment>
    <comment ref="C82" authorId="1" shapeId="0" xr:uid="{0A0EA68B-BEA7-4F58-B9DD-DC58E933679A}">
      <text>
        <r>
          <rPr>
            <b/>
            <sz val="9"/>
            <color indexed="81"/>
            <rFont val="Tahoma"/>
            <family val="2"/>
          </rPr>
          <t>Termico Pest Management</t>
        </r>
      </text>
    </comment>
    <comment ref="B83" authorId="1" shapeId="0" xr:uid="{54A832CC-4F61-4A03-AA22-BA9C9BF5DEBC}">
      <text>
        <r>
          <rPr>
            <b/>
            <sz val="9"/>
            <color indexed="81"/>
            <rFont val="Tahoma"/>
            <family val="2"/>
          </rPr>
          <t>White Ant Treatment</t>
        </r>
      </text>
    </comment>
    <comment ref="C83" authorId="1" shapeId="0" xr:uid="{16130AAC-33DA-47D3-BB47-C97A130669B5}">
      <text>
        <r>
          <rPr>
            <b/>
            <sz val="9"/>
            <color indexed="81"/>
            <rFont val="Tahoma"/>
            <family val="2"/>
          </rPr>
          <t>Termico Pest Management</t>
        </r>
      </text>
    </comment>
    <comment ref="B84" authorId="1" shapeId="0" xr:uid="{E6DF6901-1959-4A60-B6DD-0AA4F27711A0}">
      <text>
        <r>
          <rPr>
            <b/>
            <sz val="9"/>
            <color indexed="81"/>
            <rFont val="Tahoma"/>
            <family val="2"/>
          </rPr>
          <t>White Ant Treatment</t>
        </r>
      </text>
    </comment>
    <comment ref="C84" authorId="1" shapeId="0" xr:uid="{90962EF1-2A52-46C9-A15F-439D4AA348C0}">
      <text>
        <r>
          <rPr>
            <b/>
            <sz val="9"/>
            <color indexed="81"/>
            <rFont val="Tahoma"/>
            <family val="2"/>
          </rPr>
          <t>Termico Pest Management</t>
        </r>
      </text>
    </comment>
    <comment ref="B85" authorId="1" shapeId="0" xr:uid="{70D380BC-4EF3-4853-BC26-DD81DE665EDC}">
      <text>
        <r>
          <rPr>
            <b/>
            <sz val="9"/>
            <color indexed="81"/>
            <rFont val="Tahoma"/>
            <family val="2"/>
          </rPr>
          <t>White Ant Treatment</t>
        </r>
      </text>
    </comment>
    <comment ref="C85" authorId="1" shapeId="0" xr:uid="{B567970C-A56E-409A-A39F-C712701E677A}">
      <text>
        <r>
          <rPr>
            <b/>
            <sz val="9"/>
            <color indexed="81"/>
            <rFont val="Tahoma"/>
            <family val="2"/>
          </rPr>
          <t>Termico Pest Management</t>
        </r>
      </text>
    </comment>
    <comment ref="B86" authorId="1" shapeId="0" xr:uid="{6BA47C25-3918-4324-B35D-FA4BFA535FF4}">
      <text>
        <r>
          <rPr>
            <b/>
            <sz val="9"/>
            <color indexed="81"/>
            <rFont val="Tahoma"/>
            <family val="2"/>
          </rPr>
          <t>White Ant Treatment</t>
        </r>
      </text>
    </comment>
    <comment ref="C86" authorId="1" shapeId="0" xr:uid="{C80A8224-2D01-46D3-9700-7D07B6865EDC}">
      <text>
        <r>
          <rPr>
            <b/>
            <sz val="9"/>
            <color indexed="81"/>
            <rFont val="Tahoma"/>
            <family val="2"/>
          </rPr>
          <t>Termico Pest Management</t>
        </r>
      </text>
    </comment>
    <comment ref="B87" authorId="1" shapeId="0" xr:uid="{BA7E814E-2C7E-4320-897C-1B8040FEC9F3}">
      <text>
        <r>
          <rPr>
            <b/>
            <sz val="9"/>
            <color indexed="81"/>
            <rFont val="Tahoma"/>
            <family val="2"/>
          </rPr>
          <t>White Ant Treatment</t>
        </r>
      </text>
    </comment>
    <comment ref="C87" authorId="1" shapeId="0" xr:uid="{5F4688BB-BFB1-482F-81B8-9B3F15DEEC90}">
      <text>
        <r>
          <rPr>
            <b/>
            <sz val="9"/>
            <color indexed="81"/>
            <rFont val="Tahoma"/>
            <family val="2"/>
          </rPr>
          <t>Termico Pest Management</t>
        </r>
      </text>
    </comment>
    <comment ref="B88" authorId="1" shapeId="0" xr:uid="{0FA9A005-ED2E-4F58-9A43-8ECA7226039F}">
      <text>
        <r>
          <rPr>
            <b/>
            <sz val="9"/>
            <color indexed="81"/>
            <rFont val="Tahoma"/>
            <family val="2"/>
          </rPr>
          <t>White Ant Treatment</t>
        </r>
      </text>
    </comment>
    <comment ref="C88" authorId="1" shapeId="0" xr:uid="{DF31C08A-9092-43D7-AB3B-B1D69E4F93B7}">
      <text>
        <r>
          <rPr>
            <b/>
            <sz val="9"/>
            <color indexed="81"/>
            <rFont val="Tahoma"/>
            <family val="2"/>
          </rPr>
          <t>Termico Pest Management</t>
        </r>
      </text>
    </comment>
    <comment ref="B89" authorId="1" shapeId="0" xr:uid="{5ADD5B75-7E52-4564-86D7-AEC4C409DD2C}">
      <text>
        <r>
          <rPr>
            <b/>
            <sz val="9"/>
            <color indexed="81"/>
            <rFont val="Tahoma"/>
            <family val="2"/>
          </rPr>
          <t>White Ant Treatment</t>
        </r>
      </text>
    </comment>
    <comment ref="C89" authorId="1" shapeId="0" xr:uid="{0D563659-49C3-45AF-99A3-1BBA62654B5E}">
      <text>
        <r>
          <rPr>
            <b/>
            <sz val="9"/>
            <color indexed="81"/>
            <rFont val="Tahoma"/>
            <family val="2"/>
          </rPr>
          <t>Termico Pest Management</t>
        </r>
      </text>
    </comment>
    <comment ref="B92" authorId="1" shapeId="0" xr:uid="{5D0DA415-203D-48E5-8420-EF2785F5FB19}">
      <text>
        <r>
          <rPr>
            <b/>
            <sz val="9"/>
            <color indexed="81"/>
            <rFont val="Tahoma"/>
            <family val="2"/>
          </rPr>
          <t>White Ant Treatment</t>
        </r>
      </text>
    </comment>
    <comment ref="C92" authorId="1" shapeId="0" xr:uid="{24D580BF-6E8B-4C82-9E62-DCF8942F5CF7}">
      <text>
        <r>
          <rPr>
            <b/>
            <sz val="9"/>
            <color indexed="81"/>
            <rFont val="Tahoma"/>
            <family val="2"/>
          </rPr>
          <t>Termico Pest Management</t>
        </r>
      </text>
    </comment>
    <comment ref="B95" authorId="1" shapeId="0" xr:uid="{F68BD3DA-2A24-4D96-AC4B-89E0A1378224}">
      <text>
        <r>
          <rPr>
            <b/>
            <sz val="9"/>
            <color indexed="81"/>
            <rFont val="Tahoma"/>
            <family val="2"/>
          </rPr>
          <t>White Ant Treatment</t>
        </r>
      </text>
    </comment>
    <comment ref="C95" authorId="1" shapeId="0" xr:uid="{51663AAF-0D1E-44FA-A998-548767FBCCA2}">
      <text>
        <r>
          <rPr>
            <b/>
            <sz val="9"/>
            <color indexed="81"/>
            <rFont val="Tahoma"/>
            <family val="2"/>
          </rPr>
          <t>Termico Pest Management</t>
        </r>
      </text>
    </comment>
    <comment ref="C99" authorId="1" shapeId="0" xr:uid="{CAF60A3A-925C-4F52-945A-E04222F8F409}">
      <text>
        <r>
          <rPr>
            <b/>
            <sz val="9"/>
            <color indexed="81"/>
            <rFont val="Tahoma"/>
            <family val="2"/>
          </rPr>
          <t>Dummy</t>
        </r>
      </text>
    </comment>
    <comment ref="C101" authorId="1" shapeId="0" xr:uid="{4FB904C7-0425-41C8-971C-0151DFF02EB0}">
      <text>
        <r>
          <rPr>
            <b/>
            <sz val="9"/>
            <color indexed="81"/>
            <rFont val="Tahoma"/>
            <family val="2"/>
          </rPr>
          <t>Hanson Construction Materials</t>
        </r>
      </text>
    </comment>
    <comment ref="C129" authorId="0" shapeId="0" xr:uid="{8108136E-86E8-420E-86C6-7A958D54A97C}">
      <text>
        <r>
          <rPr>
            <b/>
            <sz val="9"/>
            <color indexed="81"/>
            <rFont val="Tahoma"/>
            <family val="2"/>
          </rPr>
          <t>Active Plumbing</t>
        </r>
      </text>
    </comment>
    <comment ref="C131" authorId="1" shapeId="0" xr:uid="{06CFDAE5-C6E6-49D2-BE06-616706AD97D9}">
      <text>
        <r>
          <rPr>
            <b/>
            <sz val="9"/>
            <color indexed="81"/>
            <rFont val="Tahoma"/>
            <family val="2"/>
          </rPr>
          <t>Active Plumbing</t>
        </r>
      </text>
    </comment>
    <comment ref="C135" authorId="1" shapeId="0" xr:uid="{CE403965-D296-4B03-97BA-2D28CEF484EA}">
      <text>
        <r>
          <rPr>
            <b/>
            <sz val="9"/>
            <color indexed="81"/>
            <rFont val="Tahoma"/>
            <family val="2"/>
          </rPr>
          <t>52327 Warrick Welding</t>
        </r>
      </text>
    </comment>
    <comment ref="C137" authorId="1" shapeId="0" xr:uid="{9ACED7D4-881D-4D07-960A-2C67879449FB}">
      <text>
        <r>
          <rPr>
            <b/>
            <sz val="9"/>
            <color indexed="81"/>
            <rFont val="Tahoma"/>
            <family val="2"/>
          </rPr>
          <t>52048
B &amp; J Catalano</t>
        </r>
      </text>
    </comment>
    <comment ref="C138" authorId="1" shapeId="0" xr:uid="{0485276F-7B5E-41DF-BA04-B8E347AD9899}">
      <text>
        <r>
          <rPr>
            <b/>
            <sz val="9"/>
            <color indexed="81"/>
            <rFont val="Tahoma"/>
            <family val="2"/>
          </rPr>
          <t>52048
B &amp; J Catalano</t>
        </r>
      </text>
    </comment>
    <comment ref="C139" authorId="1" shapeId="0" xr:uid="{C8DC0F84-2164-4BC7-B4BA-291127C9C913}">
      <text>
        <r>
          <rPr>
            <b/>
            <sz val="9"/>
            <color indexed="81"/>
            <rFont val="Tahoma"/>
            <family val="2"/>
          </rPr>
          <t>52048
B &amp; J Catalano</t>
        </r>
      </text>
    </comment>
    <comment ref="C140" authorId="1" shapeId="0" xr:uid="{795F250A-DCD5-46CC-8C99-463FF14E2EB3}">
      <text>
        <r>
          <rPr>
            <b/>
            <sz val="9"/>
            <color indexed="81"/>
            <rFont val="Tahoma"/>
            <family val="2"/>
          </rPr>
          <t>52048
B &amp; J Catalano</t>
        </r>
      </text>
    </comment>
    <comment ref="C141" authorId="1" shapeId="0" xr:uid="{715DFCD5-9313-45DA-9055-3B1B5B5CA8E5}">
      <text>
        <r>
          <rPr>
            <b/>
            <sz val="9"/>
            <color indexed="81"/>
            <rFont val="Tahoma"/>
            <family val="2"/>
          </rPr>
          <t>52048
B &amp; J Catalano</t>
        </r>
      </text>
    </comment>
    <comment ref="C142" authorId="1" shapeId="0" xr:uid="{9F39B873-2BBF-4A12-ABC1-273AC7539367}">
      <text>
        <r>
          <rPr>
            <b/>
            <sz val="9"/>
            <color indexed="81"/>
            <rFont val="Tahoma"/>
            <family val="2"/>
          </rPr>
          <t>52048
B &amp; J Catalano</t>
        </r>
      </text>
    </comment>
    <comment ref="C143" authorId="1" shapeId="0" xr:uid="{CF98ABAF-2EEF-40BA-854F-94F49E28AEC1}">
      <text>
        <r>
          <rPr>
            <b/>
            <sz val="9"/>
            <color indexed="81"/>
            <rFont val="Tahoma"/>
            <family val="2"/>
          </rPr>
          <t>52048
B &amp; J Catalano</t>
        </r>
      </text>
    </comment>
    <comment ref="C144" authorId="1" shapeId="0" xr:uid="{CF0D587F-7A57-4704-A316-9C1EC3F6CF79}">
      <text>
        <r>
          <rPr>
            <b/>
            <sz val="9"/>
            <color indexed="81"/>
            <rFont val="Tahoma"/>
            <family val="2"/>
          </rPr>
          <t>52048
B &amp; J Catalano</t>
        </r>
      </text>
    </comment>
    <comment ref="C145" authorId="1" shapeId="0" xr:uid="{6E01756E-8E9A-4E53-952F-BC44DD9488FF}">
      <text>
        <r>
          <rPr>
            <b/>
            <sz val="9"/>
            <color indexed="81"/>
            <rFont val="Tahoma"/>
            <family val="2"/>
          </rPr>
          <t>52048
B &amp; J Catalano</t>
        </r>
      </text>
    </comment>
    <comment ref="C146" authorId="1" shapeId="0" xr:uid="{F9A3270B-1BC9-457F-9F98-293C2C60BF8E}">
      <text>
        <r>
          <rPr>
            <b/>
            <sz val="9"/>
            <color indexed="81"/>
            <rFont val="Tahoma"/>
            <family val="2"/>
          </rPr>
          <t>52048
B &amp; J Catalano</t>
        </r>
      </text>
    </comment>
    <comment ref="C147" authorId="1" shapeId="0" xr:uid="{13438D7E-D7E0-4729-B37E-4B959E26AA37}">
      <text>
        <r>
          <rPr>
            <b/>
            <sz val="9"/>
            <color indexed="81"/>
            <rFont val="Tahoma"/>
            <family val="2"/>
          </rPr>
          <t>52048
B &amp; J Catalano</t>
        </r>
      </text>
    </comment>
    <comment ref="C148" authorId="1" shapeId="0" xr:uid="{6D6DFC49-891C-4B24-9D4C-0884A847DE51}">
      <text>
        <r>
          <rPr>
            <b/>
            <sz val="9"/>
            <color indexed="81"/>
            <rFont val="Tahoma"/>
            <family val="2"/>
          </rPr>
          <t>52048
B &amp; J Catalano</t>
        </r>
      </text>
    </comment>
    <comment ref="C149" authorId="1" shapeId="0" xr:uid="{628ED402-A5EB-4BEF-AB9E-FF510F7FEEC0}">
      <text>
        <r>
          <rPr>
            <b/>
            <sz val="9"/>
            <color indexed="81"/>
            <rFont val="Tahoma"/>
            <family val="2"/>
          </rPr>
          <t>52048
B &amp; J Catalano</t>
        </r>
      </text>
    </comment>
    <comment ref="C150" authorId="1" shapeId="0" xr:uid="{B7C9DD4F-CF4E-4282-8325-C1E428D505AF}">
      <text>
        <r>
          <rPr>
            <b/>
            <sz val="9"/>
            <color indexed="81"/>
            <rFont val="Tahoma"/>
            <family val="2"/>
          </rPr>
          <t>52048
B &amp; J Catalano</t>
        </r>
      </text>
    </comment>
    <comment ref="C151" authorId="1" shapeId="0" xr:uid="{1E37E3BA-D591-480C-96B6-A3B2C415CBEB}">
      <text>
        <r>
          <rPr>
            <b/>
            <sz val="9"/>
            <color indexed="81"/>
            <rFont val="Tahoma"/>
            <family val="2"/>
          </rPr>
          <t>52048
B &amp; J Catalano</t>
        </r>
      </text>
    </comment>
    <comment ref="C152" authorId="1" shapeId="0" xr:uid="{82EA5D1F-032D-4AEE-A2DA-0DA3FD052540}">
      <text>
        <r>
          <rPr>
            <b/>
            <sz val="9"/>
            <color indexed="81"/>
            <rFont val="Tahoma"/>
            <family val="2"/>
          </rPr>
          <t>52048
B &amp; J Catalano</t>
        </r>
      </text>
    </comment>
    <comment ref="C153" authorId="1" shapeId="0" xr:uid="{30A0A090-2617-453A-A896-0ABE99CE2B92}">
      <text>
        <r>
          <rPr>
            <b/>
            <sz val="9"/>
            <color indexed="81"/>
            <rFont val="Tahoma"/>
            <family val="2"/>
          </rPr>
          <t>52048
B &amp; J Catalano</t>
        </r>
      </text>
    </comment>
    <comment ref="C154" authorId="1" shapeId="0" xr:uid="{55271F99-6161-410B-839A-7DFF746F25C1}">
      <text>
        <r>
          <rPr>
            <b/>
            <sz val="9"/>
            <color indexed="81"/>
            <rFont val="Tahoma"/>
            <family val="2"/>
          </rPr>
          <t>52048
B &amp; J Catalano</t>
        </r>
      </text>
    </comment>
    <comment ref="C155" authorId="1" shapeId="0" xr:uid="{019D1D10-BC90-48BF-8AC3-44CE7C60AF5E}">
      <text>
        <r>
          <rPr>
            <b/>
            <sz val="9"/>
            <color indexed="81"/>
            <rFont val="Tahoma"/>
            <family val="2"/>
          </rPr>
          <t>52048
B &amp; J Catalano</t>
        </r>
      </text>
    </comment>
    <comment ref="C156" authorId="1" shapeId="0" xr:uid="{13A74C62-B29C-4011-9AF5-4489EA4F58CE}">
      <text>
        <r>
          <rPr>
            <b/>
            <sz val="9"/>
            <color indexed="81"/>
            <rFont val="Tahoma"/>
            <family val="2"/>
          </rPr>
          <t>52048
B &amp; J Catalano</t>
        </r>
      </text>
    </comment>
    <comment ref="C157" authorId="1" shapeId="0" xr:uid="{2BBBDC21-A45D-495E-8E4C-A6394F352A4C}">
      <text>
        <r>
          <rPr>
            <b/>
            <sz val="9"/>
            <color indexed="81"/>
            <rFont val="Tahoma"/>
            <family val="2"/>
          </rPr>
          <t>PA DOUST AND CO</t>
        </r>
      </text>
    </comment>
    <comment ref="C159" authorId="1" shapeId="0" xr:uid="{050B418F-882D-4200-A6F8-6AC1329303F5}">
      <text>
        <r>
          <rPr>
            <b/>
            <sz val="9"/>
            <color indexed="81"/>
            <rFont val="Tahoma"/>
            <family val="2"/>
          </rPr>
          <t>04601
Busselton Building Products</t>
        </r>
      </text>
    </comment>
    <comment ref="F159" authorId="1" shapeId="0" xr:uid="{E82C3D1F-FB61-486A-B9D8-379BEEF16F6D}">
      <text>
        <r>
          <rPr>
            <b/>
            <sz val="9"/>
            <color indexed="81"/>
            <rFont val="Tahoma"/>
            <family val="2"/>
          </rPr>
          <t>Main:</t>
        </r>
        <r>
          <rPr>
            <sz val="9"/>
            <color indexed="81"/>
            <rFont val="Tahoma"/>
            <family val="2"/>
          </rPr>
          <t xml:space="preserve">
Manually over ride formula for feature 1c face brick with white mortar. This formula is for the whole job as White Mortar.</t>
        </r>
      </text>
    </comment>
    <comment ref="C160" authorId="1" shapeId="0" xr:uid="{42321259-55F8-4DC6-BBDD-67D1E8A5E38B}">
      <text>
        <r>
          <rPr>
            <b/>
            <sz val="9"/>
            <color indexed="81"/>
            <rFont val="Tahoma"/>
            <family val="2"/>
          </rPr>
          <t>04601
Busselton Building Products</t>
        </r>
      </text>
    </comment>
    <comment ref="F160" authorId="1" shapeId="0" xr:uid="{2460A678-15F8-43BA-B62D-8EB56843A47B}">
      <text>
        <r>
          <rPr>
            <b/>
            <sz val="9"/>
            <color indexed="81"/>
            <rFont val="Tahoma"/>
            <family val="2"/>
          </rPr>
          <t>Main:</t>
        </r>
        <r>
          <rPr>
            <sz val="9"/>
            <color indexed="81"/>
            <rFont val="Tahoma"/>
            <family val="2"/>
          </rPr>
          <t xml:space="preserve">
Added manually for feature 1c face brick with white mortar</t>
        </r>
      </text>
    </comment>
    <comment ref="C161" authorId="1" shapeId="0" xr:uid="{885FDDB1-8B43-42E7-AA29-9EE44D327F30}">
      <text>
        <r>
          <rPr>
            <b/>
            <sz val="9"/>
            <color indexed="81"/>
            <rFont val="Tahoma"/>
            <family val="2"/>
          </rPr>
          <t>04601
Busselton Building Products</t>
        </r>
      </text>
    </comment>
    <comment ref="C162" authorId="1" shapeId="0" xr:uid="{BA34E56D-FF28-49EC-9E8B-716C99EC19FB}">
      <text>
        <r>
          <rPr>
            <b/>
            <sz val="9"/>
            <color indexed="81"/>
            <rFont val="Tahoma"/>
            <family val="2"/>
          </rPr>
          <t>04601
Busselton Building Products</t>
        </r>
      </text>
    </comment>
    <comment ref="C163" authorId="1" shapeId="0" xr:uid="{6B38009B-D038-453A-BB66-4C04B45D85E5}">
      <text>
        <r>
          <rPr>
            <b/>
            <sz val="9"/>
            <color indexed="81"/>
            <rFont val="Tahoma"/>
            <family val="2"/>
          </rPr>
          <t>04601
Busselton Building Products</t>
        </r>
      </text>
    </comment>
    <comment ref="C164" authorId="1" shapeId="0" xr:uid="{C2C263D0-AD00-428F-BA81-7D0466E63195}">
      <text>
        <r>
          <rPr>
            <b/>
            <sz val="9"/>
            <color indexed="81"/>
            <rFont val="Tahoma"/>
            <family val="2"/>
          </rPr>
          <t>04601
Busselton Building Products</t>
        </r>
      </text>
    </comment>
    <comment ref="C165" authorId="1" shapeId="0" xr:uid="{8689B799-3D98-4FB0-A0FF-A86698CDBED3}">
      <text>
        <r>
          <rPr>
            <b/>
            <sz val="9"/>
            <color indexed="81"/>
            <rFont val="Tahoma"/>
            <family val="2"/>
          </rPr>
          <t>04601
Busselton Building Products</t>
        </r>
      </text>
    </comment>
    <comment ref="C166" authorId="1" shapeId="0" xr:uid="{40163BC1-CE01-4F6E-BA94-97A393C13AF1}">
      <text>
        <r>
          <rPr>
            <b/>
            <sz val="9"/>
            <color indexed="81"/>
            <rFont val="Tahoma"/>
            <family val="2"/>
          </rPr>
          <t>04601
Busselton Building Products</t>
        </r>
      </text>
    </comment>
    <comment ref="C167" authorId="1" shapeId="0" xr:uid="{B89A5640-52BF-48AF-98FF-4B1E96C985BC}">
      <text>
        <r>
          <rPr>
            <b/>
            <sz val="9"/>
            <color indexed="81"/>
            <rFont val="Tahoma"/>
            <family val="2"/>
          </rPr>
          <t>04601
Busselton Building Products</t>
        </r>
      </text>
    </comment>
    <comment ref="C168" authorId="1" shapeId="0" xr:uid="{90088F16-3E19-4395-933E-AFB778D0C0B3}">
      <text>
        <r>
          <rPr>
            <b/>
            <sz val="9"/>
            <color indexed="81"/>
            <rFont val="Tahoma"/>
            <family val="2"/>
          </rPr>
          <t>04601
Busselton Building Products</t>
        </r>
      </text>
    </comment>
    <comment ref="C169" authorId="1" shapeId="0" xr:uid="{4E3B8F72-1526-41DC-86E9-CBDB68F6A620}">
      <text>
        <r>
          <rPr>
            <b/>
            <sz val="9"/>
            <color indexed="81"/>
            <rFont val="Tahoma"/>
            <family val="2"/>
          </rPr>
          <t>04601
Busselton Building Products</t>
        </r>
      </text>
    </comment>
    <comment ref="C170" authorId="1" shapeId="0" xr:uid="{7D16E479-046B-43CC-B60C-4965D9819991}">
      <text>
        <r>
          <rPr>
            <b/>
            <sz val="9"/>
            <color indexed="81"/>
            <rFont val="Tahoma"/>
            <family val="2"/>
          </rPr>
          <t>04601
Busselton Building Products</t>
        </r>
      </text>
    </comment>
    <comment ref="C171" authorId="1" shapeId="0" xr:uid="{76204C10-BF5E-4C24-9257-BE0E1468E014}">
      <text>
        <r>
          <rPr>
            <b/>
            <sz val="9"/>
            <color indexed="81"/>
            <rFont val="Tahoma"/>
            <family val="2"/>
          </rPr>
          <t>04601
Busselton Building Products</t>
        </r>
      </text>
    </comment>
    <comment ref="C172" authorId="1" shapeId="0" xr:uid="{4460E5F9-EE7A-4FA9-80C3-63A3786E9E9D}">
      <text>
        <r>
          <rPr>
            <b/>
            <sz val="9"/>
            <color indexed="81"/>
            <rFont val="Tahoma"/>
            <family val="2"/>
          </rPr>
          <t>04601
Busselton Building Products</t>
        </r>
      </text>
    </comment>
    <comment ref="C173" authorId="1" shapeId="0" xr:uid="{1F33858B-4C2B-4AAB-A651-989B110BDE87}">
      <text>
        <r>
          <rPr>
            <b/>
            <sz val="9"/>
            <color indexed="81"/>
            <rFont val="Tahoma"/>
            <family val="2"/>
          </rPr>
          <t>04601
Busselton Building Products</t>
        </r>
      </text>
    </comment>
    <comment ref="C174" authorId="1" shapeId="0" xr:uid="{7F5E6C74-9D1D-4877-AB17-5B90B4052A02}">
      <text>
        <r>
          <rPr>
            <b/>
            <sz val="9"/>
            <color indexed="81"/>
            <rFont val="Tahoma"/>
            <family val="2"/>
          </rPr>
          <t>04601
Busselton Building Products</t>
        </r>
      </text>
    </comment>
    <comment ref="C175" authorId="1" shapeId="0" xr:uid="{2015C93C-23DF-42C1-B6DE-3768C529BDD8}">
      <text>
        <r>
          <rPr>
            <b/>
            <sz val="9"/>
            <color indexed="81"/>
            <rFont val="Tahoma"/>
            <family val="2"/>
          </rPr>
          <t>04601
Busselton Building Products</t>
        </r>
      </text>
    </comment>
    <comment ref="C176" authorId="1" shapeId="0" xr:uid="{C11F0A03-C5DE-4876-A33A-42A873254201}">
      <text>
        <r>
          <rPr>
            <b/>
            <sz val="9"/>
            <color indexed="81"/>
            <rFont val="Tahoma"/>
            <family val="2"/>
          </rPr>
          <t>04601
Busselton Building Products</t>
        </r>
      </text>
    </comment>
    <comment ref="C177" authorId="1" shapeId="0" xr:uid="{1E895FB7-BD83-4BB2-89B4-AAAC7C05ED4A}">
      <text>
        <r>
          <rPr>
            <b/>
            <sz val="9"/>
            <color indexed="81"/>
            <rFont val="Tahoma"/>
            <family val="2"/>
          </rPr>
          <t>04601
Busselton Building Products</t>
        </r>
      </text>
    </comment>
    <comment ref="C178" authorId="1" shapeId="0" xr:uid="{02A25D6F-E24E-4881-9CE7-DC310C634744}">
      <text>
        <r>
          <rPr>
            <b/>
            <sz val="9"/>
            <color indexed="81"/>
            <rFont val="Tahoma"/>
            <family val="2"/>
          </rPr>
          <t>04601
Busselton Building Products</t>
        </r>
      </text>
    </comment>
    <comment ref="C179" authorId="1" shapeId="0" xr:uid="{21AF3804-B1C9-4FE1-9BEA-7344633837B9}">
      <text>
        <r>
          <rPr>
            <b/>
            <sz val="9"/>
            <color indexed="81"/>
            <rFont val="Tahoma"/>
            <family val="2"/>
          </rPr>
          <t>04601
Busselton Building Products</t>
        </r>
      </text>
    </comment>
    <comment ref="C180" authorId="1" shapeId="0" xr:uid="{1D367557-5052-405F-B66C-03FFCA4DD384}">
      <text>
        <r>
          <rPr>
            <b/>
            <sz val="9"/>
            <color indexed="81"/>
            <rFont val="Tahoma"/>
            <family val="2"/>
          </rPr>
          <t>04601
Busselton Building Products</t>
        </r>
      </text>
    </comment>
    <comment ref="C181" authorId="1" shapeId="0" xr:uid="{71258BF6-BE9C-4F43-BC2C-0785ABEBCD45}">
      <text>
        <r>
          <rPr>
            <b/>
            <sz val="9"/>
            <color indexed="81"/>
            <rFont val="Tahoma"/>
            <family val="2"/>
          </rPr>
          <t>04601
Busselton Building Products</t>
        </r>
      </text>
    </comment>
    <comment ref="C182" authorId="1" shapeId="0" xr:uid="{36C957C1-F8BE-4FA3-AA07-2BF9CB9F124C}">
      <text>
        <r>
          <rPr>
            <b/>
            <sz val="9"/>
            <color indexed="81"/>
            <rFont val="Tahoma"/>
            <family val="2"/>
          </rPr>
          <t>04601
Busselton Building Products</t>
        </r>
      </text>
    </comment>
    <comment ref="C184" authorId="1" shapeId="0" xr:uid="{65669C85-4614-40B8-A151-39A7D0942027}">
      <text>
        <r>
          <rPr>
            <b/>
            <sz val="9"/>
            <color indexed="81"/>
            <rFont val="Tahoma"/>
            <family val="2"/>
          </rPr>
          <t>04601
Busselton Building Products</t>
        </r>
      </text>
    </comment>
    <comment ref="C185" authorId="1" shapeId="0" xr:uid="{600C2DF9-5A22-4A38-9619-4F86713A029B}">
      <text>
        <r>
          <rPr>
            <b/>
            <sz val="9"/>
            <color indexed="81"/>
            <rFont val="Tahoma"/>
            <family val="2"/>
          </rPr>
          <t>04601
Busselton Building Products</t>
        </r>
      </text>
    </comment>
    <comment ref="F185" authorId="0" shapeId="0" xr:uid="{A1937B94-1F60-4064-843F-B36D1AE6E7C4}">
      <text>
        <r>
          <rPr>
            <b/>
            <sz val="9"/>
            <color indexed="81"/>
            <rFont val="Tahoma"/>
            <family val="2"/>
          </rPr>
          <t>Paul Newton:</t>
        </r>
        <r>
          <rPr>
            <sz val="9"/>
            <color indexed="81"/>
            <rFont val="Tahoma"/>
            <family val="2"/>
          </rPr>
          <t xml:space="preserve">
Hoop iron to rafter ends.
(Tie down details)</t>
        </r>
      </text>
    </comment>
    <comment ref="C186" authorId="1" shapeId="0" xr:uid="{15D5347F-38CD-4BFC-A085-CA4F4C003EAA}">
      <text>
        <r>
          <rPr>
            <b/>
            <sz val="9"/>
            <color indexed="81"/>
            <rFont val="Tahoma"/>
            <family val="2"/>
          </rPr>
          <t>04601
Busselton Building Products</t>
        </r>
      </text>
    </comment>
    <comment ref="F186" authorId="0" shapeId="0" xr:uid="{E163ABC8-7837-4C8B-9083-2AF2C4796127}">
      <text>
        <r>
          <rPr>
            <b/>
            <sz val="9"/>
            <color indexed="81"/>
            <rFont val="Tahoma"/>
            <family val="2"/>
          </rPr>
          <t>Paul Newton:</t>
        </r>
        <r>
          <rPr>
            <sz val="9"/>
            <color indexed="81"/>
            <rFont val="Tahoma"/>
            <family val="2"/>
          </rPr>
          <t xml:space="preserve">
Hoop iron to pitching beams and opening greater than 2.4M wide. Attached piers and house corners.
(Tie down details)</t>
        </r>
      </text>
    </comment>
    <comment ref="C187" authorId="1" shapeId="0" xr:uid="{7A653DD0-4DCE-4DAB-835B-377F454C50B1}">
      <text>
        <r>
          <rPr>
            <b/>
            <sz val="9"/>
            <color indexed="81"/>
            <rFont val="Tahoma"/>
            <family val="2"/>
          </rPr>
          <t>04601
Busselton Building Products</t>
        </r>
      </text>
    </comment>
    <comment ref="C188" authorId="1" shapeId="0" xr:uid="{153B38F0-4CB2-462B-A3DF-FC554C34C12E}">
      <text>
        <r>
          <rPr>
            <b/>
            <sz val="9"/>
            <color indexed="81"/>
            <rFont val="Tahoma"/>
            <family val="2"/>
          </rPr>
          <t>04601
Busselton Building Products</t>
        </r>
      </text>
    </comment>
    <comment ref="F188" authorId="1" shapeId="0" xr:uid="{53D4058A-C509-4650-BEC4-01F349591556}">
      <text>
        <r>
          <rPr>
            <b/>
            <sz val="9"/>
            <color indexed="81"/>
            <rFont val="Tahoma"/>
            <family val="2"/>
          </rPr>
          <t>Add rod corner take off to autosketch</t>
        </r>
      </text>
    </comment>
    <comment ref="C189" authorId="1" shapeId="0" xr:uid="{12BA45C4-7BB6-43B2-B45F-64F2F402F0E8}">
      <text>
        <r>
          <rPr>
            <b/>
            <sz val="9"/>
            <color indexed="81"/>
            <rFont val="Tahoma"/>
            <family val="2"/>
          </rPr>
          <t>04601
Busselton Building Products</t>
        </r>
      </text>
    </comment>
    <comment ref="F189" authorId="0" shapeId="0" xr:uid="{2A1A58AC-C05D-4750-B38E-408BD0F8483F}">
      <text>
        <r>
          <rPr>
            <b/>
            <sz val="9"/>
            <color indexed="81"/>
            <rFont val="Tahoma"/>
            <family val="2"/>
          </rPr>
          <t>Paul Newton:</t>
        </r>
        <r>
          <rPr>
            <sz val="9"/>
            <color indexed="81"/>
            <rFont val="Tahoma"/>
            <family val="2"/>
          </rPr>
          <t xml:space="preserve">
Cavity closer to Garage.</t>
        </r>
      </text>
    </comment>
    <comment ref="C190" authorId="1" shapeId="0" xr:uid="{F963766D-9FB2-4833-8F3E-3B1DF506B739}">
      <text>
        <r>
          <rPr>
            <b/>
            <sz val="9"/>
            <color indexed="81"/>
            <rFont val="Tahoma"/>
            <family val="2"/>
          </rPr>
          <t>04601
Busselton Building Products</t>
        </r>
      </text>
    </comment>
    <comment ref="F190" authorId="0" shapeId="0" xr:uid="{311EB7ED-D725-4C8D-857D-38D7D4122ADF}">
      <text>
        <r>
          <rPr>
            <b/>
            <sz val="9"/>
            <color indexed="81"/>
            <rFont val="Tahoma"/>
            <family val="2"/>
          </rPr>
          <t>Paul Newton:</t>
        </r>
        <r>
          <rPr>
            <sz val="9"/>
            <color indexed="81"/>
            <rFont val="Tahoma"/>
            <family val="2"/>
          </rPr>
          <t xml:space="preserve">
To cavity columns and over windows in high brickwork.</t>
        </r>
      </text>
    </comment>
    <comment ref="H190" authorId="1" shapeId="0" xr:uid="{06F433E3-2B47-4AD3-8D33-AE74425F9423}">
      <text>
        <r>
          <rPr>
            <b/>
            <sz val="9"/>
            <color indexed="81"/>
            <rFont val="Tahoma"/>
            <family val="2"/>
          </rPr>
          <t xml:space="preserve">AS 4773.2 - 10.5.3.3 Head Flashings
</t>
        </r>
        <r>
          <rPr>
            <sz val="9"/>
            <color indexed="81"/>
            <rFont val="Tahoma"/>
            <family val="2"/>
          </rPr>
          <t xml:space="preserve">
WACB - 230mm unless full render 300mm
Assumed face brick jobs have the head flashing tucked behind the lintel (Detail 1) as they have higher corrosion protection. 30mm + 179mm + 30mm = 239mm
The rendered bricks requires the longer flashing (Detail 2) to protect the lintel from corossion as it's lintels can have lower treatment in R4 corrosion classifications.</t>
        </r>
      </text>
    </comment>
    <comment ref="C191" authorId="1" shapeId="0" xr:uid="{EFDFF0FE-B14B-44D1-A281-8E8B3C8D56B7}">
      <text>
        <r>
          <rPr>
            <b/>
            <sz val="9"/>
            <color indexed="81"/>
            <rFont val="Tahoma"/>
            <family val="2"/>
          </rPr>
          <t>04601
Busselton Building Products</t>
        </r>
      </text>
    </comment>
    <comment ref="C192" authorId="1" shapeId="0" xr:uid="{678C69CB-D24F-436C-A0CA-FC5FADA83B2D}">
      <text>
        <r>
          <rPr>
            <b/>
            <sz val="9"/>
            <color indexed="81"/>
            <rFont val="Tahoma"/>
            <family val="2"/>
          </rPr>
          <t>04601
Busselton Building Products</t>
        </r>
      </text>
    </comment>
    <comment ref="C193" authorId="1" shapeId="0" xr:uid="{BC1D5157-60EE-49A1-9ED4-1BA1858EE3CB}">
      <text>
        <r>
          <rPr>
            <b/>
            <sz val="9"/>
            <color indexed="81"/>
            <rFont val="Tahoma"/>
            <family val="2"/>
          </rPr>
          <t>04601
Busselton Building Products</t>
        </r>
      </text>
    </comment>
    <comment ref="C194" authorId="1" shapeId="0" xr:uid="{88758030-1743-4103-8D8D-47C8308FF991}">
      <text>
        <r>
          <rPr>
            <b/>
            <sz val="9"/>
            <color indexed="81"/>
            <rFont val="Tahoma"/>
            <family val="2"/>
          </rPr>
          <t>04601
Busselton Building Products</t>
        </r>
      </text>
    </comment>
    <comment ref="C195" authorId="1" shapeId="0" xr:uid="{E3C28DD6-9371-4CCC-BB56-E92A1A32352A}">
      <text>
        <r>
          <rPr>
            <b/>
            <sz val="9"/>
            <color indexed="81"/>
            <rFont val="Tahoma"/>
            <family val="2"/>
          </rPr>
          <t>04601
Busselton Building Products</t>
        </r>
      </text>
    </comment>
    <comment ref="C196" authorId="1" shapeId="0" xr:uid="{E455062F-7850-4514-B182-2B1E12D0A9EE}">
      <text>
        <r>
          <rPr>
            <b/>
            <sz val="9"/>
            <color indexed="81"/>
            <rFont val="Tahoma"/>
            <family val="2"/>
          </rPr>
          <t>04601
Busselton Building Products</t>
        </r>
      </text>
    </comment>
    <comment ref="C197" authorId="1" shapeId="0" xr:uid="{BE76D31F-07FC-4E75-9786-BC1702B3E93E}">
      <text>
        <r>
          <rPr>
            <b/>
            <sz val="9"/>
            <color indexed="81"/>
            <rFont val="Tahoma"/>
            <family val="2"/>
          </rPr>
          <t>04601
Busselton Building Products</t>
        </r>
      </text>
    </comment>
    <comment ref="C198" authorId="1" shapeId="0" xr:uid="{4705C8D3-0E20-460E-B3DB-E7E16C13BD75}">
      <text>
        <r>
          <rPr>
            <b/>
            <sz val="9"/>
            <color indexed="81"/>
            <rFont val="Tahoma"/>
            <family val="2"/>
          </rPr>
          <t>04601
Busselton Building Products</t>
        </r>
      </text>
    </comment>
    <comment ref="C199" authorId="1" shapeId="0" xr:uid="{4D049617-C90A-4DCE-86C7-A6539A213694}">
      <text>
        <r>
          <rPr>
            <b/>
            <sz val="9"/>
            <color indexed="81"/>
            <rFont val="Tahoma"/>
            <family val="2"/>
          </rPr>
          <t>04601
Busselton Building Products</t>
        </r>
      </text>
    </comment>
    <comment ref="C200" authorId="1" shapeId="0" xr:uid="{9EE8AC63-D012-42CA-91B8-364C11405FDE}">
      <text>
        <r>
          <rPr>
            <b/>
            <sz val="9"/>
            <color indexed="81"/>
            <rFont val="Tahoma"/>
            <family val="2"/>
          </rPr>
          <t>04601
Busselton Building Products</t>
        </r>
      </text>
    </comment>
    <comment ref="C201" authorId="1" shapeId="0" xr:uid="{475A526B-14FE-4F65-81EF-900F7E632C65}">
      <text>
        <r>
          <rPr>
            <b/>
            <sz val="9"/>
            <color indexed="81"/>
            <rFont val="Tahoma"/>
            <family val="2"/>
          </rPr>
          <t>04601
Busselton Building Products</t>
        </r>
      </text>
    </comment>
    <comment ref="C202" authorId="1" shapeId="0" xr:uid="{F78BC90A-1C40-45EF-BAAA-59E5AC668300}">
      <text>
        <r>
          <rPr>
            <b/>
            <sz val="9"/>
            <color indexed="81"/>
            <rFont val="Tahoma"/>
            <family val="2"/>
          </rPr>
          <t>04601
Busselton Building Products</t>
        </r>
      </text>
    </comment>
    <comment ref="C203" authorId="1" shapeId="0" xr:uid="{13D67322-18C9-4220-A58C-EB2B75C6B5DF}">
      <text>
        <r>
          <rPr>
            <b/>
            <sz val="9"/>
            <color indexed="81"/>
            <rFont val="Tahoma"/>
            <family val="2"/>
          </rPr>
          <t>04601
Busselton Building Products</t>
        </r>
      </text>
    </comment>
    <comment ref="C204" authorId="1" shapeId="0" xr:uid="{76CA40D7-6089-4B06-A505-E76FD326FA91}">
      <text>
        <r>
          <rPr>
            <b/>
            <sz val="9"/>
            <color indexed="81"/>
            <rFont val="Tahoma"/>
            <family val="2"/>
          </rPr>
          <t>04601
Busselton Building Products</t>
        </r>
      </text>
    </comment>
    <comment ref="C205" authorId="1" shapeId="0" xr:uid="{783A5916-5D92-4AAC-AD98-0A18C2C100D3}">
      <text>
        <r>
          <rPr>
            <b/>
            <sz val="9"/>
            <color indexed="81"/>
            <rFont val="Tahoma"/>
            <family val="2"/>
          </rPr>
          <t>04601
Busselton Building Products</t>
        </r>
      </text>
    </comment>
    <comment ref="C206" authorId="1" shapeId="0" xr:uid="{E7FF983F-AE87-428F-ABE0-54AF59DB033F}">
      <text>
        <r>
          <rPr>
            <b/>
            <sz val="9"/>
            <color indexed="81"/>
            <rFont val="Tahoma"/>
            <family val="2"/>
          </rPr>
          <t>04601
Busselton Building Products</t>
        </r>
      </text>
    </comment>
    <comment ref="C207" authorId="1" shapeId="0" xr:uid="{B479BF60-1422-4B8C-80C4-071935DF13AF}">
      <text>
        <r>
          <rPr>
            <b/>
            <sz val="9"/>
            <color indexed="81"/>
            <rFont val="Tahoma"/>
            <family val="2"/>
          </rPr>
          <t>04601
Busselton Building Products</t>
        </r>
      </text>
    </comment>
    <comment ref="C208" authorId="1" shapeId="0" xr:uid="{DF1679F7-1688-45C1-BE61-D7C1189C6E91}">
      <text>
        <r>
          <rPr>
            <b/>
            <sz val="9"/>
            <color indexed="81"/>
            <rFont val="Tahoma"/>
            <family val="2"/>
          </rPr>
          <t>04601
Busselton Building Products</t>
        </r>
      </text>
    </comment>
    <comment ref="C209" authorId="1" shapeId="0" xr:uid="{A159A044-5ECC-482B-9ECC-1D0EED4F2372}">
      <text>
        <r>
          <rPr>
            <b/>
            <sz val="9"/>
            <color indexed="81"/>
            <rFont val="Tahoma"/>
            <family val="2"/>
          </rPr>
          <t>04601
Busselton Building Products</t>
        </r>
      </text>
    </comment>
    <comment ref="C210" authorId="1" shapeId="0" xr:uid="{F3DCA930-C06F-4854-AC05-55D27C0A9936}">
      <text>
        <r>
          <rPr>
            <b/>
            <sz val="9"/>
            <color indexed="81"/>
            <rFont val="Tahoma"/>
            <family val="2"/>
          </rPr>
          <t>04601
Busselton Building Products</t>
        </r>
      </text>
    </comment>
    <comment ref="C211" authorId="1" shapeId="0" xr:uid="{8083C04A-3852-4598-9744-55FF84D85A39}">
      <text>
        <r>
          <rPr>
            <b/>
            <sz val="9"/>
            <color indexed="81"/>
            <rFont val="Tahoma"/>
            <family val="2"/>
          </rPr>
          <t>04601
Busselton Building Products</t>
        </r>
      </text>
    </comment>
    <comment ref="H211" authorId="1" shapeId="0" xr:uid="{2D21B282-E13E-4114-8068-FAF636A5D34D}">
      <text>
        <r>
          <rPr>
            <b/>
            <sz val="9"/>
            <color indexed="81"/>
            <rFont val="Tahoma"/>
            <family val="2"/>
          </rPr>
          <t>Main:</t>
        </r>
        <r>
          <rPr>
            <sz val="9"/>
            <color indexed="81"/>
            <rFont val="Tahoma"/>
            <family val="2"/>
          </rPr>
          <t xml:space="preserve">
WACB - Included in roof take off under Fibre Cement Cladding and Accessories - 1320
=IF(F191&gt;0,0,IF('Brickwork GF'!$H$4&lt;=32,IF(AND(OR(Brick_type="Brick Veneer",Brick_type="Reverse Brick Veneer",Brick_type="Timber Frame")),CEILING(H_Perim/30,1),0),IF(AND(OR(Brick_type="Brick Veneer",Brick_type="Reverse Brick Veneer",Brick_type="Timber Frame")),CEILING(H_Perim/30*2,1),0)))+ROUNDUP(SUMIF(Name,"Reverse Brick Veneer",Length)/30,0)</t>
        </r>
      </text>
    </comment>
    <comment ref="C212" authorId="1" shapeId="0" xr:uid="{0B099607-80B4-4F1A-80B0-E4C991D20BAB}">
      <text>
        <r>
          <rPr>
            <b/>
            <sz val="9"/>
            <color indexed="81"/>
            <rFont val="Tahoma"/>
            <family val="2"/>
          </rPr>
          <t>04601
Busselton Building Products</t>
        </r>
      </text>
    </comment>
    <comment ref="H212" authorId="1" shapeId="0" xr:uid="{8995ECAE-24C5-40E7-9170-897A476DFB0A}">
      <text>
        <r>
          <rPr>
            <b/>
            <sz val="9"/>
            <color indexed="81"/>
            <rFont val="Tahoma"/>
            <family val="2"/>
          </rPr>
          <t>Main:</t>
        </r>
        <r>
          <rPr>
            <sz val="9"/>
            <color indexed="81"/>
            <rFont val="Tahoma"/>
            <family val="2"/>
          </rPr>
          <t xml:space="preserve">
WACB - Included in roof take off under Fibre Cement Cladding and Accessories
=($F$203)*5</t>
        </r>
      </text>
    </comment>
    <comment ref="C213" authorId="1" shapeId="0" xr:uid="{47378C70-80F9-4C76-8A69-EE416D3F22C9}">
      <text>
        <r>
          <rPr>
            <b/>
            <sz val="9"/>
            <color indexed="81"/>
            <rFont val="Tahoma"/>
            <family val="2"/>
          </rPr>
          <t>04601
Busselton Building Products</t>
        </r>
      </text>
    </comment>
    <comment ref="C215" authorId="1" shapeId="0" xr:uid="{8B42A40B-79BF-4386-883E-C4C8A1965AC8}">
      <text>
        <r>
          <rPr>
            <b/>
            <sz val="9"/>
            <color indexed="81"/>
            <rFont val="Tahoma"/>
            <family val="2"/>
          </rPr>
          <t>Tradelink</t>
        </r>
      </text>
    </comment>
    <comment ref="C216" authorId="1" shapeId="0" xr:uid="{9B1CCAB1-1AF8-4F28-B40F-814118432A27}">
      <text>
        <r>
          <rPr>
            <b/>
            <sz val="9"/>
            <color indexed="81"/>
            <rFont val="Tahoma"/>
            <family val="2"/>
          </rPr>
          <t>Tradelink</t>
        </r>
      </text>
    </comment>
    <comment ref="C217" authorId="1" shapeId="0" xr:uid="{44BDCC18-D69E-49E7-8335-434FC13028F4}">
      <text>
        <r>
          <rPr>
            <b/>
            <sz val="9"/>
            <color indexed="81"/>
            <rFont val="Tahoma"/>
            <family val="2"/>
          </rPr>
          <t>Tradelink</t>
        </r>
      </text>
    </comment>
    <comment ref="C218" authorId="1" shapeId="0" xr:uid="{C5B5D00D-FF7C-4D98-AA2E-1333805B36C9}">
      <text>
        <r>
          <rPr>
            <b/>
            <sz val="9"/>
            <color indexed="81"/>
            <rFont val="Tahoma"/>
            <family val="2"/>
          </rPr>
          <t>Tradelink</t>
        </r>
      </text>
    </comment>
    <comment ref="C220" authorId="1" shapeId="0" xr:uid="{F837D2DD-FEE1-4976-A3CF-CD7D9B09F4E1}">
      <text>
        <r>
          <rPr>
            <b/>
            <sz val="9"/>
            <color indexed="81"/>
            <rFont val="Tahoma"/>
            <family val="2"/>
          </rPr>
          <t>02004 is Midland Brick</t>
        </r>
      </text>
    </comment>
    <comment ref="C221" authorId="1" shapeId="0" xr:uid="{BDF2D620-0F4D-4EC3-80FA-40BA98CE1B18}">
      <text>
        <r>
          <rPr>
            <b/>
            <sz val="9"/>
            <color indexed="81"/>
            <rFont val="Tahoma"/>
            <family val="2"/>
          </rPr>
          <t>02004 is Midland Brick</t>
        </r>
      </text>
    </comment>
    <comment ref="C222" authorId="1" shapeId="0" xr:uid="{23DA4A1D-1178-419C-8658-046434A1A9B5}">
      <text>
        <r>
          <rPr>
            <b/>
            <sz val="9"/>
            <color indexed="81"/>
            <rFont val="Tahoma"/>
            <family val="2"/>
          </rPr>
          <t>02004 is Midland Brick</t>
        </r>
      </text>
    </comment>
    <comment ref="C223" authorId="1" shapeId="0" xr:uid="{2C73AD68-3944-42FC-9663-ECD749A08D82}">
      <text>
        <r>
          <rPr>
            <b/>
            <sz val="9"/>
            <color indexed="81"/>
            <rFont val="Tahoma"/>
            <family val="2"/>
          </rPr>
          <t>02004 is Midland Brick</t>
        </r>
      </text>
    </comment>
    <comment ref="C224" authorId="1" shapeId="0" xr:uid="{30AFB0B3-19D5-4146-8A5B-B4D9B8F84931}">
      <text>
        <r>
          <rPr>
            <b/>
            <sz val="9"/>
            <color indexed="81"/>
            <rFont val="Tahoma"/>
            <family val="2"/>
          </rPr>
          <t>02004 is Midland Brick</t>
        </r>
      </text>
    </comment>
    <comment ref="C225" authorId="1" shapeId="0" xr:uid="{66D2AF2A-8135-47EB-9DF9-9B9F84015E81}">
      <text>
        <r>
          <rPr>
            <b/>
            <sz val="9"/>
            <color indexed="81"/>
            <rFont val="Tahoma"/>
            <family val="2"/>
          </rPr>
          <t>02004 is Midland Brick</t>
        </r>
      </text>
    </comment>
    <comment ref="C226" authorId="1" shapeId="0" xr:uid="{7EDB1DA3-8B7C-4BA2-A77E-7E3CCA9D2BF3}">
      <text>
        <r>
          <rPr>
            <b/>
            <sz val="9"/>
            <color indexed="81"/>
            <rFont val="Tahoma"/>
            <family val="2"/>
          </rPr>
          <t>02004 is Midland Brick</t>
        </r>
      </text>
    </comment>
    <comment ref="C227" authorId="1" shapeId="0" xr:uid="{A822B5CB-668F-4A79-82AB-D3B2DBADB35C}">
      <text>
        <r>
          <rPr>
            <b/>
            <sz val="9"/>
            <color indexed="81"/>
            <rFont val="Tahoma"/>
            <family val="2"/>
          </rPr>
          <t>02004 is Midland Brick</t>
        </r>
      </text>
    </comment>
    <comment ref="C228" authorId="1" shapeId="0" xr:uid="{C6A603EA-55A3-4271-A1C9-14D58BCEF413}">
      <text>
        <r>
          <rPr>
            <b/>
            <sz val="9"/>
            <color indexed="81"/>
            <rFont val="Tahoma"/>
            <family val="2"/>
          </rPr>
          <t>02004 is Midland Brick</t>
        </r>
      </text>
    </comment>
    <comment ref="C229" authorId="1" shapeId="0" xr:uid="{E1B1DC82-BB1A-4D9A-AF3B-7003D2714BAD}">
      <text>
        <r>
          <rPr>
            <b/>
            <sz val="9"/>
            <color indexed="81"/>
            <rFont val="Tahoma"/>
            <family val="2"/>
          </rPr>
          <t>02004 is Midland Brick</t>
        </r>
      </text>
    </comment>
    <comment ref="C230" authorId="1" shapeId="0" xr:uid="{414848EA-F05E-47F7-A27B-5772C844EED3}">
      <text>
        <r>
          <rPr>
            <b/>
            <sz val="9"/>
            <color indexed="81"/>
            <rFont val="Tahoma"/>
            <family val="2"/>
          </rPr>
          <t>02004 is Midland Brick</t>
        </r>
      </text>
    </comment>
    <comment ref="C231" authorId="1" shapeId="0" xr:uid="{CD594E9B-100E-4219-A379-4746AC24905D}">
      <text>
        <r>
          <rPr>
            <b/>
            <sz val="9"/>
            <color indexed="81"/>
            <rFont val="Tahoma"/>
            <family val="2"/>
          </rPr>
          <t>02004 is Midland Brick</t>
        </r>
      </text>
    </comment>
    <comment ref="C232" authorId="1" shapeId="0" xr:uid="{BEADE8C1-45F2-47A3-9C41-469E0871C93D}">
      <text>
        <r>
          <rPr>
            <b/>
            <sz val="9"/>
            <color indexed="81"/>
            <rFont val="Tahoma"/>
            <family val="2"/>
          </rPr>
          <t>02004 is Midland Brick</t>
        </r>
      </text>
    </comment>
    <comment ref="C233" authorId="1" shapeId="0" xr:uid="{23A6D093-EA76-478D-8239-D9C0F2B60DD9}">
      <text>
        <r>
          <rPr>
            <b/>
            <sz val="9"/>
            <color indexed="81"/>
            <rFont val="Tahoma"/>
            <family val="2"/>
          </rPr>
          <t>02004 is Midland Brick</t>
        </r>
      </text>
    </comment>
    <comment ref="C234" authorId="1" shapeId="0" xr:uid="{4A3CA766-008C-4B54-9285-3E9CB6E58642}">
      <text>
        <r>
          <rPr>
            <b/>
            <sz val="9"/>
            <color indexed="81"/>
            <rFont val="Tahoma"/>
            <family val="2"/>
          </rPr>
          <t>02004 is Midland Brick</t>
        </r>
      </text>
    </comment>
    <comment ref="C235" authorId="1" shapeId="0" xr:uid="{6704D7B8-BFF1-4CD0-9FDC-1A4A7E58E758}">
      <text>
        <r>
          <rPr>
            <b/>
            <sz val="9"/>
            <color indexed="81"/>
            <rFont val="Tahoma"/>
            <family val="2"/>
          </rPr>
          <t>02004 is Midland Brick</t>
        </r>
      </text>
    </comment>
    <comment ref="C236" authorId="1" shapeId="0" xr:uid="{B67FA6DD-7DE6-44F6-9908-F4754B7DB118}">
      <text>
        <r>
          <rPr>
            <b/>
            <sz val="9"/>
            <color indexed="81"/>
            <rFont val="Tahoma"/>
            <family val="2"/>
          </rPr>
          <t>02004 is Midland Brick</t>
        </r>
      </text>
    </comment>
    <comment ref="C237" authorId="1" shapeId="0" xr:uid="{DEBCF149-660B-44E8-A121-5B2F3A8202E7}">
      <text>
        <r>
          <rPr>
            <b/>
            <sz val="9"/>
            <color indexed="81"/>
            <rFont val="Tahoma"/>
            <family val="2"/>
          </rPr>
          <t>02004 is Midland Brick</t>
        </r>
      </text>
    </comment>
    <comment ref="C238" authorId="1" shapeId="0" xr:uid="{3ED48A38-FB42-40D5-BEE7-3A63BBD80569}">
      <text>
        <r>
          <rPr>
            <b/>
            <sz val="9"/>
            <color indexed="81"/>
            <rFont val="Tahoma"/>
            <family val="2"/>
          </rPr>
          <t>02004 is Midland Brick</t>
        </r>
      </text>
    </comment>
    <comment ref="C239" authorId="1" shapeId="0" xr:uid="{DFFE269E-59CD-46AB-BF4F-51BEA267546E}">
      <text>
        <r>
          <rPr>
            <b/>
            <sz val="9"/>
            <color indexed="81"/>
            <rFont val="Tahoma"/>
            <family val="2"/>
          </rPr>
          <t>02004 is Midland Brick</t>
        </r>
      </text>
    </comment>
    <comment ref="C240" authorId="1" shapeId="0" xr:uid="{4202EE0F-63EE-453E-B44B-A28C122E2EAD}">
      <text>
        <r>
          <rPr>
            <b/>
            <sz val="9"/>
            <color indexed="81"/>
            <rFont val="Tahoma"/>
            <family val="2"/>
          </rPr>
          <t>02004 is Midland Brick</t>
        </r>
      </text>
    </comment>
    <comment ref="C241" authorId="1" shapeId="0" xr:uid="{3658E10F-B7B5-48EE-8F43-401099784209}">
      <text>
        <r>
          <rPr>
            <b/>
            <sz val="9"/>
            <color indexed="81"/>
            <rFont val="Tahoma"/>
            <family val="2"/>
          </rPr>
          <t>02004 is Midland Brick</t>
        </r>
      </text>
    </comment>
    <comment ref="C242" authorId="1" shapeId="0" xr:uid="{F9683AD5-A2B9-473B-8665-D1C157957887}">
      <text>
        <r>
          <rPr>
            <b/>
            <sz val="9"/>
            <color indexed="81"/>
            <rFont val="Tahoma"/>
            <family val="2"/>
          </rPr>
          <t>02004 is Midland Brick</t>
        </r>
      </text>
    </comment>
    <comment ref="C243" authorId="1" shapeId="0" xr:uid="{89A668B7-3133-4DA0-B037-8C112AB71701}">
      <text>
        <r>
          <rPr>
            <b/>
            <sz val="9"/>
            <color indexed="81"/>
            <rFont val="Tahoma"/>
            <family val="2"/>
          </rPr>
          <t>02004 is Midland Brick</t>
        </r>
      </text>
    </comment>
    <comment ref="C244" authorId="1" shapeId="0" xr:uid="{4B69BEAE-436F-4EFB-A0B0-1712D7E12ED6}">
      <text>
        <r>
          <rPr>
            <b/>
            <sz val="9"/>
            <color indexed="81"/>
            <rFont val="Tahoma"/>
            <family val="2"/>
          </rPr>
          <t>02004 is Midland Brick</t>
        </r>
      </text>
    </comment>
    <comment ref="C245" authorId="1" shapeId="0" xr:uid="{7D31EE84-44E0-4384-986F-59314C02D55A}">
      <text>
        <r>
          <rPr>
            <b/>
            <sz val="9"/>
            <color indexed="81"/>
            <rFont val="Tahoma"/>
            <family val="2"/>
          </rPr>
          <t>02004 is Midland Brick</t>
        </r>
      </text>
    </comment>
    <comment ref="C246" authorId="1" shapeId="0" xr:uid="{C717DB19-11BF-41FE-A118-F437F9649C57}">
      <text>
        <r>
          <rPr>
            <b/>
            <sz val="9"/>
            <color indexed="81"/>
            <rFont val="Tahoma"/>
            <family val="2"/>
          </rPr>
          <t>02004 is Midland Brick</t>
        </r>
      </text>
    </comment>
    <comment ref="C247" authorId="1" shapeId="0" xr:uid="{55046BDA-2610-4E4E-B2CF-D02CEFEB79A7}">
      <text>
        <r>
          <rPr>
            <b/>
            <sz val="9"/>
            <color indexed="81"/>
            <rFont val="Tahoma"/>
            <family val="2"/>
          </rPr>
          <t>02004 is Midland Brick</t>
        </r>
      </text>
    </comment>
    <comment ref="C248" authorId="1" shapeId="0" xr:uid="{08754A36-4548-4A03-A2D2-A075A8114EDE}">
      <text>
        <r>
          <rPr>
            <b/>
            <sz val="9"/>
            <color indexed="81"/>
            <rFont val="Tahoma"/>
            <family val="2"/>
          </rPr>
          <t>02004 is Midland Brick</t>
        </r>
      </text>
    </comment>
    <comment ref="C249" authorId="1" shapeId="0" xr:uid="{E265A92D-CB3A-4480-8D96-F795B0B253FB}">
      <text>
        <r>
          <rPr>
            <b/>
            <sz val="9"/>
            <color indexed="81"/>
            <rFont val="Tahoma"/>
            <family val="2"/>
          </rPr>
          <t>02004 is Midland Brick</t>
        </r>
      </text>
    </comment>
    <comment ref="C250" authorId="1" shapeId="0" xr:uid="{1991FC2D-58A8-4E81-BDC4-2EEC25E61AB6}">
      <text>
        <r>
          <rPr>
            <b/>
            <sz val="9"/>
            <color indexed="81"/>
            <rFont val="Tahoma"/>
            <family val="2"/>
          </rPr>
          <t>02004 is Midland Brick</t>
        </r>
      </text>
    </comment>
    <comment ref="C251" authorId="1" shapeId="0" xr:uid="{AF7A0B8D-F7B8-40E9-93FF-FF0489BDB837}">
      <text>
        <r>
          <rPr>
            <b/>
            <sz val="9"/>
            <color indexed="81"/>
            <rFont val="Tahoma"/>
            <family val="2"/>
          </rPr>
          <t>02004 is Midland Brick</t>
        </r>
      </text>
    </comment>
    <comment ref="C252" authorId="1" shapeId="0" xr:uid="{2B93B451-7AD2-4A1F-8310-784C173EB8E8}">
      <text>
        <r>
          <rPr>
            <b/>
            <sz val="9"/>
            <color indexed="81"/>
            <rFont val="Tahoma"/>
            <family val="2"/>
          </rPr>
          <t>02004 is Midland Brick</t>
        </r>
      </text>
    </comment>
    <comment ref="C253" authorId="1" shapeId="0" xr:uid="{C39F6245-2F7D-4FAE-A45F-801930498EF5}">
      <text>
        <r>
          <rPr>
            <b/>
            <sz val="9"/>
            <color indexed="81"/>
            <rFont val="Tahoma"/>
            <family val="2"/>
          </rPr>
          <t>02004 is Midland Brick</t>
        </r>
      </text>
    </comment>
    <comment ref="C254" authorId="1" shapeId="0" xr:uid="{7DC3A985-DA4D-4C7C-9218-C84C0B2C81D8}">
      <text>
        <r>
          <rPr>
            <b/>
            <sz val="9"/>
            <color indexed="81"/>
            <rFont val="Tahoma"/>
            <family val="2"/>
          </rPr>
          <t>02004 is Midland Brick</t>
        </r>
      </text>
    </comment>
    <comment ref="C255" authorId="1" shapeId="0" xr:uid="{006176D5-ADAE-46D9-BE92-1A1A7AC23586}">
      <text>
        <r>
          <rPr>
            <b/>
            <sz val="9"/>
            <color indexed="81"/>
            <rFont val="Tahoma"/>
            <family val="2"/>
          </rPr>
          <t>02004 is Midland Brick</t>
        </r>
      </text>
    </comment>
    <comment ref="C257" authorId="1" shapeId="0" xr:uid="{BA6A923A-AE4C-4264-980C-33BCA24D2F2A}">
      <text>
        <r>
          <rPr>
            <b/>
            <sz val="9"/>
            <color indexed="81"/>
            <rFont val="Tahoma"/>
            <family val="2"/>
          </rPr>
          <t>10804600 is Terry Woodmansey - Capel and North</t>
        </r>
      </text>
    </comment>
    <comment ref="C258" authorId="1" shapeId="0" xr:uid="{7E2EC8BF-1D78-4805-80EC-8C91AB598463}">
      <text>
        <r>
          <rPr>
            <b/>
            <sz val="9"/>
            <color indexed="81"/>
            <rFont val="Tahoma"/>
            <family val="2"/>
          </rPr>
          <t>10804600 is Terry Woodmansey - Capel and North</t>
        </r>
      </text>
    </comment>
    <comment ref="C259" authorId="1" shapeId="0" xr:uid="{499CD0F9-515F-4CBE-A2DE-2132B50AECBB}">
      <text>
        <r>
          <rPr>
            <b/>
            <sz val="9"/>
            <color indexed="81"/>
            <rFont val="Tahoma"/>
            <family val="2"/>
          </rPr>
          <t>10804600 is Terry Woodmansey - Capel and North</t>
        </r>
      </text>
    </comment>
    <comment ref="C260" authorId="1" shapeId="0" xr:uid="{B596EEDC-3780-4ABE-AD21-5DFE4BAFBC64}">
      <text>
        <r>
          <rPr>
            <b/>
            <sz val="9"/>
            <color indexed="81"/>
            <rFont val="Tahoma"/>
            <family val="2"/>
          </rPr>
          <t>10804600 is Terry Woodmansey - Capel and North</t>
        </r>
      </text>
    </comment>
    <comment ref="C261" authorId="1" shapeId="0" xr:uid="{91BED593-073B-4F3A-BCE0-CEC3D014D01A}">
      <text>
        <r>
          <rPr>
            <b/>
            <sz val="9"/>
            <color indexed="81"/>
            <rFont val="Tahoma"/>
            <family val="2"/>
          </rPr>
          <t>10804600 is Terry Woodmansey - Capel and North</t>
        </r>
      </text>
    </comment>
    <comment ref="C262" authorId="1" shapeId="0" xr:uid="{20C0C97D-AFFC-4AE6-85DC-BBEF750DB6E8}">
      <text>
        <r>
          <rPr>
            <b/>
            <sz val="9"/>
            <color indexed="81"/>
            <rFont val="Tahoma"/>
            <family val="2"/>
          </rPr>
          <t>10804600 is Terry Woodmansey - Capel and North</t>
        </r>
      </text>
    </comment>
    <comment ref="C263" authorId="1" shapeId="0" xr:uid="{E14515B9-467C-451A-B743-48F4AB2BE2CE}">
      <text>
        <r>
          <rPr>
            <b/>
            <sz val="9"/>
            <color indexed="81"/>
            <rFont val="Tahoma"/>
            <family val="2"/>
          </rPr>
          <t>10804600 is Terry Woodmansey - Capel and North</t>
        </r>
      </text>
    </comment>
    <comment ref="C264" authorId="1" shapeId="0" xr:uid="{0871E7C3-52B5-47CC-B884-D598A6A1C8C6}">
      <text>
        <r>
          <rPr>
            <b/>
            <sz val="9"/>
            <color indexed="81"/>
            <rFont val="Tahoma"/>
            <family val="2"/>
          </rPr>
          <t>10804600 is Terry Woodmansey - Capel and North</t>
        </r>
      </text>
    </comment>
    <comment ref="C265" authorId="1" shapeId="0" xr:uid="{A6E38C83-95F6-45CC-8D27-81FB5045D2C5}">
      <text>
        <r>
          <rPr>
            <b/>
            <sz val="9"/>
            <color indexed="81"/>
            <rFont val="Tahoma"/>
            <family val="2"/>
          </rPr>
          <t>10804600 is Terry Woodmansey - Capel and North</t>
        </r>
      </text>
    </comment>
    <comment ref="C266" authorId="1" shapeId="0" xr:uid="{406152C0-6C14-46FF-8E87-43807074E443}">
      <text>
        <r>
          <rPr>
            <b/>
            <sz val="9"/>
            <color indexed="81"/>
            <rFont val="Tahoma"/>
            <family val="2"/>
          </rPr>
          <t>10804600 is Terry Woodmansey - Capel and North</t>
        </r>
      </text>
    </comment>
    <comment ref="C267" authorId="1" shapeId="0" xr:uid="{D9E49BFE-40CC-4D82-B45F-56AF45E7EFFF}">
      <text>
        <r>
          <rPr>
            <b/>
            <sz val="9"/>
            <color indexed="81"/>
            <rFont val="Tahoma"/>
            <family val="2"/>
          </rPr>
          <t>10804600 is Terry Woodmansey - Capel and North</t>
        </r>
      </text>
    </comment>
    <comment ref="C268" authorId="1" shapeId="0" xr:uid="{5011EB62-1996-4D32-8D1E-F8A3C3798529}">
      <text>
        <r>
          <rPr>
            <b/>
            <sz val="9"/>
            <color indexed="81"/>
            <rFont val="Tahoma"/>
            <family val="2"/>
          </rPr>
          <t>10804600 is Terry Woodmansey - Capel and North</t>
        </r>
      </text>
    </comment>
    <comment ref="C269" authorId="1" shapeId="0" xr:uid="{2C670EC9-1154-4B7A-962F-2CB9DF488AB9}">
      <text>
        <r>
          <rPr>
            <b/>
            <sz val="9"/>
            <color indexed="81"/>
            <rFont val="Tahoma"/>
            <family val="2"/>
          </rPr>
          <t>10804600 is Terry Woodmansey - Capel and North</t>
        </r>
      </text>
    </comment>
    <comment ref="C270" authorId="1" shapeId="0" xr:uid="{5F527535-5FF7-4798-B30C-FA79A05E8A13}">
      <text>
        <r>
          <rPr>
            <b/>
            <sz val="9"/>
            <color indexed="81"/>
            <rFont val="Tahoma"/>
            <family val="2"/>
          </rPr>
          <t>10804600 is Terry Woodmansey - Capel and North</t>
        </r>
      </text>
    </comment>
    <comment ref="C271" authorId="1" shapeId="0" xr:uid="{7BC92FE5-9AE1-4B5C-BD1F-96312912BAB6}">
      <text>
        <r>
          <rPr>
            <b/>
            <sz val="9"/>
            <color indexed="81"/>
            <rFont val="Tahoma"/>
            <family val="2"/>
          </rPr>
          <t>10804600 is Terry Woodmansey - Capel and North</t>
        </r>
      </text>
    </comment>
    <comment ref="C272" authorId="1" shapeId="0" xr:uid="{69358D89-65DE-4047-8496-D85AC38F4018}">
      <text>
        <r>
          <rPr>
            <b/>
            <sz val="9"/>
            <color indexed="81"/>
            <rFont val="Tahoma"/>
            <family val="2"/>
          </rPr>
          <t>10804600 is Terry Woodmansey - Capel and North</t>
        </r>
      </text>
    </comment>
    <comment ref="C273" authorId="1" shapeId="0" xr:uid="{BAF68D59-E66E-4011-8796-103ECFB42EEB}">
      <text>
        <r>
          <rPr>
            <b/>
            <sz val="9"/>
            <color indexed="81"/>
            <rFont val="Tahoma"/>
            <family val="2"/>
          </rPr>
          <t>10804600 is Terry Woodmansey - Capel and North</t>
        </r>
      </text>
    </comment>
    <comment ref="C274" authorId="1" shapeId="0" xr:uid="{827D2DC0-9E4E-4443-948D-55EA033C3A1A}">
      <text>
        <r>
          <rPr>
            <b/>
            <sz val="9"/>
            <color indexed="81"/>
            <rFont val="Tahoma"/>
            <family val="2"/>
          </rPr>
          <t>10804600 is Terry Woodmansey - Capel and North</t>
        </r>
      </text>
    </comment>
    <comment ref="C275" authorId="1" shapeId="0" xr:uid="{B2F3D8AC-E6FF-49CA-BB03-EB1AD8B02F2D}">
      <text>
        <r>
          <rPr>
            <b/>
            <sz val="9"/>
            <color indexed="81"/>
            <rFont val="Tahoma"/>
            <family val="2"/>
          </rPr>
          <t>10804600 is Terry Woodmansey - Capel and North</t>
        </r>
      </text>
    </comment>
    <comment ref="C276" authorId="1" shapeId="0" xr:uid="{A009D240-6320-42CB-96AA-4269B52D2FA2}">
      <text>
        <r>
          <rPr>
            <b/>
            <sz val="9"/>
            <color indexed="81"/>
            <rFont val="Tahoma"/>
            <family val="2"/>
          </rPr>
          <t>10804600 is Terry Woodmansey - Capel and North</t>
        </r>
      </text>
    </comment>
    <comment ref="C277" authorId="1" shapeId="0" xr:uid="{4D3418DA-D4DE-412B-8AE8-F02D4D7E9118}">
      <text>
        <r>
          <rPr>
            <b/>
            <sz val="9"/>
            <color indexed="81"/>
            <rFont val="Tahoma"/>
            <family val="2"/>
          </rPr>
          <t>10804600 is Terry Woodmansey - Capel and North</t>
        </r>
      </text>
    </comment>
    <comment ref="C278" authorId="1" shapeId="0" xr:uid="{DBB90974-4B7B-4618-B1DB-B502741AD56F}">
      <text>
        <r>
          <rPr>
            <b/>
            <sz val="9"/>
            <color indexed="81"/>
            <rFont val="Tahoma"/>
            <family val="2"/>
          </rPr>
          <t>10804600 is Terry Woodmansey - Capel and North</t>
        </r>
      </text>
    </comment>
    <comment ref="C279" authorId="1" shapeId="0" xr:uid="{0981BBD4-BD69-433C-ABC2-EBDF6905E69D}">
      <text>
        <r>
          <rPr>
            <b/>
            <sz val="9"/>
            <color indexed="81"/>
            <rFont val="Tahoma"/>
            <family val="2"/>
          </rPr>
          <t>10804600 is Terry Woodmansey - Capel and North</t>
        </r>
      </text>
    </comment>
    <comment ref="C280" authorId="1" shapeId="0" xr:uid="{74CF38D1-ABA6-4D00-8FE3-A92D15CABBEF}">
      <text>
        <r>
          <rPr>
            <b/>
            <sz val="9"/>
            <color indexed="81"/>
            <rFont val="Tahoma"/>
            <family val="2"/>
          </rPr>
          <t>10804600 is Terry Woodmansey - Capel and North</t>
        </r>
      </text>
    </comment>
    <comment ref="C281" authorId="1" shapeId="0" xr:uid="{8DC321C6-FA14-4B8B-A1E4-93566067693A}">
      <text>
        <r>
          <rPr>
            <b/>
            <sz val="9"/>
            <color indexed="81"/>
            <rFont val="Tahoma"/>
            <family val="2"/>
          </rPr>
          <t>10804600 is Terry Woodmansey - Capel and North</t>
        </r>
      </text>
    </comment>
    <comment ref="C282" authorId="1" shapeId="0" xr:uid="{EB02A562-B2BE-4D98-9525-21141ABDF418}">
      <text>
        <r>
          <rPr>
            <b/>
            <sz val="9"/>
            <color indexed="81"/>
            <rFont val="Tahoma"/>
            <family val="2"/>
          </rPr>
          <t>10804600 is Terry Woodmansey - Capel and North</t>
        </r>
      </text>
    </comment>
    <comment ref="C283" authorId="1" shapeId="0" xr:uid="{1491BC6B-5F6C-4D27-B969-EC5EE012EC1C}">
      <text>
        <r>
          <rPr>
            <b/>
            <sz val="9"/>
            <color indexed="81"/>
            <rFont val="Tahoma"/>
            <family val="2"/>
          </rPr>
          <t>10804600 is Terry Woodmansey - Capel and North</t>
        </r>
      </text>
    </comment>
    <comment ref="C284" authorId="1" shapeId="0" xr:uid="{B1006C71-6658-4B5D-A9DE-1FFD66F4712B}">
      <text>
        <r>
          <rPr>
            <b/>
            <sz val="9"/>
            <color indexed="81"/>
            <rFont val="Tahoma"/>
            <family val="2"/>
          </rPr>
          <t>10804600 is Terry Woodmansey - Capel and North</t>
        </r>
      </text>
    </comment>
    <comment ref="C285" authorId="1" shapeId="0" xr:uid="{A67C91D3-31E0-4576-B1B5-345A33640DD0}">
      <text>
        <r>
          <rPr>
            <b/>
            <sz val="9"/>
            <color indexed="81"/>
            <rFont val="Tahoma"/>
            <family val="2"/>
          </rPr>
          <t>10804600 is Terry Woodmansey - Capel and North</t>
        </r>
      </text>
    </comment>
    <comment ref="C286" authorId="1" shapeId="0" xr:uid="{1E23B2EE-767D-4FBC-8B4B-BC549064292E}">
      <text>
        <r>
          <rPr>
            <b/>
            <sz val="9"/>
            <color indexed="81"/>
            <rFont val="Tahoma"/>
            <family val="2"/>
          </rPr>
          <t>10804600 is Terry Woodmansey - Capel and North</t>
        </r>
      </text>
    </comment>
    <comment ref="C287" authorId="1" shapeId="0" xr:uid="{81ADF8FC-7415-406C-86CB-E8B8A5FF45F9}">
      <text>
        <r>
          <rPr>
            <b/>
            <sz val="9"/>
            <color indexed="81"/>
            <rFont val="Tahoma"/>
            <family val="2"/>
          </rPr>
          <t>10804600 is Terry Woodmansey - Capel and North</t>
        </r>
      </text>
    </comment>
    <comment ref="C288" authorId="1" shapeId="0" xr:uid="{DBE91F80-F344-44C1-94CD-BCC205071611}">
      <text>
        <r>
          <rPr>
            <b/>
            <sz val="9"/>
            <color indexed="81"/>
            <rFont val="Tahoma"/>
            <family val="2"/>
          </rPr>
          <t>10804600 is Terry Woodmansey - Capel and North</t>
        </r>
      </text>
    </comment>
    <comment ref="C289" authorId="1" shapeId="0" xr:uid="{467E7D0D-D454-4C31-855F-396367771724}">
      <text>
        <r>
          <rPr>
            <b/>
            <sz val="9"/>
            <color indexed="81"/>
            <rFont val="Tahoma"/>
            <family val="2"/>
          </rPr>
          <t>10804600 is Terry Woodmansey - Capel and North</t>
        </r>
      </text>
    </comment>
    <comment ref="C290" authorId="1" shapeId="0" xr:uid="{2246628F-3D90-4A0F-B91C-C50BEB11F1D0}">
      <text>
        <r>
          <rPr>
            <b/>
            <sz val="9"/>
            <color indexed="81"/>
            <rFont val="Tahoma"/>
            <family val="2"/>
          </rPr>
          <t>10804600 is Terry Woodmansey - Capel and North</t>
        </r>
      </text>
    </comment>
    <comment ref="C291" authorId="1" shapeId="0" xr:uid="{962ADEBF-F24B-47E6-8507-1920BC66F60B}">
      <text>
        <r>
          <rPr>
            <b/>
            <sz val="9"/>
            <color indexed="81"/>
            <rFont val="Tahoma"/>
            <family val="2"/>
          </rPr>
          <t>10804600 is Terry Woodmansey - Capel and North</t>
        </r>
      </text>
    </comment>
    <comment ref="C292" authorId="1" shapeId="0" xr:uid="{75693A88-BE3C-4981-9B59-FDE072279C0C}">
      <text>
        <r>
          <rPr>
            <b/>
            <sz val="9"/>
            <color indexed="81"/>
            <rFont val="Tahoma"/>
            <family val="2"/>
          </rPr>
          <t>10804600 is Terry Woodmansey - Capel and North</t>
        </r>
      </text>
    </comment>
    <comment ref="C293" authorId="1" shapeId="0" xr:uid="{CC0B3560-8324-4DB4-89C6-B214D93C77AB}">
      <text>
        <r>
          <rPr>
            <b/>
            <sz val="9"/>
            <color indexed="81"/>
            <rFont val="Tahoma"/>
            <family val="2"/>
          </rPr>
          <t>10804600 is Terry Woodmansey - Capel and North</t>
        </r>
      </text>
    </comment>
    <comment ref="C294" authorId="1" shapeId="0" xr:uid="{16AA78A6-55E9-479D-A53B-495CB3203687}">
      <text>
        <r>
          <rPr>
            <b/>
            <sz val="9"/>
            <color indexed="81"/>
            <rFont val="Tahoma"/>
            <family val="2"/>
          </rPr>
          <t>10804600 is Terry Woodmansey - Capel and North</t>
        </r>
      </text>
    </comment>
    <comment ref="C295" authorId="1" shapeId="0" xr:uid="{485632E9-5C2C-40A5-A09A-F0FE03A1A30A}">
      <text>
        <r>
          <rPr>
            <b/>
            <sz val="9"/>
            <color indexed="81"/>
            <rFont val="Tahoma"/>
            <family val="2"/>
          </rPr>
          <t>10804600 is Terry Woodmansey - Capel and North</t>
        </r>
      </text>
    </comment>
    <comment ref="C296" authorId="1" shapeId="0" xr:uid="{15E2222B-E6B8-443F-A133-5EE8861F16B6}">
      <text>
        <r>
          <rPr>
            <b/>
            <sz val="9"/>
            <color indexed="81"/>
            <rFont val="Tahoma"/>
            <family val="2"/>
          </rPr>
          <t>10804600 is Terry Woodmansey - Capel and North</t>
        </r>
      </text>
    </comment>
    <comment ref="C297" authorId="1" shapeId="0" xr:uid="{DFDA9ABC-58A1-482C-B6F0-31EFA3906B03}">
      <text>
        <r>
          <rPr>
            <b/>
            <sz val="9"/>
            <color indexed="81"/>
            <rFont val="Tahoma"/>
            <family val="2"/>
          </rPr>
          <t>10804600 is Terry Woodmansey - Capel and North</t>
        </r>
      </text>
    </comment>
    <comment ref="C298" authorId="1" shapeId="0" xr:uid="{D768C81F-D41C-4BC9-B3FE-03D35D6F1F4B}">
      <text>
        <r>
          <rPr>
            <b/>
            <sz val="9"/>
            <color indexed="81"/>
            <rFont val="Tahoma"/>
            <family val="2"/>
          </rPr>
          <t>10804600 is Terry Woodmansey - Capel and North</t>
        </r>
      </text>
    </comment>
    <comment ref="C299" authorId="1" shapeId="0" xr:uid="{F790C26E-9576-4FCD-BB23-A8EAB9DCE4E4}">
      <text>
        <r>
          <rPr>
            <b/>
            <sz val="9"/>
            <color indexed="81"/>
            <rFont val="Tahoma"/>
            <family val="2"/>
          </rPr>
          <t>10804600 is Terry Woodmansey - Capel and North</t>
        </r>
      </text>
    </comment>
    <comment ref="C300" authorId="1" shapeId="0" xr:uid="{4DA5E051-56DE-44A2-B950-8DC71941C7AC}">
      <text>
        <r>
          <rPr>
            <b/>
            <sz val="9"/>
            <color indexed="81"/>
            <rFont val="Tahoma"/>
            <family val="2"/>
          </rPr>
          <t>10804600 is Terry Woodmansey - Capel and North</t>
        </r>
      </text>
    </comment>
    <comment ref="C301" authorId="1" shapeId="0" xr:uid="{F409699B-262F-4D64-9D56-576AED71C2B9}">
      <text>
        <r>
          <rPr>
            <b/>
            <sz val="9"/>
            <color indexed="81"/>
            <rFont val="Tahoma"/>
            <family val="2"/>
          </rPr>
          <t>10804600 is Terry Woodmansey - Capel and North</t>
        </r>
      </text>
    </comment>
    <comment ref="C302" authorId="1" shapeId="0" xr:uid="{A0380734-FD08-4B2A-8268-4E78CACA836A}">
      <text>
        <r>
          <rPr>
            <b/>
            <sz val="9"/>
            <color indexed="81"/>
            <rFont val="Tahoma"/>
            <family val="2"/>
          </rPr>
          <t>10804600 is Terry Woodmansey - Capel and North</t>
        </r>
      </text>
    </comment>
    <comment ref="C303" authorId="1" shapeId="0" xr:uid="{528E0849-9209-46B4-912C-B5DA4A7E5C97}">
      <text>
        <r>
          <rPr>
            <b/>
            <sz val="9"/>
            <color indexed="81"/>
            <rFont val="Tahoma"/>
            <family val="2"/>
          </rPr>
          <t>10804600 is Terry Woodmansey - Capel and North</t>
        </r>
      </text>
    </comment>
    <comment ref="C304" authorId="1" shapeId="0" xr:uid="{6013D1EE-DC20-4BFC-956C-0DD482671C9E}">
      <text>
        <r>
          <rPr>
            <b/>
            <sz val="9"/>
            <color indexed="81"/>
            <rFont val="Tahoma"/>
            <family val="2"/>
          </rPr>
          <t>10804600 is Terry Woodmansey - Capel and North</t>
        </r>
      </text>
    </comment>
    <comment ref="C305" authorId="1" shapeId="0" xr:uid="{C8B168A2-1B1E-4C53-977D-B9793E4DE3C7}">
      <text>
        <r>
          <rPr>
            <b/>
            <sz val="9"/>
            <color indexed="81"/>
            <rFont val="Tahoma"/>
            <family val="2"/>
          </rPr>
          <t>10804600 is Terry Woodmansey - Capel and North</t>
        </r>
      </text>
    </comment>
    <comment ref="C306" authorId="1" shapeId="0" xr:uid="{238E3A13-06DC-4201-A289-7D2766E10832}">
      <text>
        <r>
          <rPr>
            <b/>
            <sz val="9"/>
            <color indexed="81"/>
            <rFont val="Tahoma"/>
            <family val="2"/>
          </rPr>
          <t>10804600 is Terry Woodmansey - Capel and North</t>
        </r>
      </text>
    </comment>
    <comment ref="C307" authorId="1" shapeId="0" xr:uid="{BD860D65-30CA-481A-892E-7DE1265D8780}">
      <text>
        <r>
          <rPr>
            <b/>
            <sz val="9"/>
            <color indexed="81"/>
            <rFont val="Tahoma"/>
            <family val="2"/>
          </rPr>
          <t>10804600 is Terry Woodmansey - Capel and North</t>
        </r>
      </text>
    </comment>
    <comment ref="C308" authorId="1" shapeId="0" xr:uid="{0B6CC108-9C56-42E5-9FD8-7AE4317A8A5C}">
      <text>
        <r>
          <rPr>
            <b/>
            <sz val="9"/>
            <color indexed="81"/>
            <rFont val="Tahoma"/>
            <family val="2"/>
          </rPr>
          <t>10804600 is Terry Woodmansey - Capel and North</t>
        </r>
      </text>
    </comment>
    <comment ref="C309" authorId="1" shapeId="0" xr:uid="{BF991F80-A9D0-4252-887D-F8EEF7C573D7}">
      <text>
        <r>
          <rPr>
            <b/>
            <sz val="9"/>
            <color indexed="81"/>
            <rFont val="Tahoma"/>
            <family val="2"/>
          </rPr>
          <t>10804600 is Terry Woodmansey - Capel and North</t>
        </r>
      </text>
    </comment>
    <comment ref="C310" authorId="1" shapeId="0" xr:uid="{C9E8CDC1-9117-4A0B-B8AA-735BFECE1776}">
      <text>
        <r>
          <rPr>
            <b/>
            <sz val="9"/>
            <color indexed="81"/>
            <rFont val="Tahoma"/>
            <family val="2"/>
          </rPr>
          <t>10804600 is Terry Woodmansey - Capel and North</t>
        </r>
      </text>
    </comment>
    <comment ref="C311" authorId="1" shapeId="0" xr:uid="{720D30FD-5881-4927-8CEF-F0B24BA8C78F}">
      <text>
        <r>
          <rPr>
            <b/>
            <sz val="9"/>
            <color indexed="81"/>
            <rFont val="Tahoma"/>
            <family val="2"/>
          </rPr>
          <t>10804600 is Terry Woodmansey - Capel and North</t>
        </r>
      </text>
    </comment>
    <comment ref="C312" authorId="1" shapeId="0" xr:uid="{66560B31-EADD-4317-A27A-2E50B3D5E23C}">
      <text>
        <r>
          <rPr>
            <b/>
            <sz val="9"/>
            <color indexed="81"/>
            <rFont val="Tahoma"/>
            <family val="2"/>
          </rPr>
          <t>10804600 is Terry Woodmansey - Capel and North</t>
        </r>
      </text>
    </comment>
    <comment ref="C313" authorId="1" shapeId="0" xr:uid="{87C9E2E7-3489-4F2F-B386-9279FF37B60C}">
      <text>
        <r>
          <rPr>
            <b/>
            <sz val="9"/>
            <color indexed="81"/>
            <rFont val="Tahoma"/>
            <family val="2"/>
          </rPr>
          <t>10804600 is Terry Woodmansey - Capel and North</t>
        </r>
      </text>
    </comment>
    <comment ref="C314" authorId="1" shapeId="0" xr:uid="{E682B947-95B0-47BD-9956-8F76099BB811}">
      <text>
        <r>
          <rPr>
            <b/>
            <sz val="9"/>
            <color indexed="81"/>
            <rFont val="Tahoma"/>
            <family val="2"/>
          </rPr>
          <t>10804600 is Terry Woodmansey - Capel and North</t>
        </r>
      </text>
    </comment>
    <comment ref="C315" authorId="1" shapeId="0" xr:uid="{1FB0E4A1-9BD6-4024-8EED-008643A93EE3}">
      <text>
        <r>
          <rPr>
            <b/>
            <sz val="9"/>
            <color indexed="81"/>
            <rFont val="Tahoma"/>
            <family val="2"/>
          </rPr>
          <t>10804600 is Terry Woodmansey - Capel and North</t>
        </r>
      </text>
    </comment>
    <comment ref="C316" authorId="1" shapeId="0" xr:uid="{7D1760BD-83FF-4306-9A5E-1E9A988AAFD9}">
      <text>
        <r>
          <rPr>
            <b/>
            <sz val="9"/>
            <color indexed="81"/>
            <rFont val="Tahoma"/>
            <family val="2"/>
          </rPr>
          <t>10804600 is Terry Woodmansey - Capel and North</t>
        </r>
      </text>
    </comment>
    <comment ref="C317" authorId="1" shapeId="0" xr:uid="{FCCB0518-BAE6-4F2D-96A8-D0666AE2CBE6}">
      <text>
        <r>
          <rPr>
            <b/>
            <sz val="9"/>
            <color indexed="81"/>
            <rFont val="Tahoma"/>
            <family val="2"/>
          </rPr>
          <t>10804600 is Terry Woodmansey - Capel and North</t>
        </r>
      </text>
    </comment>
    <comment ref="C318" authorId="1" shapeId="0" xr:uid="{ECC3A29F-7F12-4CAE-AE4E-0B0066C68A18}">
      <text>
        <r>
          <rPr>
            <b/>
            <sz val="9"/>
            <color indexed="81"/>
            <rFont val="Tahoma"/>
            <family val="2"/>
          </rPr>
          <t>10804600 is Terry Woodmansey - Capel and North</t>
        </r>
      </text>
    </comment>
    <comment ref="C319" authorId="1" shapeId="0" xr:uid="{043F53D0-2D04-4D1F-854D-BA44FF21D26F}">
      <text>
        <r>
          <rPr>
            <b/>
            <sz val="9"/>
            <color indexed="81"/>
            <rFont val="Tahoma"/>
            <family val="2"/>
          </rPr>
          <t>10804600 is Terry Woodmansey - Capel and North</t>
        </r>
      </text>
    </comment>
    <comment ref="C320" authorId="1" shapeId="0" xr:uid="{93F91410-EBA9-4A1C-9E55-811231F6BBB0}">
      <text>
        <r>
          <rPr>
            <b/>
            <sz val="9"/>
            <color indexed="81"/>
            <rFont val="Tahoma"/>
            <family val="2"/>
          </rPr>
          <t>10804600 is Terry Woodmansey - Capel and North</t>
        </r>
      </text>
    </comment>
    <comment ref="C321" authorId="1" shapeId="0" xr:uid="{8A83D5AC-EE89-4A41-888C-BBD215E19317}">
      <text>
        <r>
          <rPr>
            <b/>
            <sz val="9"/>
            <color indexed="81"/>
            <rFont val="Tahoma"/>
            <family val="2"/>
          </rPr>
          <t>10804600 is Terry Woodmansey - Capel and North</t>
        </r>
      </text>
    </comment>
    <comment ref="C322" authorId="1" shapeId="0" xr:uid="{DF8983E5-53C6-4799-8D8F-7B0CAA6C27EA}">
      <text>
        <r>
          <rPr>
            <b/>
            <sz val="9"/>
            <color indexed="81"/>
            <rFont val="Tahoma"/>
            <family val="2"/>
          </rPr>
          <t>10804600 is Terry Woodmansey - Capel and North</t>
        </r>
      </text>
    </comment>
    <comment ref="C323" authorId="1" shapeId="0" xr:uid="{27236679-717D-4D72-8044-067F633ECE70}">
      <text>
        <r>
          <rPr>
            <b/>
            <sz val="9"/>
            <color indexed="81"/>
            <rFont val="Tahoma"/>
            <family val="2"/>
          </rPr>
          <t>10804600 is Terry Woodmansey - Capel and North</t>
        </r>
      </text>
    </comment>
    <comment ref="C324" authorId="1" shapeId="0" xr:uid="{EA48DAA6-0A6F-4D5C-85FD-B91371975925}">
      <text>
        <r>
          <rPr>
            <b/>
            <sz val="9"/>
            <color indexed="81"/>
            <rFont val="Tahoma"/>
            <family val="2"/>
          </rPr>
          <t>10804600 is Terry Woodmansey - Capel and North</t>
        </r>
      </text>
    </comment>
    <comment ref="C325" authorId="1" shapeId="0" xr:uid="{7DBBA18B-C243-4236-A591-69BB61F959D3}">
      <text>
        <r>
          <rPr>
            <b/>
            <sz val="9"/>
            <color indexed="81"/>
            <rFont val="Tahoma"/>
            <family val="2"/>
          </rPr>
          <t>10804600 is Terry Woodmansey - Capel and North</t>
        </r>
      </text>
    </comment>
    <comment ref="C326" authorId="1" shapeId="0" xr:uid="{F4208460-5A7D-4B40-A143-DB3C8EB553B6}">
      <text>
        <r>
          <rPr>
            <b/>
            <sz val="9"/>
            <color indexed="81"/>
            <rFont val="Tahoma"/>
            <family val="2"/>
          </rPr>
          <t>10804600 is Terry Woodmansey - Capel and North</t>
        </r>
      </text>
    </comment>
    <comment ref="C327" authorId="1" shapeId="0" xr:uid="{1B9C82A8-AC8D-45E1-B647-795F71C43901}">
      <text>
        <r>
          <rPr>
            <b/>
            <sz val="9"/>
            <color indexed="81"/>
            <rFont val="Tahoma"/>
            <family val="2"/>
          </rPr>
          <t>10804600 is Terry Woodmansey - Capel and North</t>
        </r>
      </text>
    </comment>
    <comment ref="C328" authorId="1" shapeId="0" xr:uid="{F173B610-082A-445A-AD72-6FAE7159B66B}">
      <text>
        <r>
          <rPr>
            <b/>
            <sz val="9"/>
            <color indexed="81"/>
            <rFont val="Tahoma"/>
            <family val="2"/>
          </rPr>
          <t>10804600 is Terry Woodmansey - Capel and North</t>
        </r>
      </text>
    </comment>
    <comment ref="C329" authorId="1" shapeId="0" xr:uid="{CEDA8CEC-A8A6-410F-92AC-4EB91B6AA84C}">
      <text>
        <r>
          <rPr>
            <b/>
            <sz val="9"/>
            <color indexed="81"/>
            <rFont val="Tahoma"/>
            <family val="2"/>
          </rPr>
          <t>10804600 is Terry Woodmansey - Capel and North</t>
        </r>
      </text>
    </comment>
    <comment ref="C331" authorId="1" shapeId="0" xr:uid="{0B43E713-E002-4CC9-9B82-13B6DAA0F210}">
      <text>
        <r>
          <rPr>
            <b/>
            <sz val="9"/>
            <color indexed="81"/>
            <rFont val="Tahoma"/>
            <family val="2"/>
          </rPr>
          <t>52382 is KD Power &amp; Co - South of Capel</t>
        </r>
      </text>
    </comment>
    <comment ref="C332" authorId="1" shapeId="0" xr:uid="{65E01267-E9F8-4203-899D-F6159941DAD9}">
      <text>
        <r>
          <rPr>
            <b/>
            <sz val="9"/>
            <color indexed="81"/>
            <rFont val="Tahoma"/>
            <family val="2"/>
          </rPr>
          <t>52382 is KD Power &amp; Co - South of Capel</t>
        </r>
      </text>
    </comment>
    <comment ref="C333" authorId="1" shapeId="0" xr:uid="{96962C54-C51F-4353-94BD-4ECD3D3FF09A}">
      <text>
        <r>
          <rPr>
            <b/>
            <sz val="9"/>
            <color indexed="81"/>
            <rFont val="Tahoma"/>
            <family val="2"/>
          </rPr>
          <t>52382 is KD Power &amp; Co - South of Capel</t>
        </r>
      </text>
    </comment>
    <comment ref="C334" authorId="1" shapeId="0" xr:uid="{6135411F-4C92-41B3-9FB1-ED80477E21A8}">
      <text>
        <r>
          <rPr>
            <b/>
            <sz val="9"/>
            <color indexed="81"/>
            <rFont val="Tahoma"/>
            <family val="2"/>
          </rPr>
          <t>52382 is KD Power &amp; Co - South of Capel</t>
        </r>
      </text>
    </comment>
    <comment ref="C335" authorId="1" shapeId="0" xr:uid="{EA680BB2-1344-412F-8BDB-CC40F85E5D13}">
      <text>
        <r>
          <rPr>
            <b/>
            <sz val="9"/>
            <color indexed="81"/>
            <rFont val="Tahoma"/>
            <family val="2"/>
          </rPr>
          <t>52382 is KD Power &amp; Co - South of Capel</t>
        </r>
      </text>
    </comment>
    <comment ref="C336" authorId="1" shapeId="0" xr:uid="{9D9802F1-D90D-49B5-A9C4-EE7612304AA3}">
      <text>
        <r>
          <rPr>
            <b/>
            <sz val="9"/>
            <color indexed="81"/>
            <rFont val="Tahoma"/>
            <family val="2"/>
          </rPr>
          <t>52382 is KD Power &amp; Co - South of Capel</t>
        </r>
      </text>
    </comment>
    <comment ref="C337" authorId="1" shapeId="0" xr:uid="{D3DD707F-9870-41FC-A1B3-FAF15F95E432}">
      <text>
        <r>
          <rPr>
            <b/>
            <sz val="9"/>
            <color indexed="81"/>
            <rFont val="Tahoma"/>
            <family val="2"/>
          </rPr>
          <t>52382 is KD Power &amp; Co - South of Capel</t>
        </r>
      </text>
    </comment>
    <comment ref="C338" authorId="1" shapeId="0" xr:uid="{823A5B75-1E1B-4975-BC6F-EC3C34BBB333}">
      <text>
        <r>
          <rPr>
            <b/>
            <sz val="9"/>
            <color indexed="81"/>
            <rFont val="Tahoma"/>
            <family val="2"/>
          </rPr>
          <t>52382 is KD Power &amp; Co - South of Capel</t>
        </r>
      </text>
    </comment>
    <comment ref="C339" authorId="1" shapeId="0" xr:uid="{1FBE4128-F43F-4B28-B300-4846732109DB}">
      <text>
        <r>
          <rPr>
            <b/>
            <sz val="9"/>
            <color indexed="81"/>
            <rFont val="Tahoma"/>
            <family val="2"/>
          </rPr>
          <t>52382 is KD Power &amp; Co - South of Capel</t>
        </r>
      </text>
    </comment>
    <comment ref="C340" authorId="1" shapeId="0" xr:uid="{CBE240C2-8B2B-4D14-9FA5-C9C27E8F08B5}">
      <text>
        <r>
          <rPr>
            <b/>
            <sz val="9"/>
            <color indexed="81"/>
            <rFont val="Tahoma"/>
            <family val="2"/>
          </rPr>
          <t>52382 is KD Power &amp; Co - South of Capel</t>
        </r>
      </text>
    </comment>
    <comment ref="C341" authorId="1" shapeId="0" xr:uid="{9AA15453-5D65-41C8-8117-638C842F52A3}">
      <text>
        <r>
          <rPr>
            <b/>
            <sz val="9"/>
            <color indexed="81"/>
            <rFont val="Tahoma"/>
            <family val="2"/>
          </rPr>
          <t>52382 is KD Power &amp; Co - South of Capel</t>
        </r>
      </text>
    </comment>
    <comment ref="C342" authorId="1" shapeId="0" xr:uid="{A663F226-7984-4047-BDCA-9560CFEA73E2}">
      <text>
        <r>
          <rPr>
            <b/>
            <sz val="9"/>
            <color indexed="81"/>
            <rFont val="Tahoma"/>
            <family val="2"/>
          </rPr>
          <t>52382 is KD Power &amp; Co - South of Capel</t>
        </r>
      </text>
    </comment>
    <comment ref="C343" authorId="1" shapeId="0" xr:uid="{FFE89716-7A25-4CC1-A0DC-68704BEEAC4E}">
      <text>
        <r>
          <rPr>
            <b/>
            <sz val="9"/>
            <color indexed="81"/>
            <rFont val="Tahoma"/>
            <family val="2"/>
          </rPr>
          <t>52382 is KD Power &amp; Co - South of Capel</t>
        </r>
      </text>
    </comment>
    <comment ref="C344" authorId="1" shapeId="0" xr:uid="{D8A21BB9-28C3-4EC4-A5BD-1142B0244C6A}">
      <text>
        <r>
          <rPr>
            <b/>
            <sz val="9"/>
            <color indexed="81"/>
            <rFont val="Tahoma"/>
            <family val="2"/>
          </rPr>
          <t>52382 is KD Power &amp; Co - South of Capel</t>
        </r>
      </text>
    </comment>
    <comment ref="C345" authorId="1" shapeId="0" xr:uid="{61B08809-935A-43D9-8379-BAFD386A8AEC}">
      <text>
        <r>
          <rPr>
            <b/>
            <sz val="9"/>
            <color indexed="81"/>
            <rFont val="Tahoma"/>
            <family val="2"/>
          </rPr>
          <t>52382 is KD Power &amp; Co - South of Capel</t>
        </r>
      </text>
    </comment>
    <comment ref="C346" authorId="1" shapeId="0" xr:uid="{D4DFCC8D-4271-44C9-BCFB-9B950BFC1C66}">
      <text>
        <r>
          <rPr>
            <b/>
            <sz val="9"/>
            <color indexed="81"/>
            <rFont val="Tahoma"/>
            <family val="2"/>
          </rPr>
          <t>52382 is KD Power &amp; Co - South of Capel</t>
        </r>
      </text>
    </comment>
    <comment ref="C347" authorId="1" shapeId="0" xr:uid="{18ECC491-281A-4300-965C-30F1A6C6707A}">
      <text>
        <r>
          <rPr>
            <b/>
            <sz val="9"/>
            <color indexed="81"/>
            <rFont val="Tahoma"/>
            <family val="2"/>
          </rPr>
          <t>52382 is KD Power &amp; Co - South of Capel</t>
        </r>
      </text>
    </comment>
    <comment ref="C348" authorId="1" shapeId="0" xr:uid="{1762FCBD-709B-4D0E-92BD-E893DD78520F}">
      <text>
        <r>
          <rPr>
            <b/>
            <sz val="9"/>
            <color indexed="81"/>
            <rFont val="Tahoma"/>
            <family val="2"/>
          </rPr>
          <t>52382 is KD Power &amp; Co - South of Capel</t>
        </r>
      </text>
    </comment>
    <comment ref="C349" authorId="1" shapeId="0" xr:uid="{CE8AD346-740E-4D34-8134-A3BF5358B668}">
      <text>
        <r>
          <rPr>
            <b/>
            <sz val="9"/>
            <color indexed="81"/>
            <rFont val="Tahoma"/>
            <family val="2"/>
          </rPr>
          <t>52382 is KD Power &amp; Co - South of Capel</t>
        </r>
      </text>
    </comment>
    <comment ref="C350" authorId="1" shapeId="0" xr:uid="{4A61C69E-1378-48A6-9996-323F61077426}">
      <text>
        <r>
          <rPr>
            <b/>
            <sz val="9"/>
            <color indexed="81"/>
            <rFont val="Tahoma"/>
            <family val="2"/>
          </rPr>
          <t>52382 is KD Power &amp; Co - South of Capel</t>
        </r>
      </text>
    </comment>
    <comment ref="C351" authorId="1" shapeId="0" xr:uid="{DB0F8D85-AF4E-4D90-BE1B-34C3382E8494}">
      <text>
        <r>
          <rPr>
            <b/>
            <sz val="9"/>
            <color indexed="81"/>
            <rFont val="Tahoma"/>
            <family val="2"/>
          </rPr>
          <t>52382 is KD Power &amp; Co - South of Capel</t>
        </r>
      </text>
    </comment>
    <comment ref="C352" authorId="1" shapeId="0" xr:uid="{0050E1E7-019E-4AC6-9FD7-01A81D660369}">
      <text>
        <r>
          <rPr>
            <b/>
            <sz val="9"/>
            <color indexed="81"/>
            <rFont val="Tahoma"/>
            <family val="2"/>
          </rPr>
          <t>52382 is KD Power &amp; Co - South of Capel</t>
        </r>
      </text>
    </comment>
    <comment ref="C353" authorId="1" shapeId="0" xr:uid="{8B6F82C3-B5B2-4083-844E-F2255986A7C8}">
      <text>
        <r>
          <rPr>
            <b/>
            <sz val="9"/>
            <color indexed="81"/>
            <rFont val="Tahoma"/>
            <family val="2"/>
          </rPr>
          <t>52382 is KD Power &amp; Co - South of Capel</t>
        </r>
      </text>
    </comment>
    <comment ref="C354" authorId="1" shapeId="0" xr:uid="{3A844261-453B-43A2-A0FC-73ACF5831F3C}">
      <text>
        <r>
          <rPr>
            <b/>
            <sz val="9"/>
            <color indexed="81"/>
            <rFont val="Tahoma"/>
            <family val="2"/>
          </rPr>
          <t>52382 is KD Power &amp; Co - South of Capel</t>
        </r>
      </text>
    </comment>
    <comment ref="C355" authorId="1" shapeId="0" xr:uid="{AE3A2D0A-AA60-4695-830A-0F0B769DA2FC}">
      <text>
        <r>
          <rPr>
            <b/>
            <sz val="9"/>
            <color indexed="81"/>
            <rFont val="Tahoma"/>
            <family val="2"/>
          </rPr>
          <t>52382 is KD Power &amp; Co - South of Capel</t>
        </r>
      </text>
    </comment>
    <comment ref="C356" authorId="1" shapeId="0" xr:uid="{08394C21-D357-46D1-A82E-F8509FC28970}">
      <text>
        <r>
          <rPr>
            <b/>
            <sz val="9"/>
            <color indexed="81"/>
            <rFont val="Tahoma"/>
            <family val="2"/>
          </rPr>
          <t>52382 is KD Power &amp; Co - South of Capel</t>
        </r>
      </text>
    </comment>
    <comment ref="C357" authorId="1" shapeId="0" xr:uid="{E4B00A37-61AF-4434-875E-C8575EE7F042}">
      <text>
        <r>
          <rPr>
            <b/>
            <sz val="9"/>
            <color indexed="81"/>
            <rFont val="Tahoma"/>
            <family val="2"/>
          </rPr>
          <t>52382 is KD Power &amp; Co - South of Capel</t>
        </r>
      </text>
    </comment>
    <comment ref="C358" authorId="1" shapeId="0" xr:uid="{793198A9-C944-41CD-BBB4-FDF75A6BFF4F}">
      <text>
        <r>
          <rPr>
            <b/>
            <sz val="9"/>
            <color indexed="81"/>
            <rFont val="Tahoma"/>
            <family val="2"/>
          </rPr>
          <t>52382 is KD Power &amp; Co - South of Capel</t>
        </r>
      </text>
    </comment>
    <comment ref="C359" authorId="1" shapeId="0" xr:uid="{420AE49A-BBC3-4C42-A9B7-E6AD1C610310}">
      <text>
        <r>
          <rPr>
            <b/>
            <sz val="9"/>
            <color indexed="81"/>
            <rFont val="Tahoma"/>
            <family val="2"/>
          </rPr>
          <t>52382 is KD Power &amp; Co - South of Capel</t>
        </r>
      </text>
    </comment>
    <comment ref="C360" authorId="1" shapeId="0" xr:uid="{712E1CA5-3348-4C4C-8D7C-A492AF171CC9}">
      <text>
        <r>
          <rPr>
            <b/>
            <sz val="9"/>
            <color indexed="81"/>
            <rFont val="Tahoma"/>
            <family val="2"/>
          </rPr>
          <t>52382 is KD Power &amp; Co - South of Capel</t>
        </r>
      </text>
    </comment>
    <comment ref="C361" authorId="1" shapeId="0" xr:uid="{1A5D8CA5-BFE1-4EF4-AA31-1B568E028F21}">
      <text>
        <r>
          <rPr>
            <b/>
            <sz val="9"/>
            <color indexed="81"/>
            <rFont val="Tahoma"/>
            <family val="2"/>
          </rPr>
          <t>52382 is KD Power &amp; Co - South of Capel</t>
        </r>
      </text>
    </comment>
    <comment ref="C362" authorId="1" shapeId="0" xr:uid="{3ED6537F-FB68-48CE-9176-66BF0C815364}">
      <text>
        <r>
          <rPr>
            <b/>
            <sz val="9"/>
            <color indexed="81"/>
            <rFont val="Tahoma"/>
            <family val="2"/>
          </rPr>
          <t>52382 is KD Power &amp; Co - South of Capel</t>
        </r>
      </text>
    </comment>
    <comment ref="C363" authorId="1" shapeId="0" xr:uid="{F04A61D9-5B38-4DD2-BEF7-3922BACD3871}">
      <text>
        <r>
          <rPr>
            <b/>
            <sz val="9"/>
            <color indexed="81"/>
            <rFont val="Tahoma"/>
            <family val="2"/>
          </rPr>
          <t>52382 is KD Power &amp; Co - South of Capel</t>
        </r>
      </text>
    </comment>
    <comment ref="C364" authorId="1" shapeId="0" xr:uid="{E972DD6B-0091-473B-8CB0-079A450F27DF}">
      <text>
        <r>
          <rPr>
            <b/>
            <sz val="9"/>
            <color indexed="81"/>
            <rFont val="Tahoma"/>
            <family val="2"/>
          </rPr>
          <t>52382 is KD Power &amp; Co - South of Capel</t>
        </r>
      </text>
    </comment>
    <comment ref="C365" authorId="1" shapeId="0" xr:uid="{FBD1EB07-1765-49AC-AED0-6FB75089A335}">
      <text>
        <r>
          <rPr>
            <b/>
            <sz val="9"/>
            <color indexed="81"/>
            <rFont val="Tahoma"/>
            <family val="2"/>
          </rPr>
          <t>52382 is KD Power &amp; Co - South of Capel</t>
        </r>
      </text>
    </comment>
    <comment ref="C366" authorId="1" shapeId="0" xr:uid="{140FB8FA-7BDA-4FF1-9F56-371CCD31A08E}">
      <text>
        <r>
          <rPr>
            <b/>
            <sz val="9"/>
            <color indexed="81"/>
            <rFont val="Tahoma"/>
            <family val="2"/>
          </rPr>
          <t>52382 is KD Power &amp; Co - South of Capel</t>
        </r>
      </text>
    </comment>
    <comment ref="C367" authorId="1" shapeId="0" xr:uid="{481DB90F-467B-43C7-94F7-340E42E392E3}">
      <text>
        <r>
          <rPr>
            <b/>
            <sz val="9"/>
            <color indexed="81"/>
            <rFont val="Tahoma"/>
            <family val="2"/>
          </rPr>
          <t>52382 is KD Power &amp; Co - South of Capel</t>
        </r>
      </text>
    </comment>
    <comment ref="C368" authorId="1" shapeId="0" xr:uid="{2921117F-C6F9-4BFF-949A-ED02CA5D9736}">
      <text>
        <r>
          <rPr>
            <b/>
            <sz val="9"/>
            <color indexed="81"/>
            <rFont val="Tahoma"/>
            <family val="2"/>
          </rPr>
          <t>52382 is KD Power &amp; Co - South of Capel</t>
        </r>
      </text>
    </comment>
    <comment ref="C369" authorId="1" shapeId="0" xr:uid="{901D0B6E-76CC-42C1-895C-7994046A6783}">
      <text>
        <r>
          <rPr>
            <b/>
            <sz val="9"/>
            <color indexed="81"/>
            <rFont val="Tahoma"/>
            <family val="2"/>
          </rPr>
          <t>52382 is KD Power &amp; Co - South of Capel</t>
        </r>
      </text>
    </comment>
    <comment ref="C370" authorId="1" shapeId="0" xr:uid="{10142F07-715F-4C1D-AB44-AF87B959FCCE}">
      <text>
        <r>
          <rPr>
            <b/>
            <sz val="9"/>
            <color indexed="81"/>
            <rFont val="Tahoma"/>
            <family val="2"/>
          </rPr>
          <t>52382 is KD Power &amp; Co - South of Capel</t>
        </r>
      </text>
    </comment>
    <comment ref="C371" authorId="1" shapeId="0" xr:uid="{174EA04C-87A9-487F-9CB8-ED27AAC5DEB8}">
      <text>
        <r>
          <rPr>
            <b/>
            <sz val="9"/>
            <color indexed="81"/>
            <rFont val="Tahoma"/>
            <family val="2"/>
          </rPr>
          <t>52382 is KD Power &amp; Co - South of Capel</t>
        </r>
      </text>
    </comment>
    <comment ref="C372" authorId="1" shapeId="0" xr:uid="{B8F8AA0F-1923-4F20-88F6-F945F92B1052}">
      <text>
        <r>
          <rPr>
            <b/>
            <sz val="9"/>
            <color indexed="81"/>
            <rFont val="Tahoma"/>
            <family val="2"/>
          </rPr>
          <t>52382 is KD Power &amp; Co - South of Capel</t>
        </r>
      </text>
    </comment>
    <comment ref="C373" authorId="1" shapeId="0" xr:uid="{26074312-7212-4031-88AF-FE332AE6F87E}">
      <text>
        <r>
          <rPr>
            <b/>
            <sz val="9"/>
            <color indexed="81"/>
            <rFont val="Tahoma"/>
            <family val="2"/>
          </rPr>
          <t>52382 is KD Power &amp; Co - South of Capel</t>
        </r>
      </text>
    </comment>
    <comment ref="C374" authorId="1" shapeId="0" xr:uid="{55E398C7-2AA7-4319-8E3E-3EB362945B98}">
      <text>
        <r>
          <rPr>
            <b/>
            <sz val="9"/>
            <color indexed="81"/>
            <rFont val="Tahoma"/>
            <family val="2"/>
          </rPr>
          <t>52382 is KD Power &amp; Co - South of Capel</t>
        </r>
      </text>
    </comment>
    <comment ref="C375" authorId="1" shapeId="0" xr:uid="{E2CD7F2A-6392-4C82-A3D8-7A2B2E6C2D07}">
      <text>
        <r>
          <rPr>
            <b/>
            <sz val="9"/>
            <color indexed="81"/>
            <rFont val="Tahoma"/>
            <family val="2"/>
          </rPr>
          <t>52382 is KD Power &amp; Co - South of Capel</t>
        </r>
      </text>
    </comment>
    <comment ref="C376" authorId="1" shapeId="0" xr:uid="{77695FDC-BE47-4447-A4E3-F615D90BBFC7}">
      <text>
        <r>
          <rPr>
            <b/>
            <sz val="9"/>
            <color indexed="81"/>
            <rFont val="Tahoma"/>
            <family val="2"/>
          </rPr>
          <t>52382 is KD Power &amp; Co - South of Capel</t>
        </r>
      </text>
    </comment>
    <comment ref="C377" authorId="1" shapeId="0" xr:uid="{54C50A1E-317C-42D6-B13F-955F09830E8D}">
      <text>
        <r>
          <rPr>
            <b/>
            <sz val="9"/>
            <color indexed="81"/>
            <rFont val="Tahoma"/>
            <family val="2"/>
          </rPr>
          <t>52382 is KD Power &amp; Co - South of Capel</t>
        </r>
      </text>
    </comment>
    <comment ref="C379" authorId="1" shapeId="0" xr:uid="{CD3B962D-DF30-441B-89F1-456198691359}">
      <text>
        <r>
          <rPr>
            <b/>
            <sz val="9"/>
            <color indexed="81"/>
            <rFont val="Tahoma"/>
            <family val="2"/>
          </rPr>
          <t>04467 Jason Windows</t>
        </r>
      </text>
    </comment>
    <comment ref="C381" authorId="1" shapeId="0" xr:uid="{F513A492-E178-493D-9D44-25FC79DA01B8}">
      <text>
        <r>
          <rPr>
            <b/>
            <sz val="9"/>
            <color indexed="81"/>
            <rFont val="Tahoma"/>
            <family val="2"/>
          </rPr>
          <t>52640 M&amp;B SALES</t>
        </r>
      </text>
    </comment>
    <comment ref="C382" authorId="1" shapeId="0" xr:uid="{BEB639C5-D02C-476D-AE19-3381081C241B}">
      <text>
        <r>
          <rPr>
            <b/>
            <sz val="9"/>
            <color indexed="81"/>
            <rFont val="Tahoma"/>
            <family val="2"/>
          </rPr>
          <t>52640 M&amp;B SALES</t>
        </r>
      </text>
    </comment>
    <comment ref="C383" authorId="1" shapeId="0" xr:uid="{EE7974D4-232B-408D-A201-B5F694EBEB77}">
      <text>
        <r>
          <rPr>
            <b/>
            <sz val="9"/>
            <color indexed="81"/>
            <rFont val="Tahoma"/>
            <family val="2"/>
          </rPr>
          <t>52640 M&amp;B SALES</t>
        </r>
      </text>
    </comment>
    <comment ref="C384" authorId="1" shapeId="0" xr:uid="{54454C73-F9F8-41AE-870D-5ECA4D5BAB4E}">
      <text>
        <r>
          <rPr>
            <b/>
            <sz val="9"/>
            <color indexed="81"/>
            <rFont val="Tahoma"/>
            <family val="2"/>
          </rPr>
          <t>52640 M&amp;B SALES</t>
        </r>
      </text>
    </comment>
    <comment ref="C385" authorId="1" shapeId="0" xr:uid="{0EF731F3-9798-4A27-B30F-8A5618D3F746}">
      <text>
        <r>
          <rPr>
            <b/>
            <sz val="9"/>
            <color indexed="81"/>
            <rFont val="Tahoma"/>
            <family val="2"/>
          </rPr>
          <t>52640 M&amp;B SALES</t>
        </r>
      </text>
    </comment>
    <comment ref="C386" authorId="1" shapeId="0" xr:uid="{942FBABE-747E-4909-8B06-BAF320DA8729}">
      <text>
        <r>
          <rPr>
            <b/>
            <sz val="9"/>
            <color indexed="81"/>
            <rFont val="Tahoma"/>
            <family val="2"/>
          </rPr>
          <t>52640 M&amp;B SALES</t>
        </r>
      </text>
    </comment>
    <comment ref="C387" authorId="1" shapeId="0" xr:uid="{DCB9895C-2056-459A-A8A3-4CCA69B58A65}">
      <text>
        <r>
          <rPr>
            <b/>
            <sz val="9"/>
            <color indexed="81"/>
            <rFont val="Tahoma"/>
            <family val="2"/>
          </rPr>
          <t>52640 M&amp;B SALES</t>
        </r>
      </text>
    </comment>
    <comment ref="C388" authorId="1" shapeId="0" xr:uid="{16654460-DE33-42B6-A358-0A4215B2EBDB}">
      <text>
        <r>
          <rPr>
            <b/>
            <sz val="9"/>
            <color indexed="81"/>
            <rFont val="Tahoma"/>
            <family val="2"/>
          </rPr>
          <t>52640 M&amp;B SALES</t>
        </r>
      </text>
    </comment>
    <comment ref="C389" authorId="1" shapeId="0" xr:uid="{B52E5E0D-46EF-49F5-A95E-0C9637AD36E3}">
      <text>
        <r>
          <rPr>
            <b/>
            <sz val="9"/>
            <color indexed="81"/>
            <rFont val="Tahoma"/>
            <family val="2"/>
          </rPr>
          <t>52640 M&amp;B SALES</t>
        </r>
      </text>
    </comment>
    <comment ref="C390" authorId="1" shapeId="0" xr:uid="{2AE72DAC-AA22-448C-8718-CD73254B232F}">
      <text>
        <r>
          <rPr>
            <b/>
            <sz val="9"/>
            <color indexed="81"/>
            <rFont val="Tahoma"/>
            <family val="2"/>
          </rPr>
          <t>52640 M&amp;B SALES</t>
        </r>
      </text>
    </comment>
    <comment ref="C391" authorId="1" shapeId="0" xr:uid="{3327FDC5-AA0F-49D5-9218-C04B4898175C}">
      <text>
        <r>
          <rPr>
            <b/>
            <sz val="9"/>
            <color indexed="81"/>
            <rFont val="Tahoma"/>
            <family val="2"/>
          </rPr>
          <t>52640 M&amp;B SALES</t>
        </r>
      </text>
    </comment>
    <comment ref="C392" authorId="1" shapeId="0" xr:uid="{9A7A73FF-223C-4DB7-B231-38F9CFD9E27D}">
      <text>
        <r>
          <rPr>
            <b/>
            <sz val="9"/>
            <color indexed="81"/>
            <rFont val="Tahoma"/>
            <family val="2"/>
          </rPr>
          <t>52640 M&amp;B SALES</t>
        </r>
      </text>
    </comment>
    <comment ref="C393" authorId="1" shapeId="0" xr:uid="{9410E938-D76E-4F96-AA34-3F09EFA549E5}">
      <text>
        <r>
          <rPr>
            <b/>
            <sz val="9"/>
            <color indexed="81"/>
            <rFont val="Tahoma"/>
            <family val="2"/>
          </rPr>
          <t>52640 M&amp;B SALES</t>
        </r>
      </text>
    </comment>
    <comment ref="C394" authorId="1" shapeId="0" xr:uid="{9AF3A2D6-BE9A-4F72-8441-0376F63D26FF}">
      <text>
        <r>
          <rPr>
            <b/>
            <sz val="9"/>
            <color indexed="81"/>
            <rFont val="Tahoma"/>
            <family val="2"/>
          </rPr>
          <t>52640 M&amp;B SALES</t>
        </r>
      </text>
    </comment>
    <comment ref="C395" authorId="1" shapeId="0" xr:uid="{791E9B21-B6F5-49B2-9CD4-19899A6B9BEE}">
      <text>
        <r>
          <rPr>
            <b/>
            <sz val="9"/>
            <color indexed="81"/>
            <rFont val="Tahoma"/>
            <family val="2"/>
          </rPr>
          <t>52640 M&amp;B SALES</t>
        </r>
      </text>
    </comment>
    <comment ref="C396" authorId="1" shapeId="0" xr:uid="{9EE3D3FA-6BEB-4CFB-8B32-135C2B53A16A}">
      <text>
        <r>
          <rPr>
            <b/>
            <sz val="9"/>
            <color indexed="81"/>
            <rFont val="Tahoma"/>
            <family val="2"/>
          </rPr>
          <t>52640 M&amp;B SALES</t>
        </r>
      </text>
    </comment>
    <comment ref="C397" authorId="1" shapeId="0" xr:uid="{939BEC23-9DE7-471D-AF4A-9C1D3452FA31}">
      <text>
        <r>
          <rPr>
            <b/>
            <sz val="9"/>
            <color indexed="81"/>
            <rFont val="Tahoma"/>
            <family val="2"/>
          </rPr>
          <t>52640 M&amp;B SALES</t>
        </r>
      </text>
    </comment>
    <comment ref="C398" authorId="1" shapeId="0" xr:uid="{AD26E670-4A5F-41D2-9402-2A9F24025106}">
      <text>
        <r>
          <rPr>
            <b/>
            <sz val="9"/>
            <color indexed="81"/>
            <rFont val="Tahoma"/>
            <family val="2"/>
          </rPr>
          <t>52640 M&amp;B SALES</t>
        </r>
      </text>
    </comment>
    <comment ref="C399" authorId="1" shapeId="0" xr:uid="{43C7631B-0D9C-4362-A087-C737C648B152}">
      <text>
        <r>
          <rPr>
            <b/>
            <sz val="9"/>
            <color indexed="81"/>
            <rFont val="Tahoma"/>
            <family val="2"/>
          </rPr>
          <t>52640 M&amp;B SALES</t>
        </r>
      </text>
    </comment>
    <comment ref="C400" authorId="1" shapeId="0" xr:uid="{55909604-5A42-43E8-A2AC-9A0A507CBE2B}">
      <text>
        <r>
          <rPr>
            <b/>
            <sz val="9"/>
            <color indexed="81"/>
            <rFont val="Tahoma"/>
            <family val="2"/>
          </rPr>
          <t>52640 M&amp;B SALES</t>
        </r>
      </text>
    </comment>
    <comment ref="C401" authorId="1" shapeId="0" xr:uid="{2AC760A9-4E85-4E14-97A2-FCF4F1A4654A}">
      <text>
        <r>
          <rPr>
            <b/>
            <sz val="9"/>
            <color indexed="81"/>
            <rFont val="Tahoma"/>
            <family val="2"/>
          </rPr>
          <t>52640 M&amp;B SALES</t>
        </r>
      </text>
    </comment>
    <comment ref="C402" authorId="1" shapeId="0" xr:uid="{92FDE2E0-29E2-4255-A560-4B77E4B5AAB8}">
      <text>
        <r>
          <rPr>
            <b/>
            <sz val="9"/>
            <color indexed="81"/>
            <rFont val="Tahoma"/>
            <family val="2"/>
          </rPr>
          <t>52640 M&amp;B SALES</t>
        </r>
      </text>
    </comment>
    <comment ref="C403" authorId="1" shapeId="0" xr:uid="{AA0AEA53-914C-4814-BFB1-DE757EC61F66}">
      <text>
        <r>
          <rPr>
            <b/>
            <sz val="9"/>
            <color indexed="81"/>
            <rFont val="Tahoma"/>
            <family val="2"/>
          </rPr>
          <t>52640 M&amp;B SALES</t>
        </r>
      </text>
    </comment>
    <comment ref="C404" authorId="1" shapeId="0" xr:uid="{EBAC0F13-453C-4BF7-AC46-1E5D8A6D3BA1}">
      <text>
        <r>
          <rPr>
            <b/>
            <sz val="9"/>
            <color indexed="81"/>
            <rFont val="Tahoma"/>
            <family val="2"/>
          </rPr>
          <t>52640 M&amp;B SALES</t>
        </r>
      </text>
    </comment>
    <comment ref="C405" authorId="1" shapeId="0" xr:uid="{88435FBD-5239-4AA2-8B61-3F81405983F0}">
      <text>
        <r>
          <rPr>
            <b/>
            <sz val="9"/>
            <color indexed="81"/>
            <rFont val="Tahoma"/>
            <family val="2"/>
          </rPr>
          <t>52640 M&amp;B SALES</t>
        </r>
      </text>
    </comment>
    <comment ref="C406" authorId="1" shapeId="0" xr:uid="{7453F63B-A934-480A-9671-7451EE8714E0}">
      <text>
        <r>
          <rPr>
            <b/>
            <sz val="9"/>
            <color indexed="81"/>
            <rFont val="Tahoma"/>
            <family val="2"/>
          </rPr>
          <t>52640 M&amp;B SALES</t>
        </r>
      </text>
    </comment>
    <comment ref="C407" authorId="1" shapeId="0" xr:uid="{92847955-491D-4F3D-8B44-5F58CAFD692F}">
      <text>
        <r>
          <rPr>
            <b/>
            <sz val="9"/>
            <color indexed="81"/>
            <rFont val="Tahoma"/>
            <family val="2"/>
          </rPr>
          <t>52640 M&amp;B SALES</t>
        </r>
      </text>
    </comment>
    <comment ref="C408" authorId="1" shapeId="0" xr:uid="{ABB2C4A2-B6B6-49F2-ACBB-18B6C810B83E}">
      <text>
        <r>
          <rPr>
            <b/>
            <sz val="9"/>
            <color indexed="81"/>
            <rFont val="Tahoma"/>
            <family val="2"/>
          </rPr>
          <t>52640 M&amp;B SALES</t>
        </r>
      </text>
    </comment>
    <comment ref="C409" authorId="1" shapeId="0" xr:uid="{E2E7E543-905D-4C68-87A6-DFB1F7695C01}">
      <text>
        <r>
          <rPr>
            <b/>
            <sz val="9"/>
            <color indexed="81"/>
            <rFont val="Tahoma"/>
            <family val="2"/>
          </rPr>
          <t>52640 M&amp;B SALES</t>
        </r>
      </text>
    </comment>
    <comment ref="C410" authorId="1" shapeId="0" xr:uid="{5BDC062D-F819-4A77-89C3-F7D8E79CDC04}">
      <text>
        <r>
          <rPr>
            <b/>
            <sz val="9"/>
            <color indexed="81"/>
            <rFont val="Tahoma"/>
            <family val="2"/>
          </rPr>
          <t>52640 M&amp;B SALES</t>
        </r>
      </text>
    </comment>
    <comment ref="C411" authorId="1" shapeId="0" xr:uid="{22B5F837-D163-4B59-937B-98DEEA7794C6}">
      <text>
        <r>
          <rPr>
            <b/>
            <sz val="9"/>
            <color indexed="81"/>
            <rFont val="Tahoma"/>
            <family val="2"/>
          </rPr>
          <t>52640 M&amp;B SALES</t>
        </r>
      </text>
    </comment>
    <comment ref="C412" authorId="1" shapeId="0" xr:uid="{E1C98D25-9632-4C0B-B74C-F407E90DEF34}">
      <text>
        <r>
          <rPr>
            <b/>
            <sz val="9"/>
            <color indexed="81"/>
            <rFont val="Tahoma"/>
            <family val="2"/>
          </rPr>
          <t>52640 M&amp;B SALES</t>
        </r>
      </text>
    </comment>
    <comment ref="C413" authorId="1" shapeId="0" xr:uid="{AFF8A40E-DB6C-41C8-8A65-9A8031B4A852}">
      <text>
        <r>
          <rPr>
            <b/>
            <sz val="9"/>
            <color indexed="81"/>
            <rFont val="Tahoma"/>
            <family val="2"/>
          </rPr>
          <t>52640 M&amp;B SALES</t>
        </r>
      </text>
    </comment>
    <comment ref="C414" authorId="1" shapeId="0" xr:uid="{8C3482E4-5B3A-48BE-8AD4-13B8E7567DA8}">
      <text>
        <r>
          <rPr>
            <b/>
            <sz val="9"/>
            <color indexed="81"/>
            <rFont val="Tahoma"/>
            <family val="2"/>
          </rPr>
          <t>52640 M&amp;B SALES</t>
        </r>
      </text>
    </comment>
    <comment ref="C415" authorId="1" shapeId="0" xr:uid="{1618380D-CB92-4B23-A909-C0B07EF8F23F}">
      <text>
        <r>
          <rPr>
            <b/>
            <sz val="9"/>
            <color indexed="81"/>
            <rFont val="Tahoma"/>
            <family val="2"/>
          </rPr>
          <t>52640 M&amp;B SALES</t>
        </r>
      </text>
    </comment>
    <comment ref="C416" authorId="1" shapeId="0" xr:uid="{DA4C68A2-11F3-4194-A1A4-783779568D40}">
      <text>
        <r>
          <rPr>
            <b/>
            <sz val="9"/>
            <color indexed="81"/>
            <rFont val="Tahoma"/>
            <family val="2"/>
          </rPr>
          <t>52640 M&amp;B SALES</t>
        </r>
      </text>
    </comment>
    <comment ref="C417" authorId="1" shapeId="0" xr:uid="{88354A2E-D6F7-4172-BF99-2D25A9B64EDE}">
      <text>
        <r>
          <rPr>
            <b/>
            <sz val="9"/>
            <color indexed="81"/>
            <rFont val="Tahoma"/>
            <family val="2"/>
          </rPr>
          <t>52640 M&amp;B SALES</t>
        </r>
      </text>
    </comment>
    <comment ref="C418" authorId="1" shapeId="0" xr:uid="{44AE0EE5-5276-466F-9ABB-262EB8C6FC60}">
      <text>
        <r>
          <rPr>
            <b/>
            <sz val="9"/>
            <color indexed="81"/>
            <rFont val="Tahoma"/>
            <family val="2"/>
          </rPr>
          <t>52640 M&amp;B SALES</t>
        </r>
      </text>
    </comment>
    <comment ref="C420" authorId="1" shapeId="0" xr:uid="{67F57DD7-2FB6-4EA0-9F23-F11275D57A87}">
      <text>
        <r>
          <rPr>
            <b/>
            <sz val="9"/>
            <color indexed="81"/>
            <rFont val="Tahoma"/>
            <family val="2"/>
          </rPr>
          <t>04359
National Lintels</t>
        </r>
        <r>
          <rPr>
            <sz val="9"/>
            <color indexed="81"/>
            <rFont val="Tahoma"/>
            <family val="2"/>
          </rPr>
          <t xml:space="preserve">
</t>
        </r>
      </text>
    </comment>
    <comment ref="C421" authorId="1" shapeId="0" xr:uid="{B2DDAB16-C4C1-490D-BDD9-4A34B4F5FBE0}">
      <text>
        <r>
          <rPr>
            <b/>
            <sz val="9"/>
            <color indexed="81"/>
            <rFont val="Tahoma"/>
            <family val="2"/>
          </rPr>
          <t>04359
National Lintels</t>
        </r>
        <r>
          <rPr>
            <sz val="9"/>
            <color indexed="81"/>
            <rFont val="Tahoma"/>
            <family val="2"/>
          </rPr>
          <t xml:space="preserve">
</t>
        </r>
      </text>
    </comment>
    <comment ref="C422" authorId="1" shapeId="0" xr:uid="{384012CE-FB46-4E04-8821-CA66B3CFE787}">
      <text>
        <r>
          <rPr>
            <b/>
            <sz val="9"/>
            <color indexed="81"/>
            <rFont val="Tahoma"/>
            <family val="2"/>
          </rPr>
          <t>04359
National Lintels</t>
        </r>
        <r>
          <rPr>
            <sz val="9"/>
            <color indexed="81"/>
            <rFont val="Tahoma"/>
            <family val="2"/>
          </rPr>
          <t xml:space="preserve">
</t>
        </r>
      </text>
    </comment>
    <comment ref="C423" authorId="1" shapeId="0" xr:uid="{6DC91659-85EB-48F3-AF1B-0F0BA2D8110F}">
      <text>
        <r>
          <rPr>
            <b/>
            <sz val="9"/>
            <color indexed="81"/>
            <rFont val="Tahoma"/>
            <family val="2"/>
          </rPr>
          <t>04359
National Lintels</t>
        </r>
        <r>
          <rPr>
            <sz val="9"/>
            <color indexed="81"/>
            <rFont val="Tahoma"/>
            <family val="2"/>
          </rPr>
          <t xml:space="preserve">
</t>
        </r>
      </text>
    </comment>
    <comment ref="C424" authorId="1" shapeId="0" xr:uid="{0D13BD3D-5E33-4560-94E9-68431D50E90E}">
      <text>
        <r>
          <rPr>
            <b/>
            <sz val="9"/>
            <color indexed="81"/>
            <rFont val="Tahoma"/>
            <family val="2"/>
          </rPr>
          <t>04359
National Lintels</t>
        </r>
        <r>
          <rPr>
            <sz val="9"/>
            <color indexed="81"/>
            <rFont val="Tahoma"/>
            <family val="2"/>
          </rPr>
          <t xml:space="preserve">
</t>
        </r>
      </text>
    </comment>
    <comment ref="C425" authorId="1" shapeId="0" xr:uid="{E2B0978A-1293-419B-A012-535B10DDC465}">
      <text>
        <r>
          <rPr>
            <b/>
            <sz val="9"/>
            <color indexed="81"/>
            <rFont val="Tahoma"/>
            <family val="2"/>
          </rPr>
          <t>04359
National Lintels</t>
        </r>
        <r>
          <rPr>
            <sz val="9"/>
            <color indexed="81"/>
            <rFont val="Tahoma"/>
            <family val="2"/>
          </rPr>
          <t xml:space="preserve">
</t>
        </r>
      </text>
    </comment>
    <comment ref="C426" authorId="1" shapeId="0" xr:uid="{914F5EE9-9FEE-4DC8-B35A-F3335B16A266}">
      <text>
        <r>
          <rPr>
            <b/>
            <sz val="9"/>
            <color indexed="81"/>
            <rFont val="Tahoma"/>
            <family val="2"/>
          </rPr>
          <t>04359
National Lintels</t>
        </r>
        <r>
          <rPr>
            <sz val="9"/>
            <color indexed="81"/>
            <rFont val="Tahoma"/>
            <family val="2"/>
          </rPr>
          <t xml:space="preserve">
</t>
        </r>
      </text>
    </comment>
    <comment ref="C427" authorId="1" shapeId="0" xr:uid="{6AFD5115-9BC9-44FE-9EB7-1EABCC534BCD}">
      <text>
        <r>
          <rPr>
            <b/>
            <sz val="9"/>
            <color indexed="81"/>
            <rFont val="Tahoma"/>
            <family val="2"/>
          </rPr>
          <t>04359
National Lintels</t>
        </r>
        <r>
          <rPr>
            <sz val="9"/>
            <color indexed="81"/>
            <rFont val="Tahoma"/>
            <family val="2"/>
          </rPr>
          <t xml:space="preserve">
</t>
        </r>
      </text>
    </comment>
    <comment ref="C428" authorId="1" shapeId="0" xr:uid="{B87084B1-F840-4BDC-913F-756A4176E20C}">
      <text>
        <r>
          <rPr>
            <b/>
            <sz val="9"/>
            <color indexed="81"/>
            <rFont val="Tahoma"/>
            <family val="2"/>
          </rPr>
          <t>04359
National Lintels</t>
        </r>
        <r>
          <rPr>
            <sz val="9"/>
            <color indexed="81"/>
            <rFont val="Tahoma"/>
            <family val="2"/>
          </rPr>
          <t xml:space="preserve">
</t>
        </r>
      </text>
    </comment>
    <comment ref="C429" authorId="1" shapeId="0" xr:uid="{A605BED8-C8C6-4BB1-90FB-839B70C90764}">
      <text>
        <r>
          <rPr>
            <b/>
            <sz val="9"/>
            <color indexed="81"/>
            <rFont val="Tahoma"/>
            <family val="2"/>
          </rPr>
          <t>04359
National Lintels</t>
        </r>
        <r>
          <rPr>
            <sz val="9"/>
            <color indexed="81"/>
            <rFont val="Tahoma"/>
            <family val="2"/>
          </rPr>
          <t xml:space="preserve">
</t>
        </r>
      </text>
    </comment>
    <comment ref="C430" authorId="1" shapeId="0" xr:uid="{7564C72B-A497-4EA4-BC3C-1B9A6F02B36D}">
      <text>
        <r>
          <rPr>
            <b/>
            <sz val="9"/>
            <color indexed="81"/>
            <rFont val="Tahoma"/>
            <family val="2"/>
          </rPr>
          <t>04359
National Lintels</t>
        </r>
        <r>
          <rPr>
            <sz val="9"/>
            <color indexed="81"/>
            <rFont val="Tahoma"/>
            <family val="2"/>
          </rPr>
          <t xml:space="preserve">
</t>
        </r>
      </text>
    </comment>
    <comment ref="C431" authorId="1" shapeId="0" xr:uid="{2082393C-F4F2-43C3-B596-E3E757AC8CB6}">
      <text>
        <r>
          <rPr>
            <b/>
            <sz val="9"/>
            <color indexed="81"/>
            <rFont val="Tahoma"/>
            <family val="2"/>
          </rPr>
          <t>04359
National Lintels</t>
        </r>
        <r>
          <rPr>
            <sz val="9"/>
            <color indexed="81"/>
            <rFont val="Tahoma"/>
            <family val="2"/>
          </rPr>
          <t xml:space="preserve">
</t>
        </r>
      </text>
    </comment>
    <comment ref="C432" authorId="1" shapeId="0" xr:uid="{D600D51E-142B-4C65-AD4E-97861063ED16}">
      <text>
        <r>
          <rPr>
            <b/>
            <sz val="9"/>
            <color indexed="81"/>
            <rFont val="Tahoma"/>
            <family val="2"/>
          </rPr>
          <t>04359
National Lintels</t>
        </r>
        <r>
          <rPr>
            <sz val="9"/>
            <color indexed="81"/>
            <rFont val="Tahoma"/>
            <family val="2"/>
          </rPr>
          <t xml:space="preserve">
</t>
        </r>
      </text>
    </comment>
    <comment ref="C433" authorId="1" shapeId="0" xr:uid="{0E57F5B9-0640-46E1-9A46-C2341FF83297}">
      <text>
        <r>
          <rPr>
            <b/>
            <sz val="9"/>
            <color indexed="81"/>
            <rFont val="Tahoma"/>
            <family val="2"/>
          </rPr>
          <t>04359
National Lintels</t>
        </r>
        <r>
          <rPr>
            <sz val="9"/>
            <color indexed="81"/>
            <rFont val="Tahoma"/>
            <family val="2"/>
          </rPr>
          <t xml:space="preserve">
</t>
        </r>
      </text>
    </comment>
    <comment ref="C434" authorId="1" shapeId="0" xr:uid="{F5A9C385-458B-422B-915A-09B7DC4377B6}">
      <text>
        <r>
          <rPr>
            <b/>
            <sz val="9"/>
            <color indexed="81"/>
            <rFont val="Tahoma"/>
            <family val="2"/>
          </rPr>
          <t>04359
National Lintels</t>
        </r>
        <r>
          <rPr>
            <sz val="9"/>
            <color indexed="81"/>
            <rFont val="Tahoma"/>
            <family val="2"/>
          </rPr>
          <t xml:space="preserve">
</t>
        </r>
      </text>
    </comment>
    <comment ref="C435" authorId="1" shapeId="0" xr:uid="{2FAC1F35-F83C-4176-A50A-E0D594AC425C}">
      <text>
        <r>
          <rPr>
            <b/>
            <sz val="9"/>
            <color indexed="81"/>
            <rFont val="Tahoma"/>
            <family val="2"/>
          </rPr>
          <t>04359
National Lintels</t>
        </r>
        <r>
          <rPr>
            <sz val="9"/>
            <color indexed="81"/>
            <rFont val="Tahoma"/>
            <family val="2"/>
          </rPr>
          <t xml:space="preserve">
</t>
        </r>
      </text>
    </comment>
    <comment ref="C436" authorId="1" shapeId="0" xr:uid="{DFE089EE-B4EB-490B-8F4D-FAB35EF22FA5}">
      <text>
        <r>
          <rPr>
            <b/>
            <sz val="9"/>
            <color indexed="81"/>
            <rFont val="Tahoma"/>
            <family val="2"/>
          </rPr>
          <t>04359
National Lintels</t>
        </r>
        <r>
          <rPr>
            <sz val="9"/>
            <color indexed="81"/>
            <rFont val="Tahoma"/>
            <family val="2"/>
          </rPr>
          <t xml:space="preserve">
</t>
        </r>
      </text>
    </comment>
    <comment ref="C437" authorId="1" shapeId="0" xr:uid="{8A5A929B-F061-455A-813F-9DD049CD6AFA}">
      <text>
        <r>
          <rPr>
            <b/>
            <sz val="9"/>
            <color indexed="81"/>
            <rFont val="Tahoma"/>
            <family val="2"/>
          </rPr>
          <t>04359
National Lintels</t>
        </r>
        <r>
          <rPr>
            <sz val="9"/>
            <color indexed="81"/>
            <rFont val="Tahoma"/>
            <family val="2"/>
          </rPr>
          <t xml:space="preserve">
</t>
        </r>
      </text>
    </comment>
    <comment ref="C438" authorId="1" shapeId="0" xr:uid="{C42E1A3F-612C-4CBD-9C05-8BC41B6675EA}">
      <text>
        <r>
          <rPr>
            <b/>
            <sz val="9"/>
            <color indexed="81"/>
            <rFont val="Tahoma"/>
            <family val="2"/>
          </rPr>
          <t>04359
National Lintels</t>
        </r>
        <r>
          <rPr>
            <sz val="9"/>
            <color indexed="81"/>
            <rFont val="Tahoma"/>
            <family val="2"/>
          </rPr>
          <t xml:space="preserve">
</t>
        </r>
      </text>
    </comment>
    <comment ref="C439" authorId="1" shapeId="0" xr:uid="{9F7DEA9C-92F3-4C2A-AA9A-D87F21622D95}">
      <text>
        <r>
          <rPr>
            <b/>
            <sz val="9"/>
            <color indexed="81"/>
            <rFont val="Tahoma"/>
            <family val="2"/>
          </rPr>
          <t>04359
National Lintels</t>
        </r>
        <r>
          <rPr>
            <sz val="9"/>
            <color indexed="81"/>
            <rFont val="Tahoma"/>
            <family val="2"/>
          </rPr>
          <t xml:space="preserve">
</t>
        </r>
      </text>
    </comment>
    <comment ref="C440" authorId="1" shapeId="0" xr:uid="{B5D6AE18-4BB5-497B-9666-964759E5810E}">
      <text>
        <r>
          <rPr>
            <b/>
            <sz val="9"/>
            <color indexed="81"/>
            <rFont val="Tahoma"/>
            <family val="2"/>
          </rPr>
          <t>04359
National Lintels</t>
        </r>
        <r>
          <rPr>
            <sz val="9"/>
            <color indexed="81"/>
            <rFont val="Tahoma"/>
            <family val="2"/>
          </rPr>
          <t xml:space="preserve">
</t>
        </r>
      </text>
    </comment>
    <comment ref="C441" authorId="1" shapeId="0" xr:uid="{17F99C6B-C71B-4CDC-BBA1-C37AA402CA6A}">
      <text>
        <r>
          <rPr>
            <b/>
            <sz val="9"/>
            <color indexed="81"/>
            <rFont val="Tahoma"/>
            <family val="2"/>
          </rPr>
          <t>04359
National Lintels</t>
        </r>
        <r>
          <rPr>
            <sz val="9"/>
            <color indexed="81"/>
            <rFont val="Tahoma"/>
            <family val="2"/>
          </rPr>
          <t xml:space="preserve">
</t>
        </r>
      </text>
    </comment>
    <comment ref="C442" authorId="1" shapeId="0" xr:uid="{4CC5D20D-8E3F-4B9F-9CFD-7DFA9D5BF8A3}">
      <text>
        <r>
          <rPr>
            <b/>
            <sz val="9"/>
            <color indexed="81"/>
            <rFont val="Tahoma"/>
            <family val="2"/>
          </rPr>
          <t>04359
National Lintels</t>
        </r>
        <r>
          <rPr>
            <sz val="9"/>
            <color indexed="81"/>
            <rFont val="Tahoma"/>
            <family val="2"/>
          </rPr>
          <t xml:space="preserve">
</t>
        </r>
      </text>
    </comment>
    <comment ref="C443" authorId="1" shapeId="0" xr:uid="{5917E4D5-8177-4028-8A90-C75197C26635}">
      <text>
        <r>
          <rPr>
            <b/>
            <sz val="9"/>
            <color indexed="81"/>
            <rFont val="Tahoma"/>
            <family val="2"/>
          </rPr>
          <t>04359
National Lintels</t>
        </r>
        <r>
          <rPr>
            <sz val="9"/>
            <color indexed="81"/>
            <rFont val="Tahoma"/>
            <family val="2"/>
          </rPr>
          <t xml:space="preserve">
</t>
        </r>
      </text>
    </comment>
    <comment ref="C444" authorId="1" shapeId="0" xr:uid="{940536CA-9A3B-4072-A0A1-31DF9C00C103}">
      <text>
        <r>
          <rPr>
            <b/>
            <sz val="9"/>
            <color indexed="81"/>
            <rFont val="Tahoma"/>
            <family val="2"/>
          </rPr>
          <t>04359
National Lintels</t>
        </r>
        <r>
          <rPr>
            <sz val="9"/>
            <color indexed="81"/>
            <rFont val="Tahoma"/>
            <family val="2"/>
          </rPr>
          <t xml:space="preserve">
</t>
        </r>
      </text>
    </comment>
    <comment ref="C445" authorId="1" shapeId="0" xr:uid="{49464C1E-5862-44A0-B072-3233B295D21A}">
      <text>
        <r>
          <rPr>
            <b/>
            <sz val="9"/>
            <color indexed="81"/>
            <rFont val="Tahoma"/>
            <family val="2"/>
          </rPr>
          <t>04359
National Lintels</t>
        </r>
        <r>
          <rPr>
            <sz val="9"/>
            <color indexed="81"/>
            <rFont val="Tahoma"/>
            <family val="2"/>
          </rPr>
          <t xml:space="preserve">
</t>
        </r>
      </text>
    </comment>
    <comment ref="C446" authorId="1" shapeId="0" xr:uid="{46D455B3-DBAA-4E71-A2DE-BEC0732605E3}">
      <text>
        <r>
          <rPr>
            <b/>
            <sz val="9"/>
            <color indexed="81"/>
            <rFont val="Tahoma"/>
            <family val="2"/>
          </rPr>
          <t>04359
National Lintels</t>
        </r>
        <r>
          <rPr>
            <sz val="9"/>
            <color indexed="81"/>
            <rFont val="Tahoma"/>
            <family val="2"/>
          </rPr>
          <t xml:space="preserve">
</t>
        </r>
      </text>
    </comment>
    <comment ref="C447" authorId="1" shapeId="0" xr:uid="{5F982E1A-40FF-4767-A69E-F7B1437690D1}">
      <text>
        <r>
          <rPr>
            <b/>
            <sz val="9"/>
            <color indexed="81"/>
            <rFont val="Tahoma"/>
            <family val="2"/>
          </rPr>
          <t>04359
National Lintels</t>
        </r>
        <r>
          <rPr>
            <sz val="9"/>
            <color indexed="81"/>
            <rFont val="Tahoma"/>
            <family val="2"/>
          </rPr>
          <t xml:space="preserve">
</t>
        </r>
      </text>
    </comment>
    <comment ref="C448" authorId="1" shapeId="0" xr:uid="{C8A8575D-BA18-4A41-BE6B-27DC9029DDD6}">
      <text>
        <r>
          <rPr>
            <b/>
            <sz val="9"/>
            <color indexed="81"/>
            <rFont val="Tahoma"/>
            <family val="2"/>
          </rPr>
          <t>04359
National Lintels</t>
        </r>
        <r>
          <rPr>
            <sz val="9"/>
            <color indexed="81"/>
            <rFont val="Tahoma"/>
            <family val="2"/>
          </rPr>
          <t xml:space="preserve">
</t>
        </r>
      </text>
    </comment>
    <comment ref="C449" authorId="1" shapeId="0" xr:uid="{39AE8469-8EC8-43E6-8F28-AF15DAA5502F}">
      <text>
        <r>
          <rPr>
            <b/>
            <sz val="9"/>
            <color indexed="81"/>
            <rFont val="Tahoma"/>
            <family val="2"/>
          </rPr>
          <t>04359
National Lintels</t>
        </r>
        <r>
          <rPr>
            <sz val="9"/>
            <color indexed="81"/>
            <rFont val="Tahoma"/>
            <family val="2"/>
          </rPr>
          <t xml:space="preserve">
</t>
        </r>
      </text>
    </comment>
    <comment ref="C450" authorId="1" shapeId="0" xr:uid="{B55F3622-16C9-4A52-82D2-593938F595F4}">
      <text>
        <r>
          <rPr>
            <b/>
            <sz val="9"/>
            <color indexed="81"/>
            <rFont val="Tahoma"/>
            <family val="2"/>
          </rPr>
          <t>04359
National Lintels</t>
        </r>
        <r>
          <rPr>
            <sz val="9"/>
            <color indexed="81"/>
            <rFont val="Tahoma"/>
            <family val="2"/>
          </rPr>
          <t xml:space="preserve">
</t>
        </r>
      </text>
    </comment>
    <comment ref="C451" authorId="1" shapeId="0" xr:uid="{AAA95226-866B-452B-9B5F-1E91AB8714FC}">
      <text>
        <r>
          <rPr>
            <b/>
            <sz val="9"/>
            <color indexed="81"/>
            <rFont val="Tahoma"/>
            <family val="2"/>
          </rPr>
          <t>04359
National Lintels</t>
        </r>
        <r>
          <rPr>
            <sz val="9"/>
            <color indexed="81"/>
            <rFont val="Tahoma"/>
            <family val="2"/>
          </rPr>
          <t xml:space="preserve">
</t>
        </r>
      </text>
    </comment>
    <comment ref="C452" authorId="1" shapeId="0" xr:uid="{8DF87459-C7B2-48F8-BFC1-9AACAA0869CF}">
      <text>
        <r>
          <rPr>
            <b/>
            <sz val="9"/>
            <color indexed="81"/>
            <rFont val="Tahoma"/>
            <family val="2"/>
          </rPr>
          <t>04359
National Lintels</t>
        </r>
        <r>
          <rPr>
            <sz val="9"/>
            <color indexed="81"/>
            <rFont val="Tahoma"/>
            <family val="2"/>
          </rPr>
          <t xml:space="preserve">
</t>
        </r>
      </text>
    </comment>
    <comment ref="C453" authorId="1" shapeId="0" xr:uid="{0F536E3D-0D91-4A28-958C-DE70E12DBFFD}">
      <text>
        <r>
          <rPr>
            <b/>
            <sz val="9"/>
            <color indexed="81"/>
            <rFont val="Tahoma"/>
            <family val="2"/>
          </rPr>
          <t>04359
National Lintels</t>
        </r>
        <r>
          <rPr>
            <sz val="9"/>
            <color indexed="81"/>
            <rFont val="Tahoma"/>
            <family val="2"/>
          </rPr>
          <t xml:space="preserve">
</t>
        </r>
      </text>
    </comment>
    <comment ref="C454" authorId="1" shapeId="0" xr:uid="{CD7F0582-28EA-439A-A378-517B2A851852}">
      <text>
        <r>
          <rPr>
            <b/>
            <sz val="9"/>
            <color indexed="81"/>
            <rFont val="Tahoma"/>
            <family val="2"/>
          </rPr>
          <t>04359
National Lintels</t>
        </r>
        <r>
          <rPr>
            <sz val="9"/>
            <color indexed="81"/>
            <rFont val="Tahoma"/>
            <family val="2"/>
          </rPr>
          <t xml:space="preserve">
</t>
        </r>
      </text>
    </comment>
    <comment ref="C455" authorId="1" shapeId="0" xr:uid="{70FF8928-7C38-4F51-BB3E-95C892745CD7}">
      <text>
        <r>
          <rPr>
            <b/>
            <sz val="9"/>
            <color indexed="81"/>
            <rFont val="Tahoma"/>
            <family val="2"/>
          </rPr>
          <t>04359
National Lintels</t>
        </r>
        <r>
          <rPr>
            <sz val="9"/>
            <color indexed="81"/>
            <rFont val="Tahoma"/>
            <family val="2"/>
          </rPr>
          <t xml:space="preserve">
</t>
        </r>
      </text>
    </comment>
    <comment ref="C456" authorId="1" shapeId="0" xr:uid="{2663D4FF-5936-4F6D-90C9-85E8732F7F43}">
      <text>
        <r>
          <rPr>
            <b/>
            <sz val="9"/>
            <color indexed="81"/>
            <rFont val="Tahoma"/>
            <family val="2"/>
          </rPr>
          <t>04359
National Lintels</t>
        </r>
        <r>
          <rPr>
            <sz val="9"/>
            <color indexed="81"/>
            <rFont val="Tahoma"/>
            <family val="2"/>
          </rPr>
          <t xml:space="preserve">
</t>
        </r>
      </text>
    </comment>
    <comment ref="C457" authorId="1" shapeId="0" xr:uid="{D53C24BA-F7D4-4E05-A6CB-F2D5DB4E2586}">
      <text>
        <r>
          <rPr>
            <b/>
            <sz val="9"/>
            <color indexed="81"/>
            <rFont val="Tahoma"/>
            <family val="2"/>
          </rPr>
          <t>04359
National Lintels</t>
        </r>
        <r>
          <rPr>
            <sz val="9"/>
            <color indexed="81"/>
            <rFont val="Tahoma"/>
            <family val="2"/>
          </rPr>
          <t xml:space="preserve">
</t>
        </r>
      </text>
    </comment>
    <comment ref="C458" authorId="1" shapeId="0" xr:uid="{9B2F988C-7364-4A11-9237-1DC854FBF4AC}">
      <text>
        <r>
          <rPr>
            <b/>
            <sz val="9"/>
            <color indexed="81"/>
            <rFont val="Tahoma"/>
            <family val="2"/>
          </rPr>
          <t>04359
National Lintels</t>
        </r>
        <r>
          <rPr>
            <sz val="9"/>
            <color indexed="81"/>
            <rFont val="Tahoma"/>
            <family val="2"/>
          </rPr>
          <t xml:space="preserve">
</t>
        </r>
      </text>
    </comment>
    <comment ref="C459" authorId="1" shapeId="0" xr:uid="{461A7242-B7F6-4049-9FF5-2183D9EA18FE}">
      <text>
        <r>
          <rPr>
            <b/>
            <sz val="9"/>
            <color indexed="81"/>
            <rFont val="Tahoma"/>
            <family val="2"/>
          </rPr>
          <t>04359
National Lintels</t>
        </r>
        <r>
          <rPr>
            <sz val="9"/>
            <color indexed="81"/>
            <rFont val="Tahoma"/>
            <family val="2"/>
          </rPr>
          <t xml:space="preserve">
</t>
        </r>
      </text>
    </comment>
    <comment ref="C460" authorId="1" shapeId="0" xr:uid="{C86CDE2C-6F96-48D0-A87B-B066F76F58C1}">
      <text>
        <r>
          <rPr>
            <b/>
            <sz val="9"/>
            <color indexed="81"/>
            <rFont val="Tahoma"/>
            <family val="2"/>
          </rPr>
          <t>04359
National Lintels</t>
        </r>
        <r>
          <rPr>
            <sz val="9"/>
            <color indexed="81"/>
            <rFont val="Tahoma"/>
            <family val="2"/>
          </rPr>
          <t xml:space="preserve">
</t>
        </r>
      </text>
    </comment>
    <comment ref="C461" authorId="1" shapeId="0" xr:uid="{41B803A2-8E1F-4B52-B90A-4FF9D678B0BB}">
      <text>
        <r>
          <rPr>
            <b/>
            <sz val="9"/>
            <color indexed="81"/>
            <rFont val="Tahoma"/>
            <family val="2"/>
          </rPr>
          <t>04359
National Lintels</t>
        </r>
        <r>
          <rPr>
            <sz val="9"/>
            <color indexed="81"/>
            <rFont val="Tahoma"/>
            <family val="2"/>
          </rPr>
          <t xml:space="preserve">
</t>
        </r>
      </text>
    </comment>
    <comment ref="C462" authorId="1" shapeId="0" xr:uid="{D86717CC-F7C4-4BA0-B39C-367CAA68FBF6}">
      <text>
        <r>
          <rPr>
            <b/>
            <sz val="9"/>
            <color indexed="81"/>
            <rFont val="Tahoma"/>
            <family val="2"/>
          </rPr>
          <t>04359
National Lintels</t>
        </r>
        <r>
          <rPr>
            <sz val="9"/>
            <color indexed="81"/>
            <rFont val="Tahoma"/>
            <family val="2"/>
          </rPr>
          <t xml:space="preserve">
</t>
        </r>
      </text>
    </comment>
    <comment ref="C463" authorId="1" shapeId="0" xr:uid="{164FB34E-3751-418D-95C0-A2D380E9EFE3}">
      <text>
        <r>
          <rPr>
            <b/>
            <sz val="9"/>
            <color indexed="81"/>
            <rFont val="Tahoma"/>
            <family val="2"/>
          </rPr>
          <t>04359
National Lintels</t>
        </r>
        <r>
          <rPr>
            <sz val="9"/>
            <color indexed="81"/>
            <rFont val="Tahoma"/>
            <family val="2"/>
          </rPr>
          <t xml:space="preserve">
</t>
        </r>
      </text>
    </comment>
    <comment ref="C464" authorId="1" shapeId="0" xr:uid="{547C4E66-AB3C-4CF6-B309-E9895E6D3EC3}">
      <text>
        <r>
          <rPr>
            <b/>
            <sz val="9"/>
            <color indexed="81"/>
            <rFont val="Tahoma"/>
            <family val="2"/>
          </rPr>
          <t>04359
National Lintels</t>
        </r>
        <r>
          <rPr>
            <sz val="9"/>
            <color indexed="81"/>
            <rFont val="Tahoma"/>
            <family val="2"/>
          </rPr>
          <t xml:space="preserve">
</t>
        </r>
      </text>
    </comment>
    <comment ref="C465" authorId="1" shapeId="0" xr:uid="{C8FECFBA-8E8F-4811-B537-C66075AF817B}">
      <text>
        <r>
          <rPr>
            <b/>
            <sz val="9"/>
            <color indexed="81"/>
            <rFont val="Tahoma"/>
            <family val="2"/>
          </rPr>
          <t>04359
National Lintels</t>
        </r>
        <r>
          <rPr>
            <sz val="9"/>
            <color indexed="81"/>
            <rFont val="Tahoma"/>
            <family val="2"/>
          </rPr>
          <t xml:space="preserve">
</t>
        </r>
      </text>
    </comment>
    <comment ref="C466" authorId="1" shapeId="0" xr:uid="{3E7E01DD-4029-4059-A0BF-C296CF6CE46E}">
      <text>
        <r>
          <rPr>
            <b/>
            <sz val="9"/>
            <color indexed="81"/>
            <rFont val="Tahoma"/>
            <family val="2"/>
          </rPr>
          <t>04359
National Lintels</t>
        </r>
        <r>
          <rPr>
            <sz val="9"/>
            <color indexed="81"/>
            <rFont val="Tahoma"/>
            <family val="2"/>
          </rPr>
          <t xml:space="preserve">
</t>
        </r>
      </text>
    </comment>
    <comment ref="C467" authorId="1" shapeId="0" xr:uid="{BE715A5B-78D6-41E4-91F1-6130F305E22C}">
      <text>
        <r>
          <rPr>
            <b/>
            <sz val="9"/>
            <color indexed="81"/>
            <rFont val="Tahoma"/>
            <family val="2"/>
          </rPr>
          <t>04359
National Lintels</t>
        </r>
        <r>
          <rPr>
            <sz val="9"/>
            <color indexed="81"/>
            <rFont val="Tahoma"/>
            <family val="2"/>
          </rPr>
          <t xml:space="preserve">
</t>
        </r>
      </text>
    </comment>
    <comment ref="C468" authorId="1" shapeId="0" xr:uid="{47857724-AD1F-4B49-BA21-271F6AD9427C}">
      <text>
        <r>
          <rPr>
            <b/>
            <sz val="9"/>
            <color indexed="81"/>
            <rFont val="Tahoma"/>
            <family val="2"/>
          </rPr>
          <t>04359
National Lintels</t>
        </r>
        <r>
          <rPr>
            <sz val="9"/>
            <color indexed="81"/>
            <rFont val="Tahoma"/>
            <family val="2"/>
          </rPr>
          <t xml:space="preserve">
</t>
        </r>
      </text>
    </comment>
    <comment ref="C469" authorId="1" shapeId="0" xr:uid="{B8EE2328-B2B4-445A-B1DA-6A088622333D}">
      <text>
        <r>
          <rPr>
            <b/>
            <sz val="9"/>
            <color indexed="81"/>
            <rFont val="Tahoma"/>
            <family val="2"/>
          </rPr>
          <t>04359
National Lintels</t>
        </r>
        <r>
          <rPr>
            <sz val="9"/>
            <color indexed="81"/>
            <rFont val="Tahoma"/>
            <family val="2"/>
          </rPr>
          <t xml:space="preserve">
</t>
        </r>
      </text>
    </comment>
    <comment ref="C470" authorId="1" shapeId="0" xr:uid="{915ECB9A-7B8E-4145-BB23-52293C882669}">
      <text>
        <r>
          <rPr>
            <b/>
            <sz val="9"/>
            <color indexed="81"/>
            <rFont val="Tahoma"/>
            <family val="2"/>
          </rPr>
          <t>04359
National Lintels</t>
        </r>
        <r>
          <rPr>
            <sz val="9"/>
            <color indexed="81"/>
            <rFont val="Tahoma"/>
            <family val="2"/>
          </rPr>
          <t xml:space="preserve">
</t>
        </r>
      </text>
    </comment>
    <comment ref="C471" authorId="1" shapeId="0" xr:uid="{B30F66D2-05A5-48AD-824F-2FAB40009D1B}">
      <text>
        <r>
          <rPr>
            <b/>
            <sz val="9"/>
            <color indexed="81"/>
            <rFont val="Tahoma"/>
            <family val="2"/>
          </rPr>
          <t>04359
National Lintels</t>
        </r>
        <r>
          <rPr>
            <sz val="9"/>
            <color indexed="81"/>
            <rFont val="Tahoma"/>
            <family val="2"/>
          </rPr>
          <t xml:space="preserve">
</t>
        </r>
      </text>
    </comment>
    <comment ref="C472" authorId="1" shapeId="0" xr:uid="{C8F47AA6-E656-4309-9B5C-05B3BE251269}">
      <text>
        <r>
          <rPr>
            <b/>
            <sz val="9"/>
            <color indexed="81"/>
            <rFont val="Tahoma"/>
            <family val="2"/>
          </rPr>
          <t>04359
National Lintels</t>
        </r>
        <r>
          <rPr>
            <sz val="9"/>
            <color indexed="81"/>
            <rFont val="Tahoma"/>
            <family val="2"/>
          </rPr>
          <t xml:space="preserve">
</t>
        </r>
      </text>
    </comment>
    <comment ref="C473" authorId="1" shapeId="0" xr:uid="{1C5A5ECB-100F-42FE-91F5-8A825F31F407}">
      <text>
        <r>
          <rPr>
            <b/>
            <sz val="9"/>
            <color indexed="81"/>
            <rFont val="Tahoma"/>
            <family val="2"/>
          </rPr>
          <t>04359
National Lintels</t>
        </r>
        <r>
          <rPr>
            <sz val="9"/>
            <color indexed="81"/>
            <rFont val="Tahoma"/>
            <family val="2"/>
          </rPr>
          <t xml:space="preserve">
</t>
        </r>
      </text>
    </comment>
    <comment ref="C474" authorId="1" shapeId="0" xr:uid="{D0D5D7FB-FCCB-4282-A4E0-4ECED5216A8E}">
      <text>
        <r>
          <rPr>
            <b/>
            <sz val="9"/>
            <color indexed="81"/>
            <rFont val="Tahoma"/>
            <family val="2"/>
          </rPr>
          <t>04359
National Lintels</t>
        </r>
        <r>
          <rPr>
            <sz val="9"/>
            <color indexed="81"/>
            <rFont val="Tahoma"/>
            <family val="2"/>
          </rPr>
          <t xml:space="preserve">
</t>
        </r>
      </text>
    </comment>
    <comment ref="C475" authorId="1" shapeId="0" xr:uid="{8E8C6EAC-32A6-4F4D-B282-3E74721499AA}">
      <text>
        <r>
          <rPr>
            <b/>
            <sz val="9"/>
            <color indexed="81"/>
            <rFont val="Tahoma"/>
            <family val="2"/>
          </rPr>
          <t>04359
National Lintels</t>
        </r>
        <r>
          <rPr>
            <sz val="9"/>
            <color indexed="81"/>
            <rFont val="Tahoma"/>
            <family val="2"/>
          </rPr>
          <t xml:space="preserve">
</t>
        </r>
      </text>
    </comment>
    <comment ref="C476" authorId="1" shapeId="0" xr:uid="{B942FFFA-F6EA-4704-B19E-D79E13F0C66C}">
      <text>
        <r>
          <rPr>
            <b/>
            <sz val="9"/>
            <color indexed="81"/>
            <rFont val="Tahoma"/>
            <family val="2"/>
          </rPr>
          <t>04359
National Lintels</t>
        </r>
        <r>
          <rPr>
            <sz val="9"/>
            <color indexed="81"/>
            <rFont val="Tahoma"/>
            <family val="2"/>
          </rPr>
          <t xml:space="preserve">
</t>
        </r>
      </text>
    </comment>
    <comment ref="C477" authorId="1" shapeId="0" xr:uid="{CD0DC124-03CF-436F-8D48-53C88AFDAAE0}">
      <text>
        <r>
          <rPr>
            <b/>
            <sz val="9"/>
            <color indexed="81"/>
            <rFont val="Tahoma"/>
            <family val="2"/>
          </rPr>
          <t>04359
National Lintels</t>
        </r>
        <r>
          <rPr>
            <sz val="9"/>
            <color indexed="81"/>
            <rFont val="Tahoma"/>
            <family val="2"/>
          </rPr>
          <t xml:space="preserve">
</t>
        </r>
      </text>
    </comment>
    <comment ref="C478" authorId="1" shapeId="0" xr:uid="{E1E876C3-8244-429E-B03C-A2E718C91ABB}">
      <text>
        <r>
          <rPr>
            <b/>
            <sz val="9"/>
            <color indexed="81"/>
            <rFont val="Tahoma"/>
            <family val="2"/>
          </rPr>
          <t>04359
National Lintels</t>
        </r>
        <r>
          <rPr>
            <sz val="9"/>
            <color indexed="81"/>
            <rFont val="Tahoma"/>
            <family val="2"/>
          </rPr>
          <t xml:space="preserve">
</t>
        </r>
      </text>
    </comment>
    <comment ref="C479" authorId="1" shapeId="0" xr:uid="{E4537838-4D79-4AD3-BEA3-CFDD0137510C}">
      <text>
        <r>
          <rPr>
            <b/>
            <sz val="9"/>
            <color indexed="81"/>
            <rFont val="Tahoma"/>
            <family val="2"/>
          </rPr>
          <t>04359
National Lintels</t>
        </r>
        <r>
          <rPr>
            <sz val="9"/>
            <color indexed="81"/>
            <rFont val="Tahoma"/>
            <family val="2"/>
          </rPr>
          <t xml:space="preserve">
</t>
        </r>
      </text>
    </comment>
    <comment ref="C480" authorId="1" shapeId="0" xr:uid="{1672C1EA-1E43-4024-A2ED-DB6F5746A08E}">
      <text>
        <r>
          <rPr>
            <b/>
            <sz val="9"/>
            <color indexed="81"/>
            <rFont val="Tahoma"/>
            <family val="2"/>
          </rPr>
          <t>04359
National Lintels</t>
        </r>
        <r>
          <rPr>
            <sz val="9"/>
            <color indexed="81"/>
            <rFont val="Tahoma"/>
            <family val="2"/>
          </rPr>
          <t xml:space="preserve">
</t>
        </r>
      </text>
    </comment>
    <comment ref="C481" authorId="1" shapeId="0" xr:uid="{5D4FF319-3BD9-4F78-92AF-055F0C753B76}">
      <text>
        <r>
          <rPr>
            <b/>
            <sz val="9"/>
            <color indexed="81"/>
            <rFont val="Tahoma"/>
            <family val="2"/>
          </rPr>
          <t>04359
National Lintels</t>
        </r>
        <r>
          <rPr>
            <sz val="9"/>
            <color indexed="81"/>
            <rFont val="Tahoma"/>
            <family val="2"/>
          </rPr>
          <t xml:space="preserve">
</t>
        </r>
      </text>
    </comment>
    <comment ref="C482" authorId="1" shapeId="0" xr:uid="{E4359229-33CE-42E4-A8CF-A95C0FBB927F}">
      <text>
        <r>
          <rPr>
            <b/>
            <sz val="9"/>
            <color indexed="81"/>
            <rFont val="Tahoma"/>
            <family val="2"/>
          </rPr>
          <t>04359
National Lintels</t>
        </r>
        <r>
          <rPr>
            <sz val="9"/>
            <color indexed="81"/>
            <rFont val="Tahoma"/>
            <family val="2"/>
          </rPr>
          <t xml:space="preserve">
</t>
        </r>
      </text>
    </comment>
    <comment ref="C483" authorId="1" shapeId="0" xr:uid="{66EBC252-FAA9-4A4C-8054-A1B6CB8250DE}">
      <text>
        <r>
          <rPr>
            <b/>
            <sz val="9"/>
            <color indexed="81"/>
            <rFont val="Tahoma"/>
            <family val="2"/>
          </rPr>
          <t>04359
National Lintels</t>
        </r>
        <r>
          <rPr>
            <sz val="9"/>
            <color indexed="81"/>
            <rFont val="Tahoma"/>
            <family val="2"/>
          </rPr>
          <t xml:space="preserve">
</t>
        </r>
      </text>
    </comment>
    <comment ref="C484" authorId="1" shapeId="0" xr:uid="{B8F15228-766F-4F9C-AD19-AEEE39A7CC34}">
      <text>
        <r>
          <rPr>
            <b/>
            <sz val="9"/>
            <color indexed="81"/>
            <rFont val="Tahoma"/>
            <family val="2"/>
          </rPr>
          <t>04359
National Lintels</t>
        </r>
        <r>
          <rPr>
            <sz val="9"/>
            <color indexed="81"/>
            <rFont val="Tahoma"/>
            <family val="2"/>
          </rPr>
          <t xml:space="preserve">
</t>
        </r>
      </text>
    </comment>
    <comment ref="C485" authorId="1" shapeId="0" xr:uid="{0419FACE-3236-4011-91E2-013C1E35A7AF}">
      <text>
        <r>
          <rPr>
            <b/>
            <sz val="9"/>
            <color indexed="81"/>
            <rFont val="Tahoma"/>
            <family val="2"/>
          </rPr>
          <t>04359
National Lintels</t>
        </r>
        <r>
          <rPr>
            <sz val="9"/>
            <color indexed="81"/>
            <rFont val="Tahoma"/>
            <family val="2"/>
          </rPr>
          <t xml:space="preserve">
</t>
        </r>
      </text>
    </comment>
    <comment ref="C486" authorId="1" shapeId="0" xr:uid="{7B69124B-A8F1-4D2C-96CF-9E17D5E83055}">
      <text>
        <r>
          <rPr>
            <b/>
            <sz val="9"/>
            <color indexed="81"/>
            <rFont val="Tahoma"/>
            <family val="2"/>
          </rPr>
          <t>04359
National Lintels</t>
        </r>
        <r>
          <rPr>
            <sz val="9"/>
            <color indexed="81"/>
            <rFont val="Tahoma"/>
            <family val="2"/>
          </rPr>
          <t xml:space="preserve">
</t>
        </r>
      </text>
    </comment>
    <comment ref="C487" authorId="1" shapeId="0" xr:uid="{EA61FD49-EF21-42F6-B937-96E91F32EA71}">
      <text>
        <r>
          <rPr>
            <b/>
            <sz val="9"/>
            <color indexed="81"/>
            <rFont val="Tahoma"/>
            <family val="2"/>
          </rPr>
          <t>04359
National Lintels</t>
        </r>
        <r>
          <rPr>
            <sz val="9"/>
            <color indexed="81"/>
            <rFont val="Tahoma"/>
            <family val="2"/>
          </rPr>
          <t xml:space="preserve">
</t>
        </r>
      </text>
    </comment>
    <comment ref="C488" authorId="1" shapeId="0" xr:uid="{3DBD2BB8-16D9-487F-B1FA-06391D82450B}">
      <text>
        <r>
          <rPr>
            <b/>
            <sz val="9"/>
            <color indexed="81"/>
            <rFont val="Tahoma"/>
            <family val="2"/>
          </rPr>
          <t>04359
National Lintels</t>
        </r>
        <r>
          <rPr>
            <sz val="9"/>
            <color indexed="81"/>
            <rFont val="Tahoma"/>
            <family val="2"/>
          </rPr>
          <t xml:space="preserve">
</t>
        </r>
      </text>
    </comment>
    <comment ref="C489" authorId="1" shapeId="0" xr:uid="{71EBCE62-604F-4BF2-9CD6-91963F9F17EE}">
      <text>
        <r>
          <rPr>
            <b/>
            <sz val="9"/>
            <color indexed="81"/>
            <rFont val="Tahoma"/>
            <family val="2"/>
          </rPr>
          <t>04359
National Lintels</t>
        </r>
        <r>
          <rPr>
            <sz val="9"/>
            <color indexed="81"/>
            <rFont val="Tahoma"/>
            <family val="2"/>
          </rPr>
          <t xml:space="preserve">
</t>
        </r>
      </text>
    </comment>
    <comment ref="C490" authorId="1" shapeId="0" xr:uid="{9BAB222D-0DCD-472F-ACEB-88261E14BAC9}">
      <text>
        <r>
          <rPr>
            <b/>
            <sz val="9"/>
            <color indexed="81"/>
            <rFont val="Tahoma"/>
            <family val="2"/>
          </rPr>
          <t>04359
National Lintels</t>
        </r>
        <r>
          <rPr>
            <sz val="9"/>
            <color indexed="81"/>
            <rFont val="Tahoma"/>
            <family val="2"/>
          </rPr>
          <t xml:space="preserve">
</t>
        </r>
      </text>
    </comment>
    <comment ref="C491" authorId="1" shapeId="0" xr:uid="{798AAE5C-E02A-48ED-A2B5-F9658386A007}">
      <text>
        <r>
          <rPr>
            <b/>
            <sz val="9"/>
            <color indexed="81"/>
            <rFont val="Tahoma"/>
            <family val="2"/>
          </rPr>
          <t>04359
National Lintels</t>
        </r>
        <r>
          <rPr>
            <sz val="9"/>
            <color indexed="81"/>
            <rFont val="Tahoma"/>
            <family val="2"/>
          </rPr>
          <t xml:space="preserve">
</t>
        </r>
      </text>
    </comment>
    <comment ref="C497" authorId="1" shapeId="0" xr:uid="{21EDBFEA-9F8F-40E4-8669-F407AEBE634E}">
      <text>
        <r>
          <rPr>
            <b/>
            <sz val="9"/>
            <color indexed="81"/>
            <rFont val="Tahoma"/>
            <family val="2"/>
          </rPr>
          <t>10013750 Metroll</t>
        </r>
      </text>
    </comment>
    <comment ref="C498" authorId="1" shapeId="0" xr:uid="{78AC858E-0E88-41F2-85CB-2AD057A071F1}">
      <text>
        <r>
          <rPr>
            <b/>
            <sz val="9"/>
            <color indexed="81"/>
            <rFont val="Tahoma"/>
            <family val="2"/>
          </rPr>
          <t>10013750 Metroll</t>
        </r>
      </text>
    </comment>
    <comment ref="C499" authorId="1" shapeId="0" xr:uid="{5E267A50-7B55-4588-B2DD-D7B1F94853A1}">
      <text>
        <r>
          <rPr>
            <b/>
            <sz val="9"/>
            <color indexed="81"/>
            <rFont val="Tahoma"/>
            <family val="2"/>
          </rPr>
          <t>10013750 Metroll</t>
        </r>
      </text>
    </comment>
    <comment ref="C500" authorId="1" shapeId="0" xr:uid="{9999F36B-7847-4E39-B7A0-74F476B84ED3}">
      <text>
        <r>
          <rPr>
            <b/>
            <sz val="9"/>
            <color indexed="81"/>
            <rFont val="Tahoma"/>
            <family val="2"/>
          </rPr>
          <t>10013750 Metroll</t>
        </r>
      </text>
    </comment>
    <comment ref="C501" authorId="1" shapeId="0" xr:uid="{BE025FC1-99E2-4B11-ABF2-8EF2620C37F2}">
      <text>
        <r>
          <rPr>
            <b/>
            <sz val="9"/>
            <color indexed="81"/>
            <rFont val="Tahoma"/>
            <family val="2"/>
          </rPr>
          <t>10013750 Metroll</t>
        </r>
      </text>
    </comment>
    <comment ref="C502" authorId="1" shapeId="0" xr:uid="{3AECEDB1-73F5-4ECB-9AB3-74A4ED805510}">
      <text>
        <r>
          <rPr>
            <b/>
            <sz val="9"/>
            <color indexed="81"/>
            <rFont val="Tahoma"/>
            <family val="2"/>
          </rPr>
          <t>10013750 Metroll</t>
        </r>
      </text>
    </comment>
    <comment ref="C503" authorId="1" shapeId="0" xr:uid="{64D681D6-F894-40AD-BDF5-9695ABC61F61}">
      <text>
        <r>
          <rPr>
            <b/>
            <sz val="9"/>
            <color indexed="81"/>
            <rFont val="Tahoma"/>
            <family val="2"/>
          </rPr>
          <t>10013750 Metroll</t>
        </r>
      </text>
    </comment>
    <comment ref="C504" authorId="1" shapeId="0" xr:uid="{11090693-CFB7-4EAB-BBE3-1675AC12683B}">
      <text>
        <r>
          <rPr>
            <b/>
            <sz val="9"/>
            <color indexed="81"/>
            <rFont val="Tahoma"/>
            <family val="2"/>
          </rPr>
          <t>10013750 Metroll</t>
        </r>
      </text>
    </comment>
    <comment ref="C505" authorId="1" shapeId="0" xr:uid="{9A5D0414-062D-4177-84DA-0A9D0D996103}">
      <text>
        <r>
          <rPr>
            <b/>
            <sz val="9"/>
            <color indexed="81"/>
            <rFont val="Tahoma"/>
            <family val="2"/>
          </rPr>
          <t>10013750 Metroll</t>
        </r>
      </text>
    </comment>
    <comment ref="C506" authorId="1" shapeId="0" xr:uid="{F0B2DDD1-3625-47EF-891F-84E227A7A74D}">
      <text>
        <r>
          <rPr>
            <b/>
            <sz val="9"/>
            <color indexed="81"/>
            <rFont val="Tahoma"/>
            <family val="2"/>
          </rPr>
          <t>10013750 Metroll</t>
        </r>
      </text>
    </comment>
    <comment ref="C507" authorId="1" shapeId="0" xr:uid="{CB4AB9A1-3CF5-4681-B273-64B45AC23CB0}">
      <text>
        <r>
          <rPr>
            <b/>
            <sz val="9"/>
            <color indexed="81"/>
            <rFont val="Tahoma"/>
            <family val="2"/>
          </rPr>
          <t>10013750 Metroll</t>
        </r>
      </text>
    </comment>
    <comment ref="C508" authorId="1" shapeId="0" xr:uid="{040E2162-6F20-466A-A750-0C62E046B96E}">
      <text>
        <r>
          <rPr>
            <b/>
            <sz val="9"/>
            <color indexed="81"/>
            <rFont val="Tahoma"/>
            <family val="2"/>
          </rPr>
          <t>10013750 Metroll</t>
        </r>
      </text>
    </comment>
    <comment ref="C509" authorId="1" shapeId="0" xr:uid="{A9596231-9C0D-434E-BCB9-8AA1AFB5777A}">
      <text>
        <r>
          <rPr>
            <b/>
            <sz val="9"/>
            <color indexed="81"/>
            <rFont val="Tahoma"/>
            <family val="2"/>
          </rPr>
          <t>10013750 Metroll</t>
        </r>
      </text>
    </comment>
    <comment ref="C510" authorId="1" shapeId="0" xr:uid="{AEC7AB3B-2B78-4A49-99B5-4B3B75FDB2BE}">
      <text>
        <r>
          <rPr>
            <b/>
            <sz val="9"/>
            <color indexed="81"/>
            <rFont val="Tahoma"/>
            <family val="2"/>
          </rPr>
          <t>10013750 Metroll</t>
        </r>
      </text>
    </comment>
    <comment ref="C511" authorId="1" shapeId="0" xr:uid="{CDFB22F5-BD78-4A13-AB78-59D5C4F10774}">
      <text>
        <r>
          <rPr>
            <b/>
            <sz val="9"/>
            <color indexed="81"/>
            <rFont val="Tahoma"/>
            <family val="2"/>
          </rPr>
          <t>10013750 Metroll</t>
        </r>
      </text>
    </comment>
    <comment ref="C512" authorId="1" shapeId="0" xr:uid="{E2FCA63B-B41C-4B53-A36D-1F916B423BF1}">
      <text>
        <r>
          <rPr>
            <b/>
            <sz val="9"/>
            <color indexed="81"/>
            <rFont val="Tahoma"/>
            <family val="2"/>
          </rPr>
          <t>10013750 Metroll</t>
        </r>
      </text>
    </comment>
    <comment ref="C513" authorId="1" shapeId="0" xr:uid="{AE58FE1F-0138-414A-A228-F892AA2F3ED2}">
      <text>
        <r>
          <rPr>
            <b/>
            <sz val="9"/>
            <color indexed="81"/>
            <rFont val="Tahoma"/>
            <family val="2"/>
          </rPr>
          <t>10013750 Metroll</t>
        </r>
      </text>
    </comment>
    <comment ref="C514" authorId="1" shapeId="0" xr:uid="{AE4DAB33-7943-4D51-855A-8C082DEC453D}">
      <text>
        <r>
          <rPr>
            <b/>
            <sz val="9"/>
            <color indexed="81"/>
            <rFont val="Tahoma"/>
            <family val="2"/>
          </rPr>
          <t>10013750 Metroll</t>
        </r>
      </text>
    </comment>
    <comment ref="C515" authorId="1" shapeId="0" xr:uid="{E92A4897-E9B1-4A20-9F74-0D24C9E25151}">
      <text>
        <r>
          <rPr>
            <b/>
            <sz val="9"/>
            <color indexed="81"/>
            <rFont val="Tahoma"/>
            <family val="2"/>
          </rPr>
          <t>10013750 Metroll</t>
        </r>
      </text>
    </comment>
    <comment ref="C516" authorId="1" shapeId="0" xr:uid="{33BC1193-F48E-4D5D-8B1D-0790DBD0AEAB}">
      <text>
        <r>
          <rPr>
            <b/>
            <sz val="9"/>
            <color indexed="81"/>
            <rFont val="Tahoma"/>
            <family val="2"/>
          </rPr>
          <t>10013750 Metroll</t>
        </r>
      </text>
    </comment>
    <comment ref="C517" authorId="1" shapeId="0" xr:uid="{C9535AC4-7071-4630-BAF2-DF0C329E4B47}">
      <text>
        <r>
          <rPr>
            <b/>
            <sz val="9"/>
            <color indexed="81"/>
            <rFont val="Tahoma"/>
            <family val="2"/>
          </rPr>
          <t>10013750 Metroll</t>
        </r>
      </text>
    </comment>
    <comment ref="C518" authorId="1" shapeId="0" xr:uid="{3ACC6FF3-5864-4944-AC50-A9FF63F04BA9}">
      <text>
        <r>
          <rPr>
            <b/>
            <sz val="9"/>
            <color indexed="81"/>
            <rFont val="Tahoma"/>
            <family val="2"/>
          </rPr>
          <t>10013750 Metroll</t>
        </r>
      </text>
    </comment>
    <comment ref="C519" authorId="1" shapeId="0" xr:uid="{FE505B27-572D-4166-BD96-76E18894999D}">
      <text>
        <r>
          <rPr>
            <b/>
            <sz val="9"/>
            <color indexed="81"/>
            <rFont val="Tahoma"/>
            <family val="2"/>
          </rPr>
          <t>10013750 Metroll</t>
        </r>
      </text>
    </comment>
    <comment ref="C520" authorId="1" shapeId="0" xr:uid="{0EFCDE7B-991E-4AA0-8B77-BE07E91A1B1B}">
      <text>
        <r>
          <rPr>
            <b/>
            <sz val="9"/>
            <color indexed="81"/>
            <rFont val="Tahoma"/>
            <family val="2"/>
          </rPr>
          <t>10013750 Metroll</t>
        </r>
      </text>
    </comment>
    <comment ref="C521" authorId="1" shapeId="0" xr:uid="{C0946912-ECD5-499F-9722-1993EE8775BC}">
      <text>
        <r>
          <rPr>
            <b/>
            <sz val="9"/>
            <color indexed="81"/>
            <rFont val="Tahoma"/>
            <family val="2"/>
          </rPr>
          <t>10013750 Metroll</t>
        </r>
      </text>
    </comment>
    <comment ref="F521" authorId="1" shapeId="0" xr:uid="{87E90051-C03B-4299-9AB7-FA9069618556}">
      <text>
        <r>
          <rPr>
            <b/>
            <sz val="9"/>
            <color indexed="81"/>
            <rFont val="Tahoma"/>
            <family val="2"/>
          </rPr>
          <t>Need to test for if it is a deadlock not if it's not</t>
        </r>
      </text>
    </comment>
    <comment ref="C522" authorId="1" shapeId="0" xr:uid="{753A0C1F-1AF0-4333-916E-BCABB59BCF83}">
      <text>
        <r>
          <rPr>
            <b/>
            <sz val="9"/>
            <color indexed="81"/>
            <rFont val="Tahoma"/>
            <family val="2"/>
          </rPr>
          <t>10013750 Metroll</t>
        </r>
      </text>
    </comment>
    <comment ref="C523" authorId="1" shapeId="0" xr:uid="{98A837CB-77D0-40A8-B1DD-FEDB2868F0BB}">
      <text>
        <r>
          <rPr>
            <b/>
            <sz val="9"/>
            <color indexed="81"/>
            <rFont val="Tahoma"/>
            <family val="2"/>
          </rPr>
          <t>10013750 Metroll</t>
        </r>
      </text>
    </comment>
    <comment ref="C524" authorId="1" shapeId="0" xr:uid="{B74AF705-E4C6-4467-8594-3BF7E950570A}">
      <text>
        <r>
          <rPr>
            <b/>
            <sz val="9"/>
            <color indexed="81"/>
            <rFont val="Tahoma"/>
            <family val="2"/>
          </rPr>
          <t>10013750 Metroll</t>
        </r>
      </text>
    </comment>
    <comment ref="C525" authorId="1" shapeId="0" xr:uid="{FC2950E5-A473-4A8E-9673-1A3AB90E8D25}">
      <text>
        <r>
          <rPr>
            <b/>
            <sz val="9"/>
            <color indexed="81"/>
            <rFont val="Tahoma"/>
            <family val="2"/>
          </rPr>
          <t>10013750 Metroll</t>
        </r>
      </text>
    </comment>
    <comment ref="C526" authorId="1" shapeId="0" xr:uid="{F4D9217C-EE7C-4C07-87F8-225E86AC4EC8}">
      <text>
        <r>
          <rPr>
            <b/>
            <sz val="9"/>
            <color indexed="81"/>
            <rFont val="Tahoma"/>
            <family val="2"/>
          </rPr>
          <t>10013750 Metroll</t>
        </r>
      </text>
    </comment>
    <comment ref="C527" authorId="1" shapeId="0" xr:uid="{F9FF165D-2A39-4C18-8B92-73EC522E3AAE}">
      <text>
        <r>
          <rPr>
            <b/>
            <sz val="9"/>
            <color indexed="81"/>
            <rFont val="Tahoma"/>
            <family val="2"/>
          </rPr>
          <t>10013750 Metroll</t>
        </r>
      </text>
    </comment>
    <comment ref="C528" authorId="1" shapeId="0" xr:uid="{34A0D4CB-D519-47B8-9E52-09AB8E1EB41C}">
      <text>
        <r>
          <rPr>
            <b/>
            <sz val="9"/>
            <color indexed="81"/>
            <rFont val="Tahoma"/>
            <family val="2"/>
          </rPr>
          <t>10013750 Metroll</t>
        </r>
      </text>
    </comment>
    <comment ref="C529" authorId="1" shapeId="0" xr:uid="{7E3438A3-4B0A-4430-8F3B-4297CEC763C5}">
      <text>
        <r>
          <rPr>
            <b/>
            <sz val="9"/>
            <color indexed="81"/>
            <rFont val="Tahoma"/>
            <family val="2"/>
          </rPr>
          <t>10013750 Metroll</t>
        </r>
      </text>
    </comment>
    <comment ref="C530" authorId="1" shapeId="0" xr:uid="{E8F784DD-D1EC-4969-A329-38AAD389DD25}">
      <text>
        <r>
          <rPr>
            <b/>
            <sz val="9"/>
            <color indexed="81"/>
            <rFont val="Tahoma"/>
            <family val="2"/>
          </rPr>
          <t>10013750 Metroll</t>
        </r>
      </text>
    </comment>
    <comment ref="C531" authorId="1" shapeId="0" xr:uid="{1F51DBD2-3C0D-4FEC-9381-24BD773881B8}">
      <text>
        <r>
          <rPr>
            <b/>
            <sz val="9"/>
            <color indexed="81"/>
            <rFont val="Tahoma"/>
            <family val="2"/>
          </rPr>
          <t>10013750 Metroll</t>
        </r>
      </text>
    </comment>
    <comment ref="C532" authorId="1" shapeId="0" xr:uid="{CA88A3FA-BC1F-4B09-AEA4-3F4E75AED84B}">
      <text>
        <r>
          <rPr>
            <b/>
            <sz val="9"/>
            <color indexed="81"/>
            <rFont val="Tahoma"/>
            <family val="2"/>
          </rPr>
          <t>10013750 Metroll</t>
        </r>
      </text>
    </comment>
    <comment ref="C533" authorId="1" shapeId="0" xr:uid="{0B2A66F4-AEBD-4475-9354-55FA2E6758CA}">
      <text>
        <r>
          <rPr>
            <b/>
            <sz val="9"/>
            <color indexed="81"/>
            <rFont val="Tahoma"/>
            <family val="2"/>
          </rPr>
          <t>10013750 Metroll</t>
        </r>
      </text>
    </comment>
    <comment ref="C534" authorId="1" shapeId="0" xr:uid="{3C4C9874-D924-4473-8629-363124F721CE}">
      <text>
        <r>
          <rPr>
            <b/>
            <sz val="9"/>
            <color indexed="81"/>
            <rFont val="Tahoma"/>
            <family val="2"/>
          </rPr>
          <t>10013750 Metroll</t>
        </r>
      </text>
    </comment>
    <comment ref="C535" authorId="1" shapeId="0" xr:uid="{E8533DE6-8B0E-4AB3-A15D-A8FBA84C26B8}">
      <text>
        <r>
          <rPr>
            <b/>
            <sz val="9"/>
            <color indexed="81"/>
            <rFont val="Tahoma"/>
            <family val="2"/>
          </rPr>
          <t>10013750 Metroll</t>
        </r>
      </text>
    </comment>
    <comment ref="C537" authorId="1" shapeId="0" xr:uid="{39D921DB-F980-4F6B-930B-35D81F0A54F4}">
      <text>
        <r>
          <rPr>
            <b/>
            <sz val="9"/>
            <color indexed="81"/>
            <rFont val="Tahoma"/>
            <family val="2"/>
          </rPr>
          <t>10013750 Metroll</t>
        </r>
      </text>
    </comment>
    <comment ref="C538" authorId="1" shapeId="0" xr:uid="{B45A9CE4-2FF4-490A-AA6B-56CF7A081DE9}">
      <text>
        <r>
          <rPr>
            <b/>
            <sz val="9"/>
            <color indexed="81"/>
            <rFont val="Tahoma"/>
            <family val="2"/>
          </rPr>
          <t>10013750 Metroll</t>
        </r>
      </text>
    </comment>
    <comment ref="C539" authorId="1" shapeId="0" xr:uid="{FCB0F1A1-9ACB-418A-91A2-E611D214023F}">
      <text>
        <r>
          <rPr>
            <b/>
            <sz val="9"/>
            <color indexed="81"/>
            <rFont val="Tahoma"/>
            <family val="2"/>
          </rPr>
          <t>10013750 Metroll</t>
        </r>
      </text>
    </comment>
    <comment ref="C540" authorId="1" shapeId="0" xr:uid="{A1CFE4E4-A6D7-4C22-8E7C-CB0C550B09AC}">
      <text>
        <r>
          <rPr>
            <b/>
            <sz val="9"/>
            <color indexed="81"/>
            <rFont val="Tahoma"/>
            <family val="2"/>
          </rPr>
          <t>10013750 Metroll</t>
        </r>
      </text>
    </comment>
    <comment ref="C541" authorId="1" shapeId="0" xr:uid="{C578A945-9122-41A6-AF91-0F24BEE83422}">
      <text>
        <r>
          <rPr>
            <b/>
            <sz val="9"/>
            <color indexed="81"/>
            <rFont val="Tahoma"/>
            <family val="2"/>
          </rPr>
          <t>10013750 Metroll</t>
        </r>
      </text>
    </comment>
    <comment ref="C542" authorId="1" shapeId="0" xr:uid="{32173E39-7246-4963-8E89-4A55701194E3}">
      <text>
        <r>
          <rPr>
            <b/>
            <sz val="9"/>
            <color indexed="81"/>
            <rFont val="Tahoma"/>
            <family val="2"/>
          </rPr>
          <t>10013750 Metroll</t>
        </r>
      </text>
    </comment>
    <comment ref="C543" authorId="1" shapeId="0" xr:uid="{9F4E4AEB-EE40-4F78-B608-610BD115FC86}">
      <text>
        <r>
          <rPr>
            <b/>
            <sz val="9"/>
            <color indexed="81"/>
            <rFont val="Tahoma"/>
            <family val="2"/>
          </rPr>
          <t>10013750 Metroll</t>
        </r>
      </text>
    </comment>
    <comment ref="C544" authorId="1" shapeId="0" xr:uid="{DA25DF27-45CE-4BFE-A9C3-FF1F22485529}">
      <text>
        <r>
          <rPr>
            <b/>
            <sz val="9"/>
            <color indexed="81"/>
            <rFont val="Tahoma"/>
            <family val="2"/>
          </rPr>
          <t>10013750 Metroll</t>
        </r>
      </text>
    </comment>
    <comment ref="C545" authorId="1" shapeId="0" xr:uid="{89C65C2B-89FC-43DB-80C3-C33F5659DAE3}">
      <text>
        <r>
          <rPr>
            <b/>
            <sz val="9"/>
            <color indexed="81"/>
            <rFont val="Tahoma"/>
            <family val="2"/>
          </rPr>
          <t>10013750 Metroll</t>
        </r>
      </text>
    </comment>
    <comment ref="C546" authorId="1" shapeId="0" xr:uid="{20F19645-3CF9-43F4-8431-D5CE3ED5AAFB}">
      <text>
        <r>
          <rPr>
            <b/>
            <sz val="9"/>
            <color indexed="81"/>
            <rFont val="Tahoma"/>
            <family val="2"/>
          </rPr>
          <t>10013750 Metroll</t>
        </r>
      </text>
    </comment>
    <comment ref="C547" authorId="1" shapeId="0" xr:uid="{10E88C21-B194-4F87-9434-F07A0F3AA2E9}">
      <text>
        <r>
          <rPr>
            <b/>
            <sz val="9"/>
            <color indexed="81"/>
            <rFont val="Tahoma"/>
            <family val="2"/>
          </rPr>
          <t>10013750 Metroll</t>
        </r>
      </text>
    </comment>
    <comment ref="C548" authorId="1" shapeId="0" xr:uid="{8707769F-1BDD-407B-B8A8-9CC63B13B5F8}">
      <text>
        <r>
          <rPr>
            <b/>
            <sz val="9"/>
            <color indexed="81"/>
            <rFont val="Tahoma"/>
            <family val="2"/>
          </rPr>
          <t>10013750 Metroll</t>
        </r>
      </text>
    </comment>
    <comment ref="C549" authorId="1" shapeId="0" xr:uid="{436781AA-708B-458C-A194-FAAF799F3210}">
      <text>
        <r>
          <rPr>
            <b/>
            <sz val="9"/>
            <color indexed="81"/>
            <rFont val="Tahoma"/>
            <family val="2"/>
          </rPr>
          <t>10013750 Metroll</t>
        </r>
      </text>
    </comment>
    <comment ref="C550" authorId="1" shapeId="0" xr:uid="{3EBF726C-CD4E-492F-9E4A-61503B6894DF}">
      <text>
        <r>
          <rPr>
            <b/>
            <sz val="9"/>
            <color indexed="81"/>
            <rFont val="Tahoma"/>
            <family val="2"/>
          </rPr>
          <t>10013750 Metroll</t>
        </r>
      </text>
    </comment>
    <comment ref="C551" authorId="1" shapeId="0" xr:uid="{0EB02E9F-11B7-4D06-B10C-7BC4F2F3F947}">
      <text>
        <r>
          <rPr>
            <b/>
            <sz val="9"/>
            <color indexed="81"/>
            <rFont val="Tahoma"/>
            <family val="2"/>
          </rPr>
          <t>10013750 Metroll</t>
        </r>
      </text>
    </comment>
    <comment ref="C552" authorId="1" shapeId="0" xr:uid="{E63A391E-C8D1-422E-93CC-1904D869735B}">
      <text>
        <r>
          <rPr>
            <b/>
            <sz val="9"/>
            <color indexed="81"/>
            <rFont val="Tahoma"/>
            <family val="2"/>
          </rPr>
          <t>10013750 Metroll</t>
        </r>
      </text>
    </comment>
    <comment ref="C553" authorId="1" shapeId="0" xr:uid="{E8808B2F-3A21-4E92-AEA5-A522EB801479}">
      <text>
        <r>
          <rPr>
            <b/>
            <sz val="9"/>
            <color indexed="81"/>
            <rFont val="Tahoma"/>
            <family val="2"/>
          </rPr>
          <t>10013750 Metroll</t>
        </r>
      </text>
    </comment>
    <comment ref="C554" authorId="1" shapeId="0" xr:uid="{FE39FBAD-45D5-4ADD-8374-AABB9BB13EF6}">
      <text>
        <r>
          <rPr>
            <b/>
            <sz val="9"/>
            <color indexed="81"/>
            <rFont val="Tahoma"/>
            <family val="2"/>
          </rPr>
          <t>10013750 Metroll</t>
        </r>
      </text>
    </comment>
    <comment ref="C555" authorId="1" shapeId="0" xr:uid="{5DE4475A-3E04-445A-A81E-895637E5EEFC}">
      <text>
        <r>
          <rPr>
            <b/>
            <sz val="9"/>
            <color indexed="81"/>
            <rFont val="Tahoma"/>
            <family val="2"/>
          </rPr>
          <t>10013750 Metroll</t>
        </r>
      </text>
    </comment>
    <comment ref="C556" authorId="1" shapeId="0" xr:uid="{142B6DDF-09FF-4F2F-99A9-D129CEC8AD4B}">
      <text>
        <r>
          <rPr>
            <b/>
            <sz val="9"/>
            <color indexed="81"/>
            <rFont val="Tahoma"/>
            <family val="2"/>
          </rPr>
          <t>10013750 Metroll</t>
        </r>
      </text>
    </comment>
    <comment ref="C557" authorId="1" shapeId="0" xr:uid="{6653D5AA-8F16-4ADF-9EA6-0C8BF2AF958B}">
      <text>
        <r>
          <rPr>
            <b/>
            <sz val="9"/>
            <color indexed="81"/>
            <rFont val="Tahoma"/>
            <family val="2"/>
          </rPr>
          <t>10013750 Metroll</t>
        </r>
      </text>
    </comment>
    <comment ref="C558" authorId="1" shapeId="0" xr:uid="{08C04B0F-E192-4AA1-BFFB-049C33378C51}">
      <text>
        <r>
          <rPr>
            <b/>
            <sz val="9"/>
            <color indexed="81"/>
            <rFont val="Tahoma"/>
            <family val="2"/>
          </rPr>
          <t>10013750 Metroll</t>
        </r>
      </text>
    </comment>
    <comment ref="C559" authorId="1" shapeId="0" xr:uid="{0E30A1A7-78BD-4E16-99A9-E64C64754B08}">
      <text>
        <r>
          <rPr>
            <b/>
            <sz val="9"/>
            <color indexed="81"/>
            <rFont val="Tahoma"/>
            <family val="2"/>
          </rPr>
          <t>10013750 Metroll</t>
        </r>
      </text>
    </comment>
    <comment ref="C562" authorId="1" shapeId="0" xr:uid="{347CF29B-FF22-42F3-9621-BC6073F00F63}">
      <text>
        <r>
          <rPr>
            <b/>
            <sz val="9"/>
            <color indexed="81"/>
            <rFont val="Tahoma"/>
            <family val="2"/>
          </rPr>
          <t>10013750 Metroll</t>
        </r>
      </text>
    </comment>
    <comment ref="C563" authorId="1" shapeId="0" xr:uid="{76B2138D-D9C0-4D38-9F30-AEC44EEFA062}">
      <text>
        <r>
          <rPr>
            <b/>
            <sz val="9"/>
            <color indexed="81"/>
            <rFont val="Tahoma"/>
            <family val="2"/>
          </rPr>
          <t>10013750 Metroll</t>
        </r>
      </text>
    </comment>
    <comment ref="C616" authorId="1" shapeId="0" xr:uid="{8623F19C-B345-4ECB-B065-A1BBC1B14213}">
      <text>
        <r>
          <rPr>
            <sz val="9"/>
            <color indexed="81"/>
            <rFont val="Tahoma"/>
            <family val="2"/>
          </rPr>
          <t xml:space="preserve">
SRG Global Bunbury = 10642751
Dummy = 50001</t>
        </r>
      </text>
    </comment>
    <comment ref="F627" authorId="1" shapeId="0" xr:uid="{CA6F3D00-FFCB-46A4-85F3-3E6BCB45FD4C}">
      <text>
        <r>
          <rPr>
            <b/>
            <sz val="9"/>
            <color indexed="81"/>
            <rFont val="Tahoma"/>
            <family val="2"/>
          </rPr>
          <t>Main:</t>
        </r>
        <r>
          <rPr>
            <sz val="9"/>
            <color indexed="81"/>
            <rFont val="Tahoma"/>
            <family val="2"/>
          </rPr>
          <t xml:space="preserve">
Untested formula</t>
        </r>
      </text>
    </comment>
    <comment ref="F628" authorId="1" shapeId="0" xr:uid="{88076C85-2DF3-46BE-AE24-1AF48EE35168}">
      <text>
        <r>
          <rPr>
            <b/>
            <sz val="9"/>
            <color indexed="81"/>
            <rFont val="Tahoma"/>
            <family val="2"/>
          </rPr>
          <t>Main:</t>
        </r>
        <r>
          <rPr>
            <sz val="9"/>
            <color indexed="81"/>
            <rFont val="Tahoma"/>
            <family val="2"/>
          </rPr>
          <t xml:space="preserve">
Untested formula</t>
        </r>
      </text>
    </comment>
    <comment ref="F647" authorId="1" shapeId="0" xr:uid="{FA6BE351-7003-4334-8704-AA9258411F56}">
      <text>
        <r>
          <rPr>
            <b/>
            <sz val="9"/>
            <color indexed="81"/>
            <rFont val="Tahoma"/>
            <family val="2"/>
          </rPr>
          <t>Main:</t>
        </r>
        <r>
          <rPr>
            <sz val="9"/>
            <color indexed="81"/>
            <rFont val="Tahoma"/>
            <family val="2"/>
          </rPr>
          <t xml:space="preserve">
To studwork walls installed by ceiling fixer when they install the drywall.</t>
        </r>
      </text>
    </comment>
    <comment ref="C660" authorId="1" shapeId="0" xr:uid="{C078C85E-77D8-4EDF-9BFE-426B49279CE2}">
      <text>
        <r>
          <rPr>
            <b/>
            <sz val="9"/>
            <color indexed="81"/>
            <rFont val="Tahoma"/>
            <family val="2"/>
          </rPr>
          <t>52014 Bunnings</t>
        </r>
      </text>
    </comment>
    <comment ref="C661" authorId="1" shapeId="0" xr:uid="{2CB77998-8DAA-45B8-AFDD-0CAEC6B91857}">
      <text>
        <r>
          <rPr>
            <b/>
            <sz val="9"/>
            <color indexed="81"/>
            <rFont val="Tahoma"/>
            <family val="2"/>
          </rPr>
          <t>52014 Bunnings</t>
        </r>
      </text>
    </comment>
    <comment ref="C662" authorId="1" shapeId="0" xr:uid="{444AA8AC-675B-4C1F-9A53-26AF307BA6BF}">
      <text>
        <r>
          <rPr>
            <b/>
            <sz val="9"/>
            <color indexed="81"/>
            <rFont val="Tahoma"/>
            <family val="2"/>
          </rPr>
          <t>52014 Bunnings</t>
        </r>
      </text>
    </comment>
    <comment ref="C663" authorId="1" shapeId="0" xr:uid="{704E849A-14F6-46C5-8B9D-D32BA71149B5}">
      <text>
        <r>
          <rPr>
            <b/>
            <sz val="9"/>
            <color indexed="81"/>
            <rFont val="Tahoma"/>
            <family val="2"/>
          </rPr>
          <t>52014 Bunnings</t>
        </r>
      </text>
    </comment>
    <comment ref="C664" authorId="1" shapeId="0" xr:uid="{90B79134-8B4D-499A-BADB-6A10F0115AF3}">
      <text>
        <r>
          <rPr>
            <b/>
            <sz val="9"/>
            <color indexed="81"/>
            <rFont val="Tahoma"/>
            <family val="2"/>
          </rPr>
          <t>52014 Bunnings</t>
        </r>
      </text>
    </comment>
    <comment ref="F664" authorId="1" shapeId="0" xr:uid="{50986E3A-6772-4232-A7E0-A4873983A896}">
      <text>
        <r>
          <rPr>
            <b/>
            <sz val="9"/>
            <color indexed="81"/>
            <rFont val="Tahoma"/>
            <family val="2"/>
          </rPr>
          <t>Main:</t>
        </r>
        <r>
          <rPr>
            <sz val="9"/>
            <color indexed="81"/>
            <rFont val="Tahoma"/>
            <family val="2"/>
          </rPr>
          <t xml:space="preserve">
=COUNTIFS(Name,"Posts",Material,"Timber*")</t>
        </r>
      </text>
    </comment>
    <comment ref="C665" authorId="1" shapeId="0" xr:uid="{116841ED-7968-4E19-8760-1D5F792B2FAB}">
      <text>
        <r>
          <rPr>
            <b/>
            <sz val="9"/>
            <color indexed="81"/>
            <rFont val="Tahoma"/>
            <family val="2"/>
          </rPr>
          <t>52014 Bunnings</t>
        </r>
      </text>
    </comment>
    <comment ref="C666" authorId="1" shapeId="0" xr:uid="{B4FA92A9-BCF8-4C12-A13B-18B23EA446F3}">
      <text>
        <r>
          <rPr>
            <b/>
            <sz val="9"/>
            <color indexed="81"/>
            <rFont val="Tahoma"/>
            <family val="2"/>
          </rPr>
          <t>52014 Bunnings</t>
        </r>
      </text>
    </comment>
    <comment ref="C667" authorId="1" shapeId="0" xr:uid="{990EA341-47D6-4AFD-A7AF-7A436EE0A602}">
      <text>
        <r>
          <rPr>
            <b/>
            <sz val="9"/>
            <color indexed="81"/>
            <rFont val="Tahoma"/>
            <family val="2"/>
          </rPr>
          <t>52014 Bunnings</t>
        </r>
      </text>
    </comment>
    <comment ref="C668" authorId="1" shapeId="0" xr:uid="{9AC873ED-A76C-4B20-889B-A8A476475BAC}">
      <text>
        <r>
          <rPr>
            <b/>
            <sz val="9"/>
            <color indexed="81"/>
            <rFont val="Tahoma"/>
            <family val="2"/>
          </rPr>
          <t>52014 Bunnings</t>
        </r>
      </text>
    </comment>
    <comment ref="C669" authorId="1" shapeId="0" xr:uid="{26E0CF9D-92CA-48A4-BB6F-10B522C889AA}">
      <text>
        <r>
          <rPr>
            <b/>
            <sz val="9"/>
            <color indexed="81"/>
            <rFont val="Tahoma"/>
            <family val="2"/>
          </rPr>
          <t>52014 Bunnings</t>
        </r>
      </text>
    </comment>
    <comment ref="C670" authorId="1" shapeId="0" xr:uid="{BE3BAF3F-DA81-4A17-BA41-5473A537216C}">
      <text>
        <r>
          <rPr>
            <b/>
            <sz val="9"/>
            <color indexed="81"/>
            <rFont val="Tahoma"/>
            <family val="2"/>
          </rPr>
          <t>52014 Bunnings</t>
        </r>
      </text>
    </comment>
    <comment ref="C671" authorId="1" shapeId="0" xr:uid="{32377603-91A4-4624-8706-ED5A37B8C961}">
      <text>
        <r>
          <rPr>
            <b/>
            <sz val="9"/>
            <color indexed="81"/>
            <rFont val="Tahoma"/>
            <family val="2"/>
          </rPr>
          <t>52014 Bunnings</t>
        </r>
      </text>
    </comment>
    <comment ref="C672" authorId="1" shapeId="0" xr:uid="{EDBE70A3-C880-4F26-B56B-9435BFA56C9A}">
      <text>
        <r>
          <rPr>
            <b/>
            <sz val="9"/>
            <color indexed="81"/>
            <rFont val="Tahoma"/>
            <family val="2"/>
          </rPr>
          <t>52014 Bunnings</t>
        </r>
      </text>
    </comment>
    <comment ref="C673" authorId="1" shapeId="0" xr:uid="{C73AE93A-452F-41C0-8FF1-5B4C96E40E69}">
      <text>
        <r>
          <rPr>
            <b/>
            <sz val="9"/>
            <color indexed="81"/>
            <rFont val="Tahoma"/>
            <family val="2"/>
          </rPr>
          <t>52014 Bunnings</t>
        </r>
      </text>
    </comment>
    <comment ref="C674" authorId="1" shapeId="0" xr:uid="{5731ADB0-AA9A-4BF3-B96A-7A6941501FA0}">
      <text>
        <r>
          <rPr>
            <b/>
            <sz val="9"/>
            <color indexed="81"/>
            <rFont val="Tahoma"/>
            <family val="2"/>
          </rPr>
          <t>52014 Bunnings</t>
        </r>
      </text>
    </comment>
    <comment ref="C675" authorId="1" shapeId="0" xr:uid="{8E667302-0CB3-4EB1-B1D6-75ADA646BE25}">
      <text>
        <r>
          <rPr>
            <b/>
            <sz val="9"/>
            <color indexed="81"/>
            <rFont val="Tahoma"/>
            <family val="2"/>
          </rPr>
          <t>52014 Bunnings</t>
        </r>
      </text>
    </comment>
    <comment ref="C676" authorId="1" shapeId="0" xr:uid="{0B7BF2E6-5EBA-4A92-8C76-F366A0C6C3E6}">
      <text>
        <r>
          <rPr>
            <b/>
            <sz val="9"/>
            <color indexed="81"/>
            <rFont val="Tahoma"/>
            <family val="2"/>
          </rPr>
          <t>52014 Bunnings</t>
        </r>
      </text>
    </comment>
    <comment ref="C677" authorId="1" shapeId="0" xr:uid="{43E05340-5262-44AA-97F5-EF8062EF4830}">
      <text>
        <r>
          <rPr>
            <b/>
            <sz val="9"/>
            <color indexed="81"/>
            <rFont val="Tahoma"/>
            <family val="2"/>
          </rPr>
          <t>52014 Bunnings</t>
        </r>
      </text>
    </comment>
    <comment ref="C678" authorId="1" shapeId="0" xr:uid="{1BFDCB32-308A-46DF-B673-C5CC2685B538}">
      <text>
        <r>
          <rPr>
            <b/>
            <sz val="9"/>
            <color indexed="81"/>
            <rFont val="Tahoma"/>
            <family val="2"/>
          </rPr>
          <t>52014 Bunnings</t>
        </r>
      </text>
    </comment>
    <comment ref="C679" authorId="1" shapeId="0" xr:uid="{07A91437-62A2-4BF4-9139-64219712D95E}">
      <text>
        <r>
          <rPr>
            <b/>
            <sz val="9"/>
            <color indexed="81"/>
            <rFont val="Tahoma"/>
            <family val="2"/>
          </rPr>
          <t>52014 Bunnings</t>
        </r>
      </text>
    </comment>
    <comment ref="C680" authorId="1" shapeId="0" xr:uid="{BB41A796-CA6E-409A-AC62-F7B7A0715238}">
      <text>
        <r>
          <rPr>
            <b/>
            <sz val="9"/>
            <color indexed="81"/>
            <rFont val="Tahoma"/>
            <family val="2"/>
          </rPr>
          <t>52014 Bunnings</t>
        </r>
      </text>
    </comment>
    <comment ref="C681" authorId="1" shapeId="0" xr:uid="{98D53DBC-233A-40FE-A11A-0C34F5177B20}">
      <text>
        <r>
          <rPr>
            <b/>
            <sz val="9"/>
            <color indexed="81"/>
            <rFont val="Tahoma"/>
            <family val="2"/>
          </rPr>
          <t>52014 Bunnings</t>
        </r>
      </text>
    </comment>
    <comment ref="C682" authorId="1" shapeId="0" xr:uid="{F6D6789C-D9DC-4D2D-B9DC-758509585B37}">
      <text>
        <r>
          <rPr>
            <b/>
            <sz val="9"/>
            <color indexed="81"/>
            <rFont val="Tahoma"/>
            <family val="2"/>
          </rPr>
          <t>52014 Bunnings</t>
        </r>
      </text>
    </comment>
    <comment ref="C683" authorId="1" shapeId="0" xr:uid="{980CACEE-0373-4BFF-8DEA-776349240369}">
      <text>
        <r>
          <rPr>
            <b/>
            <sz val="9"/>
            <color indexed="81"/>
            <rFont val="Tahoma"/>
            <family val="2"/>
          </rPr>
          <t>52014 Bunnings</t>
        </r>
      </text>
    </comment>
    <comment ref="C684" authorId="1" shapeId="0" xr:uid="{2D7B6C06-A835-4EB5-AC2B-26250B0C97BF}">
      <text>
        <r>
          <rPr>
            <b/>
            <sz val="9"/>
            <color indexed="81"/>
            <rFont val="Tahoma"/>
            <family val="2"/>
          </rPr>
          <t>52014 Bunnings</t>
        </r>
      </text>
    </comment>
    <comment ref="C685" authorId="1" shapeId="0" xr:uid="{31492A25-7EA1-47C6-A228-BDA869E3CE2C}">
      <text>
        <r>
          <rPr>
            <b/>
            <sz val="9"/>
            <color indexed="81"/>
            <rFont val="Tahoma"/>
            <family val="2"/>
          </rPr>
          <t>52014 Bunnings</t>
        </r>
      </text>
    </comment>
    <comment ref="C686" authorId="1" shapeId="0" xr:uid="{B52E6161-F65F-4B17-B962-DD2FDA587FD2}">
      <text>
        <r>
          <rPr>
            <b/>
            <sz val="9"/>
            <color indexed="81"/>
            <rFont val="Tahoma"/>
            <family val="2"/>
          </rPr>
          <t>52014 Bunnings</t>
        </r>
      </text>
    </comment>
    <comment ref="C687" authorId="1" shapeId="0" xr:uid="{BB098CF0-9784-45D4-8FE0-BE23B0ADE4F7}">
      <text>
        <r>
          <rPr>
            <b/>
            <sz val="9"/>
            <color indexed="81"/>
            <rFont val="Tahoma"/>
            <family val="2"/>
          </rPr>
          <t>52014 Bunnings</t>
        </r>
      </text>
    </comment>
    <comment ref="C688" authorId="1" shapeId="0" xr:uid="{A1CECB73-1FF1-46F2-868A-286E7A608960}">
      <text>
        <r>
          <rPr>
            <b/>
            <sz val="9"/>
            <color indexed="81"/>
            <rFont val="Tahoma"/>
            <family val="2"/>
          </rPr>
          <t>52014 Bunnings</t>
        </r>
      </text>
    </comment>
    <comment ref="C689" authorId="1" shapeId="0" xr:uid="{FFB91F20-A797-453A-8C6D-5FBB905FA4B2}">
      <text>
        <r>
          <rPr>
            <b/>
            <sz val="9"/>
            <color indexed="81"/>
            <rFont val="Tahoma"/>
            <family val="2"/>
          </rPr>
          <t>52014 Bunnings</t>
        </r>
      </text>
    </comment>
    <comment ref="C690" authorId="1" shapeId="0" xr:uid="{213090DE-FF6A-4B2C-8E82-895E99F70788}">
      <text>
        <r>
          <rPr>
            <b/>
            <sz val="9"/>
            <color indexed="81"/>
            <rFont val="Tahoma"/>
            <family val="2"/>
          </rPr>
          <t>52014 Bunnings</t>
        </r>
      </text>
    </comment>
    <comment ref="C691" authorId="1" shapeId="0" xr:uid="{93CE4BE0-D947-4311-A793-5A79D88AE72E}">
      <text>
        <r>
          <rPr>
            <b/>
            <sz val="9"/>
            <color indexed="81"/>
            <rFont val="Tahoma"/>
            <family val="2"/>
          </rPr>
          <t>Combined Metal Industries</t>
        </r>
      </text>
    </comment>
    <comment ref="C692" authorId="1" shapeId="0" xr:uid="{4F5B873F-E768-45B4-9CF5-A32C61BDEF5A}">
      <text>
        <r>
          <rPr>
            <b/>
            <sz val="9"/>
            <color indexed="81"/>
            <rFont val="Tahoma"/>
            <family val="2"/>
          </rPr>
          <t>52014 Bunnings</t>
        </r>
      </text>
    </comment>
    <comment ref="F692" authorId="1" shapeId="0" xr:uid="{197C9B4B-705F-458F-8813-8ADFF54DBE81}">
      <text>
        <r>
          <rPr>
            <sz val="9"/>
            <color indexed="81"/>
            <rFont val="Tahoma"/>
            <family val="2"/>
          </rPr>
          <t>=CEILING(((SUMIF(Name,"Underpurlin",Length)+H_Perim)/IF(Roof_Type="Steel Roof",0.9,0.6)*1.1)*0.66,10)</t>
        </r>
      </text>
    </comment>
    <comment ref="C693" authorId="1" shapeId="0" xr:uid="{15B54259-EC32-437D-BA52-4212DC3E1603}">
      <text>
        <r>
          <rPr>
            <b/>
            <sz val="9"/>
            <color indexed="81"/>
            <rFont val="Tahoma"/>
            <family val="2"/>
          </rPr>
          <t>52014 Bunnings</t>
        </r>
      </text>
    </comment>
    <comment ref="C694" authorId="1" shapeId="0" xr:uid="{2D0AFC99-CE06-46E2-98F3-B8EA91C24D78}">
      <text>
        <r>
          <rPr>
            <b/>
            <sz val="9"/>
            <color indexed="81"/>
            <rFont val="Tahoma"/>
            <family val="2"/>
          </rPr>
          <t>52014 Bunnings</t>
        </r>
      </text>
    </comment>
    <comment ref="C695" authorId="1" shapeId="0" xr:uid="{84E2035B-7ACB-4667-B6A0-F62FCFC1A704}">
      <text>
        <r>
          <rPr>
            <b/>
            <sz val="9"/>
            <color indexed="81"/>
            <rFont val="Tahoma"/>
            <family val="2"/>
          </rPr>
          <t>52014 Bunnings</t>
        </r>
      </text>
    </comment>
    <comment ref="C696" authorId="1" shapeId="0" xr:uid="{98E4CED0-DC31-4EA8-82E3-E159AB094B72}">
      <text>
        <r>
          <rPr>
            <b/>
            <sz val="9"/>
            <color indexed="81"/>
            <rFont val="Tahoma"/>
            <family val="2"/>
          </rPr>
          <t>52014 Bunnings</t>
        </r>
      </text>
    </comment>
    <comment ref="C697" authorId="1" shapeId="0" xr:uid="{113C45E5-6266-4ACC-8628-CEA362C845C3}">
      <text>
        <r>
          <rPr>
            <b/>
            <sz val="9"/>
            <color indexed="81"/>
            <rFont val="Tahoma"/>
            <family val="2"/>
          </rPr>
          <t>52014 Bunnings</t>
        </r>
      </text>
    </comment>
    <comment ref="C698" authorId="1" shapeId="0" xr:uid="{84E68FBA-63DF-4041-A37B-979770F89A91}">
      <text>
        <r>
          <rPr>
            <b/>
            <sz val="9"/>
            <color indexed="81"/>
            <rFont val="Tahoma"/>
            <family val="2"/>
          </rPr>
          <t>52014 Bunnings</t>
        </r>
      </text>
    </comment>
    <comment ref="C699" authorId="1" shapeId="0" xr:uid="{77036765-E62C-4E14-8D00-34A357C95EE6}">
      <text>
        <r>
          <rPr>
            <b/>
            <sz val="9"/>
            <color indexed="81"/>
            <rFont val="Tahoma"/>
            <family val="2"/>
          </rPr>
          <t>52014 Bunnings</t>
        </r>
      </text>
    </comment>
    <comment ref="F699" authorId="1" shapeId="0" xr:uid="{55A3B85A-9865-42C9-BA9A-94ADDE8D9219}">
      <text>
        <r>
          <rPr>
            <b/>
            <sz val="9"/>
            <color indexed="81"/>
            <rFont val="Tahoma"/>
            <family val="2"/>
          </rPr>
          <t>Main:</t>
        </r>
        <r>
          <rPr>
            <sz val="9"/>
            <color indexed="81"/>
            <rFont val="Tahoma"/>
            <family val="2"/>
          </rPr>
          <t xml:space="preserve">
=IF(SUMPRODUCT(--ISNUMBER(SEARCH(BunningsZone2,Address)))&gt;0,1,0)</t>
        </r>
      </text>
    </comment>
    <comment ref="C700" authorId="1" shapeId="0" xr:uid="{5A8DFD1F-AE3B-450A-A409-28805A045853}">
      <text>
        <r>
          <rPr>
            <b/>
            <sz val="9"/>
            <color indexed="81"/>
            <rFont val="Tahoma"/>
            <family val="2"/>
          </rPr>
          <t>52014 Bunnings</t>
        </r>
      </text>
    </comment>
    <comment ref="C701" authorId="1" shapeId="0" xr:uid="{9A36BA93-C503-43DB-9C8A-C9DB83559A52}">
      <text>
        <r>
          <rPr>
            <b/>
            <sz val="9"/>
            <color indexed="81"/>
            <rFont val="Tahoma"/>
            <family val="2"/>
          </rPr>
          <t>52014 Bunnings</t>
        </r>
      </text>
    </comment>
    <comment ref="C702" authorId="1" shapeId="0" xr:uid="{C66FE57A-E7EC-402C-8EE6-96CCC135B4E2}">
      <text>
        <r>
          <rPr>
            <b/>
            <sz val="9"/>
            <color indexed="81"/>
            <rFont val="Tahoma"/>
            <family val="2"/>
          </rPr>
          <t>52014 Bunnings</t>
        </r>
      </text>
    </comment>
    <comment ref="C703" authorId="1" shapeId="0" xr:uid="{A0C9E8FE-C156-4A67-98C2-14C448FC1478}">
      <text>
        <r>
          <rPr>
            <b/>
            <sz val="9"/>
            <color indexed="81"/>
            <rFont val="Tahoma"/>
            <family val="2"/>
          </rPr>
          <t>52014 Bunnings</t>
        </r>
      </text>
    </comment>
    <comment ref="C705" authorId="1" shapeId="0" xr:uid="{921BEA67-9398-43F8-BCCB-20BB2F891814}">
      <text>
        <r>
          <rPr>
            <b/>
            <sz val="9"/>
            <color indexed="81"/>
            <rFont val="Tahoma"/>
            <family val="2"/>
          </rPr>
          <t>Combined Metal Industries</t>
        </r>
      </text>
    </comment>
    <comment ref="C706" authorId="1" shapeId="0" xr:uid="{B7C0795F-D45D-47C3-8531-70B4BEFDFAC1}">
      <text>
        <r>
          <rPr>
            <b/>
            <sz val="9"/>
            <color indexed="81"/>
            <rFont val="Tahoma"/>
            <family val="2"/>
          </rPr>
          <t>Combined Metal Industries</t>
        </r>
      </text>
    </comment>
    <comment ref="C707" authorId="1" shapeId="0" xr:uid="{B4813D8F-FC75-4382-9157-3FD88185FD0F}">
      <text>
        <r>
          <rPr>
            <b/>
            <sz val="9"/>
            <color indexed="81"/>
            <rFont val="Tahoma"/>
            <family val="2"/>
          </rPr>
          <t>Combined Metal Industries</t>
        </r>
      </text>
    </comment>
    <comment ref="C708" authorId="1" shapeId="0" xr:uid="{33135E01-9083-4001-BDD7-E3F4F4D8E4FB}">
      <text>
        <r>
          <rPr>
            <b/>
            <sz val="9"/>
            <color indexed="81"/>
            <rFont val="Tahoma"/>
            <family val="2"/>
          </rPr>
          <t>Combined Metal Industries</t>
        </r>
      </text>
    </comment>
    <comment ref="C709" authorId="1" shapeId="0" xr:uid="{E35DFC24-59E3-4B1A-B6F0-D838CAE2FA9F}">
      <text>
        <r>
          <rPr>
            <b/>
            <sz val="9"/>
            <color indexed="81"/>
            <rFont val="Tahoma"/>
            <family val="2"/>
          </rPr>
          <t>Combined Metal Industries</t>
        </r>
      </text>
    </comment>
    <comment ref="C710" authorId="1" shapeId="0" xr:uid="{A3C4DBAD-529B-4EC3-9C1C-0EC7C9B332DD}">
      <text>
        <r>
          <rPr>
            <b/>
            <sz val="9"/>
            <color indexed="81"/>
            <rFont val="Tahoma"/>
            <family val="2"/>
          </rPr>
          <t>Combined Metal Industries</t>
        </r>
      </text>
    </comment>
    <comment ref="C711" authorId="1" shapeId="0" xr:uid="{F2496075-FDD9-464E-9FEF-E65426790FD2}">
      <text>
        <r>
          <rPr>
            <b/>
            <sz val="9"/>
            <color indexed="81"/>
            <rFont val="Tahoma"/>
            <family val="2"/>
          </rPr>
          <t>Combined Metal Industries</t>
        </r>
      </text>
    </comment>
    <comment ref="C712" authorId="1" shapeId="0" xr:uid="{CA337B7D-0295-480F-8D38-84B8E9379A03}">
      <text>
        <r>
          <rPr>
            <b/>
            <sz val="9"/>
            <color indexed="81"/>
            <rFont val="Tahoma"/>
            <family val="2"/>
          </rPr>
          <t>Combined Metal Industries</t>
        </r>
      </text>
    </comment>
    <comment ref="C713" authorId="1" shapeId="0" xr:uid="{52778070-CBD9-4DA9-A49B-AD9319EDFB67}">
      <text>
        <r>
          <rPr>
            <b/>
            <sz val="9"/>
            <color indexed="81"/>
            <rFont val="Tahoma"/>
            <family val="2"/>
          </rPr>
          <t>Combined Metal Industries</t>
        </r>
      </text>
    </comment>
    <comment ref="C715" authorId="1" shapeId="0" xr:uid="{EA946D7D-6D78-4B2D-BD03-4694F2272EFB}">
      <text>
        <r>
          <rPr>
            <b/>
            <sz val="9"/>
            <color indexed="81"/>
            <rFont val="Tahoma"/>
            <family val="2"/>
          </rPr>
          <t>Combined Metal Industries</t>
        </r>
      </text>
    </comment>
    <comment ref="C716" authorId="1" shapeId="0" xr:uid="{A4B552A9-1DC0-4AC0-8AF3-3D10456B2393}">
      <text>
        <r>
          <rPr>
            <b/>
            <sz val="9"/>
            <color indexed="81"/>
            <rFont val="Tahoma"/>
            <family val="2"/>
          </rPr>
          <t>Combined Metal Industries</t>
        </r>
      </text>
    </comment>
    <comment ref="C717" authorId="1" shapeId="0" xr:uid="{47642615-192C-4F8A-A8AF-39C59E772127}">
      <text>
        <r>
          <rPr>
            <b/>
            <sz val="9"/>
            <color indexed="81"/>
            <rFont val="Tahoma"/>
            <family val="2"/>
          </rPr>
          <t>Combined Metal Industries</t>
        </r>
      </text>
    </comment>
    <comment ref="C718" authorId="1" shapeId="0" xr:uid="{01D1D194-04E9-4067-94A8-1552B0C68914}">
      <text>
        <r>
          <rPr>
            <b/>
            <sz val="9"/>
            <color indexed="81"/>
            <rFont val="Tahoma"/>
            <family val="2"/>
          </rPr>
          <t>Combined Metal Industries</t>
        </r>
      </text>
    </comment>
    <comment ref="C719" authorId="1" shapeId="0" xr:uid="{7245E4C6-3C90-4389-8A35-78DEB0CC38B7}">
      <text>
        <r>
          <rPr>
            <b/>
            <sz val="9"/>
            <color indexed="81"/>
            <rFont val="Tahoma"/>
            <family val="2"/>
          </rPr>
          <t>Combined Metal Industries</t>
        </r>
      </text>
    </comment>
    <comment ref="C720" authorId="1" shapeId="0" xr:uid="{0951E451-0B0A-4CE1-997F-741AFE73540A}">
      <text>
        <r>
          <rPr>
            <b/>
            <sz val="9"/>
            <color indexed="81"/>
            <rFont val="Tahoma"/>
            <family val="2"/>
          </rPr>
          <t>Combined Metal Industries</t>
        </r>
      </text>
    </comment>
    <comment ref="C722" authorId="1" shapeId="0" xr:uid="{3D31AFED-7CE4-4805-850A-F8A52C382EB8}">
      <text>
        <r>
          <rPr>
            <b/>
            <sz val="9"/>
            <color indexed="81"/>
            <rFont val="Tahoma"/>
            <family val="2"/>
          </rPr>
          <t>Combined Metal Industries</t>
        </r>
      </text>
    </comment>
    <comment ref="C723" authorId="1" shapeId="0" xr:uid="{4DA5881C-5C62-44BB-82BA-1A45B6F5BE23}">
      <text>
        <r>
          <rPr>
            <b/>
            <sz val="9"/>
            <color indexed="81"/>
            <rFont val="Tahoma"/>
            <family val="2"/>
          </rPr>
          <t>Combined Metal Industries</t>
        </r>
      </text>
    </comment>
    <comment ref="C724" authorId="1" shapeId="0" xr:uid="{7311D5EF-73D0-4D79-9C85-E1A6F98FDDCA}">
      <text>
        <r>
          <rPr>
            <b/>
            <sz val="9"/>
            <color indexed="81"/>
            <rFont val="Tahoma"/>
            <family val="2"/>
          </rPr>
          <t>Combined Metal Industries</t>
        </r>
      </text>
    </comment>
    <comment ref="F724" authorId="1" shapeId="0" xr:uid="{5CE530FD-1D44-4957-96C9-023429875B49}">
      <text>
        <r>
          <rPr>
            <b/>
            <sz val="9"/>
            <color indexed="81"/>
            <rFont val="Tahoma"/>
            <family val="2"/>
          </rPr>
          <t>Main:</t>
        </r>
        <r>
          <rPr>
            <sz val="9"/>
            <color indexed="81"/>
            <rFont val="Tahoma"/>
            <family val="2"/>
          </rPr>
          <t xml:space="preserve">
=IF(SUM($F$685:$F$700)&gt;0,IF(SUM(COUNTIF(Address,{"*BUSSELTON*","*VASSE*"}))&gt;0,1,0),0)</t>
        </r>
      </text>
    </comment>
    <comment ref="C725" authorId="1" shapeId="0" xr:uid="{A7E77CCF-A69D-4B64-B415-EB9C7275FE3D}">
      <text>
        <r>
          <rPr>
            <b/>
            <sz val="9"/>
            <color indexed="81"/>
            <rFont val="Tahoma"/>
            <family val="2"/>
          </rPr>
          <t>Combined Metal Industries</t>
        </r>
      </text>
    </comment>
    <comment ref="C726" authorId="1" shapeId="0" xr:uid="{F4600A44-948F-4B8F-822F-69C445BA3C4C}">
      <text>
        <r>
          <rPr>
            <b/>
            <sz val="9"/>
            <color indexed="81"/>
            <rFont val="Tahoma"/>
            <family val="2"/>
          </rPr>
          <t>Combined Metal Industries</t>
        </r>
      </text>
    </comment>
    <comment ref="C727" authorId="1" shapeId="0" xr:uid="{30530A44-2555-45A2-8390-BBDCF920D930}">
      <text>
        <r>
          <rPr>
            <b/>
            <sz val="9"/>
            <color indexed="81"/>
            <rFont val="Tahoma"/>
            <family val="2"/>
          </rPr>
          <t>Combined Metal Industries</t>
        </r>
      </text>
    </comment>
    <comment ref="C728" authorId="1" shapeId="0" xr:uid="{C1C80861-6B3D-49F5-9303-3A3C9A90DB96}">
      <text>
        <r>
          <rPr>
            <b/>
            <sz val="9"/>
            <color indexed="81"/>
            <rFont val="Tahoma"/>
            <family val="2"/>
          </rPr>
          <t>Combined Metal Industries</t>
        </r>
      </text>
    </comment>
    <comment ref="C729" authorId="1" shapeId="0" xr:uid="{66598BF4-4AF3-4E34-8E22-F4260338619E}">
      <text>
        <r>
          <rPr>
            <b/>
            <sz val="9"/>
            <color indexed="81"/>
            <rFont val="Tahoma"/>
            <family val="2"/>
          </rPr>
          <t>Combined Metal Industries</t>
        </r>
      </text>
    </comment>
    <comment ref="F741" authorId="1" shapeId="0" xr:uid="{65A86FFF-8082-4657-8AB3-E881FC2E01EA}">
      <text>
        <r>
          <rPr>
            <b/>
            <sz val="9"/>
            <color indexed="81"/>
            <rFont val="Tahoma"/>
            <family val="2"/>
          </rPr>
          <t>Add to autosketch takeoff? Get from overlays?</t>
        </r>
      </text>
    </comment>
    <comment ref="F746" authorId="1" shapeId="0" xr:uid="{E476BBF2-4440-4909-9273-554CEA650AC5}">
      <text>
        <r>
          <rPr>
            <b/>
            <sz val="9"/>
            <color indexed="81"/>
            <rFont val="Tahoma"/>
            <family val="2"/>
          </rPr>
          <t>Need Roof Overlays</t>
        </r>
      </text>
    </comment>
    <comment ref="H747" authorId="1" shapeId="0" xr:uid="{386461AD-1AD5-4056-AF1D-3ECC8F24E885}">
      <text>
        <r>
          <rPr>
            <b/>
            <sz val="9"/>
            <color indexed="81"/>
            <rFont val="Tahoma"/>
            <family val="2"/>
          </rPr>
          <t>Exposed Beams Only</t>
        </r>
      </text>
    </comment>
    <comment ref="F754" authorId="1" shapeId="0" xr:uid="{477E506B-2830-4A93-B6A6-CEBC24F31573}">
      <text>
        <r>
          <rPr>
            <b/>
            <sz val="9"/>
            <color indexed="81"/>
            <rFont val="Tahoma"/>
            <family val="2"/>
          </rPr>
          <t>Timber battens in R4</t>
        </r>
      </text>
    </comment>
    <comment ref="F755" authorId="1" shapeId="0" xr:uid="{6EEED26B-D566-4EBC-8A17-1C37C8CDEDFD}">
      <text>
        <r>
          <rPr>
            <b/>
            <sz val="9"/>
            <color indexed="81"/>
            <rFont val="Tahoma"/>
            <family val="2"/>
          </rPr>
          <t>Are we allowing timber battens in R4</t>
        </r>
      </text>
    </comment>
    <comment ref="F764" authorId="1" shapeId="0" xr:uid="{36F812BE-A437-4A9E-9A33-7D38319A69B7}">
      <text>
        <r>
          <rPr>
            <b/>
            <sz val="9"/>
            <color indexed="81"/>
            <rFont val="Tahoma"/>
            <family val="2"/>
          </rPr>
          <t>Maybe use a LM over certain amount to trigger</t>
        </r>
      </text>
    </comment>
    <comment ref="F774" authorId="1" shapeId="0" xr:uid="{9646BEF4-0B0D-4BBC-AD8B-2D451DD07B71}">
      <text>
        <r>
          <rPr>
            <b/>
            <sz val="9"/>
            <color indexed="81"/>
            <rFont val="Tahoma"/>
            <family val="2"/>
          </rPr>
          <t>Main:</t>
        </r>
        <r>
          <rPr>
            <sz val="9"/>
            <color indexed="81"/>
            <rFont val="Tahoma"/>
            <family val="2"/>
          </rPr>
          <t xml:space="preserve">
To RBV walls. Roof carpenter installs as they install the cladding.</t>
        </r>
      </text>
    </comment>
    <comment ref="C787" authorId="1" shapeId="0" xr:uid="{F8902A1E-892E-4DE4-86D5-17C2F6745640}">
      <text>
        <r>
          <rPr>
            <b/>
            <sz val="9"/>
            <color indexed="81"/>
            <rFont val="Tahoma"/>
            <family val="2"/>
          </rPr>
          <t>M &amp; B Sales South West</t>
        </r>
      </text>
    </comment>
    <comment ref="C788" authorId="1" shapeId="0" xr:uid="{AD1B2B50-F280-46F6-9583-CC3B9BE8D247}">
      <text>
        <r>
          <rPr>
            <b/>
            <sz val="9"/>
            <color indexed="81"/>
            <rFont val="Tahoma"/>
            <family val="2"/>
          </rPr>
          <t>M &amp; B Sales South West</t>
        </r>
      </text>
    </comment>
    <comment ref="C789" authorId="1" shapeId="0" xr:uid="{9AB1057D-17A9-4EC6-926D-D7153F64B946}">
      <text>
        <r>
          <rPr>
            <b/>
            <sz val="9"/>
            <color indexed="81"/>
            <rFont val="Tahoma"/>
            <family val="2"/>
          </rPr>
          <t>M &amp; B Sales South West</t>
        </r>
      </text>
    </comment>
    <comment ref="C790" authorId="1" shapeId="0" xr:uid="{6FD05420-DC0E-47FB-8BE7-D1DFF59095C1}">
      <text>
        <r>
          <rPr>
            <b/>
            <sz val="9"/>
            <color indexed="81"/>
            <rFont val="Tahoma"/>
            <family val="2"/>
          </rPr>
          <t>M &amp; B Sales South West</t>
        </r>
      </text>
    </comment>
    <comment ref="C791" authorId="1" shapeId="0" xr:uid="{A728F641-1AD6-4B9D-9569-BF1A18C4799F}">
      <text>
        <r>
          <rPr>
            <b/>
            <sz val="9"/>
            <color indexed="81"/>
            <rFont val="Tahoma"/>
            <family val="2"/>
          </rPr>
          <t>M &amp; B Sales South West</t>
        </r>
      </text>
    </comment>
    <comment ref="C792" authorId="1" shapeId="0" xr:uid="{6CEB251F-EEBB-4253-B757-BF3A226A927C}">
      <text>
        <r>
          <rPr>
            <b/>
            <sz val="9"/>
            <color indexed="81"/>
            <rFont val="Tahoma"/>
            <family val="2"/>
          </rPr>
          <t>M &amp; B Sales South West</t>
        </r>
      </text>
    </comment>
    <comment ref="C793" authorId="1" shapeId="0" xr:uid="{FC3784E9-E40F-4089-B827-7FE2264676E7}">
      <text>
        <r>
          <rPr>
            <b/>
            <sz val="9"/>
            <color indexed="81"/>
            <rFont val="Tahoma"/>
            <family val="2"/>
          </rPr>
          <t>M &amp; B Sales South West</t>
        </r>
      </text>
    </comment>
    <comment ref="C794" authorId="1" shapeId="0" xr:uid="{2CA7AE3E-C40F-416A-B430-5474566F3707}">
      <text>
        <r>
          <rPr>
            <b/>
            <sz val="9"/>
            <color indexed="81"/>
            <rFont val="Tahoma"/>
            <family val="2"/>
          </rPr>
          <t>M &amp; B Sales South West</t>
        </r>
      </text>
    </comment>
    <comment ref="C795" authorId="1" shapeId="0" xr:uid="{8C1FB17B-4928-441B-AE0E-79B614B9EB8F}">
      <text>
        <r>
          <rPr>
            <b/>
            <sz val="9"/>
            <color indexed="81"/>
            <rFont val="Tahoma"/>
            <family val="2"/>
          </rPr>
          <t>M &amp; B Sales South West</t>
        </r>
      </text>
    </comment>
    <comment ref="C797" authorId="1" shapeId="0" xr:uid="{658D3802-E2E2-4748-AEAC-825CAB657073}">
      <text>
        <r>
          <rPr>
            <b/>
            <sz val="9"/>
            <color indexed="81"/>
            <rFont val="Tahoma"/>
            <family val="2"/>
          </rPr>
          <t>M &amp; B Sales South West</t>
        </r>
      </text>
    </comment>
    <comment ref="C798" authorId="1" shapeId="0" xr:uid="{9CECB895-5BCA-470E-BE79-056391173953}">
      <text>
        <r>
          <rPr>
            <b/>
            <sz val="9"/>
            <color indexed="81"/>
            <rFont val="Tahoma"/>
            <family val="2"/>
          </rPr>
          <t>M &amp; B Sales South West</t>
        </r>
      </text>
    </comment>
    <comment ref="C799" authorId="1" shapeId="0" xr:uid="{720A7D85-72DD-4C91-9315-08465E57BA5B}">
      <text>
        <r>
          <rPr>
            <b/>
            <sz val="9"/>
            <color indexed="81"/>
            <rFont val="Tahoma"/>
            <family val="2"/>
          </rPr>
          <t>M &amp; B Sales South West</t>
        </r>
      </text>
    </comment>
    <comment ref="C800" authorId="1" shapeId="0" xr:uid="{CB596D79-9180-48C0-88DE-089A46B984E8}">
      <text>
        <r>
          <rPr>
            <b/>
            <sz val="9"/>
            <color indexed="81"/>
            <rFont val="Tahoma"/>
            <family val="2"/>
          </rPr>
          <t>M &amp; B Sales South West</t>
        </r>
      </text>
    </comment>
    <comment ref="C801" authorId="1" shapeId="0" xr:uid="{07191822-73F5-47A8-8610-B33AA32B3CDD}">
      <text>
        <r>
          <rPr>
            <b/>
            <sz val="9"/>
            <color indexed="81"/>
            <rFont val="Tahoma"/>
            <family val="2"/>
          </rPr>
          <t>M &amp; B Sales South West</t>
        </r>
      </text>
    </comment>
    <comment ref="C802" authorId="1" shapeId="0" xr:uid="{8514A0D3-5075-4404-A362-505609359806}">
      <text>
        <r>
          <rPr>
            <b/>
            <sz val="9"/>
            <color indexed="81"/>
            <rFont val="Tahoma"/>
            <family val="2"/>
          </rPr>
          <t>M &amp; B Sales South West</t>
        </r>
      </text>
    </comment>
    <comment ref="C803" authorId="1" shapeId="0" xr:uid="{BB28BF60-B822-42FF-B040-4C02455E6F89}">
      <text>
        <r>
          <rPr>
            <b/>
            <sz val="9"/>
            <color indexed="81"/>
            <rFont val="Tahoma"/>
            <family val="2"/>
          </rPr>
          <t>M &amp; B Sales South West</t>
        </r>
      </text>
    </comment>
    <comment ref="C804" authorId="1" shapeId="0" xr:uid="{7FCDE50A-3FE5-4FCC-B93E-3C28F7A17517}">
      <text>
        <r>
          <rPr>
            <b/>
            <sz val="9"/>
            <color indexed="81"/>
            <rFont val="Tahoma"/>
            <family val="2"/>
          </rPr>
          <t>M &amp; B Sales South West</t>
        </r>
      </text>
    </comment>
    <comment ref="C805" authorId="1" shapeId="0" xr:uid="{8492E8E5-2B32-4740-B8A9-0151D70D29B8}">
      <text>
        <r>
          <rPr>
            <b/>
            <sz val="9"/>
            <color indexed="81"/>
            <rFont val="Tahoma"/>
            <family val="2"/>
          </rPr>
          <t>M &amp; B Sales South West</t>
        </r>
      </text>
    </comment>
    <comment ref="C806" authorId="1" shapeId="0" xr:uid="{55369A1B-055D-4739-8D36-C14187AB35FD}">
      <text>
        <r>
          <rPr>
            <b/>
            <sz val="9"/>
            <color indexed="81"/>
            <rFont val="Tahoma"/>
            <family val="2"/>
          </rPr>
          <t>M &amp; B Sales South West</t>
        </r>
      </text>
    </comment>
    <comment ref="C807" authorId="1" shapeId="0" xr:uid="{99B9F3CC-C2D7-414D-808F-4B420ECD5E9A}">
      <text>
        <r>
          <rPr>
            <b/>
            <sz val="9"/>
            <color indexed="81"/>
            <rFont val="Tahoma"/>
            <family val="2"/>
          </rPr>
          <t>M &amp; B Sales South West</t>
        </r>
      </text>
    </comment>
    <comment ref="C808" authorId="1" shapeId="0" xr:uid="{1A5654FA-90E1-41BB-8C36-5D2A8B99EAF9}">
      <text>
        <r>
          <rPr>
            <b/>
            <sz val="9"/>
            <color indexed="81"/>
            <rFont val="Tahoma"/>
            <family val="2"/>
          </rPr>
          <t>M &amp; B Sales South West</t>
        </r>
      </text>
    </comment>
    <comment ref="C809" authorId="1" shapeId="0" xr:uid="{2168E8A5-295A-4BF6-AE37-3A8C74D721AF}">
      <text>
        <r>
          <rPr>
            <b/>
            <sz val="9"/>
            <color indexed="81"/>
            <rFont val="Tahoma"/>
            <family val="2"/>
          </rPr>
          <t>M &amp; B Sales South West</t>
        </r>
      </text>
    </comment>
    <comment ref="C810" authorId="1" shapeId="0" xr:uid="{04FC7A6C-ADD7-43E8-8504-70594ECA4F5C}">
      <text>
        <r>
          <rPr>
            <b/>
            <sz val="9"/>
            <color indexed="81"/>
            <rFont val="Tahoma"/>
            <family val="2"/>
          </rPr>
          <t>M &amp; B Sales South West</t>
        </r>
      </text>
    </comment>
    <comment ref="F810" authorId="1" shapeId="0" xr:uid="{E306F45D-119E-44F5-9BF8-945A97651562}">
      <text>
        <r>
          <rPr>
            <b/>
            <sz val="9"/>
            <color indexed="81"/>
            <rFont val="Tahoma"/>
            <family val="2"/>
          </rPr>
          <t>Main:</t>
        </r>
        <r>
          <rPr>
            <sz val="9"/>
            <color indexed="81"/>
            <rFont val="Tahoma"/>
            <family val="2"/>
          </rPr>
          <t xml:space="preserve">
This might be the best way to count multiple criteria in a field
</t>
        </r>
      </text>
    </comment>
    <comment ref="C811" authorId="1" shapeId="0" xr:uid="{7975FBA1-6252-41AA-9C32-6B20473DD02E}">
      <text>
        <r>
          <rPr>
            <b/>
            <sz val="9"/>
            <color indexed="81"/>
            <rFont val="Tahoma"/>
            <family val="2"/>
          </rPr>
          <t>M &amp; B Sales South West</t>
        </r>
      </text>
    </comment>
    <comment ref="C816" authorId="1" shapeId="0" xr:uid="{F06078BE-D3E0-4F30-9071-C40176C50183}">
      <text>
        <r>
          <rPr>
            <b/>
            <sz val="9"/>
            <color indexed="81"/>
            <rFont val="Tahoma"/>
            <family val="2"/>
          </rPr>
          <t>Mal Desira</t>
        </r>
      </text>
    </comment>
    <comment ref="C817" authorId="1" shapeId="0" xr:uid="{BA51E026-8FD6-45F0-90D0-D13673386F1A}">
      <text>
        <r>
          <rPr>
            <b/>
            <sz val="9"/>
            <color indexed="81"/>
            <rFont val="Tahoma"/>
            <family val="2"/>
          </rPr>
          <t>Mal Desira</t>
        </r>
      </text>
    </comment>
    <comment ref="C818" authorId="1" shapeId="0" xr:uid="{F4622229-58C1-42C3-9973-7E6768854C8C}">
      <text>
        <r>
          <rPr>
            <b/>
            <sz val="9"/>
            <color indexed="81"/>
            <rFont val="Tahoma"/>
            <family val="2"/>
          </rPr>
          <t>Mal Desira</t>
        </r>
      </text>
    </comment>
    <comment ref="C819" authorId="1" shapeId="0" xr:uid="{8C99A2A5-F53F-4891-8902-F9407A52788A}">
      <text>
        <r>
          <rPr>
            <b/>
            <sz val="9"/>
            <color indexed="81"/>
            <rFont val="Tahoma"/>
            <family val="2"/>
          </rPr>
          <t>Mal Desira</t>
        </r>
      </text>
    </comment>
    <comment ref="C821" authorId="1" shapeId="0" xr:uid="{38A42AEA-CA32-4C87-A556-0FD2C40DB961}">
      <text>
        <r>
          <rPr>
            <b/>
            <sz val="9"/>
            <color indexed="81"/>
            <rFont val="Tahoma"/>
            <family val="2"/>
          </rPr>
          <t>Mal Desira</t>
        </r>
      </text>
    </comment>
    <comment ref="C822" authorId="1" shapeId="0" xr:uid="{CA9E6A9B-794F-4AF8-826C-399A47B32746}">
      <text>
        <r>
          <rPr>
            <b/>
            <sz val="9"/>
            <color indexed="81"/>
            <rFont val="Tahoma"/>
            <family val="2"/>
          </rPr>
          <t>Mal Desira</t>
        </r>
      </text>
    </comment>
    <comment ref="C823" authorId="1" shapeId="0" xr:uid="{78C665FE-1B97-45D9-8950-DBA999F40EA5}">
      <text>
        <r>
          <rPr>
            <b/>
            <sz val="9"/>
            <color indexed="81"/>
            <rFont val="Tahoma"/>
            <family val="2"/>
          </rPr>
          <t>Mal Desira</t>
        </r>
      </text>
    </comment>
    <comment ref="C824" authorId="1" shapeId="0" xr:uid="{7470CE10-C146-4943-9572-7C3948DD759B}">
      <text>
        <r>
          <rPr>
            <b/>
            <sz val="9"/>
            <color indexed="81"/>
            <rFont val="Tahoma"/>
            <family val="2"/>
          </rPr>
          <t>Mal Desira</t>
        </r>
      </text>
    </comment>
    <comment ref="C825" authorId="1" shapeId="0" xr:uid="{B094C3D0-37A7-423F-BEB0-C25DFA1FADB0}">
      <text>
        <r>
          <rPr>
            <b/>
            <sz val="9"/>
            <color indexed="81"/>
            <rFont val="Tahoma"/>
            <family val="2"/>
          </rPr>
          <t>Mal Desira</t>
        </r>
      </text>
    </comment>
    <comment ref="C826" authorId="1" shapeId="0" xr:uid="{3F655EC0-B76D-4A40-AA17-E66F8A1171E6}">
      <text>
        <r>
          <rPr>
            <b/>
            <sz val="9"/>
            <color indexed="81"/>
            <rFont val="Tahoma"/>
            <family val="2"/>
          </rPr>
          <t>Mal Desira</t>
        </r>
      </text>
    </comment>
    <comment ref="C827" authorId="1" shapeId="0" xr:uid="{6B7B77E6-BD28-4174-AD39-22F18EB074EE}">
      <text>
        <r>
          <rPr>
            <b/>
            <sz val="9"/>
            <color indexed="81"/>
            <rFont val="Tahoma"/>
            <family val="2"/>
          </rPr>
          <t>Mal Desira</t>
        </r>
      </text>
    </comment>
    <comment ref="C828" authorId="1" shapeId="0" xr:uid="{6D6D1A87-175C-4870-8015-0FE701E7DA75}">
      <text>
        <r>
          <rPr>
            <b/>
            <sz val="9"/>
            <color indexed="81"/>
            <rFont val="Tahoma"/>
            <family val="2"/>
          </rPr>
          <t>Mal Desira</t>
        </r>
      </text>
    </comment>
    <comment ref="C829" authorId="1" shapeId="0" xr:uid="{835B95FB-D561-4C9E-98AE-9C958FF84DCD}">
      <text>
        <r>
          <rPr>
            <b/>
            <sz val="9"/>
            <color indexed="81"/>
            <rFont val="Tahoma"/>
            <family val="2"/>
          </rPr>
          <t>Mal Desira</t>
        </r>
      </text>
    </comment>
    <comment ref="C830" authorId="1" shapeId="0" xr:uid="{5AE5DDEC-BE23-4BF2-9EF8-B16568682C56}">
      <text>
        <r>
          <rPr>
            <b/>
            <sz val="9"/>
            <color indexed="81"/>
            <rFont val="Tahoma"/>
            <family val="2"/>
          </rPr>
          <t>Mal Desira</t>
        </r>
      </text>
    </comment>
    <comment ref="C831" authorId="1" shapeId="0" xr:uid="{9FE4F403-F94C-4485-B04E-51F60C91D649}">
      <text>
        <r>
          <rPr>
            <b/>
            <sz val="9"/>
            <color indexed="81"/>
            <rFont val="Tahoma"/>
            <family val="2"/>
          </rPr>
          <t>Mal Desira</t>
        </r>
      </text>
    </comment>
    <comment ref="C832" authorId="1" shapeId="0" xr:uid="{8B2E6CA8-4AF0-4EDC-B54E-8AF11E8D00D1}">
      <text>
        <r>
          <rPr>
            <b/>
            <sz val="9"/>
            <color indexed="81"/>
            <rFont val="Tahoma"/>
            <family val="2"/>
          </rPr>
          <t>Mal Desira</t>
        </r>
      </text>
    </comment>
    <comment ref="C833" authorId="1" shapeId="0" xr:uid="{EB76A93D-6692-4266-A797-6D19F7AA0C11}">
      <text>
        <r>
          <rPr>
            <b/>
            <sz val="9"/>
            <color indexed="81"/>
            <rFont val="Tahoma"/>
            <family val="2"/>
          </rPr>
          <t>Mal Desira</t>
        </r>
      </text>
    </comment>
    <comment ref="C834" authorId="1" shapeId="0" xr:uid="{F21E3956-7D17-4E7E-ABB7-FC9F81767C7D}">
      <text>
        <r>
          <rPr>
            <b/>
            <sz val="9"/>
            <color indexed="81"/>
            <rFont val="Tahoma"/>
            <family val="2"/>
          </rPr>
          <t>Mal Desira</t>
        </r>
      </text>
    </comment>
    <comment ref="C835" authorId="1" shapeId="0" xr:uid="{A694E7A4-E9A7-4A41-B32A-C549B33B9AB8}">
      <text>
        <r>
          <rPr>
            <b/>
            <sz val="9"/>
            <color indexed="81"/>
            <rFont val="Tahoma"/>
            <family val="2"/>
          </rPr>
          <t>Mal Desira</t>
        </r>
      </text>
    </comment>
    <comment ref="C836" authorId="1" shapeId="0" xr:uid="{FF48B82E-5510-4BC7-BFBA-E0EFA766C82B}">
      <text>
        <r>
          <rPr>
            <b/>
            <sz val="9"/>
            <color indexed="81"/>
            <rFont val="Tahoma"/>
            <family val="2"/>
          </rPr>
          <t>Mal Desira</t>
        </r>
      </text>
    </comment>
    <comment ref="C837" authorId="1" shapeId="0" xr:uid="{4D08D31A-8277-43C6-9332-F5093D34F989}">
      <text>
        <r>
          <rPr>
            <b/>
            <sz val="9"/>
            <color indexed="81"/>
            <rFont val="Tahoma"/>
            <family val="2"/>
          </rPr>
          <t>Mal Desira</t>
        </r>
      </text>
    </comment>
    <comment ref="C838" authorId="1" shapeId="0" xr:uid="{15E9FE50-58FE-49A5-A043-0699ED8A6FF7}">
      <text>
        <r>
          <rPr>
            <b/>
            <sz val="9"/>
            <color indexed="81"/>
            <rFont val="Tahoma"/>
            <family val="2"/>
          </rPr>
          <t>Mal Desira</t>
        </r>
      </text>
    </comment>
    <comment ref="C839" authorId="1" shapeId="0" xr:uid="{33066AED-4A91-4DF5-9789-0EC91890C0B9}">
      <text>
        <r>
          <rPr>
            <b/>
            <sz val="9"/>
            <color indexed="81"/>
            <rFont val="Tahoma"/>
            <family val="2"/>
          </rPr>
          <t>Mal Desira</t>
        </r>
      </text>
    </comment>
    <comment ref="C840" authorId="1" shapeId="0" xr:uid="{AAA3AAA5-3696-4C3A-9B1E-EC134AF19C5A}">
      <text>
        <r>
          <rPr>
            <b/>
            <sz val="9"/>
            <color indexed="81"/>
            <rFont val="Tahoma"/>
            <family val="2"/>
          </rPr>
          <t>Mal Desira</t>
        </r>
      </text>
    </comment>
    <comment ref="C841" authorId="1" shapeId="0" xr:uid="{33AAAC24-08EF-4224-9636-FE0665B6367B}">
      <text>
        <r>
          <rPr>
            <b/>
            <sz val="9"/>
            <color indexed="81"/>
            <rFont val="Tahoma"/>
            <family val="2"/>
          </rPr>
          <t>Mal Desira</t>
        </r>
      </text>
    </comment>
    <comment ref="C842" authorId="1" shapeId="0" xr:uid="{F6F9C866-B5CA-45B2-A580-2522553E7645}">
      <text>
        <r>
          <rPr>
            <b/>
            <sz val="9"/>
            <color indexed="81"/>
            <rFont val="Tahoma"/>
            <family val="2"/>
          </rPr>
          <t>Mal Desira</t>
        </r>
      </text>
    </comment>
    <comment ref="C843" authorId="1" shapeId="0" xr:uid="{3D50570D-130E-4CD4-B6B4-FFF51C2DA728}">
      <text>
        <r>
          <rPr>
            <b/>
            <sz val="9"/>
            <color indexed="81"/>
            <rFont val="Tahoma"/>
            <family val="2"/>
          </rPr>
          <t>Mal Desira</t>
        </r>
      </text>
    </comment>
    <comment ref="C844" authorId="1" shapeId="0" xr:uid="{F116FDFE-C53F-472A-894B-2766ADFA394F}">
      <text>
        <r>
          <rPr>
            <b/>
            <sz val="9"/>
            <color indexed="81"/>
            <rFont val="Tahoma"/>
            <family val="2"/>
          </rPr>
          <t>Mal Desira</t>
        </r>
      </text>
    </comment>
    <comment ref="C845" authorId="1" shapeId="0" xr:uid="{2B987D1A-F363-4397-ABA1-948F8567EEC3}">
      <text>
        <r>
          <rPr>
            <b/>
            <sz val="9"/>
            <color indexed="81"/>
            <rFont val="Tahoma"/>
            <family val="2"/>
          </rPr>
          <t>Mal Desira</t>
        </r>
      </text>
    </comment>
    <comment ref="C846" authorId="1" shapeId="0" xr:uid="{0D051B3B-C458-438D-A150-D68E727D60AB}">
      <text>
        <r>
          <rPr>
            <b/>
            <sz val="9"/>
            <color indexed="81"/>
            <rFont val="Tahoma"/>
            <family val="2"/>
          </rPr>
          <t>Mal Desira</t>
        </r>
      </text>
    </comment>
    <comment ref="C847" authorId="1" shapeId="0" xr:uid="{357F04F8-8106-4B69-BEAE-F423BB0DDBDE}">
      <text>
        <r>
          <rPr>
            <b/>
            <sz val="9"/>
            <color indexed="81"/>
            <rFont val="Tahoma"/>
            <family val="2"/>
          </rPr>
          <t>Mal Desira</t>
        </r>
      </text>
    </comment>
    <comment ref="C848" authorId="1" shapeId="0" xr:uid="{3C45DA76-F099-490A-98C7-8C43EF062BF3}">
      <text>
        <r>
          <rPr>
            <b/>
            <sz val="9"/>
            <color indexed="81"/>
            <rFont val="Tahoma"/>
            <family val="2"/>
          </rPr>
          <t>Mal Desira</t>
        </r>
      </text>
    </comment>
    <comment ref="C849" authorId="1" shapeId="0" xr:uid="{E9BEE957-A614-42F0-A457-EB922EC2E653}">
      <text>
        <r>
          <rPr>
            <b/>
            <sz val="9"/>
            <color indexed="81"/>
            <rFont val="Tahoma"/>
            <family val="2"/>
          </rPr>
          <t>Mal Desira</t>
        </r>
      </text>
    </comment>
    <comment ref="C850" authorId="1" shapeId="0" xr:uid="{228FACC9-9304-4B5D-8BA2-94D4FF26A2B0}">
      <text>
        <r>
          <rPr>
            <b/>
            <sz val="9"/>
            <color indexed="81"/>
            <rFont val="Tahoma"/>
            <family val="2"/>
          </rPr>
          <t>Mal Desira</t>
        </r>
      </text>
    </comment>
    <comment ref="C851" authorId="1" shapeId="0" xr:uid="{38246B94-832F-4BFF-81E7-A68CA3E77CD1}">
      <text>
        <r>
          <rPr>
            <b/>
            <sz val="9"/>
            <color indexed="81"/>
            <rFont val="Tahoma"/>
            <family val="2"/>
          </rPr>
          <t>Mal Desira</t>
        </r>
      </text>
    </comment>
    <comment ref="C852" authorId="1" shapeId="0" xr:uid="{5BA158EE-0362-496E-A619-993D0CF4ED21}">
      <text>
        <r>
          <rPr>
            <b/>
            <sz val="9"/>
            <color indexed="81"/>
            <rFont val="Tahoma"/>
            <family val="2"/>
          </rPr>
          <t>Mal Desira</t>
        </r>
      </text>
    </comment>
    <comment ref="C853" authorId="1" shapeId="0" xr:uid="{3CDA8593-E00B-4EB8-9591-7216C6DB6FD2}">
      <text>
        <r>
          <rPr>
            <b/>
            <sz val="9"/>
            <color indexed="81"/>
            <rFont val="Tahoma"/>
            <family val="2"/>
          </rPr>
          <t>Mal Desira</t>
        </r>
      </text>
    </comment>
    <comment ref="C854" authorId="1" shapeId="0" xr:uid="{98E6F77C-4A64-4ECA-A0C3-91E42BB9D1B2}">
      <text>
        <r>
          <rPr>
            <b/>
            <sz val="9"/>
            <color indexed="81"/>
            <rFont val="Tahoma"/>
            <family val="2"/>
          </rPr>
          <t>Mal Desira</t>
        </r>
      </text>
    </comment>
    <comment ref="C858" authorId="0" shapeId="0" xr:uid="{E6FA3850-2C95-4B2F-B14C-CCC0C824C465}">
      <text>
        <r>
          <rPr>
            <b/>
            <sz val="9"/>
            <color indexed="81"/>
            <rFont val="Tahoma"/>
            <family val="2"/>
          </rPr>
          <t>Active Plumbing</t>
        </r>
      </text>
    </comment>
    <comment ref="C860" authorId="1" shapeId="0" xr:uid="{A3187A37-8F1B-4EB6-AE06-0C28A91E7655}">
      <text>
        <r>
          <rPr>
            <b/>
            <sz val="9"/>
            <color indexed="81"/>
            <rFont val="Tahoma"/>
            <family val="2"/>
          </rPr>
          <t>Oak Data &amp; Cabling</t>
        </r>
      </text>
    </comment>
    <comment ref="C862" authorId="0" shapeId="0" xr:uid="{03906D4C-EFEC-465E-BAA7-332F5F961855}">
      <text>
        <r>
          <rPr>
            <b/>
            <sz val="9"/>
            <color indexed="81"/>
            <rFont val="Tahoma"/>
            <family val="2"/>
          </rPr>
          <t>Busselton
10339 is Augusta Electrics
Bunbury North
04423 is Cousins Electrics
Plunkett
11164800 is Custom Electrics
Bridgetown South
11164600 is Solar Power Solutions</t>
        </r>
      </text>
    </comment>
    <comment ref="C868" authorId="1" shapeId="0" xr:uid="{C22E6228-BB62-402A-901F-AB5B21F3C886}">
      <text>
        <r>
          <rPr>
            <b/>
            <sz val="9"/>
            <color indexed="81"/>
            <rFont val="Tahoma"/>
            <family val="2"/>
          </rPr>
          <t>PLASTERBOARD MARGARET RIVER</t>
        </r>
      </text>
    </comment>
    <comment ref="H868" authorId="1" shapeId="0" xr:uid="{3EF124D3-575E-4C53-9D24-4E07FC40D8C5}">
      <text>
        <r>
          <rPr>
            <b/>
            <sz val="9"/>
            <color indexed="81"/>
            <rFont val="Tahoma"/>
            <family val="2"/>
          </rPr>
          <t>Reverse Brick Veneer Walls</t>
        </r>
      </text>
    </comment>
    <comment ref="C869" authorId="1" shapeId="0" xr:uid="{1417F220-F4A6-43D5-8695-4C03563F04BB}">
      <text>
        <r>
          <rPr>
            <b/>
            <sz val="9"/>
            <color indexed="81"/>
            <rFont val="Tahoma"/>
            <family val="2"/>
          </rPr>
          <t>PLASTERBOARD MARGARET RIVER</t>
        </r>
      </text>
    </comment>
    <comment ref="C870" authorId="1" shapeId="0" xr:uid="{8FB26FF7-D7FD-4269-AE47-968B21D4EBF6}">
      <text>
        <r>
          <rPr>
            <b/>
            <sz val="9"/>
            <color indexed="81"/>
            <rFont val="Tahoma"/>
            <family val="2"/>
          </rPr>
          <t>PLASTERBOARD MARGARET RIVER</t>
        </r>
      </text>
    </comment>
    <comment ref="C871" authorId="1" shapeId="0" xr:uid="{C049A77B-CF33-4347-B679-C74251EBB2D8}">
      <text>
        <r>
          <rPr>
            <b/>
            <sz val="9"/>
            <color indexed="81"/>
            <rFont val="Tahoma"/>
            <family val="2"/>
          </rPr>
          <t>PLASTERBOARD MARGARET RIVER</t>
        </r>
      </text>
    </comment>
    <comment ref="C872" authorId="1" shapeId="0" xr:uid="{E7CDCD3D-4F1B-4421-A59C-E6DD0901BEC5}">
      <text>
        <r>
          <rPr>
            <b/>
            <sz val="9"/>
            <color indexed="81"/>
            <rFont val="Tahoma"/>
            <family val="2"/>
          </rPr>
          <t>PLASTERBOARD MARGARET RIVER</t>
        </r>
      </text>
    </comment>
    <comment ref="C873" authorId="1" shapeId="0" xr:uid="{45FDF25D-3B00-4498-B89E-1B656FE00F88}">
      <text>
        <r>
          <rPr>
            <b/>
            <sz val="9"/>
            <color indexed="81"/>
            <rFont val="Tahoma"/>
            <family val="2"/>
          </rPr>
          <t>PLASTERBOARD MARGARET RIVER</t>
        </r>
      </text>
    </comment>
    <comment ref="C875" authorId="1" shapeId="0" xr:uid="{784540BE-0CBF-4B36-B0EE-B18A53797844}">
      <text>
        <r>
          <rPr>
            <b/>
            <sz val="9"/>
            <color indexed="81"/>
            <rFont val="Tahoma"/>
            <family val="2"/>
          </rPr>
          <t>Main:</t>
        </r>
        <r>
          <rPr>
            <sz val="9"/>
            <color indexed="81"/>
            <rFont val="Tahoma"/>
            <family val="2"/>
          </rPr>
          <t xml:space="preserve">
West Coast Gyprock</t>
        </r>
      </text>
    </comment>
    <comment ref="C876" authorId="1" shapeId="0" xr:uid="{B8E0E032-01CC-4B64-8E8A-2E996AD9AE79}">
      <text>
        <r>
          <rPr>
            <b/>
            <sz val="9"/>
            <color indexed="81"/>
            <rFont val="Tahoma"/>
            <family val="2"/>
          </rPr>
          <t>Main:</t>
        </r>
        <r>
          <rPr>
            <sz val="9"/>
            <color indexed="81"/>
            <rFont val="Tahoma"/>
            <family val="2"/>
          </rPr>
          <t xml:space="preserve">
West Coast Gyprock</t>
        </r>
      </text>
    </comment>
    <comment ref="C877" authorId="1" shapeId="0" xr:uid="{A11D4461-38A2-452A-B2FD-B7C898123543}">
      <text>
        <r>
          <rPr>
            <b/>
            <sz val="9"/>
            <color indexed="81"/>
            <rFont val="Tahoma"/>
            <family val="2"/>
          </rPr>
          <t>Main:</t>
        </r>
        <r>
          <rPr>
            <sz val="9"/>
            <color indexed="81"/>
            <rFont val="Tahoma"/>
            <family val="2"/>
          </rPr>
          <t xml:space="preserve">
West Coast Gyprock</t>
        </r>
      </text>
    </comment>
    <comment ref="C878" authorId="1" shapeId="0" xr:uid="{B94CA8CD-712A-42E2-AB85-646DFFAF0749}">
      <text>
        <r>
          <rPr>
            <b/>
            <sz val="9"/>
            <color indexed="81"/>
            <rFont val="Tahoma"/>
            <family val="2"/>
          </rPr>
          <t>Main:</t>
        </r>
        <r>
          <rPr>
            <sz val="9"/>
            <color indexed="81"/>
            <rFont val="Tahoma"/>
            <family val="2"/>
          </rPr>
          <t xml:space="preserve">
West Coast Gyprock</t>
        </r>
      </text>
    </comment>
    <comment ref="C879" authorId="1" shapeId="0" xr:uid="{927D957F-C183-4798-B1E3-620699762506}">
      <text>
        <r>
          <rPr>
            <b/>
            <sz val="9"/>
            <color indexed="81"/>
            <rFont val="Tahoma"/>
            <family val="2"/>
          </rPr>
          <t>Main:</t>
        </r>
        <r>
          <rPr>
            <sz val="9"/>
            <color indexed="81"/>
            <rFont val="Tahoma"/>
            <family val="2"/>
          </rPr>
          <t xml:space="preserve">
West Coast Gyprock</t>
        </r>
      </text>
    </comment>
    <comment ref="C880" authorId="1" shapeId="0" xr:uid="{61AF043C-8381-4CB7-AC23-0B39CF7F5603}">
      <text>
        <r>
          <rPr>
            <b/>
            <sz val="9"/>
            <color indexed="81"/>
            <rFont val="Tahoma"/>
            <family val="2"/>
          </rPr>
          <t>Main:</t>
        </r>
        <r>
          <rPr>
            <sz val="9"/>
            <color indexed="81"/>
            <rFont val="Tahoma"/>
            <family val="2"/>
          </rPr>
          <t xml:space="preserve">
West Coast Gyprock</t>
        </r>
      </text>
    </comment>
    <comment ref="C881" authorId="1" shapeId="0" xr:uid="{E1683400-D584-4BBB-8FA6-710B4DC7A7A0}">
      <text>
        <r>
          <rPr>
            <b/>
            <sz val="9"/>
            <color indexed="81"/>
            <rFont val="Tahoma"/>
            <family val="2"/>
          </rPr>
          <t>Main:</t>
        </r>
        <r>
          <rPr>
            <sz val="9"/>
            <color indexed="81"/>
            <rFont val="Tahoma"/>
            <family val="2"/>
          </rPr>
          <t xml:space="preserve">
West Coast Gyprock</t>
        </r>
      </text>
    </comment>
    <comment ref="C882" authorId="1" shapeId="0" xr:uid="{DA6BF780-D4D5-47EC-B07F-893D4069D6AF}">
      <text>
        <r>
          <rPr>
            <b/>
            <sz val="9"/>
            <color indexed="81"/>
            <rFont val="Tahoma"/>
            <family val="2"/>
          </rPr>
          <t>Main:</t>
        </r>
        <r>
          <rPr>
            <sz val="9"/>
            <color indexed="81"/>
            <rFont val="Tahoma"/>
            <family val="2"/>
          </rPr>
          <t xml:space="preserve">
West Coast Gyprock</t>
        </r>
      </text>
    </comment>
    <comment ref="C883" authorId="1" shapeId="0" xr:uid="{90F452DB-C74D-4E72-BFDC-C475942F3131}">
      <text>
        <r>
          <rPr>
            <b/>
            <sz val="9"/>
            <color indexed="81"/>
            <rFont val="Tahoma"/>
            <family val="2"/>
          </rPr>
          <t>Main:</t>
        </r>
        <r>
          <rPr>
            <sz val="9"/>
            <color indexed="81"/>
            <rFont val="Tahoma"/>
            <family val="2"/>
          </rPr>
          <t xml:space="preserve">
West Coast Gyprock</t>
        </r>
      </text>
    </comment>
    <comment ref="C887" authorId="1" shapeId="0" xr:uid="{C9E0604B-6AE7-4440-814A-DB255AC47324}">
      <text>
        <r>
          <rPr>
            <b/>
            <sz val="9"/>
            <color indexed="81"/>
            <rFont val="Tahoma"/>
            <family val="2"/>
          </rPr>
          <t>FORD &amp; DOONAN BUNBURY</t>
        </r>
      </text>
    </comment>
    <comment ref="C889" authorId="1" shapeId="0" xr:uid="{50144229-58D6-4B57-B1D1-D4DFC08797B6}">
      <text>
        <r>
          <rPr>
            <b/>
            <sz val="9"/>
            <color indexed="81"/>
            <rFont val="Tahoma"/>
            <family val="2"/>
          </rPr>
          <t>FORD &amp; DOONAN BUNBURY</t>
        </r>
      </text>
    </comment>
    <comment ref="C899" authorId="0" shapeId="0" xr:uid="{89DA7D76-9798-478D-A347-F42C202DB479}">
      <text>
        <r>
          <rPr>
            <b/>
            <sz val="9"/>
            <color indexed="81"/>
            <rFont val="Tahoma"/>
            <family val="2"/>
          </rPr>
          <t>52054 Carbone Bros Pty Ltd</t>
        </r>
      </text>
    </comment>
    <comment ref="C900" authorId="0" shapeId="0" xr:uid="{6171DCB1-C685-4103-AF84-801E9E2BABC0}">
      <text>
        <r>
          <rPr>
            <b/>
            <sz val="9"/>
            <color indexed="81"/>
            <rFont val="Tahoma"/>
            <family val="2"/>
          </rPr>
          <t>52054 Carbone Bros Pty Ltd</t>
        </r>
      </text>
    </comment>
    <comment ref="C901" authorId="0" shapeId="0" xr:uid="{52631DEA-6EAF-4A86-AF16-3865C99B258A}">
      <text>
        <r>
          <rPr>
            <b/>
            <sz val="9"/>
            <color indexed="81"/>
            <rFont val="Tahoma"/>
            <family val="2"/>
          </rPr>
          <t>52054 Carbone Bros Pty Ltd</t>
        </r>
      </text>
    </comment>
    <comment ref="C902" authorId="0" shapeId="0" xr:uid="{E0A97126-254D-4D82-95D3-98685B501146}">
      <text>
        <r>
          <rPr>
            <b/>
            <sz val="9"/>
            <color indexed="81"/>
            <rFont val="Tahoma"/>
            <family val="2"/>
          </rPr>
          <t>52054 Carbone Bros Pty Ltd</t>
        </r>
      </text>
    </comment>
    <comment ref="C903" authorId="0" shapeId="0" xr:uid="{B01A513E-11FE-4A3F-BF6F-DAB566F9810D}">
      <text>
        <r>
          <rPr>
            <b/>
            <sz val="9"/>
            <color indexed="81"/>
            <rFont val="Tahoma"/>
            <family val="2"/>
          </rPr>
          <t>52054 Carbone Bros Pty Ltd</t>
        </r>
      </text>
    </comment>
    <comment ref="C904" authorId="0" shapeId="0" xr:uid="{EF3F1129-1228-49FA-828B-F9E89BC64074}">
      <text>
        <r>
          <rPr>
            <b/>
            <sz val="9"/>
            <color indexed="81"/>
            <rFont val="Tahoma"/>
            <family val="2"/>
          </rPr>
          <t>52054 Carbone Bros Pty Ltd</t>
        </r>
      </text>
    </comment>
    <comment ref="C905" authorId="0" shapeId="0" xr:uid="{E48F58D3-A2C3-4282-A959-62A1C8145CBB}">
      <text>
        <r>
          <rPr>
            <b/>
            <sz val="9"/>
            <color indexed="81"/>
            <rFont val="Tahoma"/>
            <family val="2"/>
          </rPr>
          <t>52054 Carbone Bros Pty Ltd</t>
        </r>
      </text>
    </comment>
    <comment ref="C906" authorId="0" shapeId="0" xr:uid="{C1594B12-A657-4C76-B36E-10ABAEF3CC7B}">
      <text>
        <r>
          <rPr>
            <b/>
            <sz val="9"/>
            <color indexed="81"/>
            <rFont val="Tahoma"/>
            <family val="2"/>
          </rPr>
          <t>52054 Carbone Bros Pty Ltd</t>
        </r>
      </text>
    </comment>
    <comment ref="C907" authorId="0" shapeId="0" xr:uid="{3C5094E2-8174-41B4-B142-6BBAF357A040}">
      <text>
        <r>
          <rPr>
            <b/>
            <sz val="9"/>
            <color indexed="81"/>
            <rFont val="Tahoma"/>
            <family val="2"/>
          </rPr>
          <t>52054 Carbone Bros Pty Ltd</t>
        </r>
      </text>
    </comment>
    <comment ref="C908" authorId="0" shapeId="0" xr:uid="{5631767A-8754-4D00-ACDD-8ECD62F3F0E9}">
      <text>
        <r>
          <rPr>
            <b/>
            <sz val="9"/>
            <color indexed="81"/>
            <rFont val="Tahoma"/>
            <family val="2"/>
          </rPr>
          <t>52054 Carbone Bros Pty Ltd</t>
        </r>
      </text>
    </comment>
    <comment ref="C909" authorId="0" shapeId="0" xr:uid="{E58CF7B7-D74B-4F1B-A308-B579D04A21CA}">
      <text>
        <r>
          <rPr>
            <b/>
            <sz val="9"/>
            <color indexed="81"/>
            <rFont val="Tahoma"/>
            <family val="2"/>
          </rPr>
          <t>52054 Carbone Bros Pty Ltd</t>
        </r>
      </text>
    </comment>
    <comment ref="C910" authorId="0" shapeId="0" xr:uid="{252B7168-C21E-4753-A41C-E8B6A3C10022}">
      <text>
        <r>
          <rPr>
            <b/>
            <sz val="9"/>
            <color indexed="81"/>
            <rFont val="Tahoma"/>
            <family val="2"/>
          </rPr>
          <t>52054 Carbone Bros Pty Ltd</t>
        </r>
      </text>
    </comment>
    <comment ref="C911" authorId="0" shapeId="0" xr:uid="{6A2A3838-A347-4475-BB7E-CDF04AADE1B9}">
      <text>
        <r>
          <rPr>
            <b/>
            <sz val="9"/>
            <color indexed="81"/>
            <rFont val="Tahoma"/>
            <family val="2"/>
          </rPr>
          <t>52054 Carbone Bros Pty Ltd</t>
        </r>
      </text>
    </comment>
    <comment ref="C912" authorId="0" shapeId="0" xr:uid="{05BB209E-5B46-4664-8539-C285AD4F44A7}">
      <text>
        <r>
          <rPr>
            <b/>
            <sz val="9"/>
            <color indexed="81"/>
            <rFont val="Tahoma"/>
            <family val="2"/>
          </rPr>
          <t>52054 Carbone Bros Pty Ltd</t>
        </r>
      </text>
    </comment>
    <comment ref="C913" authorId="0" shapeId="0" xr:uid="{E66594A7-45C7-4687-8600-373D13AD441B}">
      <text>
        <r>
          <rPr>
            <b/>
            <sz val="9"/>
            <color indexed="81"/>
            <rFont val="Tahoma"/>
            <family val="2"/>
          </rPr>
          <t>52054 Carbone Bros Pty Ltd</t>
        </r>
      </text>
    </comment>
    <comment ref="C914" authorId="0" shapeId="0" xr:uid="{1B5D3A43-C00C-487A-90BA-E58D24EA3235}">
      <text>
        <r>
          <rPr>
            <b/>
            <sz val="9"/>
            <color indexed="81"/>
            <rFont val="Tahoma"/>
            <family val="2"/>
          </rPr>
          <t>52054 Carbone Bros Pty Ltd</t>
        </r>
      </text>
    </comment>
    <comment ref="C915" authorId="0" shapeId="0" xr:uid="{1D7853F2-6238-4939-B27F-4C70FABCE335}">
      <text>
        <r>
          <rPr>
            <b/>
            <sz val="9"/>
            <color indexed="81"/>
            <rFont val="Tahoma"/>
            <family val="2"/>
          </rPr>
          <t>52054 Carbone Bros Pty Ltd</t>
        </r>
      </text>
    </comment>
    <comment ref="C916" authorId="0" shapeId="0" xr:uid="{23AC7DAA-7D71-4CAC-B836-F4FD968AB2F2}">
      <text>
        <r>
          <rPr>
            <b/>
            <sz val="9"/>
            <color indexed="81"/>
            <rFont val="Tahoma"/>
            <family val="2"/>
          </rPr>
          <t>52054 Carbone Bros Pty Ltd</t>
        </r>
      </text>
    </comment>
    <comment ref="C917" authorId="0" shapeId="0" xr:uid="{FAAAE547-6406-470B-AF17-EFEA73298913}">
      <text>
        <r>
          <rPr>
            <b/>
            <sz val="9"/>
            <color indexed="81"/>
            <rFont val="Tahoma"/>
            <family val="2"/>
          </rPr>
          <t>52054 Carbone Bros Pty Ltd</t>
        </r>
      </text>
    </comment>
    <comment ref="C918" authorId="0" shapeId="0" xr:uid="{89344A42-2B2C-4444-94E4-4B0D83401236}">
      <text>
        <r>
          <rPr>
            <b/>
            <sz val="9"/>
            <color indexed="81"/>
            <rFont val="Tahoma"/>
            <family val="2"/>
          </rPr>
          <t>52054 Carbone Bros Pty Ltd</t>
        </r>
      </text>
    </comment>
    <comment ref="C919" authorId="0" shapeId="0" xr:uid="{D80A036C-24D7-471C-923F-69C4F40ADEB2}">
      <text>
        <r>
          <rPr>
            <b/>
            <sz val="9"/>
            <color indexed="81"/>
            <rFont val="Tahoma"/>
            <family val="2"/>
          </rPr>
          <t>52054 Carbone Bros Pty Ltd</t>
        </r>
      </text>
    </comment>
    <comment ref="C920" authorId="0" shapeId="0" xr:uid="{FA3D0C3E-F561-4A64-A4A9-48D352E2F481}">
      <text>
        <r>
          <rPr>
            <b/>
            <sz val="9"/>
            <color indexed="81"/>
            <rFont val="Tahoma"/>
            <family val="2"/>
          </rPr>
          <t>52054 Carbone Bros Pty Ltd</t>
        </r>
      </text>
    </comment>
    <comment ref="C921" authorId="0" shapeId="0" xr:uid="{C045FDA9-F72E-41A9-AFED-93DEA9D192AB}">
      <text>
        <r>
          <rPr>
            <b/>
            <sz val="9"/>
            <color indexed="81"/>
            <rFont val="Tahoma"/>
            <family val="2"/>
          </rPr>
          <t>52054 Carbone Bros Pty Ltd</t>
        </r>
      </text>
    </comment>
    <comment ref="C922" authorId="0" shapeId="0" xr:uid="{1F68FA5B-1DBB-404C-9835-CD65581ECBF0}">
      <text>
        <r>
          <rPr>
            <b/>
            <sz val="9"/>
            <color indexed="81"/>
            <rFont val="Tahoma"/>
            <family val="2"/>
          </rPr>
          <t>52054 Carbone Bros Pty Ltd</t>
        </r>
      </text>
    </comment>
    <comment ref="C924" authorId="0" shapeId="0" xr:uid="{3DBB480E-911C-4DEB-B0CC-B564DF63C164}">
      <text>
        <r>
          <rPr>
            <b/>
            <sz val="9"/>
            <color indexed="81"/>
            <rFont val="Tahoma"/>
            <family val="2"/>
          </rPr>
          <t>52054 Carbone Bros Pty Ltd</t>
        </r>
      </text>
    </comment>
    <comment ref="C925" authorId="0" shapeId="0" xr:uid="{10C62C31-4CA7-4645-807D-FF0A7947CEE8}">
      <text>
        <r>
          <rPr>
            <b/>
            <sz val="9"/>
            <color indexed="81"/>
            <rFont val="Tahoma"/>
            <family val="2"/>
          </rPr>
          <t>52054 Carbone Bros Pty Ltd</t>
        </r>
      </text>
    </comment>
    <comment ref="C926" authorId="0" shapeId="0" xr:uid="{63BF87A6-BE12-4DE4-B6CD-65C604DBFF1F}">
      <text>
        <r>
          <rPr>
            <b/>
            <sz val="9"/>
            <color indexed="81"/>
            <rFont val="Tahoma"/>
            <family val="2"/>
          </rPr>
          <t>52054 Carbone Bros Pty Ltd</t>
        </r>
      </text>
    </comment>
    <comment ref="C927" authorId="0" shapeId="0" xr:uid="{14E78A2D-FE0B-42E6-A527-04DA378C17ED}">
      <text>
        <r>
          <rPr>
            <b/>
            <sz val="9"/>
            <color indexed="81"/>
            <rFont val="Tahoma"/>
            <family val="2"/>
          </rPr>
          <t>52054 Carbone Bros Pty Ltd</t>
        </r>
      </text>
    </comment>
    <comment ref="C928" authorId="0" shapeId="0" xr:uid="{9D7844A7-0777-47E7-9F4D-6BBD31AE492E}">
      <text>
        <r>
          <rPr>
            <b/>
            <sz val="9"/>
            <color indexed="81"/>
            <rFont val="Tahoma"/>
            <family val="2"/>
          </rPr>
          <t>52054 Carbone Bros Pty Ltd</t>
        </r>
      </text>
    </comment>
    <comment ref="C929" authorId="0" shapeId="0" xr:uid="{3762122D-749C-455B-8557-A58CA838AC16}">
      <text>
        <r>
          <rPr>
            <b/>
            <sz val="9"/>
            <color indexed="81"/>
            <rFont val="Tahoma"/>
            <family val="2"/>
          </rPr>
          <t>52054 Carbone Bros Pty Ltd</t>
        </r>
      </text>
    </comment>
    <comment ref="C930" authorId="0" shapeId="0" xr:uid="{9D05D960-F38C-46AB-9B05-0D75FBAF7F93}">
      <text>
        <r>
          <rPr>
            <b/>
            <sz val="9"/>
            <color indexed="81"/>
            <rFont val="Tahoma"/>
            <family val="2"/>
          </rPr>
          <t>52054 Carbone Bros Pty Ltd</t>
        </r>
      </text>
    </comment>
    <comment ref="C931" authorId="0" shapeId="0" xr:uid="{7429C44D-63CC-43BF-8918-91F94565BC8D}">
      <text>
        <r>
          <rPr>
            <b/>
            <sz val="9"/>
            <color indexed="81"/>
            <rFont val="Tahoma"/>
            <family val="2"/>
          </rPr>
          <t>52054 Carbone Bros Pty Ltd</t>
        </r>
      </text>
    </comment>
    <comment ref="C932" authorId="0" shapeId="0" xr:uid="{7E7B0C4A-59D3-467D-9D70-A1D6C249352F}">
      <text>
        <r>
          <rPr>
            <b/>
            <sz val="9"/>
            <color indexed="81"/>
            <rFont val="Tahoma"/>
            <family val="2"/>
          </rPr>
          <t>52054 Carbone Bros Pty Ltd</t>
        </r>
      </text>
    </comment>
    <comment ref="C933" authorId="0" shapeId="0" xr:uid="{68B33AB5-8DDD-4B2C-A2A4-BAE2D099A213}">
      <text>
        <r>
          <rPr>
            <b/>
            <sz val="9"/>
            <color indexed="81"/>
            <rFont val="Tahoma"/>
            <family val="2"/>
          </rPr>
          <t>52054 Carbone Bros Pty Ltd</t>
        </r>
      </text>
    </comment>
    <comment ref="C934" authorId="0" shapeId="0" xr:uid="{507B7A41-E9BA-41E3-B8E7-B37C002FFAD3}">
      <text>
        <r>
          <rPr>
            <b/>
            <sz val="9"/>
            <color indexed="81"/>
            <rFont val="Tahoma"/>
            <family val="2"/>
          </rPr>
          <t>52054 Carbone Bros Pty Ltd</t>
        </r>
      </text>
    </comment>
    <comment ref="C935" authorId="0" shapeId="0" xr:uid="{DAC7F2C9-978D-4423-91EB-2CF93A5ED2DC}">
      <text>
        <r>
          <rPr>
            <b/>
            <sz val="9"/>
            <color indexed="81"/>
            <rFont val="Tahoma"/>
            <family val="2"/>
          </rPr>
          <t>52054 Carbone Bros Pty Ltd</t>
        </r>
      </text>
    </comment>
    <comment ref="C936" authorId="0" shapeId="0" xr:uid="{BD2FE2EE-4A52-4313-B1CD-BA9C66457F23}">
      <text>
        <r>
          <rPr>
            <b/>
            <sz val="9"/>
            <color indexed="81"/>
            <rFont val="Tahoma"/>
            <family val="2"/>
          </rPr>
          <t>52054 Carbone Bros Pty Ltd</t>
        </r>
      </text>
    </comment>
    <comment ref="C937" authorId="0" shapeId="0" xr:uid="{A4060939-E8D7-4F3D-B69B-DAAB1DBCF6C4}">
      <text>
        <r>
          <rPr>
            <b/>
            <sz val="9"/>
            <color indexed="81"/>
            <rFont val="Tahoma"/>
            <family val="2"/>
          </rPr>
          <t>52054 Carbone Bros Pty Ltd</t>
        </r>
      </text>
    </comment>
    <comment ref="C938" authorId="0" shapeId="0" xr:uid="{CF72B6E6-099E-40C5-9EB3-77CDB2E7B25D}">
      <text>
        <r>
          <rPr>
            <b/>
            <sz val="9"/>
            <color indexed="81"/>
            <rFont val="Tahoma"/>
            <family val="2"/>
          </rPr>
          <t>52054 Carbone Bros Pty Ltd</t>
        </r>
      </text>
    </comment>
    <comment ref="C939" authorId="0" shapeId="0" xr:uid="{C69EDB38-A918-4BF1-AD6E-7334467CD6BF}">
      <text>
        <r>
          <rPr>
            <b/>
            <sz val="9"/>
            <color indexed="81"/>
            <rFont val="Tahoma"/>
            <family val="2"/>
          </rPr>
          <t>52054 Carbone Bros Pty Ltd</t>
        </r>
      </text>
    </comment>
    <comment ref="C940" authorId="0" shapeId="0" xr:uid="{2B0336D8-FE8C-44C8-882E-ADBF44C9ECA7}">
      <text>
        <r>
          <rPr>
            <b/>
            <sz val="9"/>
            <color indexed="81"/>
            <rFont val="Tahoma"/>
            <family val="2"/>
          </rPr>
          <t>52054 Carbone Bros Pty Ltd</t>
        </r>
      </text>
    </comment>
    <comment ref="C941" authorId="0" shapeId="0" xr:uid="{B5A4A10B-287B-4475-AC7A-BD55575789F3}">
      <text>
        <r>
          <rPr>
            <b/>
            <sz val="9"/>
            <color indexed="81"/>
            <rFont val="Tahoma"/>
            <family val="2"/>
          </rPr>
          <t>52054 Carbone Bros Pty Ltd</t>
        </r>
      </text>
    </comment>
    <comment ref="C942" authorId="0" shapeId="0" xr:uid="{59E0C229-D20B-48A2-BAB4-B10FE6E8BFC3}">
      <text>
        <r>
          <rPr>
            <b/>
            <sz val="9"/>
            <color indexed="81"/>
            <rFont val="Tahoma"/>
            <family val="2"/>
          </rPr>
          <t>52054 Carbone Bros Pty Ltd</t>
        </r>
      </text>
    </comment>
    <comment ref="C943" authorId="0" shapeId="0" xr:uid="{D3B8AB10-2045-4630-9D17-A3F199991580}">
      <text>
        <r>
          <rPr>
            <b/>
            <sz val="9"/>
            <color indexed="81"/>
            <rFont val="Tahoma"/>
            <family val="2"/>
          </rPr>
          <t>52054 Carbone Bros Pty Ltd</t>
        </r>
      </text>
    </comment>
    <comment ref="C944" authorId="0" shapeId="0" xr:uid="{A0E44F00-91D1-4276-8A15-D28306BD2B6D}">
      <text>
        <r>
          <rPr>
            <b/>
            <sz val="9"/>
            <color indexed="81"/>
            <rFont val="Tahoma"/>
            <family val="2"/>
          </rPr>
          <t>52054 Carbone Bros Pty Ltd</t>
        </r>
      </text>
    </comment>
    <comment ref="C945" authorId="0" shapeId="0" xr:uid="{826738B6-55EF-422D-9BED-11C7E5F26245}">
      <text>
        <r>
          <rPr>
            <b/>
            <sz val="9"/>
            <color indexed="81"/>
            <rFont val="Tahoma"/>
            <family val="2"/>
          </rPr>
          <t>52054 Carbone Bros Pty Ltd</t>
        </r>
      </text>
    </comment>
    <comment ref="C946" authorId="0" shapeId="0" xr:uid="{30DF3ADC-0A69-4B92-A606-D340A6243A72}">
      <text>
        <r>
          <rPr>
            <b/>
            <sz val="9"/>
            <color indexed="81"/>
            <rFont val="Tahoma"/>
            <family val="2"/>
          </rPr>
          <t>52054 Carbone Bros Pty Ltd</t>
        </r>
      </text>
    </comment>
    <comment ref="C947" authorId="0" shapeId="0" xr:uid="{4604A492-49F0-44F1-9D35-15333431A161}">
      <text>
        <r>
          <rPr>
            <b/>
            <sz val="9"/>
            <color indexed="81"/>
            <rFont val="Tahoma"/>
            <family val="2"/>
          </rPr>
          <t>52054 Carbone Bros Pty Ltd</t>
        </r>
      </text>
    </comment>
    <comment ref="F977" authorId="1" shapeId="0" xr:uid="{E2FF3D9B-0D8D-473A-A426-0A6B1DB3C751}">
      <text>
        <r>
          <rPr>
            <b/>
            <sz val="9"/>
            <color indexed="81"/>
            <rFont val="Tahoma"/>
            <family val="2"/>
          </rPr>
          <t>Main:</t>
        </r>
        <r>
          <rPr>
            <sz val="9"/>
            <color indexed="81"/>
            <rFont val="Tahoma"/>
            <family val="2"/>
          </rPr>
          <t xml:space="preserve">
To studwork walls installed by ceiling fixer when they install the drywall.</t>
        </r>
      </text>
    </comment>
    <comment ref="F1354" authorId="2" shapeId="0" xr:uid="{613522B8-7B80-4D58-9F8B-9F09D7F24927}">
      <text>
        <t>[Threaded comment]
Your version of Excel allows you to read this threaded comment; however, any edits to it will get removed if the file is opened in a newer version of Excel. Learn more: https://go.microsoft.com/fwlink/?linkid=870924
Comment:
    Confirmed with BGC this is the 630mm towel rail</t>
      </text>
    </comment>
    <comment ref="G1429" authorId="1" shapeId="0" xr:uid="{91FCA37F-A46E-486E-8C16-A6A4C4AFEECC}">
      <text>
        <r>
          <rPr>
            <b/>
            <sz val="9"/>
            <color indexed="81"/>
            <rFont val="Tahoma"/>
            <family val="2"/>
          </rPr>
          <t>Main:</t>
        </r>
        <r>
          <rPr>
            <sz val="9"/>
            <color indexed="81"/>
            <rFont val="Tahoma"/>
            <family val="2"/>
          </rPr>
          <t xml:space="preserve">
Price emailed 23/9/22</t>
        </r>
      </text>
    </comment>
    <comment ref="G1430" authorId="1" shapeId="0" xr:uid="{AF160E83-EC70-488A-8258-D6CE9C8A8FC9}">
      <text>
        <r>
          <rPr>
            <b/>
            <sz val="9"/>
            <color indexed="81"/>
            <rFont val="Tahoma"/>
            <family val="2"/>
          </rPr>
          <t>Main:</t>
        </r>
        <r>
          <rPr>
            <sz val="9"/>
            <color indexed="81"/>
            <rFont val="Tahoma"/>
            <family val="2"/>
          </rPr>
          <t xml:space="preserve">
Price emailed 23/9/22</t>
        </r>
      </text>
    </comment>
    <comment ref="G1431" authorId="1" shapeId="0" xr:uid="{BEBA77C0-8605-46A0-8C52-A507F82BA9D6}">
      <text>
        <r>
          <rPr>
            <b/>
            <sz val="9"/>
            <color indexed="81"/>
            <rFont val="Tahoma"/>
            <family val="2"/>
          </rPr>
          <t>Main:</t>
        </r>
        <r>
          <rPr>
            <sz val="9"/>
            <color indexed="81"/>
            <rFont val="Tahoma"/>
            <family val="2"/>
          </rPr>
          <t xml:space="preserve">
Price emailed 23/9/22</t>
        </r>
      </text>
    </comment>
    <comment ref="F1547" authorId="1" shapeId="0" xr:uid="{C3B72C33-A834-4D9E-A37A-9B1487B1F45F}">
      <text>
        <r>
          <rPr>
            <sz val="9"/>
            <color indexed="81"/>
            <rFont val="Tahoma"/>
            <family val="2"/>
          </rPr>
          <t>Plunkett Specific</t>
        </r>
      </text>
    </comment>
    <comment ref="F1561" authorId="1" shapeId="0" xr:uid="{106A025A-48C5-41D6-9A53-EEFC3D966353}">
      <text>
        <r>
          <rPr>
            <b/>
            <sz val="9"/>
            <color indexed="81"/>
            <rFont val="Tahoma"/>
            <family val="2"/>
          </rPr>
          <t>Main:</t>
        </r>
        <r>
          <rPr>
            <sz val="9"/>
            <color indexed="81"/>
            <rFont val="Tahoma"/>
            <family val="2"/>
          </rPr>
          <t xml:space="preserve">
This might be the best way to count multiple criteria in a field
</t>
        </r>
      </text>
    </comment>
    <comment ref="F1586" authorId="1" shapeId="0" xr:uid="{7F87270E-6F84-4B20-9707-EE4603E9ACB2}">
      <text>
        <r>
          <rPr>
            <b/>
            <sz val="9"/>
            <color indexed="81"/>
            <rFont val="Tahoma"/>
            <family val="2"/>
          </rPr>
          <t>Main:</t>
        </r>
        <r>
          <rPr>
            <sz val="9"/>
            <color indexed="81"/>
            <rFont val="Tahoma"/>
            <family val="2"/>
          </rPr>
          <t xml:space="preserve">
Check if works, also check supply as I don't think any formula has been written to pick it up.</t>
        </r>
      </text>
    </comment>
    <comment ref="C1601" authorId="0" shapeId="0" xr:uid="{9537C0A6-DD2A-4FA7-B0C5-9EAA37FD88FD}">
      <text>
        <r>
          <rPr>
            <b/>
            <sz val="9"/>
            <color indexed="81"/>
            <rFont val="Tahoma"/>
            <family val="2"/>
          </rPr>
          <t>Active Plumbing</t>
        </r>
      </text>
    </comment>
    <comment ref="C1603" authorId="1" shapeId="0" xr:uid="{9650CB98-7191-4C9D-8317-E612574664EF}">
      <text>
        <r>
          <rPr>
            <b/>
            <sz val="9"/>
            <color indexed="81"/>
            <rFont val="Tahoma"/>
            <family val="2"/>
          </rPr>
          <t>ACTIVE PLUMBING</t>
        </r>
      </text>
    </comment>
    <comment ref="C1604" authorId="1" shapeId="0" xr:uid="{A76DE176-0263-4F64-88E6-1AD9460C606A}">
      <text>
        <r>
          <rPr>
            <b/>
            <sz val="9"/>
            <color indexed="81"/>
            <rFont val="Tahoma"/>
            <family val="2"/>
          </rPr>
          <t>TRADELINK</t>
        </r>
      </text>
    </comment>
    <comment ref="C1605" authorId="1" shapeId="0" xr:uid="{962A507E-A1DE-4A30-8C80-12400F796359}">
      <text>
        <r>
          <rPr>
            <b/>
            <sz val="9"/>
            <color indexed="81"/>
            <rFont val="Tahoma"/>
            <family val="2"/>
          </rPr>
          <t>TRADELINK</t>
        </r>
      </text>
    </comment>
    <comment ref="C1606" authorId="1" shapeId="0" xr:uid="{70C83150-24EF-44A6-AC35-970BE54A9EF7}">
      <text>
        <r>
          <rPr>
            <b/>
            <sz val="9"/>
            <color indexed="81"/>
            <rFont val="Tahoma"/>
            <family val="2"/>
          </rPr>
          <t>TRADELINK</t>
        </r>
      </text>
    </comment>
    <comment ref="C1607" authorId="1" shapeId="0" xr:uid="{2925558F-1387-4404-B25E-723A8A8E5635}">
      <text>
        <r>
          <rPr>
            <b/>
            <sz val="9"/>
            <color indexed="81"/>
            <rFont val="Tahoma"/>
            <family val="2"/>
          </rPr>
          <t>TRADELINK</t>
        </r>
      </text>
    </comment>
    <comment ref="C1608" authorId="1" shapeId="0" xr:uid="{B92236C2-6273-4641-9A5A-D113666C2404}">
      <text>
        <r>
          <rPr>
            <b/>
            <sz val="9"/>
            <color indexed="81"/>
            <rFont val="Tahoma"/>
            <family val="2"/>
          </rPr>
          <t>TRADELINK</t>
        </r>
      </text>
    </comment>
    <comment ref="C1609" authorId="1" shapeId="0" xr:uid="{3C26AF8F-4D66-4F3C-AC6B-5F72A8D63835}">
      <text>
        <r>
          <rPr>
            <b/>
            <sz val="9"/>
            <color indexed="81"/>
            <rFont val="Tahoma"/>
            <family val="2"/>
          </rPr>
          <t>TRADELINK</t>
        </r>
      </text>
    </comment>
    <comment ref="C1610" authorId="1" shapeId="0" xr:uid="{4C89A63C-1641-465D-B21F-72109AE9D3AB}">
      <text>
        <r>
          <rPr>
            <b/>
            <sz val="9"/>
            <color indexed="81"/>
            <rFont val="Tahoma"/>
            <family val="2"/>
          </rPr>
          <t>TRADELINK</t>
        </r>
      </text>
    </comment>
    <comment ref="C1611" authorId="1" shapeId="0" xr:uid="{C66C8A5D-25BE-44EE-BF5A-C9D86958652C}">
      <text>
        <r>
          <rPr>
            <b/>
            <sz val="9"/>
            <color indexed="81"/>
            <rFont val="Tahoma"/>
            <family val="2"/>
          </rPr>
          <t>TRADELINK</t>
        </r>
      </text>
    </comment>
    <comment ref="C1612" authorId="1" shapeId="0" xr:uid="{A8396C95-4978-4E1C-AD9F-64B45C119CCF}">
      <text>
        <r>
          <rPr>
            <b/>
            <sz val="9"/>
            <color indexed="81"/>
            <rFont val="Tahoma"/>
            <family val="2"/>
          </rPr>
          <t>TRADELINK</t>
        </r>
      </text>
    </comment>
    <comment ref="C1613" authorId="1" shapeId="0" xr:uid="{ED0913FD-1855-4D18-A3B0-65AF0D9376D4}">
      <text>
        <r>
          <rPr>
            <b/>
            <sz val="9"/>
            <color indexed="81"/>
            <rFont val="Tahoma"/>
            <family val="2"/>
          </rPr>
          <t>TRADELINK</t>
        </r>
      </text>
    </comment>
    <comment ref="C1614" authorId="1" shapeId="0" xr:uid="{18A940DA-E590-4602-B7A0-77B9C8EC6A96}">
      <text>
        <r>
          <rPr>
            <b/>
            <sz val="9"/>
            <color indexed="81"/>
            <rFont val="Tahoma"/>
            <family val="2"/>
          </rPr>
          <t>TRADELINK</t>
        </r>
      </text>
    </comment>
    <comment ref="C1615" authorId="1" shapeId="0" xr:uid="{166C4A29-89CA-4EAB-9B7B-77C28ED62BEF}">
      <text>
        <r>
          <rPr>
            <b/>
            <sz val="9"/>
            <color indexed="81"/>
            <rFont val="Tahoma"/>
            <family val="2"/>
          </rPr>
          <t>TRADELINK</t>
        </r>
      </text>
    </comment>
    <comment ref="C1616" authorId="1" shapeId="0" xr:uid="{50E7C7BE-958F-4F7F-97C1-3906A14A02CC}">
      <text>
        <r>
          <rPr>
            <b/>
            <sz val="9"/>
            <color indexed="81"/>
            <rFont val="Tahoma"/>
            <family val="2"/>
          </rPr>
          <t>TRADELINK</t>
        </r>
      </text>
    </comment>
    <comment ref="C1617" authorId="1" shapeId="0" xr:uid="{9814DCC8-4197-42E3-A9D5-18BE97FD4343}">
      <text>
        <r>
          <rPr>
            <b/>
            <sz val="9"/>
            <color indexed="81"/>
            <rFont val="Tahoma"/>
            <family val="2"/>
          </rPr>
          <t>TRADELINK</t>
        </r>
      </text>
    </comment>
    <comment ref="C1618" authorId="1" shapeId="0" xr:uid="{C726688C-2AF6-47B3-8859-E1F782C1F572}">
      <text>
        <r>
          <rPr>
            <b/>
            <sz val="9"/>
            <color indexed="81"/>
            <rFont val="Tahoma"/>
            <family val="2"/>
          </rPr>
          <t>TRADELINK</t>
        </r>
      </text>
    </comment>
    <comment ref="C1619" authorId="1" shapeId="0" xr:uid="{8F20374C-F394-4687-BF57-6BEB4C0F24BF}">
      <text>
        <r>
          <rPr>
            <b/>
            <sz val="9"/>
            <color indexed="81"/>
            <rFont val="Tahoma"/>
            <family val="2"/>
          </rPr>
          <t>TRADELINK</t>
        </r>
      </text>
    </comment>
    <comment ref="C1620" authorId="1" shapeId="0" xr:uid="{B89B9920-668A-4E66-BD68-7E0BA943ADFF}">
      <text>
        <r>
          <rPr>
            <b/>
            <sz val="9"/>
            <color indexed="81"/>
            <rFont val="Tahoma"/>
            <family val="2"/>
          </rPr>
          <t>TRADELINK</t>
        </r>
      </text>
    </comment>
    <comment ref="C1621" authorId="1" shapeId="0" xr:uid="{BEB0B9FE-F008-4550-A7B6-ED70AA6B6F45}">
      <text>
        <r>
          <rPr>
            <b/>
            <sz val="9"/>
            <color indexed="81"/>
            <rFont val="Tahoma"/>
            <family val="2"/>
          </rPr>
          <t>TRADELINK</t>
        </r>
      </text>
    </comment>
    <comment ref="C1622" authorId="1" shapeId="0" xr:uid="{6297669B-0365-4FE9-ACA4-ECBAE4B34652}">
      <text>
        <r>
          <rPr>
            <b/>
            <sz val="9"/>
            <color indexed="81"/>
            <rFont val="Tahoma"/>
            <family val="2"/>
          </rPr>
          <t>TRADELINK</t>
        </r>
      </text>
    </comment>
    <comment ref="C1623" authorId="1" shapeId="0" xr:uid="{45F4CCF3-9E58-40DE-A252-D9C461EABD21}">
      <text>
        <r>
          <rPr>
            <b/>
            <sz val="9"/>
            <color indexed="81"/>
            <rFont val="Tahoma"/>
            <family val="2"/>
          </rPr>
          <t>TRADELINK</t>
        </r>
      </text>
    </comment>
    <comment ref="C1624" authorId="1" shapeId="0" xr:uid="{D03AB869-F36A-4A00-90DF-E4C0D45571E1}">
      <text>
        <r>
          <rPr>
            <b/>
            <sz val="9"/>
            <color indexed="81"/>
            <rFont val="Tahoma"/>
            <family val="2"/>
          </rPr>
          <t>TRADELINK</t>
        </r>
      </text>
    </comment>
    <comment ref="C1625" authorId="1" shapeId="0" xr:uid="{06C26D05-BB30-4466-B2F9-5392B038ED51}">
      <text>
        <r>
          <rPr>
            <b/>
            <sz val="9"/>
            <color indexed="81"/>
            <rFont val="Tahoma"/>
            <family val="2"/>
          </rPr>
          <t>TRADELINK</t>
        </r>
      </text>
    </comment>
    <comment ref="C1626" authorId="1" shapeId="0" xr:uid="{25369F4F-D742-4843-BE5A-78D24BB11153}">
      <text>
        <r>
          <rPr>
            <b/>
            <sz val="9"/>
            <color indexed="81"/>
            <rFont val="Tahoma"/>
            <family val="2"/>
          </rPr>
          <t>TRADELINK</t>
        </r>
      </text>
    </comment>
    <comment ref="C1627" authorId="1" shapeId="0" xr:uid="{596E7733-661B-4AEB-9F7C-74D7EC71CAC4}">
      <text>
        <r>
          <rPr>
            <b/>
            <sz val="9"/>
            <color indexed="81"/>
            <rFont val="Tahoma"/>
            <family val="2"/>
          </rPr>
          <t>TRADELINK</t>
        </r>
      </text>
    </comment>
    <comment ref="C1628" authorId="1" shapeId="0" xr:uid="{CCC9B306-6930-4028-B403-8DEFE3DDA852}">
      <text>
        <r>
          <rPr>
            <b/>
            <sz val="9"/>
            <color indexed="81"/>
            <rFont val="Tahoma"/>
            <family val="2"/>
          </rPr>
          <t>TRADELINK</t>
        </r>
      </text>
    </comment>
    <comment ref="C1629" authorId="1" shapeId="0" xr:uid="{39CAD4FC-0B8F-48FE-BE84-335CE21A1F67}">
      <text>
        <r>
          <rPr>
            <b/>
            <sz val="9"/>
            <color indexed="81"/>
            <rFont val="Tahoma"/>
            <family val="2"/>
          </rPr>
          <t>TRADELINK</t>
        </r>
      </text>
    </comment>
    <comment ref="C1630" authorId="1" shapeId="0" xr:uid="{2F9EBB03-7AB3-4922-A1B3-6A52CD87B914}">
      <text>
        <r>
          <rPr>
            <b/>
            <sz val="9"/>
            <color indexed="81"/>
            <rFont val="Tahoma"/>
            <family val="2"/>
          </rPr>
          <t>TRADELINK</t>
        </r>
      </text>
    </comment>
    <comment ref="C1631" authorId="1" shapeId="0" xr:uid="{AF4F82D7-E35F-409A-8921-ED027D0D8823}">
      <text>
        <r>
          <rPr>
            <b/>
            <sz val="9"/>
            <color indexed="81"/>
            <rFont val="Tahoma"/>
            <family val="2"/>
          </rPr>
          <t>TRADELINK</t>
        </r>
      </text>
    </comment>
    <comment ref="C1632" authorId="1" shapeId="0" xr:uid="{1CC97143-AF30-4273-80E8-C2B258C68789}">
      <text>
        <r>
          <rPr>
            <b/>
            <sz val="9"/>
            <color indexed="81"/>
            <rFont val="Tahoma"/>
            <family val="2"/>
          </rPr>
          <t>TRADELINK</t>
        </r>
      </text>
    </comment>
    <comment ref="C1633" authorId="1" shapeId="0" xr:uid="{47048063-557B-49C8-8D14-F8A4F1321FAC}">
      <text>
        <r>
          <rPr>
            <b/>
            <sz val="9"/>
            <color indexed="81"/>
            <rFont val="Tahoma"/>
            <family val="2"/>
          </rPr>
          <t>TRADELINK</t>
        </r>
      </text>
    </comment>
    <comment ref="C1634" authorId="1" shapeId="0" xr:uid="{2F0DEEDC-A600-4527-9C39-C036F8938365}">
      <text>
        <r>
          <rPr>
            <b/>
            <sz val="9"/>
            <color indexed="81"/>
            <rFont val="Tahoma"/>
            <family val="2"/>
          </rPr>
          <t>TRADELINK</t>
        </r>
      </text>
    </comment>
    <comment ref="C1635" authorId="1" shapeId="0" xr:uid="{AB0CDE2E-6BA5-45E5-934E-13CE4ADDB7E1}">
      <text>
        <r>
          <rPr>
            <b/>
            <sz val="9"/>
            <color indexed="81"/>
            <rFont val="Tahoma"/>
            <family val="2"/>
          </rPr>
          <t>TRADELINK</t>
        </r>
      </text>
    </comment>
    <comment ref="C1636" authorId="1" shapeId="0" xr:uid="{2EFA5208-EA91-47DC-9697-F44C5C3D512C}">
      <text>
        <r>
          <rPr>
            <b/>
            <sz val="9"/>
            <color indexed="81"/>
            <rFont val="Tahoma"/>
            <family val="2"/>
          </rPr>
          <t>TRADELINK</t>
        </r>
      </text>
    </comment>
    <comment ref="C1637" authorId="1" shapeId="0" xr:uid="{5BAA315E-C4D1-4E9B-8F88-314BAEE4D2BE}">
      <text>
        <r>
          <rPr>
            <b/>
            <sz val="9"/>
            <color indexed="81"/>
            <rFont val="Tahoma"/>
            <family val="2"/>
          </rPr>
          <t>TRADELINK</t>
        </r>
      </text>
    </comment>
    <comment ref="C1638" authorId="1" shapeId="0" xr:uid="{F25CC22B-1D86-44F2-B5B4-7F3CB3A92515}">
      <text>
        <r>
          <rPr>
            <b/>
            <sz val="9"/>
            <color indexed="81"/>
            <rFont val="Tahoma"/>
            <family val="2"/>
          </rPr>
          <t>TRADELINK</t>
        </r>
      </text>
    </comment>
    <comment ref="C1639" authorId="1" shapeId="0" xr:uid="{74ABF839-0201-48D9-BE31-ECB75959F8A9}">
      <text>
        <r>
          <rPr>
            <b/>
            <sz val="9"/>
            <color indexed="81"/>
            <rFont val="Tahoma"/>
            <family val="2"/>
          </rPr>
          <t>TRADELINK</t>
        </r>
      </text>
    </comment>
    <comment ref="C1640" authorId="1" shapeId="0" xr:uid="{F8E1FC3C-0111-4200-ABF9-883E2692A78C}">
      <text>
        <r>
          <rPr>
            <b/>
            <sz val="9"/>
            <color indexed="81"/>
            <rFont val="Tahoma"/>
            <family val="2"/>
          </rPr>
          <t>TRADELINK</t>
        </r>
      </text>
    </comment>
    <comment ref="C1641" authorId="1" shapeId="0" xr:uid="{44995AB8-4399-4BE5-B579-1C7E84DC5DCF}">
      <text>
        <r>
          <rPr>
            <b/>
            <sz val="9"/>
            <color indexed="81"/>
            <rFont val="Tahoma"/>
            <family val="2"/>
          </rPr>
          <t>TRADELINK</t>
        </r>
      </text>
    </comment>
    <comment ref="C1642" authorId="1" shapeId="0" xr:uid="{927D587C-578E-4BD1-88FC-0511E7D02F26}">
      <text>
        <r>
          <rPr>
            <b/>
            <sz val="9"/>
            <color indexed="81"/>
            <rFont val="Tahoma"/>
            <family val="2"/>
          </rPr>
          <t>TRADELINK</t>
        </r>
      </text>
    </comment>
    <comment ref="C1643" authorId="1" shapeId="0" xr:uid="{72582EEF-CF78-40AE-82C6-FDDC31E142F4}">
      <text>
        <r>
          <rPr>
            <b/>
            <sz val="9"/>
            <color indexed="81"/>
            <rFont val="Tahoma"/>
            <family val="2"/>
          </rPr>
          <t>TRADELINK</t>
        </r>
      </text>
    </comment>
    <comment ref="C1644" authorId="1" shapeId="0" xr:uid="{73D0B1CC-31DD-4C37-867E-D669F7FE71F2}">
      <text>
        <r>
          <rPr>
            <b/>
            <sz val="9"/>
            <color indexed="81"/>
            <rFont val="Tahoma"/>
            <family val="2"/>
          </rPr>
          <t>TRADELINK</t>
        </r>
      </text>
    </comment>
    <comment ref="C1645" authorId="1" shapeId="0" xr:uid="{CC1ED51A-CA6B-4E5C-8EEC-247C440BA72D}">
      <text>
        <r>
          <rPr>
            <b/>
            <sz val="9"/>
            <color indexed="81"/>
            <rFont val="Tahoma"/>
            <family val="2"/>
          </rPr>
          <t>TRADELINK</t>
        </r>
      </text>
    </comment>
    <comment ref="C1646" authorId="1" shapeId="0" xr:uid="{946D1A97-2B34-4339-B552-A997EAFD45BD}">
      <text>
        <r>
          <rPr>
            <b/>
            <sz val="9"/>
            <color indexed="81"/>
            <rFont val="Tahoma"/>
            <family val="2"/>
          </rPr>
          <t>TRADELINK</t>
        </r>
      </text>
    </comment>
    <comment ref="C1647" authorId="1" shapeId="0" xr:uid="{5313FE1D-DB9D-4904-93B2-E638FB7C0382}">
      <text>
        <r>
          <rPr>
            <b/>
            <sz val="9"/>
            <color indexed="81"/>
            <rFont val="Tahoma"/>
            <family val="2"/>
          </rPr>
          <t>TRADELINK</t>
        </r>
      </text>
    </comment>
    <comment ref="C1648" authorId="1" shapeId="0" xr:uid="{81ECE0B5-8C80-4BCF-AD56-B0033BBA9BD3}">
      <text>
        <r>
          <rPr>
            <b/>
            <sz val="9"/>
            <color indexed="81"/>
            <rFont val="Tahoma"/>
            <family val="2"/>
          </rPr>
          <t>TRADELINK</t>
        </r>
      </text>
    </comment>
    <comment ref="C1649" authorId="1" shapeId="0" xr:uid="{0ED50E10-AB38-4F37-A9DD-5526C35B927F}">
      <text>
        <r>
          <rPr>
            <b/>
            <sz val="9"/>
            <color indexed="81"/>
            <rFont val="Tahoma"/>
            <family val="2"/>
          </rPr>
          <t>TRADELINK</t>
        </r>
      </text>
    </comment>
    <comment ref="C1650" authorId="1" shapeId="0" xr:uid="{9EBB20CB-ADFD-4B50-A7AF-CF7BF144E23D}">
      <text>
        <r>
          <rPr>
            <b/>
            <sz val="9"/>
            <color indexed="81"/>
            <rFont val="Tahoma"/>
            <family val="2"/>
          </rPr>
          <t>TRADELINK</t>
        </r>
      </text>
    </comment>
    <comment ref="C1651" authorId="1" shapeId="0" xr:uid="{B0824549-C7FC-4F2C-B978-558B8C575EA1}">
      <text>
        <r>
          <rPr>
            <b/>
            <sz val="9"/>
            <color indexed="81"/>
            <rFont val="Tahoma"/>
            <family val="2"/>
          </rPr>
          <t>TRADELINK</t>
        </r>
      </text>
    </comment>
    <comment ref="C1652" authorId="1" shapeId="0" xr:uid="{02934360-6B67-452A-B994-26FF8649C0FD}">
      <text>
        <r>
          <rPr>
            <b/>
            <sz val="9"/>
            <color indexed="81"/>
            <rFont val="Tahoma"/>
            <family val="2"/>
          </rPr>
          <t>TRADELINK</t>
        </r>
      </text>
    </comment>
    <comment ref="C1653" authorId="1" shapeId="0" xr:uid="{A1311213-10E2-4F8C-B7DF-8BD3BC85750D}">
      <text>
        <r>
          <rPr>
            <b/>
            <sz val="9"/>
            <color indexed="81"/>
            <rFont val="Tahoma"/>
            <family val="2"/>
          </rPr>
          <t>TRADELINK</t>
        </r>
      </text>
    </comment>
    <comment ref="C1654" authorId="1" shapeId="0" xr:uid="{AC3CDEC3-7CF1-4270-9644-0B557A4BD5B0}">
      <text>
        <r>
          <rPr>
            <b/>
            <sz val="9"/>
            <color indexed="81"/>
            <rFont val="Tahoma"/>
            <family val="2"/>
          </rPr>
          <t>TRADELINK</t>
        </r>
      </text>
    </comment>
    <comment ref="C1655" authorId="1" shapeId="0" xr:uid="{A9239BA0-9996-40CD-8EF2-471D915DA7A3}">
      <text>
        <r>
          <rPr>
            <b/>
            <sz val="9"/>
            <color indexed="81"/>
            <rFont val="Tahoma"/>
            <family val="2"/>
          </rPr>
          <t>TRADELINK</t>
        </r>
      </text>
    </comment>
    <comment ref="C1656" authorId="1" shapeId="0" xr:uid="{94E8FAD0-E29C-4D04-B982-249E5EC77C18}">
      <text>
        <r>
          <rPr>
            <b/>
            <sz val="9"/>
            <color indexed="81"/>
            <rFont val="Tahoma"/>
            <family val="2"/>
          </rPr>
          <t>TRADELINK</t>
        </r>
      </text>
    </comment>
    <comment ref="C1657" authorId="1" shapeId="0" xr:uid="{8BCE0A9F-EB9A-4B37-8CB7-798DB2B2199A}">
      <text>
        <r>
          <rPr>
            <b/>
            <sz val="9"/>
            <color indexed="81"/>
            <rFont val="Tahoma"/>
            <family val="2"/>
          </rPr>
          <t>TRADELINK</t>
        </r>
      </text>
    </comment>
    <comment ref="C1658" authorId="1" shapeId="0" xr:uid="{30298A18-EED8-4311-8196-D7F23E771A4C}">
      <text>
        <r>
          <rPr>
            <b/>
            <sz val="9"/>
            <color indexed="81"/>
            <rFont val="Tahoma"/>
            <family val="2"/>
          </rPr>
          <t>TRADELINK</t>
        </r>
      </text>
    </comment>
    <comment ref="C1659" authorId="1" shapeId="0" xr:uid="{BAB2EF2B-203A-433C-8B2C-1392320F983A}">
      <text>
        <r>
          <rPr>
            <b/>
            <sz val="9"/>
            <color indexed="81"/>
            <rFont val="Tahoma"/>
            <family val="2"/>
          </rPr>
          <t>TRADELINK</t>
        </r>
      </text>
    </comment>
    <comment ref="C1660" authorId="1" shapeId="0" xr:uid="{CD37809B-13AE-4525-8B33-58A1EDD9E257}">
      <text>
        <r>
          <rPr>
            <b/>
            <sz val="9"/>
            <color indexed="81"/>
            <rFont val="Tahoma"/>
            <family val="2"/>
          </rPr>
          <t>TRADELINK</t>
        </r>
      </text>
    </comment>
    <comment ref="C1661" authorId="1" shapeId="0" xr:uid="{52ABE60F-F6DA-4583-A929-129E6AE58732}">
      <text>
        <r>
          <rPr>
            <b/>
            <sz val="9"/>
            <color indexed="81"/>
            <rFont val="Tahoma"/>
            <family val="2"/>
          </rPr>
          <t>TRADELINK</t>
        </r>
      </text>
    </comment>
    <comment ref="C1662" authorId="1" shapeId="0" xr:uid="{F59553CE-B822-44A5-8B85-B13583CF6199}">
      <text>
        <r>
          <rPr>
            <b/>
            <sz val="9"/>
            <color indexed="81"/>
            <rFont val="Tahoma"/>
            <family val="2"/>
          </rPr>
          <t>TRADELINK</t>
        </r>
      </text>
    </comment>
    <comment ref="C1663" authorId="1" shapeId="0" xr:uid="{DB6F46E6-529A-447F-BFF1-A83172B53D97}">
      <text>
        <r>
          <rPr>
            <b/>
            <sz val="9"/>
            <color indexed="81"/>
            <rFont val="Tahoma"/>
            <family val="2"/>
          </rPr>
          <t>TRADELINK</t>
        </r>
      </text>
    </comment>
    <comment ref="C1664" authorId="1" shapeId="0" xr:uid="{A8B99062-6438-4D83-8FAD-2CC09C7E2350}">
      <text>
        <r>
          <rPr>
            <b/>
            <sz val="9"/>
            <color indexed="81"/>
            <rFont val="Tahoma"/>
            <family val="2"/>
          </rPr>
          <t>TRADELINK</t>
        </r>
      </text>
    </comment>
    <comment ref="C1665" authorId="1" shapeId="0" xr:uid="{56B6CC6D-1FE0-430B-92F4-33243C8A8CB7}">
      <text>
        <r>
          <rPr>
            <b/>
            <sz val="9"/>
            <color indexed="81"/>
            <rFont val="Tahoma"/>
            <family val="2"/>
          </rPr>
          <t>TRADELINK</t>
        </r>
      </text>
    </comment>
    <comment ref="C1666" authorId="1" shapeId="0" xr:uid="{9EBD9BF8-0305-4C11-B33D-EBAAAA8EFE0C}">
      <text>
        <r>
          <rPr>
            <b/>
            <sz val="9"/>
            <color indexed="81"/>
            <rFont val="Tahoma"/>
            <family val="2"/>
          </rPr>
          <t>TRADELINK</t>
        </r>
      </text>
    </comment>
    <comment ref="C1667" authorId="1" shapeId="0" xr:uid="{2491E6F6-B3B8-4CD5-B909-F6434F8AD528}">
      <text>
        <r>
          <rPr>
            <b/>
            <sz val="9"/>
            <color indexed="81"/>
            <rFont val="Tahoma"/>
            <family val="2"/>
          </rPr>
          <t>TRADELINK</t>
        </r>
      </text>
    </comment>
    <comment ref="C1668" authorId="1" shapeId="0" xr:uid="{DAE03D7B-3BD6-431D-AF06-1CA944F85ADB}">
      <text>
        <r>
          <rPr>
            <b/>
            <sz val="9"/>
            <color indexed="81"/>
            <rFont val="Tahoma"/>
            <family val="2"/>
          </rPr>
          <t>TRADELINK</t>
        </r>
      </text>
    </comment>
    <comment ref="C1669" authorId="1" shapeId="0" xr:uid="{A3030899-335D-46EA-A279-0D557DB8C323}">
      <text>
        <r>
          <rPr>
            <b/>
            <sz val="9"/>
            <color indexed="81"/>
            <rFont val="Tahoma"/>
            <family val="2"/>
          </rPr>
          <t>TRADELINK</t>
        </r>
      </text>
    </comment>
    <comment ref="C1670" authorId="1" shapeId="0" xr:uid="{6ACBD1B5-FE4B-44D9-B3D3-F8BE8EB353FC}">
      <text>
        <r>
          <rPr>
            <b/>
            <sz val="9"/>
            <color indexed="81"/>
            <rFont val="Tahoma"/>
            <family val="2"/>
          </rPr>
          <t>TRADELINK</t>
        </r>
      </text>
    </comment>
    <comment ref="C1671" authorId="1" shapeId="0" xr:uid="{5C32E73D-98BE-4839-8EB1-81E543427A2D}">
      <text>
        <r>
          <rPr>
            <b/>
            <sz val="9"/>
            <color indexed="81"/>
            <rFont val="Tahoma"/>
            <family val="2"/>
          </rPr>
          <t>TRADELINK</t>
        </r>
      </text>
    </comment>
    <comment ref="C1672" authorId="1" shapeId="0" xr:uid="{85EBE7D9-C057-44E9-9C5D-D6D04230C6AB}">
      <text>
        <r>
          <rPr>
            <b/>
            <sz val="9"/>
            <color indexed="81"/>
            <rFont val="Tahoma"/>
            <family val="2"/>
          </rPr>
          <t>TRADELINK</t>
        </r>
      </text>
    </comment>
    <comment ref="C1673" authorId="1" shapeId="0" xr:uid="{0133D463-CFB1-471F-991F-5794DF9D2728}">
      <text>
        <r>
          <rPr>
            <b/>
            <sz val="9"/>
            <color indexed="81"/>
            <rFont val="Tahoma"/>
            <family val="2"/>
          </rPr>
          <t>TRADELINK</t>
        </r>
      </text>
    </comment>
    <comment ref="C1674" authorId="1" shapeId="0" xr:uid="{E4E73219-05BD-492B-8D7D-8E9F90ABF572}">
      <text>
        <r>
          <rPr>
            <b/>
            <sz val="9"/>
            <color indexed="81"/>
            <rFont val="Tahoma"/>
            <family val="2"/>
          </rPr>
          <t>TRADELINK</t>
        </r>
      </text>
    </comment>
    <comment ref="C1675" authorId="1" shapeId="0" xr:uid="{C9932961-6733-4E05-A261-1E5368FAB66B}">
      <text>
        <r>
          <rPr>
            <b/>
            <sz val="9"/>
            <color indexed="81"/>
            <rFont val="Tahoma"/>
            <family val="2"/>
          </rPr>
          <t>TRADELINK</t>
        </r>
      </text>
    </comment>
    <comment ref="C1676" authorId="1" shapeId="0" xr:uid="{ED3C378C-D69A-4DEB-A55B-94D2AF7FF7F8}">
      <text>
        <r>
          <rPr>
            <b/>
            <sz val="9"/>
            <color indexed="81"/>
            <rFont val="Tahoma"/>
            <family val="2"/>
          </rPr>
          <t>TRADELINK</t>
        </r>
      </text>
    </comment>
    <comment ref="C1677" authorId="1" shapeId="0" xr:uid="{24EE5DDB-9F53-4703-812A-11C44A104396}">
      <text>
        <r>
          <rPr>
            <b/>
            <sz val="9"/>
            <color indexed="81"/>
            <rFont val="Tahoma"/>
            <family val="2"/>
          </rPr>
          <t>TRADELINK</t>
        </r>
      </text>
    </comment>
    <comment ref="C1678" authorId="1" shapeId="0" xr:uid="{163FC42A-62C8-4455-BF53-AB3EA929D8B9}">
      <text>
        <r>
          <rPr>
            <b/>
            <sz val="9"/>
            <color indexed="81"/>
            <rFont val="Tahoma"/>
            <family val="2"/>
          </rPr>
          <t>TRADELINK</t>
        </r>
      </text>
    </comment>
    <comment ref="C1679" authorId="1" shapeId="0" xr:uid="{A1E6937F-1503-410E-A167-D01BB17AE356}">
      <text>
        <r>
          <rPr>
            <b/>
            <sz val="9"/>
            <color indexed="81"/>
            <rFont val="Tahoma"/>
            <family val="2"/>
          </rPr>
          <t>TRADELINK</t>
        </r>
      </text>
    </comment>
    <comment ref="C1680" authorId="1" shapeId="0" xr:uid="{258E8275-292B-4E7F-8946-5BA239993775}">
      <text>
        <r>
          <rPr>
            <b/>
            <sz val="9"/>
            <color indexed="81"/>
            <rFont val="Tahoma"/>
            <family val="2"/>
          </rPr>
          <t>TRADELINK</t>
        </r>
      </text>
    </comment>
    <comment ref="C1681" authorId="1" shapeId="0" xr:uid="{B0409D71-7BF7-409D-BE00-6A5264EC0FF6}">
      <text>
        <r>
          <rPr>
            <b/>
            <sz val="9"/>
            <color indexed="81"/>
            <rFont val="Tahoma"/>
            <family val="2"/>
          </rPr>
          <t>TRADELINK</t>
        </r>
      </text>
    </comment>
    <comment ref="C1682" authorId="1" shapeId="0" xr:uid="{944248C1-99EE-4147-82BC-E333D818848A}">
      <text>
        <r>
          <rPr>
            <b/>
            <sz val="9"/>
            <color indexed="81"/>
            <rFont val="Tahoma"/>
            <family val="2"/>
          </rPr>
          <t>TRADELINK</t>
        </r>
      </text>
    </comment>
    <comment ref="C1683" authorId="1" shapeId="0" xr:uid="{84A6E5EB-5CA9-4026-A44B-FBE732ED8412}">
      <text>
        <r>
          <rPr>
            <b/>
            <sz val="9"/>
            <color indexed="81"/>
            <rFont val="Tahoma"/>
            <family val="2"/>
          </rPr>
          <t>TRADELINK</t>
        </r>
      </text>
    </comment>
    <comment ref="C1684" authorId="1" shapeId="0" xr:uid="{D0E05A6E-06FB-4CEF-A891-BBC997FD14F2}">
      <text>
        <r>
          <rPr>
            <b/>
            <sz val="9"/>
            <color indexed="81"/>
            <rFont val="Tahoma"/>
            <family val="2"/>
          </rPr>
          <t>TRADELINK</t>
        </r>
      </text>
    </comment>
    <comment ref="C1685" authorId="1" shapeId="0" xr:uid="{58F3FA46-F38C-4653-AA09-F08CC9362CBB}">
      <text>
        <r>
          <rPr>
            <b/>
            <sz val="9"/>
            <color indexed="81"/>
            <rFont val="Tahoma"/>
            <family val="2"/>
          </rPr>
          <t>TRADELINK</t>
        </r>
      </text>
    </comment>
    <comment ref="C1686" authorId="1" shapeId="0" xr:uid="{3F638968-DC59-431E-BC38-511542D2AC56}">
      <text>
        <r>
          <rPr>
            <b/>
            <sz val="9"/>
            <color indexed="81"/>
            <rFont val="Tahoma"/>
            <family val="2"/>
          </rPr>
          <t>TRADELINK</t>
        </r>
      </text>
    </comment>
    <comment ref="C1687" authorId="1" shapeId="0" xr:uid="{AA73ED73-E253-4C3C-9AF0-FF2598024361}">
      <text>
        <r>
          <rPr>
            <b/>
            <sz val="9"/>
            <color indexed="81"/>
            <rFont val="Tahoma"/>
            <family val="2"/>
          </rPr>
          <t>TRADELINK</t>
        </r>
      </text>
    </comment>
    <comment ref="C1688" authorId="1" shapeId="0" xr:uid="{3C85980C-5DE1-41E0-ABCE-5C32A4ED8610}">
      <text>
        <r>
          <rPr>
            <b/>
            <sz val="9"/>
            <color indexed="81"/>
            <rFont val="Tahoma"/>
            <family val="2"/>
          </rPr>
          <t>TRADELINK</t>
        </r>
      </text>
    </comment>
    <comment ref="C1689" authorId="1" shapeId="0" xr:uid="{FBE34D92-C988-4A46-82CD-CBD91E2369E8}">
      <text>
        <r>
          <rPr>
            <b/>
            <sz val="9"/>
            <color indexed="81"/>
            <rFont val="Tahoma"/>
            <family val="2"/>
          </rPr>
          <t>TRADELINK</t>
        </r>
      </text>
    </comment>
    <comment ref="C1690" authorId="1" shapeId="0" xr:uid="{46884E93-32AB-4808-AD3C-FB3BDF60F5F8}">
      <text>
        <r>
          <rPr>
            <b/>
            <sz val="9"/>
            <color indexed="81"/>
            <rFont val="Tahoma"/>
            <family val="2"/>
          </rPr>
          <t>TRADELINK</t>
        </r>
      </text>
    </comment>
    <comment ref="C1691" authorId="1" shapeId="0" xr:uid="{ADEDDB55-E2EA-4E93-97F7-260270887E88}">
      <text>
        <r>
          <rPr>
            <b/>
            <sz val="9"/>
            <color indexed="81"/>
            <rFont val="Tahoma"/>
            <family val="2"/>
          </rPr>
          <t>TRADELINK</t>
        </r>
      </text>
    </comment>
    <comment ref="C1692" authorId="1" shapeId="0" xr:uid="{2C92594B-4A89-40E6-8EC0-70A6317FF8CE}">
      <text>
        <r>
          <rPr>
            <b/>
            <sz val="9"/>
            <color indexed="81"/>
            <rFont val="Tahoma"/>
            <family val="2"/>
          </rPr>
          <t>TRADELINK</t>
        </r>
      </text>
    </comment>
    <comment ref="C1693" authorId="1" shapeId="0" xr:uid="{9D977BC6-018E-4E9D-BB9F-AF0958585514}">
      <text>
        <r>
          <rPr>
            <b/>
            <sz val="9"/>
            <color indexed="81"/>
            <rFont val="Tahoma"/>
            <family val="2"/>
          </rPr>
          <t>TRADELINK</t>
        </r>
      </text>
    </comment>
    <comment ref="C1694" authorId="1" shapeId="0" xr:uid="{DA4C3C4E-CE79-4C39-843C-70A0E66EC0D8}">
      <text>
        <r>
          <rPr>
            <b/>
            <sz val="9"/>
            <color indexed="81"/>
            <rFont val="Tahoma"/>
            <family val="2"/>
          </rPr>
          <t>TRADELINK</t>
        </r>
      </text>
    </comment>
    <comment ref="C1695" authorId="1" shapeId="0" xr:uid="{E12399D1-8E2F-4FA8-B65A-D716695C5232}">
      <text>
        <r>
          <rPr>
            <b/>
            <sz val="9"/>
            <color indexed="81"/>
            <rFont val="Tahoma"/>
            <family val="2"/>
          </rPr>
          <t>TRADELINK</t>
        </r>
      </text>
    </comment>
    <comment ref="C1696" authorId="1" shapeId="0" xr:uid="{EA1E3591-2B20-4722-9C56-A7CF7071DC74}">
      <text>
        <r>
          <rPr>
            <b/>
            <sz val="9"/>
            <color indexed="81"/>
            <rFont val="Tahoma"/>
            <family val="2"/>
          </rPr>
          <t>TRADELINK</t>
        </r>
      </text>
    </comment>
    <comment ref="C1697" authorId="1" shapeId="0" xr:uid="{AFBBBA60-64E8-4ED7-9CE6-EBEBF979CF5A}">
      <text>
        <r>
          <rPr>
            <b/>
            <sz val="9"/>
            <color indexed="81"/>
            <rFont val="Tahoma"/>
            <family val="2"/>
          </rPr>
          <t>TRADELINK</t>
        </r>
      </text>
    </comment>
    <comment ref="C1698" authorId="1" shapeId="0" xr:uid="{32A183D0-0244-4CE2-88F1-377170F24659}">
      <text>
        <r>
          <rPr>
            <b/>
            <sz val="9"/>
            <color indexed="81"/>
            <rFont val="Tahoma"/>
            <family val="2"/>
          </rPr>
          <t>TRADELINK</t>
        </r>
      </text>
    </comment>
    <comment ref="C1699" authorId="1" shapeId="0" xr:uid="{3B74F5B0-60EB-4195-ADD5-7260FBCDA78A}">
      <text>
        <r>
          <rPr>
            <b/>
            <sz val="9"/>
            <color indexed="81"/>
            <rFont val="Tahoma"/>
            <family val="2"/>
          </rPr>
          <t>TRADELINK</t>
        </r>
      </text>
    </comment>
    <comment ref="C1700" authorId="1" shapeId="0" xr:uid="{649DE4AE-EEC4-426B-9DF8-135602D2FCFB}">
      <text>
        <r>
          <rPr>
            <b/>
            <sz val="9"/>
            <color indexed="81"/>
            <rFont val="Tahoma"/>
            <family val="2"/>
          </rPr>
          <t>TRADELINK</t>
        </r>
      </text>
    </comment>
    <comment ref="C1701" authorId="1" shapeId="0" xr:uid="{A2AC4FB2-C770-4FA2-8601-A5F7D33E6096}">
      <text>
        <r>
          <rPr>
            <b/>
            <sz val="9"/>
            <color indexed="81"/>
            <rFont val="Tahoma"/>
            <family val="2"/>
          </rPr>
          <t>TRADELINK</t>
        </r>
      </text>
    </comment>
    <comment ref="C1702" authorId="1" shapeId="0" xr:uid="{6BCFA57A-A71C-4F8E-AE3D-8E10C1135948}">
      <text>
        <r>
          <rPr>
            <b/>
            <sz val="9"/>
            <color indexed="81"/>
            <rFont val="Tahoma"/>
            <family val="2"/>
          </rPr>
          <t>TRADELINK</t>
        </r>
      </text>
    </comment>
    <comment ref="C1703" authorId="1" shapeId="0" xr:uid="{3C2AF3CA-4233-490B-AA38-83069A68EC6A}">
      <text>
        <r>
          <rPr>
            <b/>
            <sz val="9"/>
            <color indexed="81"/>
            <rFont val="Tahoma"/>
            <family val="2"/>
          </rPr>
          <t>TRADELINK</t>
        </r>
      </text>
    </comment>
    <comment ref="C1704" authorId="1" shapeId="0" xr:uid="{C382B9AF-358A-483F-86A9-F7DCA5F25C22}">
      <text>
        <r>
          <rPr>
            <b/>
            <sz val="9"/>
            <color indexed="81"/>
            <rFont val="Tahoma"/>
            <family val="2"/>
          </rPr>
          <t>TRADELINK</t>
        </r>
      </text>
    </comment>
    <comment ref="C1705" authorId="1" shapeId="0" xr:uid="{9EFEF855-5AFD-4D3E-8706-E6B0F893273F}">
      <text>
        <r>
          <rPr>
            <b/>
            <sz val="9"/>
            <color indexed="81"/>
            <rFont val="Tahoma"/>
            <family val="2"/>
          </rPr>
          <t>TRADELINK</t>
        </r>
      </text>
    </comment>
    <comment ref="C1706" authorId="1" shapeId="0" xr:uid="{4E5F835D-0D06-43C2-92CA-E41490CC6B6D}">
      <text>
        <r>
          <rPr>
            <b/>
            <sz val="9"/>
            <color indexed="81"/>
            <rFont val="Tahoma"/>
            <family val="2"/>
          </rPr>
          <t>TRADELINK</t>
        </r>
      </text>
    </comment>
    <comment ref="F1767" authorId="1" shapeId="0" xr:uid="{209F517A-894D-4456-8AAB-9649C4DED206}">
      <text>
        <r>
          <rPr>
            <b/>
            <sz val="9"/>
            <color indexed="81"/>
            <rFont val="Tahoma"/>
            <family val="2"/>
          </rPr>
          <t>Untested Formula</t>
        </r>
      </text>
    </comment>
    <comment ref="F1786" authorId="1" shapeId="0" xr:uid="{FE7167EA-DF8E-4B7F-B013-FA06154A890A}">
      <text>
        <r>
          <rPr>
            <b/>
            <sz val="9"/>
            <color indexed="81"/>
            <rFont val="Tahoma"/>
            <family val="2"/>
          </rPr>
          <t>Untested Formula</t>
        </r>
      </text>
    </comment>
    <comment ref="C1795" authorId="1" shapeId="0" xr:uid="{8CA39A4A-B06A-45B0-9406-91D457C1B41A}">
      <text>
        <r>
          <rPr>
            <b/>
            <sz val="9"/>
            <color indexed="81"/>
            <rFont val="Tahoma"/>
            <family val="2"/>
          </rPr>
          <t>ELECTSALES</t>
        </r>
      </text>
    </comment>
    <comment ref="C1796" authorId="1" shapeId="0" xr:uid="{A21B32C3-C23D-42AE-BE2A-4BF92A7FC2DD}">
      <text>
        <r>
          <rPr>
            <b/>
            <sz val="9"/>
            <color indexed="81"/>
            <rFont val="Tahoma"/>
            <family val="2"/>
          </rPr>
          <t>ELECTSALES</t>
        </r>
      </text>
    </comment>
    <comment ref="C1797" authorId="1" shapeId="0" xr:uid="{E75150B8-80FE-4601-9D56-FF71CEEE4C94}">
      <text>
        <r>
          <rPr>
            <b/>
            <sz val="9"/>
            <color indexed="81"/>
            <rFont val="Tahoma"/>
            <family val="2"/>
          </rPr>
          <t>ELECTSALES</t>
        </r>
      </text>
    </comment>
    <comment ref="C1798" authorId="1" shapeId="0" xr:uid="{F53A9FBA-4549-43C7-A5BD-CD2128A13946}">
      <text>
        <r>
          <rPr>
            <b/>
            <sz val="9"/>
            <color indexed="81"/>
            <rFont val="Tahoma"/>
            <family val="2"/>
          </rPr>
          <t>ELECTSALES</t>
        </r>
      </text>
    </comment>
    <comment ref="C1799" authorId="1" shapeId="0" xr:uid="{F425FC99-9F51-40F4-8AB6-AF4015CB1645}">
      <text>
        <r>
          <rPr>
            <b/>
            <sz val="9"/>
            <color indexed="81"/>
            <rFont val="Tahoma"/>
            <family val="2"/>
          </rPr>
          <t>ELECTSALES</t>
        </r>
      </text>
    </comment>
    <comment ref="C1800" authorId="1" shapeId="0" xr:uid="{A1354DFB-38E3-4843-A645-01DB936DD581}">
      <text>
        <r>
          <rPr>
            <b/>
            <sz val="9"/>
            <color indexed="81"/>
            <rFont val="Tahoma"/>
            <family val="2"/>
          </rPr>
          <t>ELECTSALES</t>
        </r>
      </text>
    </comment>
    <comment ref="C1801" authorId="1" shapeId="0" xr:uid="{EE213F37-D6EC-4CB2-9B41-ABAB837D8DD0}">
      <text>
        <r>
          <rPr>
            <b/>
            <sz val="9"/>
            <color indexed="81"/>
            <rFont val="Tahoma"/>
            <family val="2"/>
          </rPr>
          <t>ELECTSALES</t>
        </r>
      </text>
    </comment>
    <comment ref="C1802" authorId="1" shapeId="0" xr:uid="{E18BAA16-106B-47CC-A43A-3628D686CBE1}">
      <text>
        <r>
          <rPr>
            <b/>
            <sz val="9"/>
            <color indexed="81"/>
            <rFont val="Tahoma"/>
            <family val="2"/>
          </rPr>
          <t>ELECTSALES</t>
        </r>
      </text>
    </comment>
    <comment ref="C1803" authorId="1" shapeId="0" xr:uid="{DE06F60C-7D1F-4324-BE87-B20F768F311C}">
      <text>
        <r>
          <rPr>
            <b/>
            <sz val="9"/>
            <color indexed="81"/>
            <rFont val="Tahoma"/>
            <family val="2"/>
          </rPr>
          <t>ELECTSALES</t>
        </r>
      </text>
    </comment>
    <comment ref="C1804" authorId="1" shapeId="0" xr:uid="{393D39AE-A3E9-40AE-BBED-33F8F26BEC96}">
      <text>
        <r>
          <rPr>
            <b/>
            <sz val="9"/>
            <color indexed="81"/>
            <rFont val="Tahoma"/>
            <family val="2"/>
          </rPr>
          <t>ELECTSALES</t>
        </r>
      </text>
    </comment>
    <comment ref="C1805" authorId="1" shapeId="0" xr:uid="{2CF011DC-885F-473F-BE54-D92676122CEC}">
      <text>
        <r>
          <rPr>
            <b/>
            <sz val="9"/>
            <color indexed="81"/>
            <rFont val="Tahoma"/>
            <family val="2"/>
          </rPr>
          <t>ELECTSALES</t>
        </r>
      </text>
    </comment>
    <comment ref="C1806" authorId="1" shapeId="0" xr:uid="{8740C182-6B7F-47CC-8760-FEB39C0A949C}">
      <text>
        <r>
          <rPr>
            <b/>
            <sz val="9"/>
            <color indexed="81"/>
            <rFont val="Tahoma"/>
            <family val="2"/>
          </rPr>
          <t>ELECTSALES</t>
        </r>
      </text>
    </comment>
    <comment ref="C1807" authorId="1" shapeId="0" xr:uid="{EB81683E-8644-452E-9147-69BC3908F19E}">
      <text>
        <r>
          <rPr>
            <b/>
            <sz val="9"/>
            <color indexed="81"/>
            <rFont val="Tahoma"/>
            <family val="2"/>
          </rPr>
          <t>ELECTSALES</t>
        </r>
      </text>
    </comment>
    <comment ref="C1809" authorId="1" shapeId="0" xr:uid="{2A26A2B7-2B21-400C-83F4-F5B5E3BB49C8}">
      <text>
        <r>
          <rPr>
            <b/>
            <sz val="9"/>
            <color indexed="81"/>
            <rFont val="Tahoma"/>
            <family val="2"/>
          </rPr>
          <t>ELECTSALES</t>
        </r>
      </text>
    </comment>
    <comment ref="C1810" authorId="1" shapeId="0" xr:uid="{981F1927-FD5C-4E04-9991-9D5A53CE8959}">
      <text>
        <r>
          <rPr>
            <b/>
            <sz val="9"/>
            <color indexed="81"/>
            <rFont val="Tahoma"/>
            <family val="2"/>
          </rPr>
          <t>ELECTSALES</t>
        </r>
      </text>
    </comment>
    <comment ref="F1810" authorId="1" shapeId="0" xr:uid="{8AFBD38C-06B0-40AA-AA39-5C63DBA155C0}">
      <text>
        <r>
          <rPr>
            <b/>
            <sz val="9"/>
            <color indexed="81"/>
            <rFont val="Tahoma"/>
            <family val="2"/>
          </rPr>
          <t>Main:</t>
        </r>
        <r>
          <rPr>
            <sz val="9"/>
            <color indexed="81"/>
            <rFont val="Tahoma"/>
            <family val="2"/>
          </rPr>
          <t xml:space="preserve">
WHG956SA + WHG956SB OLD MODELS NEW MODEL WHG958SC</t>
        </r>
      </text>
    </comment>
    <comment ref="C1811" authorId="1" shapeId="0" xr:uid="{28813C70-94EB-4C2E-A93D-FBB38D74343B}">
      <text>
        <r>
          <rPr>
            <b/>
            <sz val="9"/>
            <color indexed="81"/>
            <rFont val="Tahoma"/>
            <family val="2"/>
          </rPr>
          <t>ELECTSALES</t>
        </r>
      </text>
    </comment>
    <comment ref="C1812" authorId="1" shapeId="0" xr:uid="{DB1241F1-C9AA-428B-9624-D30D67A7B4E9}">
      <text>
        <r>
          <rPr>
            <b/>
            <sz val="9"/>
            <color indexed="81"/>
            <rFont val="Tahoma"/>
            <family val="2"/>
          </rPr>
          <t>ELECTSALES</t>
        </r>
      </text>
    </comment>
    <comment ref="C1814" authorId="1" shapeId="0" xr:uid="{4283E49F-829C-4A54-B62E-777F6542F556}">
      <text>
        <r>
          <rPr>
            <b/>
            <sz val="9"/>
            <color indexed="81"/>
            <rFont val="Tahoma"/>
            <family val="2"/>
          </rPr>
          <t>ELECTSALES</t>
        </r>
      </text>
    </comment>
    <comment ref="C1817" authorId="1" shapeId="0" xr:uid="{63DDCFBB-61B1-4459-BC95-6D50F09D7232}">
      <text>
        <r>
          <rPr>
            <b/>
            <sz val="9"/>
            <color indexed="81"/>
            <rFont val="Tahoma"/>
            <family val="2"/>
          </rPr>
          <t>ELECTSALES</t>
        </r>
      </text>
    </comment>
    <comment ref="C1818" authorId="1" shapeId="0" xr:uid="{F55CCAAD-86FA-4A97-A200-CE7A91D81202}">
      <text>
        <r>
          <rPr>
            <b/>
            <sz val="9"/>
            <color indexed="81"/>
            <rFont val="Tahoma"/>
            <family val="2"/>
          </rPr>
          <t>ELECTSALES</t>
        </r>
      </text>
    </comment>
    <comment ref="C1819" authorId="1" shapeId="0" xr:uid="{8F403A0E-8C88-4C3D-9D18-F363F244D1FB}">
      <text>
        <r>
          <rPr>
            <b/>
            <sz val="9"/>
            <color indexed="81"/>
            <rFont val="Tahoma"/>
            <family val="2"/>
          </rPr>
          <t>ELECTSALES</t>
        </r>
      </text>
    </comment>
    <comment ref="C1820" authorId="1" shapeId="0" xr:uid="{FFBE9424-90D4-4AD2-B3F2-04797887B4E2}">
      <text>
        <r>
          <rPr>
            <b/>
            <sz val="9"/>
            <color indexed="81"/>
            <rFont val="Tahoma"/>
            <family val="2"/>
          </rPr>
          <t>ELECTSALES</t>
        </r>
      </text>
    </comment>
    <comment ref="F1820" authorId="0" shapeId="0" xr:uid="{8A67228D-837F-4AD3-BAE2-802E89385E59}">
      <text>
        <r>
          <rPr>
            <b/>
            <sz val="9"/>
            <color indexed="81"/>
            <rFont val="Tahoma"/>
            <family val="2"/>
          </rPr>
          <t>Paul Newton:</t>
        </r>
        <r>
          <rPr>
            <sz val="9"/>
            <color indexed="81"/>
            <rFont val="Tahoma"/>
            <family val="2"/>
          </rPr>
          <t xml:space="preserve">
REPLACES WVE916SB</t>
        </r>
      </text>
    </comment>
    <comment ref="C1822" authorId="1" shapeId="0" xr:uid="{1F093FFB-34B9-41A4-BF92-88EAC3895539}">
      <text>
        <r>
          <rPr>
            <b/>
            <sz val="9"/>
            <color indexed="81"/>
            <rFont val="Tahoma"/>
            <family val="2"/>
          </rPr>
          <t>ELECTSALES</t>
        </r>
      </text>
    </comment>
    <comment ref="C1823" authorId="1" shapeId="0" xr:uid="{270CCF98-D756-4E9B-AB7B-AF3ACF891EC1}">
      <text>
        <r>
          <rPr>
            <b/>
            <sz val="9"/>
            <color indexed="81"/>
            <rFont val="Tahoma"/>
            <family val="2"/>
          </rPr>
          <t>ELECTSALES</t>
        </r>
      </text>
    </comment>
    <comment ref="C1824" authorId="1" shapeId="0" xr:uid="{2A95B72E-11D7-4047-9B6B-F19A8BC06A54}">
      <text>
        <r>
          <rPr>
            <b/>
            <sz val="9"/>
            <color indexed="81"/>
            <rFont val="Tahoma"/>
            <family val="2"/>
          </rPr>
          <t>ELECTSALES</t>
        </r>
      </text>
    </comment>
    <comment ref="C1825" authorId="1" shapeId="0" xr:uid="{02BB87E9-BC13-49B0-891A-D420F40624AF}">
      <text>
        <r>
          <rPr>
            <b/>
            <sz val="9"/>
            <color indexed="81"/>
            <rFont val="Tahoma"/>
            <family val="2"/>
          </rPr>
          <t>ELECTSALES</t>
        </r>
      </text>
    </comment>
    <comment ref="C1826" authorId="1" shapeId="0" xr:uid="{E75B48C9-7DC5-4980-BE19-2E5DFC731053}">
      <text>
        <r>
          <rPr>
            <b/>
            <sz val="9"/>
            <color indexed="81"/>
            <rFont val="Tahoma"/>
            <family val="2"/>
          </rPr>
          <t>ELECTSALES</t>
        </r>
      </text>
    </comment>
    <comment ref="C1827" authorId="1" shapeId="0" xr:uid="{ADDE6E71-3BDB-4B36-9011-2CC0F0306001}">
      <text>
        <r>
          <rPr>
            <b/>
            <sz val="9"/>
            <color indexed="81"/>
            <rFont val="Tahoma"/>
            <family val="2"/>
          </rPr>
          <t>ELECTSALES</t>
        </r>
      </text>
    </comment>
    <comment ref="C1828" authorId="1" shapeId="0" xr:uid="{048B8449-2F10-4F9A-8DEF-E651F0E9A2E6}">
      <text>
        <r>
          <rPr>
            <b/>
            <sz val="9"/>
            <color indexed="81"/>
            <rFont val="Tahoma"/>
            <family val="2"/>
          </rPr>
          <t>ELECTSALES</t>
        </r>
      </text>
    </comment>
    <comment ref="C1829" authorId="1" shapeId="0" xr:uid="{ABF88C0E-57A2-4855-A0AC-0D71FC9C7E6F}">
      <text>
        <r>
          <rPr>
            <b/>
            <sz val="9"/>
            <color indexed="81"/>
            <rFont val="Tahoma"/>
            <family val="2"/>
          </rPr>
          <t>ELECTSALES</t>
        </r>
      </text>
    </comment>
    <comment ref="C1830" authorId="1" shapeId="0" xr:uid="{C27EA7C9-AFCB-4207-99C8-DC2030534E7F}">
      <text>
        <r>
          <rPr>
            <b/>
            <sz val="9"/>
            <color indexed="81"/>
            <rFont val="Tahoma"/>
            <family val="2"/>
          </rPr>
          <t>ELECTSALES</t>
        </r>
      </text>
    </comment>
    <comment ref="C1831" authorId="1" shapeId="0" xr:uid="{8EFEBF92-8808-4529-8031-B96EBAF910D2}">
      <text>
        <r>
          <rPr>
            <b/>
            <sz val="9"/>
            <color indexed="81"/>
            <rFont val="Tahoma"/>
            <family val="2"/>
          </rPr>
          <t>ELECTSALES</t>
        </r>
      </text>
    </comment>
    <comment ref="C1835" authorId="1" shapeId="0" xr:uid="{D5230C04-8217-46D9-96E8-E0B5C03576A2}">
      <text>
        <r>
          <rPr>
            <b/>
            <sz val="9"/>
            <color indexed="81"/>
            <rFont val="Tahoma"/>
            <family val="2"/>
          </rPr>
          <t>ELECTSALES</t>
        </r>
      </text>
    </comment>
    <comment ref="C1836" authorId="1" shapeId="0" xr:uid="{0F44CEE9-6173-4043-9E88-074927F2BB8E}">
      <text>
        <r>
          <rPr>
            <b/>
            <sz val="9"/>
            <color indexed="81"/>
            <rFont val="Tahoma"/>
            <family val="2"/>
          </rPr>
          <t>ELECTSALES</t>
        </r>
      </text>
    </comment>
    <comment ref="C1837" authorId="1" shapeId="0" xr:uid="{7189E3BE-59EA-4B45-8B4F-CFD84D0FFF25}">
      <text>
        <r>
          <rPr>
            <b/>
            <sz val="9"/>
            <color indexed="81"/>
            <rFont val="Tahoma"/>
            <family val="2"/>
          </rPr>
          <t>ELECTSALES</t>
        </r>
      </text>
    </comment>
    <comment ref="C1838" authorId="1" shapeId="0" xr:uid="{77D09941-E6D0-47CE-B440-D5F0436C13D3}">
      <text>
        <r>
          <rPr>
            <b/>
            <sz val="9"/>
            <color indexed="81"/>
            <rFont val="Tahoma"/>
            <family val="2"/>
          </rPr>
          <t>ELECTSALES</t>
        </r>
      </text>
    </comment>
    <comment ref="C1839" authorId="1" shapeId="0" xr:uid="{24FBBD1C-DD1C-4419-BDB6-00B9C8F2286A}">
      <text>
        <r>
          <rPr>
            <b/>
            <sz val="9"/>
            <color indexed="81"/>
            <rFont val="Tahoma"/>
            <family val="2"/>
          </rPr>
          <t>ELECTSALES</t>
        </r>
      </text>
    </comment>
    <comment ref="C1840" authorId="1" shapeId="0" xr:uid="{13F3D087-45B2-4CA8-B5C4-4835ACB9495E}">
      <text>
        <r>
          <rPr>
            <b/>
            <sz val="9"/>
            <color indexed="81"/>
            <rFont val="Tahoma"/>
            <family val="2"/>
          </rPr>
          <t>ELECTSALES</t>
        </r>
      </text>
    </comment>
    <comment ref="F1855" authorId="3" shapeId="0" xr:uid="{8FE6CD2D-A751-4EBB-956B-901A53C9302F}">
      <text>
        <t>[Threaded comment]
Your version of Excel allows you to read this threaded comment; however, any edits to it will get removed if the file is opened in a newer version of Excel. Learn more: https://go.microsoft.com/fwlink/?linkid=870924
Comment:
    QUANTUM HEAT PUMP BY MARK WILCOX</t>
      </text>
    </comment>
    <comment ref="C1860" authorId="1" shapeId="0" xr:uid="{02B9BC30-C5F6-4ECE-88EF-5971DD612D61}">
      <text>
        <r>
          <rPr>
            <b/>
            <sz val="9"/>
            <color indexed="81"/>
            <rFont val="Tahoma"/>
            <family val="2"/>
          </rPr>
          <t>ELECTSALES</t>
        </r>
      </text>
    </comment>
    <comment ref="C1861" authorId="1" shapeId="0" xr:uid="{92D71420-A63A-4ED4-8AA9-76F0554BF82F}">
      <text>
        <r>
          <rPr>
            <b/>
            <sz val="9"/>
            <color indexed="81"/>
            <rFont val="Tahoma"/>
            <family val="2"/>
          </rPr>
          <t>ELECTSALES</t>
        </r>
      </text>
    </comment>
    <comment ref="C1862" authorId="1" shapeId="0" xr:uid="{0BC99A98-2E9F-4832-9A8A-229C2060BE1B}">
      <text>
        <r>
          <rPr>
            <b/>
            <sz val="9"/>
            <color indexed="81"/>
            <rFont val="Tahoma"/>
            <family val="2"/>
          </rPr>
          <t>ELECTSALES</t>
        </r>
      </text>
    </comment>
    <comment ref="C1863" authorId="1" shapeId="0" xr:uid="{2C162728-3A75-4C1E-9681-E3CEADD35FC4}">
      <text>
        <r>
          <rPr>
            <b/>
            <sz val="9"/>
            <color indexed="81"/>
            <rFont val="Tahoma"/>
            <family val="2"/>
          </rPr>
          <t>ELECTSALES</t>
        </r>
      </text>
    </comment>
    <comment ref="C1865" authorId="1" shapeId="0" xr:uid="{520F9365-BAAC-4DB2-B665-37967EE4EE5D}">
      <text>
        <r>
          <rPr>
            <b/>
            <sz val="9"/>
            <color indexed="81"/>
            <rFont val="Tahoma"/>
            <family val="2"/>
          </rPr>
          <t>04583 Ikon Glass - Plunkett
 04467 Jaosn Windows - WACB</t>
        </r>
      </text>
    </comment>
    <comment ref="F1872" authorId="1" shapeId="0" xr:uid="{6EC6260F-C46B-4D0D-9BF0-5247DE895F34}">
      <text>
        <r>
          <rPr>
            <b/>
            <sz val="9"/>
            <color indexed="81"/>
            <rFont val="Tahoma"/>
            <family val="2"/>
          </rPr>
          <t>Main:</t>
        </r>
        <r>
          <rPr>
            <sz val="9"/>
            <color indexed="81"/>
            <rFont val="Tahoma"/>
            <family val="2"/>
          </rPr>
          <t xml:space="preserve">
Need to take off fascia for this to work</t>
        </r>
      </text>
    </comment>
    <comment ref="F1873" authorId="1" shapeId="0" xr:uid="{AC9D8E61-7A43-4427-B845-7D0DCFA3611F}">
      <text>
        <r>
          <rPr>
            <b/>
            <sz val="9"/>
            <color indexed="81"/>
            <rFont val="Tahoma"/>
            <family val="2"/>
          </rPr>
          <t>Main:</t>
        </r>
        <r>
          <rPr>
            <sz val="9"/>
            <color indexed="81"/>
            <rFont val="Tahoma"/>
            <family val="2"/>
          </rPr>
          <t xml:space="preserve">
Need to take off fascia for this to work</t>
        </r>
      </text>
    </comment>
    <comment ref="F1874" authorId="1" shapeId="0" xr:uid="{1F27812F-BD29-4C54-BDF8-3C20215EA2DB}">
      <text>
        <r>
          <rPr>
            <b/>
            <sz val="9"/>
            <color indexed="81"/>
            <rFont val="Tahoma"/>
            <family val="2"/>
          </rPr>
          <t>Main:</t>
        </r>
        <r>
          <rPr>
            <sz val="9"/>
            <color indexed="81"/>
            <rFont val="Tahoma"/>
            <family val="2"/>
          </rPr>
          <t xml:space="preserve">
Need to take off fascia for this to work</t>
        </r>
      </text>
    </comment>
    <comment ref="F1893" authorId="1" shapeId="0" xr:uid="{C888172C-F517-4EE4-B3FE-BDDFE789E871}">
      <text>
        <r>
          <rPr>
            <b/>
            <sz val="9"/>
            <color indexed="81"/>
            <rFont val="Tahoma"/>
            <family val="2"/>
          </rPr>
          <t>Need to test formula on contrasting render</t>
        </r>
      </text>
    </comment>
    <comment ref="F1906" authorId="1" shapeId="0" xr:uid="{BB5BEFC5-AD0E-421B-A79A-91784929224E}">
      <text>
        <r>
          <rPr>
            <b/>
            <sz val="9"/>
            <color indexed="81"/>
            <rFont val="Tahoma"/>
            <family val="2"/>
          </rPr>
          <t>Main:</t>
        </r>
        <r>
          <rPr>
            <sz val="9"/>
            <color indexed="81"/>
            <rFont val="Tahoma"/>
            <family val="2"/>
          </rPr>
          <t xml:space="preserve">
OR STEEL</t>
        </r>
      </text>
    </comment>
    <comment ref="C1916" authorId="1" shapeId="0" xr:uid="{34256265-9EA3-4A66-8017-54DF080FD807}">
      <text>
        <r>
          <rPr>
            <b/>
            <sz val="9"/>
            <color indexed="81"/>
            <rFont val="Tahoma"/>
            <family val="2"/>
          </rPr>
          <t>04583 Ikon Glass - Plunkett
52594 Aspired Aluminium - WACB</t>
        </r>
      </text>
    </comment>
    <comment ref="C1918" authorId="1" shapeId="0" xr:uid="{A3473B04-9FAB-4D7E-A2E1-8C1E9EA2BAB0}">
      <text>
        <r>
          <rPr>
            <b/>
            <sz val="9"/>
            <color indexed="81"/>
            <rFont val="Tahoma"/>
            <family val="2"/>
          </rPr>
          <t>04583 Ikon Glass - Plunkett
52594 Aspired Aluminium - WACB</t>
        </r>
      </text>
    </comment>
    <comment ref="C1920" authorId="1" shapeId="0" xr:uid="{811795BF-F980-4FAB-AECA-9C78047BC073}">
      <text>
        <r>
          <rPr>
            <b/>
            <sz val="9"/>
            <color indexed="81"/>
            <rFont val="Tahoma"/>
            <family val="2"/>
          </rPr>
          <t>BRETT ROBINSON</t>
        </r>
      </text>
    </comment>
    <comment ref="C1921" authorId="1" shapeId="0" xr:uid="{27E47D45-EFA0-4FD5-83A0-FC848A279308}">
      <text>
        <r>
          <rPr>
            <b/>
            <sz val="9"/>
            <color indexed="81"/>
            <rFont val="Tahoma"/>
            <family val="2"/>
          </rPr>
          <t>BRETT ROBINSON</t>
        </r>
      </text>
    </comment>
    <comment ref="C1922" authorId="1" shapeId="0" xr:uid="{975793A6-3E8A-4108-98CE-AC8CDFF637EF}">
      <text>
        <r>
          <rPr>
            <b/>
            <sz val="9"/>
            <color indexed="81"/>
            <rFont val="Tahoma"/>
            <family val="2"/>
          </rPr>
          <t>BRETT ROBINSON</t>
        </r>
      </text>
    </comment>
    <comment ref="C1923" authorId="1" shapeId="0" xr:uid="{2805CE4D-1598-40F8-901C-5BBF4896EB7E}">
      <text>
        <r>
          <rPr>
            <b/>
            <sz val="9"/>
            <color indexed="81"/>
            <rFont val="Tahoma"/>
            <family val="2"/>
          </rPr>
          <t>BRETT ROBINSON</t>
        </r>
      </text>
    </comment>
    <comment ref="C1925" authorId="1" shapeId="0" xr:uid="{1ADA61F9-C912-4CDE-B376-1BB3BC4BAA81}">
      <text>
        <r>
          <rPr>
            <b/>
            <sz val="9"/>
            <color indexed="81"/>
            <rFont val="Tahoma"/>
            <family val="2"/>
          </rPr>
          <t>TERMICO SOLAR GENERATION PTY LTD</t>
        </r>
      </text>
    </comment>
    <comment ref="C1945" authorId="1" shapeId="0" xr:uid="{15F1F523-0806-423E-9F92-51739F0BE7CD}">
      <text>
        <r>
          <rPr>
            <b/>
            <sz val="9"/>
            <color indexed="81"/>
            <rFont val="Tahoma"/>
            <family val="2"/>
          </rPr>
          <t>HANSON CONSTRUCTION MATERIALS PTY LTD</t>
        </r>
      </text>
    </comment>
    <comment ref="C1946" authorId="1" shapeId="0" xr:uid="{D75EAE28-4517-4BB7-9717-0B33676727F2}">
      <text>
        <r>
          <rPr>
            <b/>
            <sz val="9"/>
            <color indexed="81"/>
            <rFont val="Tahoma"/>
            <family val="2"/>
          </rPr>
          <t>HANSON CONSTRUCTION MATERIALS PTY LTD</t>
        </r>
      </text>
    </comment>
    <comment ref="C1947" authorId="1" shapeId="0" xr:uid="{C02A957A-F39E-4E77-9EF1-CFFF0A3A99D5}">
      <text>
        <r>
          <rPr>
            <b/>
            <sz val="9"/>
            <color indexed="81"/>
            <rFont val="Tahoma"/>
            <family val="2"/>
          </rPr>
          <t>HANSON CONSTRUCTION MATERIALS PTY LTD</t>
        </r>
      </text>
    </comment>
    <comment ref="C1948" authorId="1" shapeId="0" xr:uid="{10506D24-3BEC-4768-A5AA-D4A78E2F27ED}">
      <text>
        <r>
          <rPr>
            <b/>
            <sz val="9"/>
            <color indexed="81"/>
            <rFont val="Tahoma"/>
            <family val="2"/>
          </rPr>
          <t>HANSON CONSTRUCTION MATERIALS PTY LTD</t>
        </r>
      </text>
    </comment>
    <comment ref="C1949" authorId="1" shapeId="0" xr:uid="{ABB18285-7F25-4AB5-854D-BB8FB88E320D}">
      <text>
        <r>
          <rPr>
            <b/>
            <sz val="9"/>
            <color indexed="81"/>
            <rFont val="Tahoma"/>
            <family val="2"/>
          </rPr>
          <t>HANSON CONSTRUCTION MATERIALS PTY LTD</t>
        </r>
      </text>
    </comment>
    <comment ref="C1950" authorId="1" shapeId="0" xr:uid="{A96E772D-65BA-4400-919A-C57A66003CD2}">
      <text>
        <r>
          <rPr>
            <b/>
            <sz val="9"/>
            <color indexed="81"/>
            <rFont val="Tahoma"/>
            <family val="2"/>
          </rPr>
          <t>HANSON CONSTRUCTION MATERIALS PTY LTD</t>
        </r>
      </text>
    </comment>
    <comment ref="C1951" authorId="1" shapeId="0" xr:uid="{21B22728-7676-4140-BC85-0ED17F659206}">
      <text>
        <r>
          <rPr>
            <b/>
            <sz val="9"/>
            <color indexed="81"/>
            <rFont val="Tahoma"/>
            <family val="2"/>
          </rPr>
          <t>HANSON CONSTRUCTION MATERIALS PTY LTD</t>
        </r>
      </text>
    </comment>
    <comment ref="C1952" authorId="1" shapeId="0" xr:uid="{7E214468-00C6-4DAD-B1CA-AB7BD1BB5DA6}">
      <text>
        <r>
          <rPr>
            <b/>
            <sz val="9"/>
            <color indexed="81"/>
            <rFont val="Tahoma"/>
            <family val="2"/>
          </rPr>
          <t>HANSON CONSTRUCTION MATERIALS PTY LTD</t>
        </r>
      </text>
    </comment>
    <comment ref="C1953" authorId="1" shapeId="0" xr:uid="{A15C14F5-CCF4-4597-8CD2-437F12664CE0}">
      <text>
        <r>
          <rPr>
            <b/>
            <sz val="9"/>
            <color indexed="81"/>
            <rFont val="Tahoma"/>
            <family val="2"/>
          </rPr>
          <t>HANSON CONSTRUCTION MATERIALS PTY LTD</t>
        </r>
      </text>
    </comment>
    <comment ref="C1954" authorId="1" shapeId="0" xr:uid="{515DF026-9F5F-4D75-BBAD-BBF4AC3AF077}">
      <text>
        <r>
          <rPr>
            <b/>
            <sz val="9"/>
            <color indexed="81"/>
            <rFont val="Tahoma"/>
            <family val="2"/>
          </rPr>
          <t>HANSON CONSTRUCTION MATERIALS PTY LTD</t>
        </r>
      </text>
    </comment>
    <comment ref="C1955" authorId="1" shapeId="0" xr:uid="{4B6CAF29-9B7B-40C4-8E37-F1F6FA1B966C}">
      <text>
        <r>
          <rPr>
            <b/>
            <sz val="9"/>
            <color indexed="81"/>
            <rFont val="Tahoma"/>
            <family val="2"/>
          </rPr>
          <t>HANSON CONSTRUCTION MATERIALS PTY LTD</t>
        </r>
      </text>
    </comment>
    <comment ref="C1956" authorId="1" shapeId="0" xr:uid="{69FA618E-E651-4C8C-B4D7-9C881AD6178B}">
      <text>
        <r>
          <rPr>
            <b/>
            <sz val="9"/>
            <color indexed="81"/>
            <rFont val="Tahoma"/>
            <family val="2"/>
          </rPr>
          <t>HANSON CONSTRUCTION MATERIALS PTY LTD</t>
        </r>
      </text>
    </comment>
    <comment ref="C1957" authorId="1" shapeId="0" xr:uid="{1A488D87-C43C-4AE3-91AF-1A9A85E2EF5A}">
      <text>
        <r>
          <rPr>
            <b/>
            <sz val="9"/>
            <color indexed="81"/>
            <rFont val="Tahoma"/>
            <family val="2"/>
          </rPr>
          <t>HANSON CONSTRUCTION MATERIALS PTY LTD</t>
        </r>
      </text>
    </comment>
    <comment ref="C1958" authorId="1" shapeId="0" xr:uid="{E93BF48E-81A1-489E-92F0-430476D49FAC}">
      <text>
        <r>
          <rPr>
            <b/>
            <sz val="9"/>
            <color indexed="81"/>
            <rFont val="Tahoma"/>
            <family val="2"/>
          </rPr>
          <t>HANSON CONSTRUCTION MATERIALS PTY LTD</t>
        </r>
      </text>
    </comment>
    <comment ref="C1959" authorId="1" shapeId="0" xr:uid="{07ED77EC-8F97-49D8-81C3-45560FF3FCA4}">
      <text>
        <r>
          <rPr>
            <b/>
            <sz val="9"/>
            <color indexed="81"/>
            <rFont val="Tahoma"/>
            <family val="2"/>
          </rPr>
          <t>HANSON CONSTRUCTION MATERIALS PTY LTD</t>
        </r>
      </text>
    </comment>
    <comment ref="C1960" authorId="1" shapeId="0" xr:uid="{82396856-F92A-4CCB-BE26-366FEF327949}">
      <text>
        <r>
          <rPr>
            <b/>
            <sz val="9"/>
            <color indexed="81"/>
            <rFont val="Tahoma"/>
            <family val="2"/>
          </rPr>
          <t>HANSON CONSTRUCTION MATERIALS PTY LTD</t>
        </r>
      </text>
    </comment>
    <comment ref="C1961" authorId="1" shapeId="0" xr:uid="{E3F547A9-1156-4F75-8BAC-F05623760053}">
      <text>
        <r>
          <rPr>
            <b/>
            <sz val="9"/>
            <color indexed="81"/>
            <rFont val="Tahoma"/>
            <family val="2"/>
          </rPr>
          <t>HANSON CONSTRUCTION MATERIALS PTY LTD</t>
        </r>
      </text>
    </comment>
    <comment ref="C1962" authorId="1" shapeId="0" xr:uid="{56F7426E-6DA2-453F-BD73-96CD8DBB522C}">
      <text>
        <r>
          <rPr>
            <b/>
            <sz val="9"/>
            <color indexed="81"/>
            <rFont val="Tahoma"/>
            <family val="2"/>
          </rPr>
          <t>HANSON CONSTRUCTION MATERIALS PTY LTD</t>
        </r>
      </text>
    </comment>
    <comment ref="C1963" authorId="1" shapeId="0" xr:uid="{76DF85C1-EA15-4A60-9D50-D4AA1518B069}">
      <text>
        <r>
          <rPr>
            <b/>
            <sz val="9"/>
            <color indexed="81"/>
            <rFont val="Tahoma"/>
            <family val="2"/>
          </rPr>
          <t>HANSON CONSTRUCTION MATERIALS PTY LTD</t>
        </r>
      </text>
    </comment>
    <comment ref="F1963" authorId="0" shapeId="0" xr:uid="{B238674B-B576-4A65-8017-7CEDF2AD95BE}">
      <text>
        <r>
          <rPr>
            <b/>
            <sz val="9"/>
            <color indexed="81"/>
            <rFont val="Tahoma"/>
            <family val="2"/>
          </rPr>
          <t>Paul Newton:</t>
        </r>
        <r>
          <rPr>
            <sz val="9"/>
            <color indexed="81"/>
            <rFont val="Tahoma"/>
            <family val="2"/>
          </rPr>
          <t xml:space="preserve">
ZAUS</t>
        </r>
      </text>
    </comment>
    <comment ref="C1964" authorId="1" shapeId="0" xr:uid="{6A2D8169-BD85-49B2-A085-319564AC94F1}">
      <text>
        <r>
          <rPr>
            <b/>
            <sz val="9"/>
            <color indexed="81"/>
            <rFont val="Tahoma"/>
            <family val="2"/>
          </rPr>
          <t>HANSON CONSTRUCTION MATERIALS PTY LTD</t>
        </r>
      </text>
    </comment>
    <comment ref="C1965" authorId="1" shapeId="0" xr:uid="{18196B76-578F-4E98-93C6-6E535D2AD879}">
      <text>
        <r>
          <rPr>
            <b/>
            <sz val="9"/>
            <color indexed="81"/>
            <rFont val="Tahoma"/>
            <family val="2"/>
          </rPr>
          <t>HANSON CONSTRUCTION MATERIALS PTY LTD</t>
        </r>
      </text>
    </comment>
    <comment ref="C1966" authorId="1" shapeId="0" xr:uid="{6F70004D-B8C0-4878-A149-8B80D77738EC}">
      <text>
        <r>
          <rPr>
            <b/>
            <sz val="9"/>
            <color indexed="81"/>
            <rFont val="Tahoma"/>
            <family val="2"/>
          </rPr>
          <t>HANSON CONSTRUCTION MATERIALS PTY LTD</t>
        </r>
      </text>
    </comment>
    <comment ref="C1967" authorId="1" shapeId="0" xr:uid="{594AE551-6A58-4F1F-BF4E-CC5E01AA2E20}">
      <text>
        <r>
          <rPr>
            <b/>
            <sz val="9"/>
            <color indexed="81"/>
            <rFont val="Tahoma"/>
            <family val="2"/>
          </rPr>
          <t>HANSON CONSTRUCTION MATERIALS PTY LTD</t>
        </r>
      </text>
    </comment>
    <comment ref="C1968" authorId="1" shapeId="0" xr:uid="{5BFAC2D0-F816-4F62-B0E1-B23D4F54CB7D}">
      <text>
        <r>
          <rPr>
            <b/>
            <sz val="9"/>
            <color indexed="81"/>
            <rFont val="Tahoma"/>
            <family val="2"/>
          </rPr>
          <t>HANSON CONSTRUCTION MATERIALS PTY LTD</t>
        </r>
      </text>
    </comment>
    <comment ref="C1969" authorId="1" shapeId="0" xr:uid="{A7D71A68-9B05-45DF-AFB1-AAF7B161F9CD}">
      <text>
        <r>
          <rPr>
            <b/>
            <sz val="9"/>
            <color indexed="81"/>
            <rFont val="Tahoma"/>
            <family val="2"/>
          </rPr>
          <t>HANSON CONSTRUCTION MATERIALS PTY LTD</t>
        </r>
      </text>
    </comment>
    <comment ref="C2086" authorId="1" shapeId="0" xr:uid="{D3A6FA73-BEF6-4A7B-BDA5-90107E3B45D1}">
      <text>
        <r>
          <rPr>
            <b/>
            <sz val="9"/>
            <color indexed="81"/>
            <rFont val="Tahoma"/>
            <family val="2"/>
          </rPr>
          <t>Main:</t>
        </r>
        <r>
          <rPr>
            <sz val="9"/>
            <color indexed="81"/>
            <rFont val="Tahoma"/>
            <family val="2"/>
          </rPr>
          <t xml:space="preserve">
52382 = KD Power</t>
        </r>
      </text>
    </comment>
    <comment ref="C2089" authorId="1" shapeId="0" xr:uid="{F03277A7-8E12-4C95-8063-360E8D329194}">
      <text>
        <r>
          <rPr>
            <b/>
            <sz val="9"/>
            <color indexed="81"/>
            <rFont val="Tahoma"/>
            <family val="2"/>
          </rPr>
          <t>Main:</t>
        </r>
        <r>
          <rPr>
            <sz val="9"/>
            <color indexed="81"/>
            <rFont val="Tahoma"/>
            <family val="2"/>
          </rPr>
          <t xml:space="preserve">
52382 = KD Power</t>
        </r>
      </text>
    </comment>
    <comment ref="C2090" authorId="1" shapeId="0" xr:uid="{143599E4-1F47-4726-AEBA-01ED9CC79EF1}">
      <text>
        <r>
          <rPr>
            <b/>
            <sz val="9"/>
            <color indexed="81"/>
            <rFont val="Tahoma"/>
            <family val="2"/>
          </rPr>
          <t>Main:</t>
        </r>
        <r>
          <rPr>
            <sz val="9"/>
            <color indexed="81"/>
            <rFont val="Tahoma"/>
            <family val="2"/>
          </rPr>
          <t xml:space="preserve">
52382 = KD Power</t>
        </r>
      </text>
    </comment>
    <comment ref="C2091" authorId="1" shapeId="0" xr:uid="{FF4749DB-F247-4919-A0BD-81EBC1D30710}">
      <text>
        <r>
          <rPr>
            <b/>
            <sz val="9"/>
            <color indexed="81"/>
            <rFont val="Tahoma"/>
            <family val="2"/>
          </rPr>
          <t>Main:</t>
        </r>
        <r>
          <rPr>
            <sz val="9"/>
            <color indexed="81"/>
            <rFont val="Tahoma"/>
            <family val="2"/>
          </rPr>
          <t xml:space="preserve">
52382 = KD Power</t>
        </r>
      </text>
    </comment>
    <comment ref="C2092" authorId="1" shapeId="0" xr:uid="{B55CC237-68D9-43F4-8167-54B537BC9D0B}">
      <text>
        <r>
          <rPr>
            <b/>
            <sz val="9"/>
            <color indexed="81"/>
            <rFont val="Tahoma"/>
            <family val="2"/>
          </rPr>
          <t>Main:</t>
        </r>
        <r>
          <rPr>
            <sz val="9"/>
            <color indexed="81"/>
            <rFont val="Tahoma"/>
            <family val="2"/>
          </rPr>
          <t xml:space="preserve">
52382 = KD Power</t>
        </r>
      </text>
    </comment>
    <comment ref="C2093" authorId="1" shapeId="0" xr:uid="{26F5CA50-D3D4-4496-ABF0-1199AD50F70D}">
      <text>
        <r>
          <rPr>
            <b/>
            <sz val="9"/>
            <color indexed="81"/>
            <rFont val="Tahoma"/>
            <family val="2"/>
          </rPr>
          <t>Main:</t>
        </r>
        <r>
          <rPr>
            <sz val="9"/>
            <color indexed="81"/>
            <rFont val="Tahoma"/>
            <family val="2"/>
          </rPr>
          <t xml:space="preserve">
52382 = KD Power</t>
        </r>
      </text>
    </comment>
    <comment ref="C2094" authorId="1" shapeId="0" xr:uid="{37398687-03C6-4755-B7FD-DAA89D70360E}">
      <text>
        <r>
          <rPr>
            <b/>
            <sz val="9"/>
            <color indexed="81"/>
            <rFont val="Tahoma"/>
            <family val="2"/>
          </rPr>
          <t>Main:</t>
        </r>
        <r>
          <rPr>
            <sz val="9"/>
            <color indexed="81"/>
            <rFont val="Tahoma"/>
            <family val="2"/>
          </rPr>
          <t xml:space="preserve">
52382 = KD Power</t>
        </r>
      </text>
    </comment>
    <comment ref="C2095" authorId="1" shapeId="0" xr:uid="{0D1EF682-26E7-4D3E-88EA-B91D7B2C488A}">
      <text>
        <r>
          <rPr>
            <b/>
            <sz val="9"/>
            <color indexed="81"/>
            <rFont val="Tahoma"/>
            <family val="2"/>
          </rPr>
          <t>Main:</t>
        </r>
        <r>
          <rPr>
            <sz val="9"/>
            <color indexed="81"/>
            <rFont val="Tahoma"/>
            <family val="2"/>
          </rPr>
          <t xml:space="preserve">
52382 = KD Power</t>
        </r>
      </text>
    </comment>
    <comment ref="C2096" authorId="1" shapeId="0" xr:uid="{3D1B0571-9796-41D0-ACF7-EBA629E9DD3A}">
      <text>
        <r>
          <rPr>
            <b/>
            <sz val="9"/>
            <color indexed="81"/>
            <rFont val="Tahoma"/>
            <family val="2"/>
          </rPr>
          <t>Main:</t>
        </r>
        <r>
          <rPr>
            <sz val="9"/>
            <color indexed="81"/>
            <rFont val="Tahoma"/>
            <family val="2"/>
          </rPr>
          <t xml:space="preserve">
52382 = KD Power</t>
        </r>
      </text>
    </comment>
    <comment ref="F2134" authorId="1" shapeId="0" xr:uid="{996E6C97-3D4F-415C-9C2C-4F8AC721E435}">
      <text>
        <r>
          <rPr>
            <b/>
            <sz val="9"/>
            <color indexed="81"/>
            <rFont val="Tahoma"/>
            <family val="2"/>
          </rPr>
          <t>Main:</t>
        </r>
        <r>
          <rPr>
            <sz val="9"/>
            <color indexed="81"/>
            <rFont val="Tahoma"/>
            <family val="2"/>
          </rPr>
          <t xml:space="preserve">
This might be the best way to count multiple criteria in a field
</t>
        </r>
      </text>
    </comment>
    <comment ref="C2158" authorId="0" shapeId="0" xr:uid="{36C0BA0C-C802-4352-920B-A1A8489ECE2F}">
      <text>
        <r>
          <rPr>
            <b/>
            <sz val="9"/>
            <color indexed="81"/>
            <rFont val="Tahoma"/>
            <family val="2"/>
          </rPr>
          <t>Busselton
10339 is Augusta Electrics
Bunbury North
04423 is Cousins Electrics
Plunkett
11164800 is Custom Electrics
Bridgetown South
11164600 is Solar Power Solutions</t>
        </r>
      </text>
    </comment>
    <comment ref="C2160" authorId="0" shapeId="0" xr:uid="{407CF178-86C8-4A51-B0E8-846094E70183}">
      <text>
        <r>
          <rPr>
            <b/>
            <sz val="9"/>
            <color indexed="81"/>
            <rFont val="Tahoma"/>
            <family val="2"/>
          </rPr>
          <t>Active Plumbing</t>
        </r>
      </text>
    </comment>
    <comment ref="F2345" authorId="0" shapeId="0" xr:uid="{8DAE9A78-683A-4B19-A2D9-92C0DD8BFA01}">
      <text>
        <r>
          <rPr>
            <b/>
            <sz val="9"/>
            <color indexed="81"/>
            <rFont val="Tahoma"/>
            <family val="2"/>
          </rPr>
          <t>Paul Newton:</t>
        </r>
        <r>
          <rPr>
            <sz val="9"/>
            <color indexed="81"/>
            <rFont val="Tahoma"/>
            <family val="2"/>
          </rPr>
          <t xml:space="preserve">
Hoop iron to rafter ends.
(Tie down details)</t>
        </r>
      </text>
    </comment>
    <comment ref="F2346" authorId="0" shapeId="0" xr:uid="{51D5FD70-38E1-4A7A-BA40-E79CAA6A3390}">
      <text>
        <r>
          <rPr>
            <b/>
            <sz val="9"/>
            <color indexed="81"/>
            <rFont val="Tahoma"/>
            <family val="2"/>
          </rPr>
          <t>Paul Newton:</t>
        </r>
        <r>
          <rPr>
            <sz val="9"/>
            <color indexed="81"/>
            <rFont val="Tahoma"/>
            <family val="2"/>
          </rPr>
          <t xml:space="preserve">
Hoop iron to pitching beams and opening greater than 2.4M wide.
(Tie down details)</t>
        </r>
      </text>
    </comment>
    <comment ref="F2393" authorId="0" shapeId="0" xr:uid="{7B32422F-97AF-4DCC-8437-4E5C271B2406}">
      <text>
        <r>
          <rPr>
            <b/>
            <sz val="9"/>
            <color indexed="81"/>
            <rFont val="Tahoma"/>
            <family val="2"/>
          </rPr>
          <t>Paul Newton:</t>
        </r>
        <r>
          <rPr>
            <sz val="9"/>
            <color indexed="81"/>
            <rFont val="Tahoma"/>
            <family val="2"/>
          </rPr>
          <t xml:space="preserve">
Hoop iron to rafter ends.
(Tie down details)</t>
        </r>
      </text>
    </comment>
    <comment ref="F2394" authorId="0" shapeId="0" xr:uid="{0B549F05-E35B-45F5-B722-893056C70EE3}">
      <text>
        <r>
          <rPr>
            <b/>
            <sz val="9"/>
            <color indexed="81"/>
            <rFont val="Tahoma"/>
            <family val="2"/>
          </rPr>
          <t>Paul Newton:</t>
        </r>
        <r>
          <rPr>
            <sz val="9"/>
            <color indexed="81"/>
            <rFont val="Tahoma"/>
            <family val="2"/>
          </rPr>
          <t xml:space="preserve">
Hoop iron to pitching beams and opening greater than 2.4M wide.
(Tie down details)</t>
        </r>
      </text>
    </comment>
    <comment ref="F2662" authorId="0" shapeId="0" xr:uid="{062C3741-36D2-4FAD-BF6E-DAC3A1242D66}">
      <text>
        <r>
          <rPr>
            <b/>
            <sz val="9"/>
            <color indexed="81"/>
            <rFont val="Tahoma"/>
            <family val="2"/>
          </rPr>
          <t>Paul Newton:</t>
        </r>
        <r>
          <rPr>
            <sz val="9"/>
            <color indexed="81"/>
            <rFont val="Tahoma"/>
            <family val="2"/>
          </rPr>
          <t xml:space="preserve">
Not required as per JT and TM 19/9/19</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Paul Newton</author>
  </authors>
  <commentList>
    <comment ref="C3" authorId="0" shapeId="0" xr:uid="{66A91DAB-A0F7-4DE8-83FA-8A38D029295E}">
      <text>
        <r>
          <rPr>
            <b/>
            <sz val="9"/>
            <color indexed="81"/>
            <rFont val="Tahoma"/>
            <family val="2"/>
          </rPr>
          <t>Paul Newton:</t>
        </r>
        <r>
          <rPr>
            <sz val="9"/>
            <color indexed="81"/>
            <rFont val="Tahoma"/>
            <family val="2"/>
          </rPr>
          <t xml:space="preserve">
Select Zincalume or Colorbond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Main</author>
  </authors>
  <commentList>
    <comment ref="C26" authorId="0" shapeId="0" xr:uid="{74E816B2-0F6C-4676-9C20-091E5094C38D}">
      <text>
        <r>
          <rPr>
            <b/>
            <sz val="9"/>
            <color indexed="81"/>
            <rFont val="Tahoma"/>
            <family val="2"/>
          </rPr>
          <t>74124</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Paul Newton</author>
  </authors>
  <commentList>
    <comment ref="C18" authorId="0" shapeId="0" xr:uid="{00000000-0006-0000-0600-000001000000}">
      <text>
        <r>
          <rPr>
            <b/>
            <sz val="9"/>
            <color indexed="81"/>
            <rFont val="Tahoma"/>
            <family val="2"/>
          </rPr>
          <t>Paul Newton:</t>
        </r>
        <r>
          <rPr>
            <sz val="9"/>
            <color indexed="81"/>
            <rFont val="Tahoma"/>
            <family val="2"/>
          </rPr>
          <t xml:space="preserve">
How many piles?</t>
        </r>
      </text>
    </comment>
    <comment ref="D18" authorId="0" shapeId="0" xr:uid="{00000000-0006-0000-0600-000002000000}">
      <text>
        <r>
          <rPr>
            <b/>
            <sz val="9"/>
            <color indexed="81"/>
            <rFont val="Tahoma"/>
            <family val="2"/>
          </rPr>
          <t>Paul Newton:</t>
        </r>
        <r>
          <rPr>
            <sz val="9"/>
            <color indexed="81"/>
            <rFont val="Tahoma"/>
            <family val="2"/>
          </rPr>
          <t xml:space="preserve">
Length/depth of pile</t>
        </r>
      </text>
    </comment>
    <comment ref="E18" authorId="0" shapeId="0" xr:uid="{00000000-0006-0000-0600-000003000000}">
      <text>
        <r>
          <rPr>
            <b/>
            <sz val="9"/>
            <color indexed="81"/>
            <rFont val="Tahoma"/>
            <family val="2"/>
          </rPr>
          <t>Paul Newton:</t>
        </r>
        <r>
          <rPr>
            <sz val="9"/>
            <color indexed="81"/>
            <rFont val="Tahoma"/>
            <family val="2"/>
          </rPr>
          <t xml:space="preserve">
Diameter</t>
        </r>
      </text>
    </comment>
    <comment ref="G18" authorId="0" shapeId="0" xr:uid="{00000000-0006-0000-0600-000004000000}">
      <text>
        <r>
          <rPr>
            <b/>
            <sz val="9"/>
            <color indexed="81"/>
            <rFont val="Tahoma"/>
            <family val="2"/>
          </rPr>
          <t>Paul Newton:</t>
        </r>
        <r>
          <rPr>
            <sz val="9"/>
            <color indexed="81"/>
            <rFont val="Tahoma"/>
            <family val="2"/>
          </rPr>
          <t xml:space="preserve">
Quantity*Area of a circle is PI*R2*Length</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Graeme Davis</author>
    <author>Paul Newton</author>
  </authors>
  <commentList>
    <comment ref="I2" authorId="0" shapeId="0" xr:uid="{00000000-0006-0000-0700-000001000000}">
      <text>
        <r>
          <rPr>
            <b/>
            <sz val="8"/>
            <color indexed="81"/>
            <rFont val="Tahoma"/>
            <family val="2"/>
          </rPr>
          <t>Graeme Davis:</t>
        </r>
        <r>
          <rPr>
            <sz val="8"/>
            <color indexed="81"/>
            <rFont val="Tahoma"/>
            <family val="2"/>
          </rPr>
          <t xml:space="preserve">
Note - Lengths are calculated automatically, based on span and roof type.  Adjust lengths for corner windows or were bearing is an issue accordingly</t>
        </r>
      </text>
    </comment>
    <comment ref="P5" authorId="1" shapeId="0" xr:uid="{00000000-0006-0000-0700-000002000000}">
      <text>
        <r>
          <rPr>
            <b/>
            <sz val="9"/>
            <color indexed="81"/>
            <rFont val="Tahoma"/>
            <family val="2"/>
          </rPr>
          <t>Paul Newton:</t>
        </r>
        <r>
          <rPr>
            <sz val="9"/>
            <color indexed="81"/>
            <rFont val="Tahoma"/>
            <family val="2"/>
          </rPr>
          <t xml:space="preserve">
Divide by 2 as each snap is 2c high</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Ben Innis</author>
  </authors>
  <commentList>
    <comment ref="G18" authorId="0" shapeId="0" xr:uid="{00000000-0006-0000-0B00-000001000000}">
      <text>
        <r>
          <rPr>
            <b/>
            <sz val="9"/>
            <color indexed="81"/>
            <rFont val="Tahoma"/>
            <family val="2"/>
          </rPr>
          <t>Ben Innis:</t>
        </r>
        <r>
          <rPr>
            <sz val="9"/>
            <color indexed="81"/>
            <rFont val="Tahoma"/>
            <family val="2"/>
          </rPr>
          <t xml:space="preserve">
Cut Type only required if beam above is a Duragal.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RJ Smolders</author>
    <author>Arjay</author>
    <author>Paul Newton</author>
    <author>Main</author>
  </authors>
  <commentList>
    <comment ref="C2" authorId="0" shapeId="0" xr:uid="{00000000-0006-0000-0900-000001000000}">
      <text>
        <r>
          <rPr>
            <b/>
            <sz val="8"/>
            <color indexed="81"/>
            <rFont val="Tahoma"/>
            <family val="2"/>
          </rPr>
          <t>RJ Smolders:</t>
        </r>
        <r>
          <rPr>
            <sz val="8"/>
            <color indexed="81"/>
            <rFont val="Tahoma"/>
            <family val="2"/>
          </rPr>
          <t xml:space="preserve">
Add all external face brickwork here including render areas - thes will be taken out below</t>
        </r>
      </text>
    </comment>
    <comment ref="D3" authorId="1" shapeId="0" xr:uid="{00000000-0006-0000-0900-000002000000}">
      <text>
        <r>
          <rPr>
            <b/>
            <sz val="9"/>
            <color indexed="81"/>
            <rFont val="Tahoma"/>
            <family val="2"/>
          </rPr>
          <t>Arjay:</t>
        </r>
        <r>
          <rPr>
            <sz val="9"/>
            <color indexed="81"/>
            <rFont val="Tahoma"/>
            <family val="2"/>
          </rPr>
          <t xml:space="preserve">
Leave Quantity as 1 unless required</t>
        </r>
      </text>
    </comment>
    <comment ref="N3" authorId="1" shapeId="0" xr:uid="{00000000-0006-0000-0900-000003000000}">
      <text>
        <r>
          <rPr>
            <b/>
            <sz val="9"/>
            <color indexed="81"/>
            <rFont val="Tahoma"/>
            <family val="2"/>
          </rPr>
          <t>Arjay:</t>
        </r>
        <r>
          <rPr>
            <sz val="9"/>
            <color indexed="81"/>
            <rFont val="Tahoma"/>
            <family val="2"/>
          </rPr>
          <t xml:space="preserve">
Leave Quantity as 1 unless required</t>
        </r>
      </text>
    </comment>
    <comment ref="F4" authorId="2" shapeId="0" xr:uid="{F5FB513D-802F-4ABA-B238-97D4D7EBE745}">
      <text>
        <r>
          <rPr>
            <b/>
            <sz val="9"/>
            <color indexed="81"/>
            <rFont val="Tahoma"/>
            <family val="2"/>
          </rPr>
          <t>Paul Newton:</t>
        </r>
        <r>
          <rPr>
            <sz val="9"/>
            <color indexed="81"/>
            <rFont val="Tahoma"/>
            <family val="2"/>
          </rPr>
          <t xml:space="preserve">
Inserts value of House
Perimeter from Data Sheet and deducts any Reverse Brick Veneer, 1c Face Brick, Common Brick or Studwork drawn in Autosketch.</t>
        </r>
      </text>
    </comment>
    <comment ref="P16" authorId="2" shapeId="0" xr:uid="{00000000-0006-0000-0900-000006000000}">
      <text>
        <r>
          <rPr>
            <b/>
            <sz val="9"/>
            <color indexed="81"/>
            <rFont val="Tahoma"/>
            <family val="2"/>
          </rPr>
          <t>Paul Newton:</t>
        </r>
        <r>
          <rPr>
            <sz val="9"/>
            <color indexed="81"/>
            <rFont val="Tahoma"/>
            <family val="2"/>
          </rPr>
          <t xml:space="preserve">
If the house perimeter is an odd height allows a longreach to the final course. Deducts all openings in facebrick, any 28c section as they will finish on an even block and rendered section of house.</t>
        </r>
      </text>
    </comment>
    <comment ref="P17" authorId="2" shapeId="0" xr:uid="{311CBD2A-333B-4905-BE7A-63F3701B6CB6}">
      <text>
        <r>
          <rPr>
            <b/>
            <sz val="9"/>
            <color indexed="81"/>
            <rFont val="Tahoma"/>
            <family val="2"/>
          </rPr>
          <t>Paul Newton:</t>
        </r>
        <r>
          <rPr>
            <sz val="9"/>
            <color indexed="81"/>
            <rFont val="Tahoma"/>
            <family val="2"/>
          </rPr>
          <t xml:space="preserve">
Allows a row of cored face longreach to the final course of the Garage Wall.</t>
        </r>
      </text>
    </comment>
    <comment ref="P18" authorId="2" shapeId="0" xr:uid="{00000000-0006-0000-0900-000008000000}">
      <text>
        <r>
          <rPr>
            <b/>
            <sz val="9"/>
            <color indexed="81"/>
            <rFont val="Tahoma"/>
            <family val="2"/>
          </rPr>
          <t>Paul Newton:</t>
        </r>
        <r>
          <rPr>
            <sz val="9"/>
            <color indexed="81"/>
            <rFont val="Tahoma"/>
            <family val="2"/>
          </rPr>
          <t xml:space="preserve">
Alows a row of cored face longreach to the common wall above the garage wall height to the inside of the house. This is in addition to the longreach that may be allowed for the ground floor perimeter.</t>
        </r>
      </text>
    </comment>
    <comment ref="P19" authorId="2" shapeId="0" xr:uid="{D30B0752-6894-4C41-9447-4014ABCC060F}">
      <text>
        <r>
          <rPr>
            <b/>
            <sz val="9"/>
            <color indexed="81"/>
            <rFont val="Tahoma"/>
            <family val="2"/>
          </rPr>
          <t>Paul Newton:</t>
        </r>
        <r>
          <rPr>
            <sz val="9"/>
            <color indexed="81"/>
            <rFont val="Tahoma"/>
            <family val="2"/>
          </rPr>
          <t xml:space="preserve">
Allows a row of cored face longreach to the final course of the Garage Wall.</t>
        </r>
      </text>
    </comment>
    <comment ref="P21" authorId="2" shapeId="0" xr:uid="{553F5F64-AF65-4004-99D7-A091D74B0D15}">
      <text>
        <r>
          <rPr>
            <b/>
            <sz val="9"/>
            <color indexed="81"/>
            <rFont val="Tahoma"/>
            <family val="2"/>
          </rPr>
          <t>Paul Newton:</t>
        </r>
        <r>
          <rPr>
            <sz val="9"/>
            <color indexed="81"/>
            <rFont val="Tahoma"/>
            <family val="2"/>
          </rPr>
          <t xml:space="preserve">
If you have a zero lot wall manually enter the length here and increase the coursing height in the next cell as needed. Most zero lots have 2 cored longreach and 1 solid o the inside of the garage with either a solid or a finishing brick to the extra row to the garage wall. Check the details.</t>
        </r>
      </text>
    </comment>
    <comment ref="P22" authorId="2" shapeId="0" xr:uid="{DECC4488-1829-442F-8436-8EEF16094433}">
      <text>
        <r>
          <rPr>
            <b/>
            <sz val="9"/>
            <color indexed="81"/>
            <rFont val="Tahoma"/>
            <family val="2"/>
          </rPr>
          <t>Paul Newton:</t>
        </r>
        <r>
          <rPr>
            <sz val="9"/>
            <color indexed="81"/>
            <rFont val="Tahoma"/>
            <family val="2"/>
          </rPr>
          <t xml:space="preserve">
Manually enter any solid longreach not allowed for in the formulas for openings sills and heads above. Check the details and zero lot wall details.</t>
        </r>
      </text>
    </comment>
    <comment ref="P23" authorId="2" shapeId="0" xr:uid="{00000000-0006-0000-0900-00000D000000}">
      <text>
        <r>
          <rPr>
            <b/>
            <sz val="9"/>
            <color indexed="81"/>
            <rFont val="Tahoma"/>
            <family val="2"/>
          </rPr>
          <t>Paul Newton:</t>
        </r>
        <r>
          <rPr>
            <sz val="9"/>
            <color indexed="81"/>
            <rFont val="Tahoma"/>
            <family val="2"/>
          </rPr>
          <t xml:space="preserve">
Allow for any other face cored longreach that may be required. Check your details and don't forget to allow for over T-Bars.</t>
        </r>
      </text>
    </comment>
    <comment ref="P24" authorId="2" shapeId="0" xr:uid="{00000000-0006-0000-0900-00000E000000}">
      <text>
        <r>
          <rPr>
            <b/>
            <sz val="9"/>
            <color indexed="81"/>
            <rFont val="Tahoma"/>
            <family val="2"/>
          </rPr>
          <t>Paul Newton:</t>
        </r>
        <r>
          <rPr>
            <sz val="9"/>
            <color indexed="81"/>
            <rFont val="Tahoma"/>
            <family val="2"/>
          </rPr>
          <t xml:space="preserve">
Check all even sills included. Formula has counted odd courses from lintel sheet excluding 25c openings.</t>
        </r>
      </text>
    </comment>
    <comment ref="P25" authorId="2" shapeId="0" xr:uid="{00000000-0006-0000-0900-00000F000000}">
      <text>
        <r>
          <rPr>
            <b/>
            <sz val="9"/>
            <color indexed="81"/>
            <rFont val="Tahoma"/>
            <family val="2"/>
          </rPr>
          <t>Paul Newton:</t>
        </r>
        <r>
          <rPr>
            <sz val="9"/>
            <color indexed="81"/>
            <rFont val="Tahoma"/>
            <family val="2"/>
          </rPr>
          <t xml:space="preserve">
Manually check details for finishing bricks.</t>
        </r>
      </text>
    </comment>
    <comment ref="P26" authorId="2" shapeId="0" xr:uid="{00000000-0006-0000-0900-000010000000}">
      <text>
        <r>
          <rPr>
            <b/>
            <sz val="9"/>
            <color indexed="81"/>
            <rFont val="Tahoma"/>
            <family val="2"/>
          </rPr>
          <t>Paul Newton:</t>
        </r>
        <r>
          <rPr>
            <sz val="9"/>
            <color indexed="81"/>
            <rFont val="Tahoma"/>
            <family val="2"/>
          </rPr>
          <t xml:space="preserve">
Allows a solid longreach to all window sills then deducts the sills that have finishing bricks. As all openings are included this also accounts for 0c sills.</t>
        </r>
      </text>
    </comment>
    <comment ref="P27" authorId="2" shapeId="0" xr:uid="{00000000-0006-0000-0900-000011000000}">
      <text>
        <r>
          <rPr>
            <b/>
            <sz val="9"/>
            <color indexed="81"/>
            <rFont val="Tahoma"/>
            <family val="2"/>
          </rPr>
          <t>Paul Newton:</t>
        </r>
        <r>
          <rPr>
            <sz val="9"/>
            <color indexed="81"/>
            <rFont val="Tahoma"/>
            <family val="2"/>
          </rPr>
          <t xml:space="preserve">
Allows a solid longreach over all openings with brickwork above the head.</t>
        </r>
      </text>
    </comment>
    <comment ref="P28" authorId="2" shapeId="0" xr:uid="{00000000-0006-0000-0900-000012000000}">
      <text>
        <r>
          <rPr>
            <b/>
            <sz val="9"/>
            <color indexed="81"/>
            <rFont val="Tahoma"/>
            <family val="2"/>
          </rPr>
          <t>Paul Newton:</t>
        </r>
        <r>
          <rPr>
            <sz val="9"/>
            <color indexed="81"/>
            <rFont val="Tahoma"/>
            <family val="2"/>
          </rPr>
          <t xml:space="preserve">
Manually enter any solid longreach not allowed for in the formulas for openings sills and heads above. Check the details and zero lot wall details.</t>
        </r>
      </text>
    </comment>
    <comment ref="R40" authorId="2" shapeId="0" xr:uid="{00000000-0006-0000-0900-000013000000}">
      <text>
        <r>
          <rPr>
            <b/>
            <sz val="9"/>
            <color indexed="81"/>
            <rFont val="Tahoma"/>
            <family val="2"/>
          </rPr>
          <t>Paul Newton:</t>
        </r>
        <r>
          <rPr>
            <sz val="9"/>
            <color indexed="81"/>
            <rFont val="Tahoma"/>
            <family val="2"/>
          </rPr>
          <t xml:space="preserve">
Minimum 2 leaves for longreach. Adds 1 leaf for waste.</t>
        </r>
      </text>
    </comment>
    <comment ref="R41" authorId="2" shapeId="0" xr:uid="{00000000-0006-0000-0900-000014000000}">
      <text>
        <r>
          <rPr>
            <b/>
            <sz val="9"/>
            <color indexed="81"/>
            <rFont val="Tahoma"/>
            <family val="2"/>
          </rPr>
          <t>Paul Newton:</t>
        </r>
        <r>
          <rPr>
            <sz val="9"/>
            <color indexed="81"/>
            <rFont val="Tahoma"/>
            <family val="2"/>
          </rPr>
          <t xml:space="preserve">
Minimum 2 leaves for longreach. Adds 1 leaf for waste.</t>
        </r>
      </text>
    </comment>
    <comment ref="D45" authorId="1" shapeId="0" xr:uid="{00000000-0006-0000-0900-000015000000}">
      <text>
        <r>
          <rPr>
            <b/>
            <sz val="9"/>
            <color indexed="81"/>
            <rFont val="Tahoma"/>
            <family val="2"/>
          </rPr>
          <t>Arjay:</t>
        </r>
        <r>
          <rPr>
            <sz val="9"/>
            <color indexed="81"/>
            <rFont val="Tahoma"/>
            <family val="2"/>
          </rPr>
          <t xml:space="preserve">
Leave Quantity as 1 unless required</t>
        </r>
      </text>
    </comment>
    <comment ref="N45" authorId="1" shapeId="0" xr:uid="{00000000-0006-0000-0900-000016000000}">
      <text>
        <r>
          <rPr>
            <b/>
            <sz val="9"/>
            <color indexed="81"/>
            <rFont val="Tahoma"/>
            <family val="2"/>
          </rPr>
          <t>Arjay:</t>
        </r>
        <r>
          <rPr>
            <sz val="9"/>
            <color indexed="81"/>
            <rFont val="Tahoma"/>
            <family val="2"/>
          </rPr>
          <t xml:space="preserve">
Leave Quantity as 1 unless required</t>
        </r>
      </text>
    </comment>
    <comment ref="F46" authorId="2" shapeId="0" xr:uid="{AE3E71B7-D03E-445D-92B3-0D900C229536}">
      <text>
        <r>
          <rPr>
            <b/>
            <sz val="9"/>
            <color indexed="81"/>
            <rFont val="Tahoma"/>
            <family val="2"/>
          </rPr>
          <t>Paul Newton:</t>
        </r>
        <r>
          <rPr>
            <sz val="9"/>
            <color indexed="81"/>
            <rFont val="Tahoma"/>
            <family val="2"/>
          </rPr>
          <t xml:space="preserve">
Inserts value of House
Perimeter from Data Sheet and deducts any Reverse Brick Veneer drawn in Autosketch.</t>
        </r>
      </text>
    </comment>
    <comment ref="P49" authorId="2" shapeId="0" xr:uid="{972E40B7-445B-47AE-AB74-31A4C724B8A6}">
      <text>
        <r>
          <rPr>
            <b/>
            <sz val="9"/>
            <color indexed="81"/>
            <rFont val="Tahoma"/>
            <family val="2"/>
          </rPr>
          <t>Paul Newton:</t>
        </r>
        <r>
          <rPr>
            <sz val="9"/>
            <color indexed="81"/>
            <rFont val="Tahoma"/>
            <family val="2"/>
          </rPr>
          <t xml:space="preserve">
Check all even sills included. Formula has counted odd courses from lintel sheet excluding 25c openings.</t>
        </r>
      </text>
    </comment>
    <comment ref="P51" authorId="3" shapeId="0" xr:uid="{58C8EBCC-717C-4FBE-BBFB-A70CAE1BAE5E}">
      <text>
        <r>
          <rPr>
            <b/>
            <sz val="9"/>
            <color indexed="81"/>
            <rFont val="Tahoma"/>
            <family val="2"/>
          </rPr>
          <t>Main:</t>
        </r>
        <r>
          <rPr>
            <sz val="9"/>
            <color indexed="81"/>
            <rFont val="Tahoma"/>
            <family val="2"/>
          </rPr>
          <t xml:space="preserve">
This formula is good for picking up odd heights from the A/sketch take off</t>
        </r>
      </text>
    </comment>
    <comment ref="P57" authorId="3" shapeId="0" xr:uid="{F65C86CB-C80B-4AC9-925C-4A27F138D673}">
      <text>
        <r>
          <rPr>
            <b/>
            <sz val="9"/>
            <color indexed="81"/>
            <rFont val="Tahoma"/>
            <family val="2"/>
          </rPr>
          <t>Main:</t>
        </r>
        <r>
          <rPr>
            <sz val="9"/>
            <color indexed="81"/>
            <rFont val="Tahoma"/>
            <family val="2"/>
          </rPr>
          <t xml:space="preserve">
This formula is good for picking up odd heights from the A/sketch take off</t>
        </r>
      </text>
    </comment>
    <comment ref="D74" authorId="2" shapeId="0" xr:uid="{00000000-0006-0000-0900-00001A000000}">
      <text>
        <r>
          <rPr>
            <b/>
            <sz val="9"/>
            <color indexed="81"/>
            <rFont val="Tahoma"/>
            <family val="2"/>
          </rPr>
          <t>Paul Newton:</t>
        </r>
        <r>
          <rPr>
            <sz val="9"/>
            <color indexed="81"/>
            <rFont val="Tahoma"/>
            <family val="2"/>
          </rPr>
          <t xml:space="preserve">
Will be transferred to Verticlay below on two story houses.</t>
        </r>
      </text>
    </comment>
    <comment ref="D79" authorId="1" shapeId="0" xr:uid="{00000000-0006-0000-0900-00001B000000}">
      <text>
        <r>
          <rPr>
            <b/>
            <sz val="9"/>
            <color indexed="81"/>
            <rFont val="Tahoma"/>
            <family val="2"/>
          </rPr>
          <t>Arjay:</t>
        </r>
        <r>
          <rPr>
            <sz val="9"/>
            <color indexed="81"/>
            <rFont val="Tahoma"/>
            <family val="2"/>
          </rPr>
          <t xml:space="preserve">
Leave Quantity as 1 unless required</t>
        </r>
      </text>
    </comment>
    <comment ref="N79" authorId="1" shapeId="0" xr:uid="{00000000-0006-0000-0900-00001C000000}">
      <text>
        <r>
          <rPr>
            <b/>
            <sz val="9"/>
            <color indexed="81"/>
            <rFont val="Tahoma"/>
            <family val="2"/>
          </rPr>
          <t>Arjay:</t>
        </r>
        <r>
          <rPr>
            <sz val="9"/>
            <color indexed="81"/>
            <rFont val="Tahoma"/>
            <family val="2"/>
          </rPr>
          <t xml:space="preserve">
Leave Quantity as 1 unless required</t>
        </r>
      </text>
    </comment>
    <comment ref="M83" authorId="0" shapeId="0" xr:uid="{00000000-0006-0000-0900-00001D000000}">
      <text>
        <r>
          <rPr>
            <b/>
            <sz val="8"/>
            <color indexed="81"/>
            <rFont val="Tahoma"/>
            <family val="2"/>
          </rPr>
          <t>RJ Smolders:</t>
        </r>
        <r>
          <rPr>
            <sz val="8"/>
            <color indexed="81"/>
            <rFont val="Tahoma"/>
            <family val="2"/>
          </rPr>
          <t xml:space="preserve">
This item converts 2c rough bricks to longreach, over openings only, use above item to convert bricks due to C footing type</t>
        </r>
      </text>
    </comment>
    <comment ref="M85" authorId="0" shapeId="0" xr:uid="{00000000-0006-0000-0900-00001E000000}">
      <text>
        <r>
          <rPr>
            <b/>
            <sz val="8"/>
            <color indexed="81"/>
            <rFont val="Tahoma"/>
            <family val="2"/>
          </rPr>
          <t>RJ Smolders:</t>
        </r>
        <r>
          <rPr>
            <sz val="8"/>
            <color indexed="81"/>
            <rFont val="Tahoma"/>
            <family val="2"/>
          </rPr>
          <t xml:space="preserve">
This item converts 2c rough bricks to longreach only where raking bulkheads exist - value is used below to deduct area</t>
        </r>
      </text>
    </comment>
    <comment ref="M86" authorId="0" shapeId="0" xr:uid="{00000000-0006-0000-0900-00001F000000}">
      <text>
        <r>
          <rPr>
            <b/>
            <sz val="8"/>
            <color indexed="81"/>
            <rFont val="Tahoma"/>
            <family val="2"/>
          </rPr>
          <t>RJ Smolders:</t>
        </r>
        <r>
          <rPr>
            <sz val="8"/>
            <color indexed="81"/>
            <rFont val="Tahoma"/>
            <family val="2"/>
          </rPr>
          <t xml:space="preserve">
This items converts 2c rough bricks to longreach over square bulkheads only</t>
        </r>
      </text>
    </comment>
    <comment ref="D101" authorId="2" shapeId="0" xr:uid="{00000000-0006-0000-0900-000020000000}">
      <text>
        <r>
          <rPr>
            <b/>
            <sz val="9"/>
            <color indexed="81"/>
            <rFont val="Tahoma"/>
            <family val="2"/>
          </rPr>
          <t>Paul Newton:</t>
        </r>
        <r>
          <rPr>
            <sz val="9"/>
            <color indexed="81"/>
            <rFont val="Tahoma"/>
            <family val="2"/>
          </rPr>
          <t xml:space="preserve">
Combines internal and external brickwork for two stories.</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RJ Smolders</author>
    <author>Arjay</author>
    <author>Paul Newton</author>
  </authors>
  <commentList>
    <comment ref="C2" authorId="0" shapeId="0" xr:uid="{00000000-0006-0000-0A00-000001000000}">
      <text>
        <r>
          <rPr>
            <b/>
            <sz val="8"/>
            <color indexed="81"/>
            <rFont val="Tahoma"/>
            <family val="2"/>
          </rPr>
          <t>RJ Smolders:</t>
        </r>
        <r>
          <rPr>
            <sz val="8"/>
            <color indexed="81"/>
            <rFont val="Tahoma"/>
            <family val="2"/>
          </rPr>
          <t xml:space="preserve">
Add all external face brickwork here including render areas - thes will be taken out below</t>
        </r>
      </text>
    </comment>
    <comment ref="D3" authorId="1" shapeId="0" xr:uid="{00000000-0006-0000-0A00-000002000000}">
      <text>
        <r>
          <rPr>
            <b/>
            <sz val="9"/>
            <color indexed="81"/>
            <rFont val="Tahoma"/>
            <family val="2"/>
          </rPr>
          <t>Arjay:</t>
        </r>
        <r>
          <rPr>
            <sz val="9"/>
            <color indexed="81"/>
            <rFont val="Tahoma"/>
            <family val="2"/>
          </rPr>
          <t xml:space="preserve">
Leave Quantity as 1 unless required</t>
        </r>
      </text>
    </comment>
    <comment ref="N3" authorId="1" shapeId="0" xr:uid="{00000000-0006-0000-0A00-000003000000}">
      <text>
        <r>
          <rPr>
            <b/>
            <sz val="9"/>
            <color indexed="81"/>
            <rFont val="Tahoma"/>
            <family val="2"/>
          </rPr>
          <t>Arjay:</t>
        </r>
        <r>
          <rPr>
            <sz val="9"/>
            <color indexed="81"/>
            <rFont val="Tahoma"/>
            <family val="2"/>
          </rPr>
          <t xml:space="preserve">
Leave Quantity as 1 unless required</t>
        </r>
      </text>
    </comment>
    <comment ref="P23" authorId="2" shapeId="0" xr:uid="{2EF5E33B-E568-4C55-B529-CF106053D7A0}">
      <text>
        <r>
          <rPr>
            <b/>
            <sz val="9"/>
            <color indexed="81"/>
            <rFont val="Tahoma"/>
            <family val="2"/>
          </rPr>
          <t>Paul Newton:</t>
        </r>
        <r>
          <rPr>
            <sz val="9"/>
            <color indexed="81"/>
            <rFont val="Tahoma"/>
            <family val="2"/>
          </rPr>
          <t xml:space="preserve">
Allows a solid longreach over all openings with brickwork above the head.</t>
        </r>
      </text>
    </comment>
    <comment ref="D38" authorId="1" shapeId="0" xr:uid="{00000000-0006-0000-0A00-000005000000}">
      <text>
        <r>
          <rPr>
            <b/>
            <sz val="9"/>
            <color indexed="81"/>
            <rFont val="Tahoma"/>
            <family val="2"/>
          </rPr>
          <t>Arjay:</t>
        </r>
        <r>
          <rPr>
            <sz val="9"/>
            <color indexed="81"/>
            <rFont val="Tahoma"/>
            <family val="2"/>
          </rPr>
          <t xml:space="preserve">
Leave Quantity as 1 unless required</t>
        </r>
      </text>
    </comment>
    <comment ref="N38" authorId="1" shapeId="0" xr:uid="{00000000-0006-0000-0A00-000006000000}">
      <text>
        <r>
          <rPr>
            <b/>
            <sz val="9"/>
            <color indexed="81"/>
            <rFont val="Tahoma"/>
            <family val="2"/>
          </rPr>
          <t>Arjay:</t>
        </r>
        <r>
          <rPr>
            <sz val="9"/>
            <color indexed="81"/>
            <rFont val="Tahoma"/>
            <family val="2"/>
          </rPr>
          <t xml:space="preserve">
Leave Quantity as 1 unless required</t>
        </r>
      </text>
    </comment>
    <comment ref="D67" authorId="1" shapeId="0" xr:uid="{00000000-0006-0000-0A00-000008000000}">
      <text>
        <r>
          <rPr>
            <b/>
            <sz val="9"/>
            <color indexed="81"/>
            <rFont val="Tahoma"/>
            <family val="2"/>
          </rPr>
          <t>Arjay:</t>
        </r>
        <r>
          <rPr>
            <sz val="9"/>
            <color indexed="81"/>
            <rFont val="Tahoma"/>
            <family val="2"/>
          </rPr>
          <t xml:space="preserve">
Leave Quantity as 1 unless required</t>
        </r>
      </text>
    </comment>
    <comment ref="N67" authorId="1" shapeId="0" xr:uid="{00000000-0006-0000-0A00-000009000000}">
      <text>
        <r>
          <rPr>
            <b/>
            <sz val="9"/>
            <color indexed="81"/>
            <rFont val="Tahoma"/>
            <family val="2"/>
          </rPr>
          <t>Arjay:</t>
        </r>
        <r>
          <rPr>
            <sz val="9"/>
            <color indexed="81"/>
            <rFont val="Tahoma"/>
            <family val="2"/>
          </rPr>
          <t xml:space="preserve">
Leave Quantity as 1 unless required</t>
        </r>
      </text>
    </comment>
    <comment ref="M71" authorId="0" shapeId="0" xr:uid="{00000000-0006-0000-0A00-00000A000000}">
      <text>
        <r>
          <rPr>
            <b/>
            <sz val="8"/>
            <color indexed="81"/>
            <rFont val="Tahoma"/>
            <family val="2"/>
          </rPr>
          <t>RJ Smolders:</t>
        </r>
        <r>
          <rPr>
            <sz val="8"/>
            <color indexed="81"/>
            <rFont val="Tahoma"/>
            <family val="2"/>
          </rPr>
          <t xml:space="preserve">
This item converts 2c rough bricks to longreach, over openings only, use above item to convert bricks due to C footing type</t>
        </r>
      </text>
    </comment>
    <comment ref="M73" authorId="0" shapeId="0" xr:uid="{00000000-0006-0000-0A00-00000B000000}">
      <text>
        <r>
          <rPr>
            <b/>
            <sz val="8"/>
            <color indexed="81"/>
            <rFont val="Tahoma"/>
            <family val="2"/>
          </rPr>
          <t>RJ Smolders:</t>
        </r>
        <r>
          <rPr>
            <sz val="8"/>
            <color indexed="81"/>
            <rFont val="Tahoma"/>
            <family val="2"/>
          </rPr>
          <t xml:space="preserve">
This item converts 2c rough bricks to longreach only where raking bulkheads exist - value is used below to deduct area</t>
        </r>
      </text>
    </comment>
    <comment ref="M74" authorId="0" shapeId="0" xr:uid="{00000000-0006-0000-0A00-00000C000000}">
      <text>
        <r>
          <rPr>
            <b/>
            <sz val="8"/>
            <color indexed="81"/>
            <rFont val="Tahoma"/>
            <family val="2"/>
          </rPr>
          <t>RJ Smolders:</t>
        </r>
        <r>
          <rPr>
            <sz val="8"/>
            <color indexed="81"/>
            <rFont val="Tahoma"/>
            <family val="2"/>
          </rPr>
          <t xml:space="preserve">
This items converts 2c rough bricks to longreach over square bulkheads only</t>
        </r>
      </text>
    </comment>
    <comment ref="M83" authorId="0" shapeId="0" xr:uid="{00000000-0006-0000-0A00-00000D000000}">
      <text>
        <r>
          <rPr>
            <b/>
            <sz val="8"/>
            <color indexed="81"/>
            <rFont val="Tahoma"/>
            <family val="2"/>
          </rPr>
          <t>RJ Smolders:</t>
        </r>
        <r>
          <rPr>
            <sz val="8"/>
            <color indexed="81"/>
            <rFont val="Tahoma"/>
            <family val="2"/>
          </rPr>
          <t xml:space="preserve">
This item deducts area from the 2c rough bricks calculated as where there is a raking bulkhead the wall is 2c shorter (in general)</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Paul Newton</author>
  </authors>
  <commentList>
    <comment ref="A13" authorId="0" shapeId="0" xr:uid="{163AE7F2-E33E-4C61-BA70-20AC54C58078}">
      <text>
        <r>
          <rPr>
            <b/>
            <sz val="9"/>
            <color indexed="81"/>
            <rFont val="Tahoma"/>
            <family val="2"/>
          </rPr>
          <t>Paul Newton:</t>
        </r>
        <r>
          <rPr>
            <sz val="9"/>
            <color indexed="81"/>
            <rFont val="Tahoma"/>
            <family val="2"/>
          </rPr>
          <t xml:space="preserve">
Include all areas to be wet drywall lined. FIRST FLOOR</t>
        </r>
      </text>
    </comment>
    <comment ref="A14" authorId="0" shapeId="0" xr:uid="{00000000-0006-0000-0D00-000001000000}">
      <text>
        <r>
          <rPr>
            <b/>
            <sz val="9"/>
            <color indexed="81"/>
            <rFont val="Tahoma"/>
            <family val="2"/>
          </rPr>
          <t>Paul Newton:</t>
        </r>
        <r>
          <rPr>
            <sz val="9"/>
            <color indexed="81"/>
            <rFont val="Tahoma"/>
            <family val="2"/>
          </rPr>
          <t xml:space="preserve">
Include all areas to be wet drywall lined including the inside of the garage wall on timber frame jobs.</t>
        </r>
      </text>
    </comment>
    <comment ref="A15" authorId="0" shapeId="0" xr:uid="{00000000-0006-0000-0D00-000002000000}">
      <text>
        <r>
          <rPr>
            <b/>
            <sz val="9"/>
            <color indexed="81"/>
            <rFont val="Tahoma"/>
            <family val="2"/>
          </rPr>
          <t>Paul Newton:</t>
        </r>
        <r>
          <rPr>
            <sz val="9"/>
            <color indexed="81"/>
            <rFont val="Tahoma"/>
            <family val="2"/>
          </rPr>
          <t xml:space="preserve">
Add small areas of drwyall here</t>
        </r>
      </text>
    </comment>
    <comment ref="A16" authorId="0" shapeId="0" xr:uid="{8F592697-150C-4BAC-B0DF-63DAC3D68625}">
      <text>
        <r>
          <rPr>
            <b/>
            <sz val="9"/>
            <color indexed="81"/>
            <rFont val="Tahoma"/>
            <family val="2"/>
          </rPr>
          <t>Paul Newton:</t>
        </r>
        <r>
          <rPr>
            <sz val="9"/>
            <color indexed="81"/>
            <rFont val="Tahoma"/>
            <family val="2"/>
          </rPr>
          <t xml:space="preserve">
Add small areas of drwyall here</t>
        </r>
      </text>
    </comment>
    <comment ref="J29" authorId="0" shapeId="0" xr:uid="{00000000-0006-0000-0D00-000003000000}">
      <text>
        <r>
          <rPr>
            <b/>
            <sz val="9"/>
            <color indexed="81"/>
            <rFont val="Tahoma"/>
            <family val="2"/>
          </rPr>
          <t>Paul Newton:</t>
        </r>
        <r>
          <rPr>
            <sz val="9"/>
            <color indexed="81"/>
            <rFont val="Tahoma"/>
            <family val="2"/>
          </rPr>
          <t xml:space="preserve">
House Area less internal walls.</t>
        </r>
      </text>
    </comment>
    <comment ref="J36" authorId="0" shapeId="0" xr:uid="{1D64DE62-8A05-4216-AFAF-9DEED42E8350}">
      <text>
        <r>
          <rPr>
            <b/>
            <sz val="9"/>
            <color indexed="81"/>
            <rFont val="Tahoma"/>
            <family val="2"/>
          </rPr>
          <t>Paul Newton:</t>
        </r>
        <r>
          <rPr>
            <sz val="9"/>
            <color indexed="81"/>
            <rFont val="Tahoma"/>
            <family val="2"/>
          </rPr>
          <t xml:space="preserve">
Adds internal wall areas and perimeter wall areas deducts windows and doors</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Graeme Davis</author>
    <author>tc={75A2E37F-98A4-414E-AA3C-CAF7F71EA68D}</author>
    <author>tc={E87F891C-DEB9-43E8-BE74-0102C1D9AED0}</author>
  </authors>
  <commentList>
    <comment ref="AF8" authorId="0" shapeId="0" xr:uid="{00000000-0006-0000-1600-000001000000}">
      <text>
        <r>
          <rPr>
            <b/>
            <sz val="8"/>
            <color indexed="81"/>
            <rFont val="Tahoma"/>
            <family val="2"/>
          </rPr>
          <t>Graeme Davis:</t>
        </r>
        <r>
          <rPr>
            <sz val="8"/>
            <color indexed="81"/>
            <rFont val="Tahoma"/>
            <family val="2"/>
          </rPr>
          <t xml:space="preserve">
Insert length of shelving (used for calculation of fixing carpenter labour, below)</t>
        </r>
      </text>
    </comment>
    <comment ref="AG8" authorId="0" shapeId="0" xr:uid="{00000000-0006-0000-1600-000002000000}">
      <text>
        <r>
          <rPr>
            <b/>
            <sz val="8"/>
            <color indexed="81"/>
            <rFont val="Tahoma"/>
            <family val="2"/>
          </rPr>
          <t>Graeme Davis:</t>
        </r>
        <r>
          <rPr>
            <sz val="8"/>
            <color indexed="81"/>
            <rFont val="Tahoma"/>
            <family val="2"/>
          </rPr>
          <t xml:space="preserve">
Insert number of rows of shelving</t>
        </r>
      </text>
    </comment>
    <comment ref="L45" authorId="1" shapeId="0" xr:uid="{75A2E37F-98A4-414E-AA3C-CAF7F71EA68D}">
      <text>
        <t>[Threaded comment]
Your version of Excel allows you to read this threaded comment; however, any edits to it will get removed if the file is opened in a newer version of Excel. Learn more: https://go.microsoft.com/fwlink/?linkid=870924
Comment:
    To exposed timber beams and as cornice to garages with cement fibre sheeting on timber frame jobs.</t>
      </text>
    </comment>
    <comment ref="P45" authorId="2" shapeId="0" xr:uid="{E87F891C-DEB9-43E8-BE74-0102C1D9AED0}">
      <text>
        <t>[Threaded comment]
Your version of Excel allows you to read this threaded comment; however, any edits to it will get removed if the file is opened in a newer version of Excel. Learn more: https://go.microsoft.com/fwlink/?linkid=870924
Comment:
    To timber posts</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Main</author>
    <author>Paul Newton</author>
  </authors>
  <commentList>
    <comment ref="B373" authorId="0" shapeId="0" xr:uid="{77F32C7C-E11A-442B-A71A-3F6C99C11ED4}">
      <text>
        <r>
          <rPr>
            <b/>
            <sz val="9"/>
            <color indexed="81"/>
            <rFont val="Tahoma"/>
            <family val="2"/>
          </rPr>
          <t>Main:</t>
        </r>
        <r>
          <rPr>
            <sz val="9"/>
            <color indexed="81"/>
            <rFont val="Tahoma"/>
            <family val="2"/>
          </rPr>
          <t xml:space="preserve">
Adds featue if M2</t>
        </r>
      </text>
    </comment>
    <comment ref="B374" authorId="0" shapeId="0" xr:uid="{0DF8DF68-9437-40E1-A2AD-38739947BB0E}">
      <text>
        <r>
          <rPr>
            <b/>
            <sz val="9"/>
            <color indexed="81"/>
            <rFont val="Tahoma"/>
            <family val="2"/>
          </rPr>
          <t>Main:</t>
        </r>
        <r>
          <rPr>
            <sz val="9"/>
            <color indexed="81"/>
            <rFont val="Tahoma"/>
            <family val="2"/>
          </rPr>
          <t xml:space="preserve">
Adds feature if M2</t>
        </r>
      </text>
    </comment>
    <comment ref="B378" authorId="0" shapeId="0" xr:uid="{64CEDFAF-C8DC-4DDF-8ACB-346F6EFF04A3}">
      <text>
        <r>
          <rPr>
            <b/>
            <sz val="9"/>
            <color indexed="81"/>
            <rFont val="Tahoma"/>
            <family val="2"/>
          </rPr>
          <t>Main:</t>
        </r>
        <r>
          <rPr>
            <sz val="9"/>
            <color indexed="81"/>
            <rFont val="Tahoma"/>
            <family val="2"/>
          </rPr>
          <t xml:space="preserve">
Adds feature if M2</t>
        </r>
      </text>
    </comment>
    <comment ref="J388" authorId="0" shapeId="0" xr:uid="{B7AD999B-5416-427E-9A6F-D647B62BA10E}">
      <text>
        <r>
          <rPr>
            <b/>
            <sz val="9"/>
            <color indexed="81"/>
            <rFont val="Tahoma"/>
            <family val="2"/>
          </rPr>
          <t>Leave blank if standrad tile</t>
        </r>
      </text>
    </comment>
    <comment ref="C399" authorId="1" shapeId="0" xr:uid="{F62373F8-866F-4842-89D4-BCAFBA4B3F1E}">
      <text>
        <r>
          <rPr>
            <b/>
            <sz val="9"/>
            <color indexed="81"/>
            <rFont val="Tahoma"/>
            <family val="2"/>
          </rPr>
          <t>Paul Newton:</t>
        </r>
        <r>
          <rPr>
            <sz val="9"/>
            <color indexed="81"/>
            <rFont val="Tahoma"/>
            <family val="2"/>
          </rPr>
          <t xml:space="preserve">
$22 for standard</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Graeme Davis</author>
  </authors>
  <commentList>
    <comment ref="C16" authorId="0" shapeId="0" xr:uid="{00000000-0006-0000-1800-000002000000}">
      <text>
        <r>
          <rPr>
            <b/>
            <sz val="8"/>
            <color indexed="81"/>
            <rFont val="Tahoma"/>
            <family val="2"/>
          </rPr>
          <t>Graeme Davis:</t>
        </r>
        <r>
          <rPr>
            <sz val="8"/>
            <color indexed="81"/>
            <rFont val="Tahoma"/>
            <family val="2"/>
          </rPr>
          <t xml:space="preserve">
Insert area remaining from above area</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Paul Newton</author>
  </authors>
  <commentList>
    <comment ref="A458" authorId="0" shapeId="0" xr:uid="{00000000-0006-0000-1900-000001000000}">
      <text>
        <r>
          <rPr>
            <b/>
            <sz val="9"/>
            <color indexed="81"/>
            <rFont val="Tahoma"/>
            <family val="2"/>
          </rPr>
          <t>Paul Newton:</t>
        </r>
        <r>
          <rPr>
            <sz val="9"/>
            <color indexed="81"/>
            <rFont val="Tahoma"/>
            <family val="2"/>
          </rPr>
          <t xml:space="preserve">
170 DEDUCTION FOR PELMET AS DOOR CAN RUN UP TO 50MM BEHIND A 220MM PELMET</t>
        </r>
      </text>
    </comment>
    <comment ref="B460" authorId="0" shapeId="0" xr:uid="{00000000-0006-0000-1900-000002000000}">
      <text>
        <r>
          <rPr>
            <b/>
            <sz val="9"/>
            <color indexed="81"/>
            <rFont val="Tahoma"/>
            <family val="2"/>
          </rPr>
          <t>Paul Newton:</t>
        </r>
        <r>
          <rPr>
            <sz val="9"/>
            <color indexed="81"/>
            <rFont val="Tahoma"/>
            <family val="2"/>
          </rPr>
          <t xml:space="preserve">
$68.25 South West Loading</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Paul Newton</author>
  </authors>
  <commentList>
    <comment ref="R124" authorId="0" shapeId="0" xr:uid="{00000000-0006-0000-2200-000001000000}">
      <text>
        <r>
          <rPr>
            <b/>
            <sz val="9"/>
            <color indexed="81"/>
            <rFont val="Tahoma"/>
            <family val="2"/>
          </rPr>
          <t>Paul Newton:</t>
        </r>
        <r>
          <rPr>
            <sz val="9"/>
            <color indexed="81"/>
            <rFont val="Tahoma"/>
            <family val="2"/>
          </rPr>
          <t xml:space="preserve">
No price for &gt;6M
Used &lt;6m price</t>
        </r>
      </text>
    </comment>
    <comment ref="R128" authorId="0" shapeId="0" xr:uid="{00000000-0006-0000-2200-000002000000}">
      <text>
        <r>
          <rPr>
            <b/>
            <sz val="9"/>
            <color indexed="81"/>
            <rFont val="Tahoma"/>
            <family val="2"/>
          </rPr>
          <t>Paul Newton:</t>
        </r>
        <r>
          <rPr>
            <sz val="9"/>
            <color indexed="81"/>
            <rFont val="Tahoma"/>
            <family val="2"/>
          </rPr>
          <t xml:space="preserve">
No price given for MGP10
only CCA</t>
        </r>
      </text>
    </comment>
    <comment ref="R141" authorId="0" shapeId="0" xr:uid="{00000000-0006-0000-2200-000003000000}">
      <text>
        <r>
          <rPr>
            <b/>
            <sz val="9"/>
            <color indexed="81"/>
            <rFont val="Tahoma"/>
            <family val="2"/>
          </rPr>
          <t>Paul Newton:</t>
        </r>
        <r>
          <rPr>
            <sz val="9"/>
            <color indexed="81"/>
            <rFont val="Tahoma"/>
            <family val="2"/>
          </rPr>
          <t xml:space="preserve">
Price is for  297x80 </t>
        </r>
      </text>
    </comment>
    <comment ref="R142" authorId="0" shapeId="0" xr:uid="{00000000-0006-0000-2200-000004000000}">
      <text>
        <r>
          <rPr>
            <b/>
            <sz val="9"/>
            <color indexed="81"/>
            <rFont val="Tahoma"/>
            <family val="2"/>
          </rPr>
          <t>Paul Newton:</t>
        </r>
        <r>
          <rPr>
            <sz val="9"/>
            <color indexed="81"/>
            <rFont val="Tahoma"/>
            <family val="2"/>
          </rPr>
          <t xml:space="preserve">
No price given</t>
        </r>
      </text>
    </comment>
    <comment ref="R150" authorId="0" shapeId="0" xr:uid="{00000000-0006-0000-2200-000005000000}">
      <text>
        <r>
          <rPr>
            <b/>
            <sz val="9"/>
            <color indexed="81"/>
            <rFont val="Tahoma"/>
            <family val="2"/>
          </rPr>
          <t>Paul Newton:</t>
        </r>
        <r>
          <rPr>
            <sz val="9"/>
            <color indexed="81"/>
            <rFont val="Tahoma"/>
            <family val="2"/>
          </rPr>
          <t xml:space="preserve">
No price given</t>
        </r>
      </text>
    </comment>
    <comment ref="R152" authorId="0" shapeId="0" xr:uid="{00000000-0006-0000-2200-000006000000}">
      <text>
        <r>
          <rPr>
            <b/>
            <sz val="9"/>
            <color indexed="81"/>
            <rFont val="Tahoma"/>
            <family val="2"/>
          </rPr>
          <t>Paul Newton:</t>
        </r>
        <r>
          <rPr>
            <sz val="9"/>
            <color indexed="81"/>
            <rFont val="Tahoma"/>
            <family val="2"/>
          </rPr>
          <t xml:space="preserve">
No price given</t>
        </r>
      </text>
    </comment>
    <comment ref="R153" authorId="0" shapeId="0" xr:uid="{00000000-0006-0000-2200-000007000000}">
      <text>
        <r>
          <rPr>
            <b/>
            <sz val="9"/>
            <color indexed="81"/>
            <rFont val="Tahoma"/>
            <family val="2"/>
          </rPr>
          <t>Paul Newton:</t>
        </r>
        <r>
          <rPr>
            <sz val="9"/>
            <color indexed="81"/>
            <rFont val="Tahoma"/>
            <family val="2"/>
          </rPr>
          <t xml:space="preserve">
No price given</t>
        </r>
      </text>
    </comment>
    <comment ref="R155" authorId="0" shapeId="0" xr:uid="{00000000-0006-0000-2200-000008000000}">
      <text>
        <r>
          <rPr>
            <b/>
            <sz val="9"/>
            <color indexed="81"/>
            <rFont val="Tahoma"/>
            <family val="2"/>
          </rPr>
          <t>Paul Newton:</t>
        </r>
        <r>
          <rPr>
            <sz val="9"/>
            <color indexed="81"/>
            <rFont val="Tahoma"/>
            <family val="2"/>
          </rPr>
          <t xml:space="preserve">
No price given</t>
        </r>
      </text>
    </comment>
    <comment ref="R156" authorId="0" shapeId="0" xr:uid="{00000000-0006-0000-2200-000009000000}">
      <text>
        <r>
          <rPr>
            <b/>
            <sz val="9"/>
            <color indexed="81"/>
            <rFont val="Tahoma"/>
            <family val="2"/>
          </rPr>
          <t>Paul Newton:</t>
        </r>
        <r>
          <rPr>
            <sz val="9"/>
            <color indexed="81"/>
            <rFont val="Tahoma"/>
            <family val="2"/>
          </rPr>
          <t xml:space="preserve">
No price given</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1000000}" name="1421056 Addenda" type="6" refreshedVersion="8" deleted="1" background="1" saveData="1">
    <textPr prompt="0" sourceFile="C:\Users\pauln\Desktop\Jobs\301422\301422 Addenda.TXT" tab="0">
      <textFields>
        <textField/>
      </textFields>
    </textPr>
  </connection>
  <connection id="2" xr16:uid="{00000000-0015-0000-FFFF-FFFF03000000}" name="1421056 Eng Site Report" type="6" refreshedVersion="8" deleted="1" background="1" saveData="1">
    <textPr prompt="0" sourceFile="C:\Users\pauln\Desktop\Jobs\301422\301422 Eng Site Report.TXT" tab="0">
      <textFields>
        <textField/>
      </textFields>
    </textPr>
  </connection>
  <connection id="3" xr16:uid="{00000000-0015-0000-FFFF-FFFF04000000}" name="1421056 Eng Site Report1" type="6" refreshedVersion="8" deleted="1" background="1" saveData="1">
    <textPr prompt="0" sourceFile="C:\Users\pauln\Desktop\Jobs\301422\301422 Eng Full Cert.TXT" tab="0">
      <textFields>
        <textField/>
      </textFields>
    </textPr>
  </connection>
  <connection id="4" xr16:uid="{00000000-0015-0000-FFFF-FFFF15000000}" name="ADDENDA" type="6" refreshedVersion="4" background="1" saveData="1">
    <textPr prompt="0" sourceFile="C:\Users\newtonp\Desktop\Ideas\1423040 Addenda.TXT" tab="0">
      <textFields>
        <textField/>
      </textFields>
    </textPr>
  </connection>
  <connection id="5" xr16:uid="{00000000-0015-0000-FFFF-FFFF16000000}" name="ENG SITE REPORT" type="6" refreshedVersion="4" background="1" saveData="1">
    <textPr prompt="0" sourceFile="C:\Users\newtonp\Desktop\Ideas\1423040 Eng Site Report.TXT" tab="0">
      <textFields>
        <textField/>
      </textFields>
    </textPr>
  </connection>
  <connection id="6" xr16:uid="{00000000-0015-0000-FFFF-FFFF17000000}" name="FLOOR GROUND" type="6" refreshedVersion="4" background="1" saveData="1">
    <textPr prompt="0" sourceFile="C:\Users\newtonp\Desktop\Ideas\1423040 Floor Ground.TXT" tab="0">
      <textFields>
        <textField/>
      </textFields>
    </textPr>
  </connection>
  <connection id="7" xr16:uid="{00000000-0015-0000-FFFF-FFFF18000000}" name="QUANTS" type="6" refreshedVersion="4" background="1" saveData="1">
    <textPr prompt="0" sourceFile="J:\1400000 ALL\1423000 SW AL\1423040\1423040 QUANTS QUOTES\1423040 QUANTS.CSV" tab="0" comma="1">
      <textFields>
        <textField/>
      </textFields>
    </textPr>
  </connection>
  <connection id="8" xr16:uid="{844E04C8-3F04-4C69-9287-F19A4A45220E}" keepAlive="1" name="Query - Brickwork" description="Connection to the 'Brickwork' query in the workbook." type="5" refreshedVersion="8" background="1" saveData="1">
    <dbPr connection="Provider=Microsoft.Mashup.OleDb.1;Data Source=$Workbook$;Location=Brickwork;Extended Properties=&quot;&quot;" command="SELECT * FROM [Brickwork]"/>
  </connection>
  <connection id="9" xr16:uid="{00000000-0015-0000-FFFF-FFFF19000000}" name="Roof FF1" type="6" refreshedVersion="6" deleted="1" background="1" saveData="1">
    <textPr prompt="0" sourceFile="K:\Jobs\1800000 ALL\1821000 SW VH\1821013\1821013 QUANTS QUOTES\1821013 QUANTS FIRST.CSV" tab="0" comma="1">
      <textFields>
        <textField/>
      </textFields>
    </textPr>
  </connection>
  <connection id="10" xr16:uid="{00000000-0015-0000-FFFF-FFFF1A000000}" name="SITE PLAN" type="6" refreshedVersion="4" background="1" saveData="1">
    <textPr prompt="0" sourceFile="C:\Users\newtonp\Desktop\Ideas\1423040 Site Plan.TXT" tab="0">
      <textFields>
        <textField/>
      </textFields>
    </textPr>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<sst xmlns="http://schemas.openxmlformats.org/spreadsheetml/2006/main" count="10467" uniqueCount="3850">
  <si>
    <t>Stepdowns</t>
  </si>
  <si>
    <t>JOB NO</t>
  </si>
  <si>
    <t>DATA SHEET</t>
  </si>
  <si>
    <t>ADDRESS</t>
  </si>
  <si>
    <t>TOTALS</t>
  </si>
  <si>
    <t>Longreach</t>
  </si>
  <si>
    <t>Commons</t>
  </si>
  <si>
    <t>Location</t>
  </si>
  <si>
    <t>Other</t>
  </si>
  <si>
    <t>100*50*3 RHS Column</t>
  </si>
  <si>
    <t>150*50*4 RHS Column</t>
  </si>
  <si>
    <t>Total</t>
  </si>
  <si>
    <t>Corner</t>
  </si>
  <si>
    <t>Top of Slab</t>
  </si>
  <si>
    <t>Kitchen</t>
  </si>
  <si>
    <t>Bedroom 2</t>
  </si>
  <si>
    <t>Bedroom 1</t>
  </si>
  <si>
    <t>Laundry</t>
  </si>
  <si>
    <t>Entry</t>
  </si>
  <si>
    <t>Living</t>
  </si>
  <si>
    <t>Meals</t>
  </si>
  <si>
    <t>Theatre</t>
  </si>
  <si>
    <t>Activity</t>
  </si>
  <si>
    <t>Dining</t>
  </si>
  <si>
    <t>Study</t>
  </si>
  <si>
    <t>Bedroom 3</t>
  </si>
  <si>
    <t>Bedroom 4</t>
  </si>
  <si>
    <t>Bedroom 5</t>
  </si>
  <si>
    <t>Bathroom</t>
  </si>
  <si>
    <t>Ensuite</t>
  </si>
  <si>
    <t>WC</t>
  </si>
  <si>
    <t>Opening Height (Courses)</t>
  </si>
  <si>
    <t>Type 'A' Lintel</t>
  </si>
  <si>
    <t>Lintels</t>
  </si>
  <si>
    <t>Length</t>
  </si>
  <si>
    <t>Min size for Span</t>
  </si>
  <si>
    <t>Actual Selection</t>
  </si>
  <si>
    <t>Protection</t>
  </si>
  <si>
    <t>Black</t>
  </si>
  <si>
    <t>Dimet</t>
  </si>
  <si>
    <t>Galvanized</t>
  </si>
  <si>
    <t>Steel Roof</t>
  </si>
  <si>
    <t>75*8 Flat Bar</t>
  </si>
  <si>
    <t>75*75*6 Lintel</t>
  </si>
  <si>
    <t>100*75*6 Lintel</t>
  </si>
  <si>
    <t>125*75*8 Lintel</t>
  </si>
  <si>
    <t>150*90*8 Lintel</t>
  </si>
  <si>
    <t>150*100*10 Lintel</t>
  </si>
  <si>
    <t>100*100*8 Lintel</t>
  </si>
  <si>
    <t>150*150*10 T-Bar</t>
  </si>
  <si>
    <t>180*150*10 T-Bar</t>
  </si>
  <si>
    <t>180*200*10 T-Bar</t>
  </si>
  <si>
    <t>180*250*10 T-Bar</t>
  </si>
  <si>
    <t>200*150*10 T-Bar</t>
  </si>
  <si>
    <t>200*200*10 T-Bar</t>
  </si>
  <si>
    <t>Roof Type</t>
  </si>
  <si>
    <t>LINTEL SHEET</t>
  </si>
  <si>
    <t>Area</t>
  </si>
  <si>
    <t>Finishing Blocks</t>
  </si>
  <si>
    <t>Internal Walls</t>
  </si>
  <si>
    <t>Area m2</t>
  </si>
  <si>
    <t>Concealed Door Closer</t>
  </si>
  <si>
    <t>90 Back Opening</t>
  </si>
  <si>
    <t>110 Back Opening</t>
  </si>
  <si>
    <t>Opening</t>
  </si>
  <si>
    <t>Size</t>
  </si>
  <si>
    <t>Brick Lintels</t>
  </si>
  <si>
    <t>STEEL BEAMS AND COLUMNS</t>
  </si>
  <si>
    <t>Steel Beams</t>
  </si>
  <si>
    <t>Selection</t>
  </si>
  <si>
    <t>Columns / Posts</t>
  </si>
  <si>
    <t>150UB14</t>
  </si>
  <si>
    <t>180UB16</t>
  </si>
  <si>
    <t>200UB18</t>
  </si>
  <si>
    <t>200UB25</t>
  </si>
  <si>
    <t>250UB31</t>
  </si>
  <si>
    <t>310UB40</t>
  </si>
  <si>
    <t>Posts</t>
  </si>
  <si>
    <t>90*90*2 Duragal Post</t>
  </si>
  <si>
    <t>50*50*4SHS Column</t>
  </si>
  <si>
    <t>42*4.0mm Pipe Corner Column</t>
  </si>
  <si>
    <t>50*50*4 SHS - With Hit and miss 6mm rod welded</t>
  </si>
  <si>
    <t>Duragal Type</t>
  </si>
  <si>
    <t>Type B - External</t>
  </si>
  <si>
    <t>Type C - Internal</t>
  </si>
  <si>
    <t>Base Type</t>
  </si>
  <si>
    <t>Cut Type</t>
  </si>
  <si>
    <t>Post Base Type</t>
  </si>
  <si>
    <t>Adjustable Feet</t>
  </si>
  <si>
    <t>PRELIMINARIES</t>
  </si>
  <si>
    <t>PLASTER / CEILINGS / INSULATION</t>
  </si>
  <si>
    <t>Single Leaf Walls / Planters</t>
  </si>
  <si>
    <t>Footings</t>
  </si>
  <si>
    <t>Slabs</t>
  </si>
  <si>
    <t>Thickness</t>
  </si>
  <si>
    <t>Main Floor Area</t>
  </si>
  <si>
    <t>Internal Thickenings</t>
  </si>
  <si>
    <t>Edge Thickening</t>
  </si>
  <si>
    <t>Termite Treatment</t>
  </si>
  <si>
    <t>Width</t>
  </si>
  <si>
    <t>Depth</t>
  </si>
  <si>
    <t>Slab Thickness</t>
  </si>
  <si>
    <t>Courses</t>
  </si>
  <si>
    <t>Brickcourses</t>
  </si>
  <si>
    <t>Sub Total including 5% waste</t>
  </si>
  <si>
    <t xml:space="preserve">OVERALL TOTAL </t>
  </si>
  <si>
    <t>Supply</t>
  </si>
  <si>
    <t>Labour</t>
  </si>
  <si>
    <t>Z-Bars</t>
  </si>
  <si>
    <t>m3</t>
  </si>
  <si>
    <t>Trench Mesh</t>
  </si>
  <si>
    <t>Unit</t>
  </si>
  <si>
    <t>Slab</t>
  </si>
  <si>
    <t>Re-Entry Bars</t>
  </si>
  <si>
    <t>Slab Mesh</t>
  </si>
  <si>
    <t>Bar Chairs (100 bag)</t>
  </si>
  <si>
    <t>Grano</t>
  </si>
  <si>
    <t>Garage / Carport</t>
  </si>
  <si>
    <t>Driveway</t>
  </si>
  <si>
    <t>Path</t>
  </si>
  <si>
    <t>Store</t>
  </si>
  <si>
    <t>Porch</t>
  </si>
  <si>
    <t>Border Type and Colour 1</t>
  </si>
  <si>
    <t>Border Type and Colour 2</t>
  </si>
  <si>
    <t>Main Paving Type and Colour 1</t>
  </si>
  <si>
    <t>Main Paving Type and Colour 2</t>
  </si>
  <si>
    <t>Packs</t>
  </si>
  <si>
    <t>Supply &amp; Lay by Owner</t>
  </si>
  <si>
    <t>Supply By Owner - Builder to lay</t>
  </si>
  <si>
    <t>Paver Types</t>
  </si>
  <si>
    <t>Paving Locations</t>
  </si>
  <si>
    <t>All areas</t>
  </si>
  <si>
    <t>Alfresco</t>
  </si>
  <si>
    <t>Internal Plaster</t>
  </si>
  <si>
    <t>External Render</t>
  </si>
  <si>
    <t>Ceilings</t>
  </si>
  <si>
    <t>Height</t>
  </si>
  <si>
    <t>Garage Ceiling</t>
  </si>
  <si>
    <t>Insulation</t>
  </si>
  <si>
    <t>Main Area</t>
  </si>
  <si>
    <t>Deduct Raking Bulkheads</t>
  </si>
  <si>
    <t>Deduct square Bulkheads</t>
  </si>
  <si>
    <t>MOULDINGS</t>
  </si>
  <si>
    <t>Job Number</t>
  </si>
  <si>
    <t>Material</t>
  </si>
  <si>
    <t>Number</t>
  </si>
  <si>
    <t>Capping</t>
  </si>
  <si>
    <t>Jarrah</t>
  </si>
  <si>
    <t>Floor</t>
  </si>
  <si>
    <t>Deductions</t>
  </si>
  <si>
    <t>L</t>
  </si>
  <si>
    <t>Linen</t>
  </si>
  <si>
    <t>Trough</t>
  </si>
  <si>
    <t>Soap Holders</t>
  </si>
  <si>
    <t>Powder</t>
  </si>
  <si>
    <t>Grout</t>
  </si>
  <si>
    <t>Wall Glue</t>
  </si>
  <si>
    <t>Floor Glue</t>
  </si>
  <si>
    <t>No</t>
  </si>
  <si>
    <t>Each</t>
  </si>
  <si>
    <t>E-Purlins</t>
  </si>
  <si>
    <t>Hangers</t>
  </si>
  <si>
    <t>Wall plate</t>
  </si>
  <si>
    <t>Trimmers</t>
  </si>
  <si>
    <t>LVL</t>
  </si>
  <si>
    <t>Rafter Trimmers</t>
  </si>
  <si>
    <t>Whaling Plate</t>
  </si>
  <si>
    <t>Valley Board</t>
  </si>
  <si>
    <t>Ridge</t>
  </si>
  <si>
    <t>Plates etc</t>
  </si>
  <si>
    <t>Beams</t>
  </si>
  <si>
    <t>Roof Members</t>
  </si>
  <si>
    <t>CCA</t>
  </si>
  <si>
    <t>Hips &lt; 6m</t>
  </si>
  <si>
    <t>Hips &gt; 6m</t>
  </si>
  <si>
    <t>Rafters &lt; 6m</t>
  </si>
  <si>
    <t>Rafters &gt; 6m</t>
  </si>
  <si>
    <t>Valleys &lt;6m</t>
  </si>
  <si>
    <t>Valleys &gt; 6m</t>
  </si>
  <si>
    <t>E-Struts</t>
  </si>
  <si>
    <t>LVL Brackets</t>
  </si>
  <si>
    <t>Roof Battens for Sheet Roofs</t>
  </si>
  <si>
    <t>Fascia Clips</t>
  </si>
  <si>
    <t>Steel Beam Length</t>
  </si>
  <si>
    <t>Tiled Roof</t>
  </si>
  <si>
    <t>m</t>
  </si>
  <si>
    <t>Lengths</t>
  </si>
  <si>
    <t>Roof Apexes</t>
  </si>
  <si>
    <t>Struts 65 x 63</t>
  </si>
  <si>
    <t>Length of Underpurlins</t>
  </si>
  <si>
    <t>Eave Trimmers 70 x 35</t>
  </si>
  <si>
    <t>Length of eaves</t>
  </si>
  <si>
    <t>ROOF AREA - As shown on plan</t>
  </si>
  <si>
    <t>HOUSE PERIMETER - As shown on plan</t>
  </si>
  <si>
    <t>HOUSE AREA - As shown on plan</t>
  </si>
  <si>
    <t>Garage AREA - As shown on Plan</t>
  </si>
  <si>
    <t>Eave Struts 70 x 35</t>
  </si>
  <si>
    <t>Raking Bulkhead Trimmers 120 x 35</t>
  </si>
  <si>
    <t xml:space="preserve"> x 4.5m lengths</t>
  </si>
  <si>
    <t xml:space="preserve"> x 4.8m lengths</t>
  </si>
  <si>
    <t>Valley Boards 150 x 25</t>
  </si>
  <si>
    <t>TOTAL - LABOUR</t>
  </si>
  <si>
    <t xml:space="preserve">1230 Opening </t>
  </si>
  <si>
    <t>1430 Opening</t>
  </si>
  <si>
    <t>1630 Opening</t>
  </si>
  <si>
    <t>Gables - Trimming 120 x 35</t>
  </si>
  <si>
    <t>Number of gables</t>
  </si>
  <si>
    <t>at 6m</t>
  </si>
  <si>
    <t>Gables - Whaling Plate 140 x 45</t>
  </si>
  <si>
    <t>3.6m lengths</t>
  </si>
  <si>
    <t>Plate for internal beams 90 x 35</t>
  </si>
  <si>
    <t>Dropped feature bulkheads 70 x 35</t>
  </si>
  <si>
    <t>*This item has been inserted into cutting list</t>
  </si>
  <si>
    <t>Total width of dutch gables</t>
  </si>
  <si>
    <t>Add to cutting list</t>
  </si>
  <si>
    <t>Mouldings</t>
  </si>
  <si>
    <t>Shelf</t>
  </si>
  <si>
    <t>Scribe</t>
  </si>
  <si>
    <t>Gable</t>
  </si>
  <si>
    <t>67 x 19</t>
  </si>
  <si>
    <t>Robe</t>
  </si>
  <si>
    <t>Centre</t>
  </si>
  <si>
    <t>Shelving</t>
  </si>
  <si>
    <t>Support</t>
  </si>
  <si>
    <t>Quad</t>
  </si>
  <si>
    <t>Scotia</t>
  </si>
  <si>
    <t>Architrave</t>
  </si>
  <si>
    <t>Rails</t>
  </si>
  <si>
    <t>Brackets</t>
  </si>
  <si>
    <t>Plan</t>
  </si>
  <si>
    <t>Fixer</t>
  </si>
  <si>
    <t>Meranti</t>
  </si>
  <si>
    <t>MDF</t>
  </si>
  <si>
    <t>Qty</t>
  </si>
  <si>
    <t>Summary</t>
  </si>
  <si>
    <t>Robe Rail</t>
  </si>
  <si>
    <t>Ends</t>
  </si>
  <si>
    <t>Item</t>
  </si>
  <si>
    <t>Shelving List</t>
  </si>
  <si>
    <t>Tas Oak</t>
  </si>
  <si>
    <t>Cedar</t>
  </si>
  <si>
    <t>Batten</t>
  </si>
  <si>
    <t>Moulding Materials</t>
  </si>
  <si>
    <t>Moulding</t>
  </si>
  <si>
    <t>Span</t>
  </si>
  <si>
    <t>Bearing</t>
  </si>
  <si>
    <t>Garage</t>
  </si>
  <si>
    <t>Carport</t>
  </si>
  <si>
    <t>z-Bar Footing</t>
  </si>
  <si>
    <t>Z-Bar Thickening</t>
  </si>
  <si>
    <t>Dowells</t>
  </si>
  <si>
    <t>CP Required</t>
  </si>
  <si>
    <t>D10</t>
  </si>
  <si>
    <t>NA</t>
  </si>
  <si>
    <t>G2</t>
  </si>
  <si>
    <t>3L8TM</t>
  </si>
  <si>
    <t>B1</t>
  </si>
  <si>
    <t>B2</t>
  </si>
  <si>
    <t>SL62</t>
  </si>
  <si>
    <t>C1</t>
  </si>
  <si>
    <t>C2</t>
  </si>
  <si>
    <t>150*320*150</t>
  </si>
  <si>
    <t>C3</t>
  </si>
  <si>
    <t>2N12 @ 700</t>
  </si>
  <si>
    <t>C4</t>
  </si>
  <si>
    <t>3L11TM</t>
  </si>
  <si>
    <t>150*395*150</t>
  </si>
  <si>
    <t>150*170*150</t>
  </si>
  <si>
    <t>3N12 @ 700</t>
  </si>
  <si>
    <t>Yes</t>
  </si>
  <si>
    <t>C5</t>
  </si>
  <si>
    <t>150*220*150</t>
  </si>
  <si>
    <t>C6</t>
  </si>
  <si>
    <t>150*440*150</t>
  </si>
  <si>
    <t>C7</t>
  </si>
  <si>
    <t>150*490*150</t>
  </si>
  <si>
    <t>150*420*150</t>
  </si>
  <si>
    <t>C8</t>
  </si>
  <si>
    <t>150*540*150</t>
  </si>
  <si>
    <t>150*520*150</t>
  </si>
  <si>
    <t>C9</t>
  </si>
  <si>
    <t>3L12TM</t>
  </si>
  <si>
    <t>150*640*150</t>
  </si>
  <si>
    <t>150*620*150</t>
  </si>
  <si>
    <t>C10</t>
  </si>
  <si>
    <t>3N16 cw N12 traverse</t>
  </si>
  <si>
    <t>150*680*150</t>
  </si>
  <si>
    <t>150*650*150</t>
  </si>
  <si>
    <t>SL53</t>
  </si>
  <si>
    <t>SL63</t>
  </si>
  <si>
    <t>SL72</t>
  </si>
  <si>
    <t>SL82</t>
  </si>
  <si>
    <t>SL92</t>
  </si>
  <si>
    <t>Engineers Footing Type</t>
  </si>
  <si>
    <t>Diagonal Slab Overall Dimension (From site plan)</t>
  </si>
  <si>
    <t>Opening width calc</t>
  </si>
  <si>
    <t>Opening height calc</t>
  </si>
  <si>
    <t>Opening area calc</t>
  </si>
  <si>
    <t>**Add to cutting list</t>
  </si>
  <si>
    <t>Quant</t>
  </si>
  <si>
    <t>Total m's</t>
  </si>
  <si>
    <t>Angle</t>
  </si>
  <si>
    <t>Pairs</t>
  </si>
  <si>
    <t>Ctr</t>
  </si>
  <si>
    <t>Bks</t>
  </si>
  <si>
    <t>Locations</t>
  </si>
  <si>
    <t>Coastal</t>
  </si>
  <si>
    <t>Answer</t>
  </si>
  <si>
    <t>Longreach Cored</t>
  </si>
  <si>
    <t>Total Packs</t>
  </si>
  <si>
    <t>90*45 NS</t>
  </si>
  <si>
    <t>90*35</t>
  </si>
  <si>
    <t>90*45</t>
  </si>
  <si>
    <t>120*35</t>
  </si>
  <si>
    <t>170*35</t>
  </si>
  <si>
    <t>96*51</t>
  </si>
  <si>
    <t>65*63</t>
  </si>
  <si>
    <t>190*35</t>
  </si>
  <si>
    <t>190*45</t>
  </si>
  <si>
    <t>240*35</t>
  </si>
  <si>
    <t>240*45</t>
  </si>
  <si>
    <t>70*35</t>
  </si>
  <si>
    <t>150*25</t>
  </si>
  <si>
    <t>200*25</t>
  </si>
  <si>
    <t>140*45</t>
  </si>
  <si>
    <t>140*35</t>
  </si>
  <si>
    <t>70*45</t>
  </si>
  <si>
    <t>Ceiling Joists&lt;6m</t>
  </si>
  <si>
    <t>Ceiling Joists&gt;6m</t>
  </si>
  <si>
    <t>Front Rail</t>
  </si>
  <si>
    <t>x 6m lengths</t>
  </si>
  <si>
    <t>280*80</t>
  </si>
  <si>
    <t>Pantry</t>
  </si>
  <si>
    <t>1.8*295</t>
  </si>
  <si>
    <t>2.4*295</t>
  </si>
  <si>
    <t>3.6*295</t>
  </si>
  <si>
    <t>1.8*445</t>
  </si>
  <si>
    <t>2.4*445</t>
  </si>
  <si>
    <t>3.6*445</t>
  </si>
  <si>
    <t>1.8*595</t>
  </si>
  <si>
    <t>2.4*595</t>
  </si>
  <si>
    <t>3.6*595</t>
  </si>
  <si>
    <t>Gall</t>
  </si>
  <si>
    <t>Gallow brackets</t>
  </si>
  <si>
    <t>Checker Comments</t>
  </si>
  <si>
    <t>Workings Area</t>
  </si>
  <si>
    <t>Opening Width (mm)</t>
  </si>
  <si>
    <t>TOTAL SUPPLY (inc waste)</t>
  </si>
  <si>
    <t>Supplier</t>
  </si>
  <si>
    <t>Timber Supplier</t>
  </si>
  <si>
    <t>Laminex Group</t>
  </si>
  <si>
    <t>Timber Type</t>
  </si>
  <si>
    <t>White Pine</t>
  </si>
  <si>
    <t>External walls - Material Type</t>
  </si>
  <si>
    <t>External wall Type</t>
  </si>
  <si>
    <t>Std Face Brick</t>
  </si>
  <si>
    <t>Full Render</t>
  </si>
  <si>
    <t>2c Face Blocks</t>
  </si>
  <si>
    <t>Brick Supplier</t>
  </si>
  <si>
    <t>Brickmakers</t>
  </si>
  <si>
    <t>Midland Brick</t>
  </si>
  <si>
    <t>Austral 264 pack</t>
  </si>
  <si>
    <t>Austral 300 pack</t>
  </si>
  <si>
    <t>WA Timber sales</t>
  </si>
  <si>
    <t>WA Timber - Blue</t>
  </si>
  <si>
    <t>WA Timber Sales</t>
  </si>
  <si>
    <t>Blue Pine</t>
  </si>
  <si>
    <t>88*88</t>
  </si>
  <si>
    <t>LOSP Posts</t>
  </si>
  <si>
    <t>LOSP Beam</t>
  </si>
  <si>
    <t>230*42</t>
  </si>
  <si>
    <t>280*42</t>
  </si>
  <si>
    <t>400*75</t>
  </si>
  <si>
    <t>Complete (date)</t>
  </si>
  <si>
    <t>Pool Rm</t>
  </si>
  <si>
    <t>Misc Timber</t>
  </si>
  <si>
    <t>120*120</t>
  </si>
  <si>
    <t>White</t>
  </si>
  <si>
    <t>Blue</t>
  </si>
  <si>
    <t>90*35+</t>
  </si>
  <si>
    <t>120*35+</t>
  </si>
  <si>
    <t>140*35+</t>
  </si>
  <si>
    <t>170*35+</t>
  </si>
  <si>
    <t>190*35+</t>
  </si>
  <si>
    <t>120*45</t>
  </si>
  <si>
    <t>Cantilever Lintel</t>
  </si>
  <si>
    <t>100*75*8 Lintel</t>
  </si>
  <si>
    <t>Austral Brick</t>
  </si>
  <si>
    <t>Quantity</t>
  </si>
  <si>
    <t>Non Structural Wall Plates</t>
  </si>
  <si>
    <t>ELEC</t>
  </si>
  <si>
    <t>CLEA</t>
  </si>
  <si>
    <t>355SL</t>
  </si>
  <si>
    <t>EXTE</t>
  </si>
  <si>
    <t>175FA</t>
  </si>
  <si>
    <t>180IN</t>
  </si>
  <si>
    <t>FITO</t>
  </si>
  <si>
    <t>220LI</t>
  </si>
  <si>
    <t>235ST</t>
  </si>
  <si>
    <t>445AI</t>
  </si>
  <si>
    <t>254CH</t>
  </si>
  <si>
    <t>466FR</t>
  </si>
  <si>
    <t>PLAS</t>
  </si>
  <si>
    <t>Bunbury</t>
  </si>
  <si>
    <t>Standard Face Cored</t>
  </si>
  <si>
    <t>Standard Face Solid</t>
  </si>
  <si>
    <t>Verticlay</t>
  </si>
  <si>
    <t>External Lintels</t>
  </si>
  <si>
    <t>Floor Area</t>
  </si>
  <si>
    <t>Attached Piers</t>
  </si>
  <si>
    <t>Internal Leaf &amp; Internal Walls length</t>
  </si>
  <si>
    <t>**includes Garage Wall &amp; Raked Bulkheads</t>
  </si>
  <si>
    <t>200*250*10 T-Bar</t>
  </si>
  <si>
    <t>Deduct Exposed Rafters (lm)</t>
  </si>
  <si>
    <t>Area of Eaves (includes Hardisheet to exposed rafters)</t>
  </si>
  <si>
    <t>297*60</t>
  </si>
  <si>
    <t>397*85</t>
  </si>
  <si>
    <t>Kapur Glulams</t>
  </si>
  <si>
    <t>Border Width (m)</t>
  </si>
  <si>
    <t>Net Area (m²)</t>
  </si>
  <si>
    <t>Area (m²)</t>
  </si>
  <si>
    <t>Perimeter (m)</t>
  </si>
  <si>
    <t>Common Wall Length</t>
  </si>
  <si>
    <t>T1</t>
  </si>
  <si>
    <t>T2</t>
  </si>
  <si>
    <t>T3</t>
  </si>
  <si>
    <t>T4</t>
  </si>
  <si>
    <t>T5</t>
  </si>
  <si>
    <t>T6</t>
  </si>
  <si>
    <t>T7</t>
  </si>
  <si>
    <t>T8</t>
  </si>
  <si>
    <t>150*50*5</t>
  </si>
  <si>
    <t>Internal Brickwork</t>
  </si>
  <si>
    <t>÷</t>
  </si>
  <si>
    <t>×</t>
  </si>
  <si>
    <t>=</t>
  </si>
  <si>
    <t>Length (mm)</t>
  </si>
  <si>
    <r>
      <t>Height (</t>
    </r>
    <r>
      <rPr>
        <b/>
        <vertAlign val="superscript"/>
        <sz val="10"/>
        <rFont val="Arial"/>
        <family val="2"/>
      </rPr>
      <t>c</t>
    </r>
    <r>
      <rPr>
        <b/>
        <sz val="10"/>
        <rFont val="Arial"/>
        <family val="2"/>
      </rPr>
      <t>)</t>
    </r>
  </si>
  <si>
    <t>Height (mm)</t>
  </si>
  <si>
    <t>Course</t>
  </si>
  <si>
    <t>Garage Wall</t>
  </si>
  <si>
    <t>Drop Footings to Garage</t>
  </si>
  <si>
    <t>m²</t>
  </si>
  <si>
    <t>Window Openings</t>
  </si>
  <si>
    <r>
      <t>2</t>
    </r>
    <r>
      <rPr>
        <vertAlign val="superscript"/>
        <sz val="10"/>
        <rFont val="Arial"/>
        <family val="2"/>
      </rPr>
      <t>c</t>
    </r>
    <r>
      <rPr>
        <sz val="10"/>
        <rFont val="Arial"/>
        <family val="2"/>
      </rPr>
      <t xml:space="preserve"> Sloping Sills</t>
    </r>
  </si>
  <si>
    <r>
      <t>2</t>
    </r>
    <r>
      <rPr>
        <vertAlign val="superscript"/>
        <sz val="10"/>
        <rFont val="Arial"/>
        <family val="2"/>
      </rPr>
      <t>c</t>
    </r>
    <r>
      <rPr>
        <sz val="10"/>
        <rFont val="Arial"/>
        <family val="2"/>
      </rPr>
      <t xml:space="preserve"> Headers</t>
    </r>
  </si>
  <si>
    <t>Solids - Under Openings</t>
  </si>
  <si>
    <t>Solids - Over Openings</t>
  </si>
  <si>
    <t>Solids - Other</t>
  </si>
  <si>
    <t>Finishing Bricks</t>
  </si>
  <si>
    <t>Standard Face</t>
  </si>
  <si>
    <r>
      <t>1c Cored Face (to 25</t>
    </r>
    <r>
      <rPr>
        <vertAlign val="superscript"/>
        <sz val="10"/>
        <rFont val="Arial"/>
        <family val="2"/>
      </rPr>
      <t>c</t>
    </r>
    <r>
      <rPr>
        <sz val="10"/>
        <rFont val="Arial"/>
        <family val="2"/>
      </rPr>
      <t xml:space="preserve"> section)</t>
    </r>
  </si>
  <si>
    <t>1c Solid Face - Under Openings</t>
  </si>
  <si>
    <t>Additions</t>
  </si>
  <si>
    <t>Quantities</t>
  </si>
  <si>
    <t>1c Face Brick Cored</t>
  </si>
  <si>
    <t>1c Face Brick Solid</t>
  </si>
  <si>
    <t>2c Header / Splayed</t>
  </si>
  <si>
    <t xml:space="preserve">Total Area (1): </t>
  </si>
  <si>
    <t xml:space="preserve">Total Area (2): </t>
  </si>
  <si>
    <t>Net Area = (1) - (2) :</t>
  </si>
  <si>
    <t>1c Solid Face - Other</t>
  </si>
  <si>
    <t>1c Cored Face - Other</t>
  </si>
  <si>
    <t>Min Quantity</t>
  </si>
  <si>
    <t>'000 Quantity</t>
  </si>
  <si>
    <t>Pack Size</t>
  </si>
  <si>
    <t>Internal Leaf Perimeter</t>
  </si>
  <si>
    <t>Internal Door Openings</t>
  </si>
  <si>
    <r>
      <t>2</t>
    </r>
    <r>
      <rPr>
        <vertAlign val="superscript"/>
        <sz val="10"/>
        <rFont val="Arial"/>
        <family val="2"/>
      </rPr>
      <t>c</t>
    </r>
    <r>
      <rPr>
        <sz val="10"/>
        <rFont val="Arial"/>
        <family val="2"/>
      </rPr>
      <t xml:space="preserve"> Longreach over Openings</t>
    </r>
  </si>
  <si>
    <r>
      <t>2</t>
    </r>
    <r>
      <rPr>
        <vertAlign val="superscript"/>
        <sz val="10"/>
        <rFont val="Arial"/>
        <family val="2"/>
      </rPr>
      <t>c</t>
    </r>
    <r>
      <rPr>
        <sz val="10"/>
        <rFont val="Arial"/>
        <family val="2"/>
      </rPr>
      <t xml:space="preserve"> Longreach (&gt;= C1 Footing)</t>
    </r>
  </si>
  <si>
    <t>1c Longreach to Odd Course</t>
  </si>
  <si>
    <t>Longreach to Rake Bulkhead</t>
  </si>
  <si>
    <t>Longreach to Square Bulkhead</t>
  </si>
  <si>
    <t>Other Longreach</t>
  </si>
  <si>
    <t xml:space="preserve">Total Area (3): </t>
  </si>
  <si>
    <t xml:space="preserve">Total Area (4): </t>
  </si>
  <si>
    <t>Net Area = (3) - (4) :</t>
  </si>
  <si>
    <t>Durclay</t>
  </si>
  <si>
    <r>
      <t>2</t>
    </r>
    <r>
      <rPr>
        <b/>
        <vertAlign val="superscript"/>
        <sz val="10"/>
        <rFont val="Arial"/>
        <family val="2"/>
      </rPr>
      <t>c</t>
    </r>
    <r>
      <rPr>
        <b/>
        <sz val="10"/>
        <rFont val="Arial"/>
        <family val="2"/>
      </rPr>
      <t xml:space="preserve"> Face</t>
    </r>
  </si>
  <si>
    <t>External Face Brickwork</t>
  </si>
  <si>
    <t>Render - Full or Part</t>
  </si>
  <si>
    <t>Longreach Under Openings</t>
  </si>
  <si>
    <t xml:space="preserve">Total Area (5): </t>
  </si>
  <si>
    <t xml:space="preserve">Total Area (6): </t>
  </si>
  <si>
    <t>Net Area = (5) - (6) :</t>
  </si>
  <si>
    <t>Durclay VC</t>
  </si>
  <si>
    <t>Deduct Raking Bulkhead</t>
  </si>
  <si>
    <t>Internal Leaf (Perimeter)</t>
  </si>
  <si>
    <t>Length (m)</t>
  </si>
  <si>
    <r>
      <t>Height (</t>
    </r>
    <r>
      <rPr>
        <b/>
        <vertAlign val="superscript"/>
        <sz val="10"/>
        <rFont val="Arial"/>
        <family val="2"/>
      </rPr>
      <t>c</t>
    </r>
    <r>
      <rPr>
        <b/>
        <sz val="10"/>
        <rFont val="Arial"/>
        <family val="2"/>
      </rPr>
      <t>)</t>
    </r>
  </si>
  <si>
    <t>Laminex</t>
  </si>
  <si>
    <t>Laminex - Blue</t>
  </si>
  <si>
    <t>Metals Door Frames</t>
  </si>
  <si>
    <t>Door Frame Back Opening</t>
  </si>
  <si>
    <t>Beam Types</t>
  </si>
  <si>
    <t>Name Lists</t>
  </si>
  <si>
    <t>Internal Leaf</t>
  </si>
  <si>
    <t>mm</t>
  </si>
  <si>
    <t>Veranda</t>
  </si>
  <si>
    <t>Games</t>
  </si>
  <si>
    <t>Family</t>
  </si>
  <si>
    <t>Ensuite WC</t>
  </si>
  <si>
    <t>Master Suite</t>
  </si>
  <si>
    <t>Freeform</t>
  </si>
  <si>
    <t>190mm Snaps</t>
  </si>
  <si>
    <t>From Lintel Sheet</t>
  </si>
  <si>
    <t>Locality</t>
  </si>
  <si>
    <t>Face Squints</t>
  </si>
  <si>
    <t>Painted</t>
  </si>
  <si>
    <t>Type A - Straight</t>
  </si>
  <si>
    <t>Deduct Common Wall</t>
  </si>
  <si>
    <t>200*63</t>
  </si>
  <si>
    <t>240*63</t>
  </si>
  <si>
    <t>300*63</t>
  </si>
  <si>
    <t>360*63</t>
  </si>
  <si>
    <t>400*63</t>
  </si>
  <si>
    <t>240*65</t>
  </si>
  <si>
    <t>Offcut</t>
  </si>
  <si>
    <t>C1BV</t>
  </si>
  <si>
    <t>C2BV</t>
  </si>
  <si>
    <t>C3BV</t>
  </si>
  <si>
    <t>C4BV</t>
  </si>
  <si>
    <t>C5BV</t>
  </si>
  <si>
    <t>C6BV</t>
  </si>
  <si>
    <t>C7BV</t>
  </si>
  <si>
    <t>C8BV</t>
  </si>
  <si>
    <t>F2-20</t>
  </si>
  <si>
    <t>F2-40</t>
  </si>
  <si>
    <t>F2-70</t>
  </si>
  <si>
    <t>A3</t>
  </si>
  <si>
    <t>A8</t>
  </si>
  <si>
    <t>Detail</t>
  </si>
  <si>
    <t>Mesh</t>
  </si>
  <si>
    <t>150*250*150</t>
  </si>
  <si>
    <t>150*330*150</t>
  </si>
  <si>
    <t>150*230*150</t>
  </si>
  <si>
    <t>150*350*150</t>
  </si>
  <si>
    <t>150*280*150</t>
  </si>
  <si>
    <t>Perimeter</t>
  </si>
  <si>
    <t>Internal</t>
  </si>
  <si>
    <t>Select</t>
  </si>
  <si>
    <r>
      <t>Stepped Footings (per 1</t>
    </r>
    <r>
      <rPr>
        <vertAlign val="superscript"/>
        <sz val="10"/>
        <rFont val="Arial"/>
        <family val="2"/>
      </rPr>
      <t>c</t>
    </r>
    <r>
      <rPr>
        <sz val="10"/>
        <rFont val="Arial"/>
        <family val="2"/>
      </rPr>
      <t xml:space="preserve"> drop - max 6</t>
    </r>
    <r>
      <rPr>
        <vertAlign val="superscript"/>
        <sz val="10"/>
        <rFont val="Arial"/>
        <family val="2"/>
      </rPr>
      <t>c</t>
    </r>
    <r>
      <rPr>
        <sz val="10"/>
        <rFont val="Arial"/>
        <family val="2"/>
      </rPr>
      <t>)</t>
    </r>
  </si>
  <si>
    <t>Cladding</t>
  </si>
  <si>
    <t>e-garage LVL</t>
  </si>
  <si>
    <t>Newpave</t>
  </si>
  <si>
    <t>Vistapave</t>
  </si>
  <si>
    <t>Easipave</t>
  </si>
  <si>
    <t>Ground Floor</t>
  </si>
  <si>
    <t>Designation</t>
  </si>
  <si>
    <t>Sub Total including 8% waste</t>
  </si>
  <si>
    <t>Pad footings for brick piers / columns</t>
  </si>
  <si>
    <t>Standard</t>
  </si>
  <si>
    <t>Room</t>
  </si>
  <si>
    <t>Internal / External</t>
  </si>
  <si>
    <t>Ground</t>
  </si>
  <si>
    <t>First</t>
  </si>
  <si>
    <t>Lintel</t>
  </si>
  <si>
    <t>Ground Floor Brickwork only</t>
  </si>
  <si>
    <t>Brick Reinforcement</t>
  </si>
  <si>
    <t>External &gt; 25c</t>
  </si>
  <si>
    <t>Other Locations</t>
  </si>
  <si>
    <t>Under Windows</t>
  </si>
  <si>
    <t>Square Bulkheads</t>
  </si>
  <si>
    <t>Rows</t>
  </si>
  <si>
    <t>First Floor Brickwork only</t>
  </si>
  <si>
    <t>Ground Floor Perimeter</t>
  </si>
  <si>
    <t>First Perimeter</t>
  </si>
  <si>
    <t>4c Skirt to Cover Floor Truss</t>
  </si>
  <si>
    <t>Longreach - to eaves brickwork</t>
  </si>
  <si>
    <t>Block Req</t>
  </si>
  <si>
    <t>Ground Total</t>
  </si>
  <si>
    <t>First Total</t>
  </si>
  <si>
    <t>Ground Floor Ceilings</t>
  </si>
  <si>
    <t>First Floor Ceilings</t>
  </si>
  <si>
    <t>Perimeter of house</t>
  </si>
  <si>
    <t>Rods Required</t>
  </si>
  <si>
    <t>Quantity Posts</t>
  </si>
  <si>
    <t>Busselton</t>
  </si>
  <si>
    <t>195HA</t>
  </si>
  <si>
    <t>ROOF FORMULAS - FIRST FLOOR</t>
  </si>
  <si>
    <t>Whaling plate</t>
  </si>
  <si>
    <t>Length required</t>
  </si>
  <si>
    <t>Commons - Garage Returns</t>
  </si>
  <si>
    <t>Drywall / Cladding</t>
  </si>
  <si>
    <t>Second Layer to Garage footing</t>
  </si>
  <si>
    <t>Sill</t>
  </si>
  <si>
    <t>Face</t>
  </si>
  <si>
    <t>Slider</t>
  </si>
  <si>
    <t>Bath</t>
  </si>
  <si>
    <t>Longreach - to 0c sills</t>
  </si>
  <si>
    <t>Drywall Quants</t>
  </si>
  <si>
    <t>Wall Length (mm)</t>
  </si>
  <si>
    <t>1200*6000 RE / SE</t>
  </si>
  <si>
    <t>1350*6000 RE / SE</t>
  </si>
  <si>
    <t>1200*6000 RE / RE</t>
  </si>
  <si>
    <t>P01 angle 2400</t>
  </si>
  <si>
    <t>P01 angle 2700</t>
  </si>
  <si>
    <t>P01 angle 3000</t>
  </si>
  <si>
    <t>P01 angle 3600</t>
  </si>
  <si>
    <t>1200*4200 RE / SE</t>
  </si>
  <si>
    <t>1350*3600 RE / SE</t>
  </si>
  <si>
    <t>1200*4200 RE / RE</t>
  </si>
  <si>
    <t>Component</t>
  </si>
  <si>
    <t>1200*6000 SE / RE</t>
  </si>
  <si>
    <t>0010</t>
  </si>
  <si>
    <t>Area to install</t>
  </si>
  <si>
    <t>1350*6000 SE / RE</t>
  </si>
  <si>
    <t>0015</t>
  </si>
  <si>
    <t>0018</t>
  </si>
  <si>
    <t>0037</t>
  </si>
  <si>
    <t>Drywall Adhesive</t>
  </si>
  <si>
    <t>1200*4200 SE / RE</t>
  </si>
  <si>
    <t>0020</t>
  </si>
  <si>
    <t>0035</t>
  </si>
  <si>
    <t>Stud Adhesive</t>
  </si>
  <si>
    <t>1350*3600 SE / RE</t>
  </si>
  <si>
    <t>0025</t>
  </si>
  <si>
    <t>0040</t>
  </si>
  <si>
    <t>Basecote</t>
  </si>
  <si>
    <t>0045</t>
  </si>
  <si>
    <t>Finalcote</t>
  </si>
  <si>
    <t>P01 Ext Angle 2400</t>
  </si>
  <si>
    <t>0080</t>
  </si>
  <si>
    <t>0050</t>
  </si>
  <si>
    <t>Joint Paper</t>
  </si>
  <si>
    <t>P01 Ext Angle 2700</t>
  </si>
  <si>
    <t>0085</t>
  </si>
  <si>
    <t>P01 Ext Angle 3000</t>
  </si>
  <si>
    <t>0090</t>
  </si>
  <si>
    <t>P01 Ext Angle 3600</t>
  </si>
  <si>
    <t>0095</t>
  </si>
  <si>
    <t>Cover</t>
  </si>
  <si>
    <t>Rows per m</t>
  </si>
  <si>
    <t>Add Cladding</t>
  </si>
  <si>
    <t>Height mm</t>
  </si>
  <si>
    <t>Boards</t>
  </si>
  <si>
    <t>Total Boards</t>
  </si>
  <si>
    <t>Deduct Openings</t>
  </si>
  <si>
    <t>Height (c)</t>
  </si>
  <si>
    <t>Total Deduct</t>
  </si>
  <si>
    <t>Net Total</t>
  </si>
  <si>
    <t>Waste 10%</t>
  </si>
  <si>
    <t>Total to Order</t>
  </si>
  <si>
    <t>Gross Area m²</t>
  </si>
  <si>
    <t>Duraplank Smooth</t>
  </si>
  <si>
    <t>Duraplank Woodgrain</t>
  </si>
  <si>
    <t>Nuline Square 175</t>
  </si>
  <si>
    <t>Nuline Bullnose 175</t>
  </si>
  <si>
    <t>Nuline Square 205</t>
  </si>
  <si>
    <t>Nuline Bullnose 205</t>
  </si>
  <si>
    <t>Cladding Type</t>
  </si>
  <si>
    <t>Coverage</t>
  </si>
  <si>
    <t>Rows per M2</t>
  </si>
  <si>
    <t>D10W</t>
  </si>
  <si>
    <t>C/Lever Lintels</t>
  </si>
  <si>
    <t>Porch/Portico Lintel/T-Bars</t>
  </si>
  <si>
    <t>Flat bars to Kitchen</t>
  </si>
  <si>
    <t>Engineered lintels</t>
  </si>
  <si>
    <t>Stage</t>
  </si>
  <si>
    <t>Trade</t>
  </si>
  <si>
    <t>Description</t>
  </si>
  <si>
    <t>Price</t>
  </si>
  <si>
    <t>Amount</t>
  </si>
  <si>
    <t>PN10</t>
  </si>
  <si>
    <t>PN15</t>
  </si>
  <si>
    <t>NOMI</t>
  </si>
  <si>
    <t>ZSCL</t>
  </si>
  <si>
    <t>EO FOR STORMWATER INSTALLED BY BUILDER</t>
  </si>
  <si>
    <t>N12 BAR BENT TO DETAIL</t>
  </si>
  <si>
    <t>DELIVERY - DUNSBOROUGH / QUINDALUP</t>
  </si>
  <si>
    <t>DELIVERY - BUSSELTON</t>
  </si>
  <si>
    <t>HANSO</t>
  </si>
  <si>
    <t>M2</t>
  </si>
  <si>
    <t>BRIK</t>
  </si>
  <si>
    <t>LONGREACH CORED</t>
  </si>
  <si>
    <t>GALVANISED RODS 6MM 500*500 CORNER BAR - GW6M3CB</t>
  </si>
  <si>
    <t>4 LITRE BLACK DAMPCO - 9318513100140</t>
  </si>
  <si>
    <t>4 LITRE CLEAR DAMPCO - 9318513701644</t>
  </si>
  <si>
    <t>GAS VENT - 24023590</t>
  </si>
  <si>
    <t>LM</t>
  </si>
  <si>
    <t>Footing Type</t>
  </si>
  <si>
    <t>Footing Depth</t>
  </si>
  <si>
    <t>Footing Width</t>
  </si>
  <si>
    <t>Thickening Depth</t>
  </si>
  <si>
    <t>Thickening Width</t>
  </si>
  <si>
    <t>Footing Z-Bar</t>
  </si>
  <si>
    <t>Thickening Z-Bar</t>
  </si>
  <si>
    <t>Dowel</t>
  </si>
  <si>
    <t>Pump</t>
  </si>
  <si>
    <t>Slab Depth</t>
  </si>
  <si>
    <t>Rods</t>
  </si>
  <si>
    <t>Yes/No</t>
  </si>
  <si>
    <t>Odd</t>
  </si>
  <si>
    <t>Even</t>
  </si>
  <si>
    <t>0c</t>
  </si>
  <si>
    <t>Brick Type</t>
  </si>
  <si>
    <t>2c Face</t>
  </si>
  <si>
    <t>Render</t>
  </si>
  <si>
    <t>Robe Types</t>
  </si>
  <si>
    <t>Middle</t>
  </si>
  <si>
    <t>Shelf Only</t>
  </si>
  <si>
    <t>Robe Rail Only</t>
  </si>
  <si>
    <t>Internal Frame Types</t>
  </si>
  <si>
    <t>Double</t>
  </si>
  <si>
    <t>Double Slider</t>
  </si>
  <si>
    <t>Single</t>
  </si>
  <si>
    <t>90mm</t>
  </si>
  <si>
    <t>110mm</t>
  </si>
  <si>
    <t>Door Sizes</t>
  </si>
  <si>
    <t>Handing</t>
  </si>
  <si>
    <t>R</t>
  </si>
  <si>
    <t>Furniture</t>
  </si>
  <si>
    <t>Flush Pulls</t>
  </si>
  <si>
    <t>Dummy</t>
  </si>
  <si>
    <t>Entry &amp; Deadbolt</t>
  </si>
  <si>
    <t>Passage</t>
  </si>
  <si>
    <t>Privacy</t>
  </si>
  <si>
    <t>Trilock</t>
  </si>
  <si>
    <t>Trilock &amp; Dummy</t>
  </si>
  <si>
    <t>Float and Set</t>
  </si>
  <si>
    <t>Drywall</t>
  </si>
  <si>
    <t>Entry Doors</t>
  </si>
  <si>
    <t>BGC Rivervale</t>
  </si>
  <si>
    <t>Corinthian PMAD104</t>
  </si>
  <si>
    <t>Estate Collection Freeman</t>
  </si>
  <si>
    <t>Door Finish</t>
  </si>
  <si>
    <t>Paint</t>
  </si>
  <si>
    <t>Stain</t>
  </si>
  <si>
    <t>Door Glazing</t>
  </si>
  <si>
    <t>Clear</t>
  </si>
  <si>
    <t>Rice Paper</t>
  </si>
  <si>
    <t>Internal Doors</t>
  </si>
  <si>
    <t>Readicote Hardboard</t>
  </si>
  <si>
    <t>Hume HAG9</t>
  </si>
  <si>
    <t>Entry Door Furniture</t>
  </si>
  <si>
    <t>Gainsborough Precise 890 Trilever</t>
  </si>
  <si>
    <t>Gainsborough Precise 8901</t>
  </si>
  <si>
    <t>Gainsborough Terrace</t>
  </si>
  <si>
    <t>Door Furniture Colour</t>
  </si>
  <si>
    <t>Bright Chrome</t>
  </si>
  <si>
    <t>Polished Silver</t>
  </si>
  <si>
    <t>Satin Chrome</t>
  </si>
  <si>
    <t>Stainless Steel</t>
  </si>
  <si>
    <t>Deadlock</t>
  </si>
  <si>
    <t>Internal Door Furniture</t>
  </si>
  <si>
    <t>Gainsborough Terrace Knob</t>
  </si>
  <si>
    <t>Towel Rail</t>
  </si>
  <si>
    <t>Caroma Cosmo 900mm Double</t>
  </si>
  <si>
    <t>Caroma Cosmo 600mm Double</t>
  </si>
  <si>
    <t>Gainsborough Silhouette 610mm Single</t>
  </si>
  <si>
    <t>Towel Rail Colour</t>
  </si>
  <si>
    <t>Chrome</t>
  </si>
  <si>
    <t>Toilet Roll Holder</t>
  </si>
  <si>
    <t>Caroma Cosmo</t>
  </si>
  <si>
    <t>Gainsborough Silhouette</t>
  </si>
  <si>
    <t>Builder/Owner</t>
  </si>
  <si>
    <t>Builder</t>
  </si>
  <si>
    <t>Owner</t>
  </si>
  <si>
    <t>Sink</t>
  </si>
  <si>
    <t>Clark Monaco 5111 1 3/4 bowl</t>
  </si>
  <si>
    <t>Hafele 1200mm Double End Bowl</t>
  </si>
  <si>
    <t>Hafele 567.33.106 underslung</t>
  </si>
  <si>
    <t>Tap Holes</t>
  </si>
  <si>
    <t>Basin</t>
  </si>
  <si>
    <t>Caroma Concorde Semi Recessed</t>
  </si>
  <si>
    <t>Caroma Cosmo Inset</t>
  </si>
  <si>
    <t>Stylus Symphony Inset</t>
  </si>
  <si>
    <t>Stylus Classic 1700 Oval Bath</t>
  </si>
  <si>
    <t>45L Trough and Cabinet w/- sudsaver</t>
  </si>
  <si>
    <t>Inset 45L w/- sudaver</t>
  </si>
  <si>
    <t>Oven</t>
  </si>
  <si>
    <t>Technika BG8SS</t>
  </si>
  <si>
    <t>Hot Plate</t>
  </si>
  <si>
    <t>Gas Types</t>
  </si>
  <si>
    <t>Natural Gas</t>
  </si>
  <si>
    <t>LPG</t>
  </si>
  <si>
    <t>Rangehood</t>
  </si>
  <si>
    <t>Technika Bellissimo BG96A6 Canopy</t>
  </si>
  <si>
    <t>Hot Water Unit</t>
  </si>
  <si>
    <t>135L 5 Star Rated</t>
  </si>
  <si>
    <t>170L 5 Star Rated</t>
  </si>
  <si>
    <t>Chromagen gas boosted split solar</t>
  </si>
  <si>
    <t>Shower Screen</t>
  </si>
  <si>
    <t>,</t>
  </si>
  <si>
    <t>Semi Frameless Pivot Door</t>
  </si>
  <si>
    <t>Shower Screen Colour</t>
  </si>
  <si>
    <t>Mirror Edge</t>
  </si>
  <si>
    <t>Frame</t>
  </si>
  <si>
    <t>Frameless</t>
  </si>
  <si>
    <t>Pavers</t>
  </si>
  <si>
    <t>Easipave - Antique Blend</t>
  </si>
  <si>
    <t>Easipave - Autumn Blend</t>
  </si>
  <si>
    <t>Easipave - Cappucino</t>
  </si>
  <si>
    <t>Easipave - Charcoal</t>
  </si>
  <si>
    <t>Easipave - Federation Red</t>
  </si>
  <si>
    <t>Easipave - Grey</t>
  </si>
  <si>
    <t>Easipave - Mocha</t>
  </si>
  <si>
    <t>Easipave - Natural</t>
  </si>
  <si>
    <t>Easipave - Rose</t>
  </si>
  <si>
    <t>Easipave - Sandstone</t>
  </si>
  <si>
    <t>Easipave - Silver</t>
  </si>
  <si>
    <t>Easipave - Terracotta</t>
  </si>
  <si>
    <t>Newpave - Cappuccino</t>
  </si>
  <si>
    <t>Newpave - Charcoal</t>
  </si>
  <si>
    <t>Newpave - Federation red</t>
  </si>
  <si>
    <t>Newpave - Mocha</t>
  </si>
  <si>
    <t>Newpave - Sandstone</t>
  </si>
  <si>
    <t>Newpave - Terracotta</t>
  </si>
  <si>
    <t>Stonewash Vistapave - Silver</t>
  </si>
  <si>
    <t>Vistapave - Autumn Blend</t>
  </si>
  <si>
    <t>Vistapave - Cappucino</t>
  </si>
  <si>
    <t>Vistapave - Charcoal</t>
  </si>
  <si>
    <t>Vistapave - Federation Red</t>
  </si>
  <si>
    <t>Vistapave - Grey</t>
  </si>
  <si>
    <t>Vistapave - Mocha</t>
  </si>
  <si>
    <t>Vistapave - Natural</t>
  </si>
  <si>
    <t>Vistapave - Sandstone</t>
  </si>
  <si>
    <t>Vistapave - Silver</t>
  </si>
  <si>
    <t>Vistapave - Terracotta</t>
  </si>
  <si>
    <t>Sliding Robe Doors Colour</t>
  </si>
  <si>
    <t>Barley</t>
  </si>
  <si>
    <t>Matt Silver</t>
  </si>
  <si>
    <t>Sliding Robe Doors Inserts</t>
  </si>
  <si>
    <t>Aegean Buff</t>
  </si>
  <si>
    <t>Aegean Parchment</t>
  </si>
  <si>
    <t>Aegean Shadow</t>
  </si>
  <si>
    <t>Garge Door Type</t>
  </si>
  <si>
    <t>Sectional</t>
  </si>
  <si>
    <t>Roller</t>
  </si>
  <si>
    <t>Garge Door Operation</t>
  </si>
  <si>
    <t>Auto</t>
  </si>
  <si>
    <t>Manual</t>
  </si>
  <si>
    <t>Garge Door Profile</t>
  </si>
  <si>
    <t>Georgian</t>
  </si>
  <si>
    <t>Regency</t>
  </si>
  <si>
    <t>Colours</t>
  </si>
  <si>
    <t>Bushland</t>
  </si>
  <si>
    <t>Classic Cream</t>
  </si>
  <si>
    <t>Cottage Green</t>
  </si>
  <si>
    <t>Deep Ocean</t>
  </si>
  <si>
    <t>Dune</t>
  </si>
  <si>
    <t>Evening Haze</t>
  </si>
  <si>
    <t>Headland</t>
  </si>
  <si>
    <t>Ironstone</t>
  </si>
  <si>
    <t>Jasper</t>
  </si>
  <si>
    <t>Loft</t>
  </si>
  <si>
    <t>Manor Red</t>
  </si>
  <si>
    <t>Monument</t>
  </si>
  <si>
    <t>Pale Eucalypt</t>
  </si>
  <si>
    <t>Paperbark</t>
  </si>
  <si>
    <t>Sandbank</t>
  </si>
  <si>
    <t>Shale Grey</t>
  </si>
  <si>
    <t>Surfmist</t>
  </si>
  <si>
    <t>Wilderness</t>
  </si>
  <si>
    <t>Windspray</t>
  </si>
  <si>
    <t>Woodland Grey</t>
  </si>
  <si>
    <t>Wind Classification</t>
  </si>
  <si>
    <t>N1</t>
  </si>
  <si>
    <t>N2</t>
  </si>
  <si>
    <t>N3</t>
  </si>
  <si>
    <t>N4</t>
  </si>
  <si>
    <t>Tile Price</t>
  </si>
  <si>
    <t>Nett</t>
  </si>
  <si>
    <t>Tile Supplier</t>
  </si>
  <si>
    <t>Armanti Bunbury</t>
  </si>
  <si>
    <t>Armanti Busselton</t>
  </si>
  <si>
    <t>Busselton Interiors</t>
  </si>
  <si>
    <t>Magic Tiles</t>
  </si>
  <si>
    <t>Margaret River Tiles</t>
  </si>
  <si>
    <t>Trimview</t>
  </si>
  <si>
    <t>Tile Type</t>
  </si>
  <si>
    <t>Rectified</t>
  </si>
  <si>
    <t>B1W</t>
  </si>
  <si>
    <t>Garage lintels</t>
  </si>
  <si>
    <t>1c Solid Face - Over Openings</t>
  </si>
  <si>
    <t>GYPRO</t>
  </si>
  <si>
    <t>BGCST</t>
  </si>
  <si>
    <t>SUNKEN AREA</t>
  </si>
  <si>
    <t>VERTICLAY</t>
  </si>
  <si>
    <t>BRICK LINTEL</t>
  </si>
  <si>
    <t>DELIVERY - BINNINGUP, DARDANUP, BUREKUP</t>
  </si>
  <si>
    <t>DELIVERY - HARVEY, CAPEL, DONNYBROOK</t>
  </si>
  <si>
    <t>820 RIGHT HAND 90MMBRK STD SINGLE FRAME</t>
  </si>
  <si>
    <t>820 LEFT HAND 90MMBRK STD SINGLE FRAME</t>
  </si>
  <si>
    <t>720 RIGHT HAND 90MMBRK STD SINGLE FRAME</t>
  </si>
  <si>
    <t>720 LEFT HAND 90MMBRK STD SINGLE FRAME</t>
  </si>
  <si>
    <t>620 RIGHT HAND 90MMBRK STD SINGLE FRAME</t>
  </si>
  <si>
    <t>620 LEFT HAND 90MMBRK STD SINGLE FRAME</t>
  </si>
  <si>
    <t>520 RIGHT HAND 90MMBRK STD SINGLE FRAME</t>
  </si>
  <si>
    <t>520 LEFT HAND 90MMBRK STD SINGLE FRAME</t>
  </si>
  <si>
    <t>720 WC RIGHT HAND 90MMBRK STD SINGLE FRAME</t>
  </si>
  <si>
    <t>720 WC LEFT HAND 90MMBRK STD SINGLE FRAME</t>
  </si>
  <si>
    <t>620 WC RIGHT HAND 90MMBRK STD SINGLE FRAME</t>
  </si>
  <si>
    <t>620 WC LEFT HAND 90MMBRK STD SINGLE FRAME</t>
  </si>
  <si>
    <t>820 SLIDER 90MMBRK STD SLIDING FRAME</t>
  </si>
  <si>
    <t>720 SLIDER 90MMBRK STD SLIDING FRAME</t>
  </si>
  <si>
    <t>2/820 DOUBLE STD SLIDING FRAME</t>
  </si>
  <si>
    <t>2/720 DOUBLE STD SLIDING FRAME</t>
  </si>
  <si>
    <t>2/820 DOUBLE HUNG 90MMBRK STD DOUBLE FRAME</t>
  </si>
  <si>
    <t>2/620 DOUBLE HUNG 90MMBRK STD DOUBLE FRAME</t>
  </si>
  <si>
    <t>180 DEGREE HINGES</t>
  </si>
  <si>
    <t>820 FRAME W-SILL &amp; 2 STRIKERS, 3 HINGES</t>
  </si>
  <si>
    <t>620 SLIDER 90MMBRK STD SLIDING FRAME</t>
  </si>
  <si>
    <t>DELIVER TO SOUTH WEST</t>
  </si>
  <si>
    <t>FIRST CAVITY COLUMN</t>
  </si>
  <si>
    <t>COLUMNS AFTER FIRST</t>
  </si>
  <si>
    <t>ZBL</t>
  </si>
  <si>
    <t>DOUBLE FACE E/0 ONLY</t>
  </si>
  <si>
    <t>DOUBLE FACE BLOCKS E/0 ONLY</t>
  </si>
  <si>
    <t>RECESS BOX FOR INSTANTEOUS HWU</t>
  </si>
  <si>
    <t>ATTACHED PIERS</t>
  </si>
  <si>
    <t>FIX PIER RODS</t>
  </si>
  <si>
    <t>FREE STANDING PIERS - FULL HEIGHT / GARAGE RETURN</t>
  </si>
  <si>
    <t>BUILD IN 6MM RODS OR MRBL50 MESH</t>
  </si>
  <si>
    <t>FIX WIND POST AS PER DETAIL</t>
  </si>
  <si>
    <t>DELIVERY PER UNIT TO SOUTH WEST</t>
  </si>
  <si>
    <t>0.55MM X 41MM X 6.1M TRUECORE ROOFBATTENS</t>
  </si>
  <si>
    <t>LAMI</t>
  </si>
  <si>
    <t>150 UB 14 UNTREATED -HOLES ON TOP - 100543</t>
  </si>
  <si>
    <t>180 UB 16 UNTREATED -HOLES ON TOP - 100545</t>
  </si>
  <si>
    <t>200 UB 18 UNTREATED -HOLES ON TOP - 104472</t>
  </si>
  <si>
    <t>200 UB 25 UNTREATED -HOLES ON TOP - 100549</t>
  </si>
  <si>
    <t>250 UB 31 UNTREATED -HOLES ON TOP - 100551</t>
  </si>
  <si>
    <t>STEEL BEAM TYPE T1 - 102819</t>
  </si>
  <si>
    <t>STEEL BEAM TYPE T2 - 102820</t>
  </si>
  <si>
    <t>STEEL BEAM TYPE T3 - 102821</t>
  </si>
  <si>
    <t>STEEL BEAM TYPE T4 - 102830</t>
  </si>
  <si>
    <t>STEEL BEAM TYPE T5</t>
  </si>
  <si>
    <t>STEEL BEAM TYPE T6 - 108626</t>
  </si>
  <si>
    <t>STEEL BEAM TYPE T7 - 108627</t>
  </si>
  <si>
    <t>STEEL BEAM TYPE T8 - 108625</t>
  </si>
  <si>
    <t>FASCIA CLIPS</t>
  </si>
  <si>
    <t>ZRCL</t>
  </si>
  <si>
    <t>ROOF AREA ON FLAT 24.5 / 25.0 DEG</t>
  </si>
  <si>
    <t>INSTALL STEEL, LVL OR TIMBER BEAMS</t>
  </si>
  <si>
    <t>120*120 OR LARGER TIMBER OR STEEL POST INCLUDING SHOE</t>
  </si>
  <si>
    <t>BATTENS FOR METAL ROOF FIXED WITH TEK SCREWS</t>
  </si>
  <si>
    <t>SUPPLY SCREWS FOR METAL BATTENS</t>
  </si>
  <si>
    <t>PORCH &amp; EAVE LINING</t>
  </si>
  <si>
    <t>INSTALL DURAPLANK / NULINE / DURATEX</t>
  </si>
  <si>
    <t>PLATE AGAINST BRICKWORK</t>
  </si>
  <si>
    <t>EO FOR SQUARE FRAMED BULKHEAD</t>
  </si>
  <si>
    <t>EO FOR RAKED BULKHEAD UPTO 10M</t>
  </si>
  <si>
    <t>EO FOR RAKED BULKHEAD OVER 10M</t>
  </si>
  <si>
    <t>INSTALL DURACOM BOARD</t>
  </si>
  <si>
    <t>BUILDERS CHOICE LIME 'N' GREY 20KG - LG20</t>
  </si>
  <si>
    <t>BUILDERS CHOICE LIME 'N' LITE 20KG - LL20</t>
  </si>
  <si>
    <t>GALVANISED RODS 6*6000 - GW6M3S6</t>
  </si>
  <si>
    <t>DELIVERY - MARGARET RIVER</t>
  </si>
  <si>
    <t>DELIVERY - EAGLE BAY / PEPPERMINT BEACH / YALLINGUP</t>
  </si>
  <si>
    <t>DELIVERY - COWARAMUP</t>
  </si>
  <si>
    <t>820 FRAME W/-SILL &amp; 2 STRIKERS, 3 FIXED WELDED HINGES</t>
  </si>
  <si>
    <t>310 UB 40 UNTREATED -HOLES ON TOP - 100553</t>
  </si>
  <si>
    <t>150 UB 14 RED OXIDE - HOLES ON TOP - 106715</t>
  </si>
  <si>
    <t>180 UB 16 RED OXIDE - HOLES ON TOP - 104469</t>
  </si>
  <si>
    <t>200 UB 18 RED OXIDE - HOLES ON TOP - 104471</t>
  </si>
  <si>
    <t>200 UB 25 RED OXIDE - HOLES ON TOP - 106716</t>
  </si>
  <si>
    <t>250 UB 31 RED OXIDE - HOLES ON TOP - 106717</t>
  </si>
  <si>
    <t>310 UB 40 RED OXIDE - HOLES ON TOP - 108153</t>
  </si>
  <si>
    <t>ZWPL</t>
  </si>
  <si>
    <t>FLOAT &amp; SET TO INTERNAL WALLS</t>
  </si>
  <si>
    <t>CORNER BEADS</t>
  </si>
  <si>
    <t>CEMENT RENDER - FRONT ELEVATION OR PART OF EXTERIOR</t>
  </si>
  <si>
    <t>STOP BEAD TO BE PROVIDED WHERE RENDER JOINS FACE BRICK</t>
  </si>
  <si>
    <t>CEMENT RENDER - WHOLE HOUSE</t>
  </si>
  <si>
    <t>RENDER ABOVE T-BARS BOTH SIDES</t>
  </si>
  <si>
    <t xml:space="preserve"> </t>
  </si>
  <si>
    <t>Commons - Projected Band</t>
  </si>
  <si>
    <t>INSTALL AIR-CELL CAVITY INSULATION</t>
  </si>
  <si>
    <t>COLORBOND FASCIA - **PLEASE TAPE BAG OF RIVETS TO FASCIA**</t>
  </si>
  <si>
    <t>STANDARD COMMON CORED</t>
  </si>
  <si>
    <t>BARGES</t>
  </si>
  <si>
    <t>FRAMING TO RECESSED CEILING</t>
  </si>
  <si>
    <t>SOFFIT CORNICE</t>
  </si>
  <si>
    <t>Over T-Bars</t>
  </si>
  <si>
    <t>EO FOR RAKING CEILINGS</t>
  </si>
  <si>
    <t>FRAME TO FEATURE BULKHEAD</t>
  </si>
  <si>
    <t>INSTALL ALUMINIUM BULKHEAD TRIM ALFRESCO RECESSED CEILING</t>
  </si>
  <si>
    <t>Kitchen/Living/Entry</t>
  </si>
  <si>
    <t>Theatre/Meals Wall</t>
  </si>
  <si>
    <t>112*112</t>
  </si>
  <si>
    <t>150*45</t>
  </si>
  <si>
    <t>170*45</t>
  </si>
  <si>
    <t>200*45</t>
  </si>
  <si>
    <t>IF FOOTING DETAIL IS C1 TO C10 INC, FOOTING TO GARAGE OPENING TO BE CONTINUOUS</t>
  </si>
  <si>
    <t>TYVEK VAPOUR PERMEABLE MEMBRANE 2743*30M</t>
  </si>
  <si>
    <t>SiteReport</t>
  </si>
  <si>
    <t>FasciaType</t>
  </si>
  <si>
    <t>BrickType</t>
  </si>
  <si>
    <t>CheckerComments</t>
  </si>
  <si>
    <t>Complete(date)</t>
  </si>
  <si>
    <t>WorkingsArea</t>
  </si>
  <si>
    <t>SCAFFOLDING</t>
  </si>
  <si>
    <t>EO SCAFFOLDING TO INTERNAL WALLS &gt; 2.4M</t>
  </si>
  <si>
    <t>EO SCAFFOLDING &gt;25C EXTERNALLY</t>
  </si>
  <si>
    <t>Code</t>
  </si>
  <si>
    <t>Vasse</t>
  </si>
  <si>
    <t>Bathroom Wall Tile</t>
  </si>
  <si>
    <t>Bathroom Floor Tile</t>
  </si>
  <si>
    <t>BATH</t>
  </si>
  <si>
    <t>ARMA1</t>
  </si>
  <si>
    <t>Tiles High</t>
  </si>
  <si>
    <t>Tiles Wide</t>
  </si>
  <si>
    <t>ZBUSSI</t>
  </si>
  <si>
    <t>MAGI</t>
  </si>
  <si>
    <t>MARG4</t>
  </si>
  <si>
    <t>TRIMV</t>
  </si>
  <si>
    <t>Total M2</t>
  </si>
  <si>
    <t>Laundry Wall Tile</t>
  </si>
  <si>
    <t>Laundry Floor Tile</t>
  </si>
  <si>
    <t>Kitchen Wall Tile</t>
  </si>
  <si>
    <t>Kitchen Floor Tile</t>
  </si>
  <si>
    <t>Wall Tiling</t>
  </si>
  <si>
    <t>Floor Tiling</t>
  </si>
  <si>
    <t>EO rectified</t>
  </si>
  <si>
    <t>Over brick lintels</t>
  </si>
  <si>
    <t>M&amp;B SUB FRAME FOR PIVOT DOOR - UPTO 2900*2200 OPENING</t>
  </si>
  <si>
    <t>DELIVERY</t>
  </si>
  <si>
    <t>DELIVERY DUNSBOROUGH</t>
  </si>
  <si>
    <t>DELIVERY MARGARET RIVER</t>
  </si>
  <si>
    <t>DOOR FRAME &amp; JAMBS</t>
  </si>
  <si>
    <t>WINDOW FRAMES</t>
  </si>
  <si>
    <t>2/720 DOUBLE HUNG 90MMBRK STD DOUBLE FRAME</t>
  </si>
  <si>
    <t>PARGING</t>
  </si>
  <si>
    <t>Waste</t>
  </si>
  <si>
    <t>METER BOX</t>
  </si>
  <si>
    <t>WEEPHOLES TO BE AT MAX 1200MM APART ON EXT B/WORK</t>
  </si>
  <si>
    <t>** DO NOT BUILD NIB WALL TO SHOWER - TO BE COMPLETED BY TILER **</t>
  </si>
  <si>
    <t>PROJECTIONS BY OTHER TRADE / SUPPLIER</t>
  </si>
  <si>
    <t>QUANTITIES ARE SUBJECT TO SCHEDULING ERRORS AND OMISSIONS</t>
  </si>
  <si>
    <t>G7</t>
  </si>
  <si>
    <t>SWAN WHITE CEMENT 20KG</t>
  </si>
  <si>
    <t>BUILDER'S CHOICE HYDRO LIME 20KG</t>
  </si>
  <si>
    <t>2c Longreach over Openings</t>
  </si>
  <si>
    <t>Red Smooth</t>
  </si>
  <si>
    <t>Roebuck</t>
  </si>
  <si>
    <t>150*240*150</t>
  </si>
  <si>
    <t>Brick B/Heads</t>
  </si>
  <si>
    <t>BUSH POLES</t>
  </si>
  <si>
    <t>BIRDBOARD</t>
  </si>
  <si>
    <t>PAVING PREPARATION</t>
  </si>
  <si>
    <t>VISTAPAVE 60MM</t>
  </si>
  <si>
    <t>EASIPAVE 60MM</t>
  </si>
  <si>
    <t>NEWPAVE 60MM</t>
  </si>
  <si>
    <t>GRANDPAVE 60MM</t>
  </si>
  <si>
    <t>E/O FOR NON - STD COLOUR</t>
  </si>
  <si>
    <t>ZCPL</t>
  </si>
  <si>
    <t>FOOTPATH OR KERB REPAIRS - PROVISIONAL ALLOWANCE</t>
  </si>
  <si>
    <t>FLOOR COVERINGS AS PER QUOTE</t>
  </si>
  <si>
    <t>WINDOW TREATMENTS AS PER QUOTE</t>
  </si>
  <si>
    <t>230*30</t>
  </si>
  <si>
    <t>TOILET PAPER HOLDER</t>
  </si>
  <si>
    <t>SUPPLY BRASS PLUG &amp; WASTE FOR ALL BATHS &amp; SPAS</t>
  </si>
  <si>
    <t>End Fix</t>
  </si>
  <si>
    <t>Side Fix</t>
  </si>
  <si>
    <t>SIDE CLIPS</t>
  </si>
  <si>
    <t>EXTERNAL CORNERS</t>
  </si>
  <si>
    <t>INTERNAL CORNERS</t>
  </si>
  <si>
    <t>135 DEG CORNERS</t>
  </si>
  <si>
    <t>JOINTING SLEEVE</t>
  </si>
  <si>
    <t>SPANDREL END INCLUDING BARGE BOARD</t>
  </si>
  <si>
    <t/>
  </si>
  <si>
    <t>PN20</t>
  </si>
  <si>
    <t>ATHERTON DOOR 2015*620</t>
  </si>
  <si>
    <t>ATHERTON DOOR 2015*720</t>
  </si>
  <si>
    <t>PN05</t>
  </si>
  <si>
    <t>ATHERTON DOOR 2040*920 SOLID</t>
  </si>
  <si>
    <t>STANFORD DOOR 2040*920 SOLID</t>
  </si>
  <si>
    <t>KEYED ALIKE - 103795</t>
  </si>
  <si>
    <t>WHITE - CAROMA COSMO ABOVE COUNTER BASIN 3TH - 100292</t>
  </si>
  <si>
    <t>EO SCAFFOLDING TO PARAPET WALL</t>
  </si>
  <si>
    <t>TOILET ROLL HOLDER CH SILHOUETTE - 107857</t>
  </si>
  <si>
    <t>Shopper</t>
  </si>
  <si>
    <t>2/520 DOUBLE HUNG 90MMBRK STD DOUBLE FRAME</t>
  </si>
  <si>
    <t>INITIAL CLEAN,DEPOSIT ALL RUBBISH INTO BIN</t>
  </si>
  <si>
    <t>FINAL CLEAN,DEPOSIT ALL RUBBISH INTO BIN</t>
  </si>
  <si>
    <t>ESTATE COLLECTION 2040*820 STAIN GRADE WARRATAH - 107209</t>
  </si>
  <si>
    <t>PLEASE INFORM OFFICE IF ORDER AMOUNT IS INSUFFICIENT PRIOR TO STARTING AT SITE</t>
  </si>
  <si>
    <t>PMAD 111 2040*820 CLEAR GLASS</t>
  </si>
  <si>
    <t>BATH 1700 CLASSIC WHITE - 109537</t>
  </si>
  <si>
    <t>CLARK MONACO 5113 SINGLE BOWL - RIGHT HAND DRAINER 1 TAP HOLE</t>
  </si>
  <si>
    <t>STOP ENDS</t>
  </si>
  <si>
    <t>BASIN INSET BASA BASIN 1TH - 100315</t>
  </si>
  <si>
    <t>Longreach - Over Openings</t>
  </si>
  <si>
    <t>COLORBOND EXTERNAL CORNERS</t>
  </si>
  <si>
    <t>COLORBOND INTERNAL CORNERS</t>
  </si>
  <si>
    <t>EO TO RENDER ATTACHED PIER</t>
  </si>
  <si>
    <t>MADISON MAD 111 CLEAR ROSEWOOD 2040*920</t>
  </si>
  <si>
    <t>KEY ESCUTCHEON 10EU4SS</t>
  </si>
  <si>
    <t>E/O COLOUR CONCRETE 4% RED, BROWN, TAN, BLACK</t>
  </si>
  <si>
    <t>EO FOR SEALER TO ONYX COLOURED CONCRETE</t>
  </si>
  <si>
    <t>ESTATE COLLECTION 2040*820 STAIN GRADE CANNINGVALE - 107783</t>
  </si>
  <si>
    <t>GAINSBOROUGH 8901 PRECISE LEVER BRIGHT CHROME</t>
  </si>
  <si>
    <t>CAROMA LIANO WALL MOUNTED WITH CHROME WASTE PIPE 1TH WHITE</t>
  </si>
  <si>
    <t>EO FOR HIGH CEILINGS / AREA</t>
  </si>
  <si>
    <t>ESTATE COLLECTION 2040*820 STAIN GRADE FREEMAN - 108797</t>
  </si>
  <si>
    <t>TOWEL RAIL 610 DBL BC SILHOUETTE - 107969</t>
  </si>
  <si>
    <t>MYSO</t>
  </si>
  <si>
    <t>270L MYSOLAR QUANTUM HEAT PUMP 270-11AC4-134</t>
  </si>
  <si>
    <t>DELIVERY OF SYSTEM TO SOUTH WEST</t>
  </si>
  <si>
    <t>C3 THICKENING POURED WITH SLAB NO Z-BAR REQUIRED</t>
  </si>
  <si>
    <t>50*50*4 SHS HDG</t>
  </si>
  <si>
    <t>Straight</t>
  </si>
  <si>
    <t>N/A</t>
  </si>
  <si>
    <t>Bed Joints</t>
  </si>
  <si>
    <t>Frame Only</t>
  </si>
  <si>
    <t>Design Pine</t>
  </si>
  <si>
    <t>Ext Corner</t>
  </si>
  <si>
    <t>Int Corner</t>
  </si>
  <si>
    <t>EO TO RENDER PIER - INTERNAL OR EXTERNAL</t>
  </si>
  <si>
    <t>Frame Type</t>
  </si>
  <si>
    <t>PA</t>
  </si>
  <si>
    <t>ENSUITE WALL TILES</t>
  </si>
  <si>
    <t>KITCHEN WALL TILES</t>
  </si>
  <si>
    <t>HEARTH TILES</t>
  </si>
  <si>
    <t>ENSUITE FLOOR TILES</t>
  </si>
  <si>
    <t>EXTERNAL AREA TILES</t>
  </si>
  <si>
    <t>KITCHEN FLOOR TILES</t>
  </si>
  <si>
    <t>ENTRY FLOOR TILES</t>
  </si>
  <si>
    <t>LISTELLO TILES</t>
  </si>
  <si>
    <t>SITE CLEAN AFTER SLAB POUR INC REMOVE EXCESS SAND</t>
  </si>
  <si>
    <t>LANDSCAPING PREP -  SMOOTH OFF AND MAKE 20MM BELOW KERBS.</t>
  </si>
  <si>
    <t>PAVERS 65MM, ON SITE</t>
  </si>
  <si>
    <t>PAVERS 65MM, ON SITE -OUTER AREA</t>
  </si>
  <si>
    <t>MINIPAVE 60MM</t>
  </si>
  <si>
    <t>INSTALL CAVITY COLUMNS - MORE THAN 10 COLUMNS PER JOB</t>
  </si>
  <si>
    <t>CEMENT RENDER BASE COAT FOR TEXTURE FINISH</t>
  </si>
  <si>
    <t>F&amp;D</t>
  </si>
  <si>
    <t>AIR CONDITIONING SYSTEM AS PER QUOTE</t>
  </si>
  <si>
    <t>SUPPY AND LAY 600*600 CONCRETE SLABS FOR BASE</t>
  </si>
  <si>
    <t>HEARB</t>
  </si>
  <si>
    <t>TECO AIRCONDITIONER AS QUOTED</t>
  </si>
  <si>
    <t>NAILS, CLOUTS, BOLTS, POP RIVETS ALLOWANCE</t>
  </si>
  <si>
    <t>WHITE - CAROMA COSMO WALL BASIN 1TH</t>
  </si>
  <si>
    <t>TOWEL RING CH SILHOUETTE - 106122</t>
  </si>
  <si>
    <t>PN25</t>
  </si>
  <si>
    <t>PN30</t>
  </si>
  <si>
    <t>PN35</t>
  </si>
  <si>
    <t>PN40</t>
  </si>
  <si>
    <t>PN45</t>
  </si>
  <si>
    <t>PN50</t>
  </si>
  <si>
    <t>PN55</t>
  </si>
  <si>
    <t>Garage for timber frame job</t>
  </si>
  <si>
    <t>CAVITY SLIDING DOOR FRAME</t>
  </si>
  <si>
    <t>100*50*4 RHS - With Hit and miss 6mm rod welded</t>
  </si>
  <si>
    <t>150*50*4 RHS - With Hit and miss 6mm rod welded</t>
  </si>
  <si>
    <t>381EC</t>
  </si>
  <si>
    <t>Margaret River</t>
  </si>
  <si>
    <t>Blue Heeler</t>
  </si>
  <si>
    <t>Charcoal</t>
  </si>
  <si>
    <t>Luna</t>
  </si>
  <si>
    <t>Checker Board</t>
  </si>
  <si>
    <t>Starlight</t>
  </si>
  <si>
    <t>Mallee</t>
  </si>
  <si>
    <t>Sand Storm</t>
  </si>
  <si>
    <t>Blizzard</t>
  </si>
  <si>
    <t>Saturn</t>
  </si>
  <si>
    <t>Oyster Grey</t>
  </si>
  <si>
    <t>Martian Sky</t>
  </si>
  <si>
    <t>Classic Rose</t>
  </si>
  <si>
    <t>Sunset</t>
  </si>
  <si>
    <t>Limestone Grey</t>
  </si>
  <si>
    <t>Natural Limestone</t>
  </si>
  <si>
    <t>Crème Concrete</t>
  </si>
  <si>
    <t>409EL</t>
  </si>
  <si>
    <t>SUPPLY AND INSTALL ABA-FLEX TO PERIMETER OF CONCRETE</t>
  </si>
  <si>
    <t>SHIRE INSPECTION MAY BE REQUIRED TO CROSSOVER AREA OF DRIVE - PLEASE CALL</t>
  </si>
  <si>
    <t>FORMED GABLE / DUTCH GABLE</t>
  </si>
  <si>
    <t>CORINTHIAN STUDIO PSTD 5V4 TRANSLUCENT GLASS</t>
  </si>
  <si>
    <t> 28.10</t>
  </si>
  <si>
    <t> 35.20</t>
  </si>
  <si>
    <t>ROOF FORMULAS - GROUND FLOOR</t>
  </si>
  <si>
    <t>CAROMA LIANO SEMI RECESSED BASIN 3TH WHITE - 100207</t>
  </si>
  <si>
    <t>Whaling Plate for raised ceilings</t>
  </si>
  <si>
    <t>920 RIGHT HAND 90MMBRK STD SINGLE FRAME</t>
  </si>
  <si>
    <t>870 RIGHT HAND 90MMBRK STD SINGLE FRAME</t>
  </si>
  <si>
    <t>870 LEFT HAND 90MMBRK STD SINGLE FRAME</t>
  </si>
  <si>
    <t>870 WC RIGHT HAND 90MMBRK STD SINGLE FRAME</t>
  </si>
  <si>
    <t>870 WC LEFT HAND 90MMBRK STD SINGLE FRAME</t>
  </si>
  <si>
    <t>PN60</t>
  </si>
  <si>
    <t>920 FRAME W/-SILL &amp; 2 STRIKERS, 4 FIXED WELDED HINGES</t>
  </si>
  <si>
    <t>EO SPECIAL FRAME</t>
  </si>
  <si>
    <t>E/O FOR 3RD HINGE</t>
  </si>
  <si>
    <t>CLARK MONACO 5112 S/S SINK 1000MM 1TH 1.5 BOWL RH END BOWL</t>
  </si>
  <si>
    <t>CLARK MONACO 5112 S/S SINK 1000MM 1TH 1.5 BOWL LH END BOWL</t>
  </si>
  <si>
    <t>CLARK MONACO 5111 S/S SINK 1200MM 1TH 1.75 BOWL LH END BOWL - 100082</t>
  </si>
  <si>
    <t>STOP ENDS COLORBOND</t>
  </si>
  <si>
    <t>Oyster Creme</t>
  </si>
  <si>
    <t>1M ALUMINIUM STRIP</t>
  </si>
  <si>
    <t>SUPPLY &amp; INSTALL GOLD PACKAGE MAIN FLOOR TILES INC GLUE, GROUT AND TILE STRIPS</t>
  </si>
  <si>
    <t>SUPPLY &amp; INSTALL UP TO 450*450 MAIN FLOOR TILES INC GLUE, GROUT AND WASTE</t>
  </si>
  <si>
    <t>BCG95XFFC BLANCO HOTPLATE S/STEEL</t>
  </si>
  <si>
    <t>BOSE99XP BLANCO U/BENCH OVEN S/STEEL</t>
  </si>
  <si>
    <t>RANGEHOOD UNDERCUPBOARD BRU70X BLANCO</t>
  </si>
  <si>
    <t>Longreach - Other</t>
  </si>
  <si>
    <t>66*18</t>
  </si>
  <si>
    <t>30*30</t>
  </si>
  <si>
    <t>170*25</t>
  </si>
  <si>
    <t>18*18</t>
  </si>
  <si>
    <t>Wet Drywall</t>
  </si>
  <si>
    <t>DELIVERY - BUNBURY</t>
  </si>
  <si>
    <t>DELIVERY - CAPEL</t>
  </si>
  <si>
    <t>PREBU</t>
  </si>
  <si>
    <t>INSTALL TRIMMERS TO SUIT SECTIONAL GARAGE DOOR - SEE SUPER FOR DETAILS</t>
  </si>
  <si>
    <t>FIT MOULDING TO CORNER - METAL OR TIMBER</t>
  </si>
  <si>
    <t>DELIVERY - BUSSELTON - CARTAGE</t>
  </si>
  <si>
    <t>DELIVERY - DUNSBOROUGH / QUINDALUP - CARTAGE3</t>
  </si>
  <si>
    <t>DELIVERY - BUNUBURY / DONNYBROOK - CARTAGE2</t>
  </si>
  <si>
    <t>DELIVERY - MARGARET RIVER / COWARAMUP - CARTAGE1</t>
  </si>
  <si>
    <t>DELIVERY - AUSTRALIND / EATON - CARTAGE4</t>
  </si>
  <si>
    <t>DELIVERY - HARVEY / MYALUP - CARTAGE5</t>
  </si>
  <si>
    <t>DELIVERY - WAROONA / COLLIE - CARTAGE6</t>
  </si>
  <si>
    <t>Ceramic Distributors = Magic Tiles</t>
  </si>
  <si>
    <t>European Ceramics = Trimview</t>
  </si>
  <si>
    <t>Crosby = Armanti/Bathroom Decore</t>
  </si>
  <si>
    <t>SOLAR LEDA HWU - 340L 2 PANEL SPLIT GROUND TANK GAS BOOST - L342VI24PT20</t>
  </si>
  <si>
    <t>SOLAR LEDA HWU - 340L 2 PANEL SPLIT GROUND ELECTRIC BOOST - L342VI24P</t>
  </si>
  <si>
    <t>INSTALL MYSOLAR 300L 2 PANEL GROUND GAS BOOST SOUTH WEST BUNBURY - MARG. RIVER</t>
  </si>
  <si>
    <t>G</t>
  </si>
  <si>
    <t>E*ternal Frame Types</t>
  </si>
  <si>
    <t>Raked Rafters &lt; 6M</t>
  </si>
  <si>
    <t>Raked Rafters &gt; 6M</t>
  </si>
  <si>
    <t>ESTATE COLLECTION 2040*820 STAIN GRADE LANDSDOWNE - 107629</t>
  </si>
  <si>
    <t>2 COURSE SOLDIER / SILL</t>
  </si>
  <si>
    <t>PROJECTING BAND</t>
  </si>
  <si>
    <t>DURASHEET TO GABLE</t>
  </si>
  <si>
    <t>Features</t>
  </si>
  <si>
    <t>Order</t>
  </si>
  <si>
    <t>Price Each</t>
  </si>
  <si>
    <t>MIRRORS AS QUOTED</t>
  </si>
  <si>
    <t>Note on order</t>
  </si>
  <si>
    <t>BATH FEATURE TILES</t>
  </si>
  <si>
    <t>PN11</t>
  </si>
  <si>
    <t>SLIMLITE PSLM 208 2040*820 W/- TRANSLUCENT GLASS</t>
  </si>
  <si>
    <t>DECO 1D INTERNAL DOOR 2065*870</t>
  </si>
  <si>
    <t> 17.50</t>
  </si>
  <si>
    <t>CORINTHIAN SUNBURST SUNAR - MERBAU CLEAR GLAZING 2040*820</t>
  </si>
  <si>
    <t>EO TO CONSTRUCT ROOF FRAME FOR TILE ROOF COVER</t>
  </si>
  <si>
    <t>BAG</t>
  </si>
  <si>
    <t>LNGTH</t>
  </si>
  <si>
    <t>SHEET</t>
  </si>
  <si>
    <t>TRENCH MESH L12TM 3 BAR 6.0M L12TM3</t>
  </si>
  <si>
    <t>POLYCOURSE 230MM*10M 9316328019343</t>
  </si>
  <si>
    <t>SIKABOND CONSTRUCTION ADHESIVE 6318324003883</t>
  </si>
  <si>
    <t>POLYFLASH 230MM*10M 42017566</t>
  </si>
  <si>
    <t>GLUE SCREW CARTRIDGE LIQUID NAILS 10018</t>
  </si>
  <si>
    <t>DELIVERY - BUNBURY, EATON, AUSTRALIND, DALYELLUP D1</t>
  </si>
  <si>
    <t>DELIVERY - COLLIE, WAROONA D4</t>
  </si>
  <si>
    <t>DURACLAY VC VERTICALLY CORED</t>
  </si>
  <si>
    <t>COCKBURN M4 COASTAL BRICKIES LIME PREMIXED - BCM20CO</t>
  </si>
  <si>
    <t>MRBL 50 MASONARY REINFORCEMENT - 3600 LONG BRM50</t>
  </si>
  <si>
    <t>DYNA BOLTS GALV M10*77MM - 9418659206093E</t>
  </si>
  <si>
    <t>FRAME STRAPS - 3537E</t>
  </si>
  <si>
    <t>ALCOR FLASHING 300MM /10M ROLL 9316328001034</t>
  </si>
  <si>
    <t>AIR-CELL PERMICAV INSULATION - 1350*22.5M PS055</t>
  </si>
  <si>
    <t>AIR-CELL JOINT TAPE - 50M ROLL WA007</t>
  </si>
  <si>
    <t>AIR-CELL CAVITY SPACERS - BAG OF 50 WA005</t>
  </si>
  <si>
    <t>ST/STEEL SIDE FIX BRICK VENEER TIES 150 PER BOX 6314654008949</t>
  </si>
  <si>
    <t>SHERIFF GALVANISED BRICK VENEER TIES SIDE FIX - BOX 150 9314654001377</t>
  </si>
  <si>
    <t>WIND POST 2500 SUIT 2.4M S/STEEL DASS1- 100785</t>
  </si>
  <si>
    <t>WIND POST 2800 SUIT 2.7M S/STEEL DASS2 100786</t>
  </si>
  <si>
    <t>WIND POST 3100 SUIT 3.0M GAL DA3 100784</t>
  </si>
  <si>
    <t>WIND POST 3100 SUIT 3.0M S/STEEL DASS3 100787</t>
  </si>
  <si>
    <t>BUILDERS CHOICE LIME N GREY 20KG 10002916</t>
  </si>
  <si>
    <t>BUILDERS CHOICE LIME N LITE 20KG 10002915</t>
  </si>
  <si>
    <t>GALVANISED RODS 6MM AT 6.0M 24072</t>
  </si>
  <si>
    <t>GALVANISED RODS 6MM 500*500 CNR TIE 10003751</t>
  </si>
  <si>
    <t>DYNA BOLTS GALVANISED M10*77MM 10003638</t>
  </si>
  <si>
    <t>4 LITRE BLACK DAMPCO 43111251</t>
  </si>
  <si>
    <t>4 LITRE CLEAR DAMPCO 43111236</t>
  </si>
  <si>
    <t>FRAME STRAPS 41673</t>
  </si>
  <si>
    <t>ALCOR FLASHING 300MM /10M ROLL 42017392</t>
  </si>
  <si>
    <t>AIR-CELL PERMICAV INSULATION - 1350*22.5M 11965</t>
  </si>
  <si>
    <t>AIR-CELL JOINT TAPE - 50M ROLL 11579</t>
  </si>
  <si>
    <t>AIR-CELL CAVITY SPACERS - BAG OF 50 11578</t>
  </si>
  <si>
    <t>SHERIFF STAINLESS STEEL SIDE FIX BRICK VENEER TIES 150 PER BOX 10734</t>
  </si>
  <si>
    <t>SHERIFF GALVANISED SIDE FIX BRICK VENEER TIES 150 PER BOX 10010</t>
  </si>
  <si>
    <t>STANDARD &amp; 1C FACE EXTERNAL</t>
  </si>
  <si>
    <t>FACE BLOCKS EXTERNAL</t>
  </si>
  <si>
    <t>DURACLAY INTERNAL</t>
  </si>
  <si>
    <t>VERTICLAY INTERNAL</t>
  </si>
  <si>
    <t>VERTICLAY EXTERNAL</t>
  </si>
  <si>
    <t>LONGREACH INTERNAL</t>
  </si>
  <si>
    <t>COMMONS EXTERNAL</t>
  </si>
  <si>
    <t>DURACLAY VC EXTERNAL RENDERED WALLS</t>
  </si>
  <si>
    <t>LONGREACH EXTERNAL</t>
  </si>
  <si>
    <t>75*50*280 ANGLE BRACKET AB11 CW 10*90 BOLTS AND WASHERS 9325179005016</t>
  </si>
  <si>
    <t>ALUMINIUM BULKHEAD TRIM - 4800 LENGTH - 10555</t>
  </si>
  <si>
    <t>JH ALUMINIUM SNAP ON CORNER 2 PART - 3000 LONG 305513</t>
  </si>
  <si>
    <t>NULINE WEATHERBOARD SQUARE 4200*175*14 PLSQ14175</t>
  </si>
  <si>
    <t>NULINE WEATHERBOARD BULLNOSE 4200*175*14 PLBN14175</t>
  </si>
  <si>
    <t>DURAPLANK 4200*230*7.5 SMOOTH BGCPLANK230S</t>
  </si>
  <si>
    <t>DURAPLANK 4200*230*7.5 WOODGRAIN BGCPLANK230WG</t>
  </si>
  <si>
    <t>NULINE WEATHERBOARD SQUARE 4200*175*14 BGCNULINESQ175</t>
  </si>
  <si>
    <t>NULINE WEATHERBOARD BULLNOSE 4200*175*14 BGCNULINEBN175</t>
  </si>
  <si>
    <t>NULINE WEATHERBOARD SQUARE 4200*205*14 BGCNULINESQ205</t>
  </si>
  <si>
    <t>NULINE WEATHERBOARD BULLNOSE 4200*205*14 BGCNULINEBN205</t>
  </si>
  <si>
    <t>COLORBOND RIVETS PER BAG</t>
  </si>
  <si>
    <t>HIP &amp; VALLEY TO FASCIA LINE</t>
  </si>
  <si>
    <t>90*90 OR SIMILAR TIMBER OR STEEL POST INCLUDING SHOE</t>
  </si>
  <si>
    <t>SUPPLY AND INSTALL TRIP-L-GRIPS TO RAFTERS PER HOUSE</t>
  </si>
  <si>
    <t>FIX STARTER BOARD OR STRIP INCLUDE RIPPING TO CLADDING TO MANUFACTURERS DETAIL</t>
  </si>
  <si>
    <t>820 RIGHT HAND 110 BO DELUXE SINGLE FRAME ROVERS - D820R110</t>
  </si>
  <si>
    <t>820 LEFT HAND 110 BO DELUXE SINGLE FRAME ROVERS - D820L110</t>
  </si>
  <si>
    <t>720 RIGHT HAND 110 BO DELUXE SINGLE FRAME ROVERS - D720R110</t>
  </si>
  <si>
    <t>720 LEFT HAND 110 BO DELUXE SINGLE FRAME ROVERS - D720L110</t>
  </si>
  <si>
    <t>620 RIGHT HAND 110 BO DELUXE SINGLE FRAME ROVERS - D620R110</t>
  </si>
  <si>
    <t>620 LEFT HAND 110 BO DELUXE SINGLE FRAME ROVERS - D620L110</t>
  </si>
  <si>
    <t>520 RIGHT HAND 110 BO DELUXE SINGLE FRAME ROVERS - D520R110</t>
  </si>
  <si>
    <t>520 LEFT HAND 110 BO DELUXE SINGLE FRAME ROVERS - D520L110</t>
  </si>
  <si>
    <t>720 RIGHT HAND 110 BO DELUXE SINGLE WC FRAME ROVERS - D720R110WC</t>
  </si>
  <si>
    <t>720 LEFT HAND 110 BO DELUXE SINGLE WC FRAME ROVERS - D720L110WC</t>
  </si>
  <si>
    <t>820 110 BO DELUXE SINGLE SLIDER FRAME ROVERS - D820S110</t>
  </si>
  <si>
    <t>720 110 BO DELUXE SINGLE SLIDER FRAME ROVERS - D720S110</t>
  </si>
  <si>
    <t>820 DOUBLE HUNG 110 BO DELUXE DOUBLE FRAME ROVERS - D820D110</t>
  </si>
  <si>
    <t>720 DOUBLE HUNG 110 BO DELUXE DOUBLE FRAME ROVERS - D720D110</t>
  </si>
  <si>
    <t>620 DOUBLE HUNG 110 BO DELUXE DOUBLE FRAME ROVERS - D620D110</t>
  </si>
  <si>
    <t>520 DOUBLE HUNG 110 BO DELUXE DOUBLE FRAME ROVERS - D520D110</t>
  </si>
  <si>
    <t>820 RIGHT HAND 3 HINGE &amp; DEADLOCK 110 BO SINGLE FRAME ROVERS - D820R110DL</t>
  </si>
  <si>
    <t>820 LEFT HAND 3 HINGE &amp; DEADLOCK 110 BO SINGLE FRAME ROVERS - D820L110DL</t>
  </si>
  <si>
    <t>EO FOR EXTERNAL RENDERED BAND INC AQUAPEL</t>
  </si>
  <si>
    <t>SECOND CLEAN, DEPOSIT ALL RUBBISH INTO BIN UNITS ONLY</t>
  </si>
  <si>
    <t>PROVIDE CONCRETE ORDER NUMBER ATTACHED TO SUPPLIER WHEN CALLING UP CONCRETE</t>
  </si>
  <si>
    <t>NOVELLI 45L S/STEEL TROUGH WITH WHITE METAL CABINET &amp; SUD SAVER</t>
  </si>
  <si>
    <t>enter "shower wall" to pick up waterproofing</t>
  </si>
  <si>
    <t>enter "shower hob" to pick up 45 deg tiling</t>
  </si>
  <si>
    <t>REBATED ZINCALUME FASCIA</t>
  </si>
  <si>
    <t>Collar Ties &lt; 6m</t>
  </si>
  <si>
    <t>Collar Ties &gt; 6m</t>
  </si>
  <si>
    <t>A</t>
  </si>
  <si>
    <t>920 LEFT HAND 90MMBRK STD SINGLE FRAME</t>
  </si>
  <si>
    <t>SOAP HOLDER</t>
  </si>
  <si>
    <t>DURAPLANK STARTER STRIP 7.5MMX3M</t>
  </si>
  <si>
    <t>CORINTHIAN WINDSOR 7G 2040*820 ROSE JEWEL CERAMICA</t>
  </si>
  <si>
    <t>SUPPLY AND INSTALL SEALER TO EXPOSED AGGREGATE CONCRETE</t>
  </si>
  <si>
    <t>FRAME STRAPS STAINLESS STEEL</t>
  </si>
  <si>
    <t>REBATE KIT 890 PB - 104931</t>
  </si>
  <si>
    <t>REBATE KIT 850 PB - 104923</t>
  </si>
  <si>
    <t>enter "bath riser" to pick up bath risers</t>
  </si>
  <si>
    <t>enter "nib wall" to pick up nib wall waterproofing and tiler labour</t>
  </si>
  <si>
    <t>INSTALL SUPPLIED INSULATION BATTS INCLUDING STRINGING</t>
  </si>
  <si>
    <t>CONSTRUCT STUDWORK &amp; FIX SISALATION INCLUDES TAPING AROUND OPENINGS</t>
  </si>
  <si>
    <t>Tiles Plus</t>
  </si>
  <si>
    <t>CORINTHIAN STUDIO PSTD 5V8 CLEAR GLASS</t>
  </si>
  <si>
    <t>REBATE KIT 757 SC R - 104938</t>
  </si>
  <si>
    <t>REBATE KIT 757 SC L - 104937</t>
  </si>
  <si>
    <t>REBATE KIT 800 PB - 104911</t>
  </si>
  <si>
    <t>GAINSBOROUGH 8901 PRECISE LEVER SATIN CHROME</t>
  </si>
  <si>
    <t>150*200*150</t>
  </si>
  <si>
    <t>ZINCALUME STARTER STRIP FOR NULINE 2700 LONG (825)</t>
  </si>
  <si>
    <t>Mosaic/Listello</t>
  </si>
  <si>
    <t>OLIVERI TASMAN ENDEAVOUR EE12 S/S SINK 1TH 1.75 BOWL RH END BOWL - 107026</t>
  </si>
  <si>
    <t>CORNER BATH 1500 STYLUS MIRAGE WH MR5W - 100357</t>
  </si>
  <si>
    <t>412TD</t>
  </si>
  <si>
    <t>FIX DECKING TO BATTENS</t>
  </si>
  <si>
    <t>M2 Price</t>
  </si>
  <si>
    <t>External Tiles</t>
  </si>
  <si>
    <t>GAINSBOROUGH SENATOR PULL HANDLE &amp; LEVER SET 9963PHSET370 SC</t>
  </si>
  <si>
    <t>411TD</t>
  </si>
  <si>
    <t>BALAU 90*19 REEDED DECKING</t>
  </si>
  <si>
    <t>UNIVERSAL FASTENER 10G*70MM SS SCREWS 100 PACK</t>
  </si>
  <si>
    <t>PN12</t>
  </si>
  <si>
    <t>UNIVERSAL FASTENER CLIP AND SCREW SECRET FIX 5M2 BUCKET</t>
  </si>
  <si>
    <t>UNIVERSAL FASTENER CLIP AND SCREW SECRET FIX 50M2 BUCKET</t>
  </si>
  <si>
    <t>FIX BATTENS TO GRANO FOR DECKING / RAISED FLOOR</t>
  </si>
  <si>
    <t>OIL / SEAL TIMBER DECKING - BOTH SIDES OF DECKING MATERIAL TO BE DONE</t>
  </si>
  <si>
    <t>L STIRRUP 90MM*40MM BLADE 300MM SHAFT</t>
  </si>
  <si>
    <t>POSTCRETE CONCRETE PACK - 20KG (11613)</t>
  </si>
  <si>
    <t>E/O FOR INSTALLATION OF ROOF TIE DOWNS AND CONNECTORS AS PER 1684.2</t>
  </si>
  <si>
    <t>WIND POST STIFFENER 2.672M LONG - (11659)</t>
  </si>
  <si>
    <t>WIND POST STIFFENER STAINLESS STEEL 2.672M LONG - (11662)</t>
  </si>
  <si>
    <t>WIND POST STIFFENER 2.972M LONG - (11660)</t>
  </si>
  <si>
    <t>WIND POST STIFFENER STAINLESS STEEL 2.972M LONG - (11663)</t>
  </si>
  <si>
    <t>WIND POST STIFFENER 3.272M LONG - (11661)</t>
  </si>
  <si>
    <t>WIND POST STIFFENER STAINLESS STEEL 3.272M LONG - (11664)</t>
  </si>
  <si>
    <t>CORINTHIAN ELEGANCE ELTAT 111 2040*820 TRANSLUCENT GLASS</t>
  </si>
  <si>
    <t>GALV WASHERS 50*50 SQUARE BOX OF 200</t>
  </si>
  <si>
    <t>BGC DURATEX 7.5MM 3000*1200</t>
  </si>
  <si>
    <t>WIND POST 2500 SUIT 2.4M GAL DA1- (100782)</t>
  </si>
  <si>
    <t>WIND POST 2800 SUIT 2.7M GAL DA2 (100783)</t>
  </si>
  <si>
    <t>Longreach T-bars</t>
  </si>
  <si>
    <t>WALLF</t>
  </si>
  <si>
    <t>9010</t>
  </si>
  <si>
    <t>9015</t>
  </si>
  <si>
    <t>9020</t>
  </si>
  <si>
    <t>0055</t>
  </si>
  <si>
    <t>0100</t>
  </si>
  <si>
    <t>0110</t>
  </si>
  <si>
    <t>0115</t>
  </si>
  <si>
    <t>0120</t>
  </si>
  <si>
    <t>0130</t>
  </si>
  <si>
    <t>0140</t>
  </si>
  <si>
    <t>0160</t>
  </si>
  <si>
    <t>0170</t>
  </si>
  <si>
    <t>0180</t>
  </si>
  <si>
    <t>0185</t>
  </si>
  <si>
    <t>0200</t>
  </si>
  <si>
    <t>0220</t>
  </si>
  <si>
    <t>0221</t>
  </si>
  <si>
    <t>0240</t>
  </si>
  <si>
    <t>0250</t>
  </si>
  <si>
    <t>0255</t>
  </si>
  <si>
    <t>0260</t>
  </si>
  <si>
    <t>0320</t>
  </si>
  <si>
    <t>0330</t>
  </si>
  <si>
    <t>0460</t>
  </si>
  <si>
    <t>0470</t>
  </si>
  <si>
    <t>0540</t>
  </si>
  <si>
    <t>0560</t>
  </si>
  <si>
    <t>0580</t>
  </si>
  <si>
    <t>0620</t>
  </si>
  <si>
    <t>0900</t>
  </si>
  <si>
    <t>9990</t>
  </si>
  <si>
    <t>9991</t>
  </si>
  <si>
    <t>9994</t>
  </si>
  <si>
    <t>9995</t>
  </si>
  <si>
    <t>RFCNF</t>
  </si>
  <si>
    <t>250RF</t>
  </si>
  <si>
    <t>225BF</t>
  </si>
  <si>
    <t>270WF</t>
  </si>
  <si>
    <t>10MM GYPROCK CEILING AND CORNICES TO 31C (UPPER FLOOR)</t>
  </si>
  <si>
    <t>10MM GYPROCK CEILING AND CORNICES TO 31C TO ALFRESCO (UPPER FLOOR)</t>
  </si>
  <si>
    <t>Concrete Pile</t>
  </si>
  <si>
    <t>50*50*4 SHS</t>
  </si>
  <si>
    <t>100*50*4 RHS</t>
  </si>
  <si>
    <t>150*50*4 RHS</t>
  </si>
  <si>
    <t>42mm CHS</t>
  </si>
  <si>
    <t>50*50*4 SHS HDG R6 HIT 50 MISS 150</t>
  </si>
  <si>
    <t>50*50*4 SHS R6 HIT 50 MISS 150</t>
  </si>
  <si>
    <t>First Floor</t>
  </si>
  <si>
    <t>Merbau Laminated</t>
  </si>
  <si>
    <t>CUT DOWN DECO 1S 2040 TO 2015*620WC ON SITE</t>
  </si>
  <si>
    <t>ALLOWANCE FOR GALVANISED NAILS FOR COASTAL AREAS</t>
  </si>
  <si>
    <t>820 L/ HAND 3 HINGE &amp; D/LOCK 110 BO SINGLE FRAME (ROVERS) W-SILL- D820L110DLRAIL</t>
  </si>
  <si>
    <t>EXPOSED RAFTERS</t>
  </si>
  <si>
    <t>240HG</t>
  </si>
  <si>
    <t>245FG</t>
  </si>
  <si>
    <t>DELIVERY - WAROONA (DELWAR)</t>
  </si>
  <si>
    <t>M²</t>
  </si>
  <si>
    <t>Deduction no longreach</t>
  </si>
  <si>
    <t>298*60</t>
  </si>
  <si>
    <t>M³</t>
  </si>
  <si>
    <t>Finishing Bricks - Other</t>
  </si>
  <si>
    <t>1c Cored Face to Zero lot boundary walls</t>
  </si>
  <si>
    <t>1c Cored Face to 0c sill</t>
  </si>
  <si>
    <t>Finishing Bricks to Even Sills</t>
  </si>
  <si>
    <t>175*25</t>
  </si>
  <si>
    <t>FOIL FASTENERS - STRIP OF 10 (931465400195)</t>
  </si>
  <si>
    <t>42*11</t>
  </si>
  <si>
    <t>10MM THREADED GALV ROD 3000 LONG W/- 150*50*8 BASEPLATE WELDED</t>
  </si>
  <si>
    <t>ESTATE COLLECTION 2040*820 STAIN GRADE RANFORD - 106912</t>
  </si>
  <si>
    <t>CUT DOWN DECO 2S 2040 TO 2015*620WC ON SITE</t>
  </si>
  <si>
    <t>CUT DOWN DECO 3S 2040 TO 2015*620WC ON SITE</t>
  </si>
  <si>
    <t>CUT DOWN DECO 4S 2040 TO 2015*620WC ON SITE</t>
  </si>
  <si>
    <t>CUT DOWN DECO 1S 2040 TO 2015*720WC ON SITE</t>
  </si>
  <si>
    <t>CUT DOWN DECO 2S 2040 TO 2015*720WC ON SITE</t>
  </si>
  <si>
    <t>CUT DOWN DECO 3S 2040 TO 2015*720WC ON SITE</t>
  </si>
  <si>
    <t>CUT DOWN DECO 4S 2040 TO 2015*720WC ON SITE</t>
  </si>
  <si>
    <t>ALTIS ANTI-TERMITE RETIC SYSTEM FIRST 10M TO CONCRETED ALFRESCO/VERANDAHS</t>
  </si>
  <si>
    <t>GALV WASHERS 50*50 SQUARE BOX OF 100</t>
  </si>
  <si>
    <t>PN1000</t>
  </si>
  <si>
    <t>CAVI DRY CHANNEL 3M (1002)</t>
  </si>
  <si>
    <t>CAVI DRY ELBOW (DB3003)</t>
  </si>
  <si>
    <t>CAVI DRY STOP END</t>
  </si>
  <si>
    <t>CAVI DRY T-JUNCTION</t>
  </si>
  <si>
    <t>FIRST FLOOR</t>
  </si>
  <si>
    <t>CAVI DRY CHANNEL 3M (10003126)</t>
  </si>
  <si>
    <t>CAVI DRY ELBOW (10003129)</t>
  </si>
  <si>
    <t>CAVI DRY STOP END (10003133)</t>
  </si>
  <si>
    <t>Zero Lot Walls</t>
  </si>
  <si>
    <t>M2/LM</t>
  </si>
  <si>
    <t>75*8 FLAT BAR DUPLEX COATING</t>
  </si>
  <si>
    <t>M2/LM per feature</t>
  </si>
  <si>
    <t>M2/LM required</t>
  </si>
  <si>
    <t>M2/LM Included</t>
  </si>
  <si>
    <t>BI01</t>
  </si>
  <si>
    <t>FLASHING GALVANISED 2.4M*90*0.4 (PGI9024)</t>
  </si>
  <si>
    <t>FLASHING GALV 2.4M*90*0.4 (10514)</t>
  </si>
  <si>
    <t>Drywall from CSV</t>
  </si>
  <si>
    <t>Colli Timbers</t>
  </si>
  <si>
    <t>Colli Timbers - Blue</t>
  </si>
  <si>
    <t>PLASTIC BUILDER BLACK 200MICRONS - 4M*50M (FB452B)</t>
  </si>
  <si>
    <t>Garage Sectional Door Prices</t>
  </si>
  <si>
    <t>65*35 E-BATTEN (6.3M LENGTHS)</t>
  </si>
  <si>
    <t>230TF</t>
  </si>
  <si>
    <t>NA   </t>
  </si>
  <si>
    <t>Capel</t>
  </si>
  <si>
    <t>Dunsborough</t>
  </si>
  <si>
    <t>External Cladding</t>
  </si>
  <si>
    <t>Margaret River Decorator Centre</t>
  </si>
  <si>
    <t>Hume Vaculuse XV14</t>
  </si>
  <si>
    <t>Hume Vaculuse XV20</t>
  </si>
  <si>
    <t>Hume Vaculuse XV9</t>
  </si>
  <si>
    <t>Stylus Maxton (1525mm)</t>
  </si>
  <si>
    <t>Stylus Maxton (1675mm)</t>
  </si>
  <si>
    <t>Blanco BOSE902X</t>
  </si>
  <si>
    <t>Blanco OE606XP</t>
  </si>
  <si>
    <t>OE606XP</t>
  </si>
  <si>
    <t>Omega OF901XA</t>
  </si>
  <si>
    <t>Blanco BCG95X</t>
  </si>
  <si>
    <t>Blanco CG604WXP</t>
  </si>
  <si>
    <t>Technika H640STXPRO-2</t>
  </si>
  <si>
    <t>Blanco BWCE6X Canopy</t>
  </si>
  <si>
    <t>Blanco BWCE9X Canopy</t>
  </si>
  <si>
    <t>Omega OR911CXA</t>
  </si>
  <si>
    <t>Fixed with Curtain Rail</t>
  </si>
  <si>
    <t>Exposed Agg Name</t>
  </si>
  <si>
    <t>BOX OUT FOR GRANO TO DRIVEWAY ETC.</t>
  </si>
  <si>
    <t>HUME XS24 2040*1200 TRANSLUCENT GLASS</t>
  </si>
  <si>
    <t>HUME XS24 2040*1200 CLEAR GLASS</t>
  </si>
  <si>
    <t>HUME JST1 2040*1200 CLEAR GLASS</t>
  </si>
  <si>
    <t>HUME JST1 2040*1200 TRANSLUCENT GLASS</t>
  </si>
  <si>
    <t>HUME XS26 2040*1200 TRANSLUCENT GLASS</t>
  </si>
  <si>
    <t>HUME XS26 2040*1200 CLEAR GLASS</t>
  </si>
  <si>
    <t>HUME XS28 2040*1200 TRANSLUCENT GLASS</t>
  </si>
  <si>
    <t>HUME XS28 2040*1200 CLEAR GLASS</t>
  </si>
  <si>
    <t>HUME XS45 2040*1200 TRANSLUCENT GLASS</t>
  </si>
  <si>
    <t>HUME XS45 2040*1200 CLEAR GLASS</t>
  </si>
  <si>
    <t>HUME VER1 2040*1200 TRANSLUCENT GLASS</t>
  </si>
  <si>
    <t>HUME VER1 2040*1200 CLEAR GLASS</t>
  </si>
  <si>
    <t>HUME VER2 2040*1200 TRANSLUCENT GLASS</t>
  </si>
  <si>
    <t>HUME VER2 2040*1200 CLEAR GLASS</t>
  </si>
  <si>
    <t>HUME VER4 2040*1200 CLEAR GLASS</t>
  </si>
  <si>
    <t>HUME VER4 2040*1200 TRANSLUCENT GLASS</t>
  </si>
  <si>
    <t>HUME VER8 2040*1200 TRANSLUCENT GLASS</t>
  </si>
  <si>
    <t>HUME VER8 2040*1200 CLEAR GLASS</t>
  </si>
  <si>
    <t>HUME VER11 2040*1200 TRANSLUCENT GLASS</t>
  </si>
  <si>
    <t>HUME VER11 2040*1200 CLEAR GLASS</t>
  </si>
  <si>
    <t>HUME VER6 2040*1200 TRANSLUCENT GLASS</t>
  </si>
  <si>
    <t>HUME VER6 2040*1200 CLEAR GLASS</t>
  </si>
  <si>
    <t>250 UB 25 UNTREATED -HOLES ON TOP - 100547</t>
  </si>
  <si>
    <t>FRAME STRAPS STAINLESS STEEL 3537SS</t>
  </si>
  <si>
    <t>CAVITY COLUMN 100*50*4 SHS DUPLEX COATING WELDED IN WORKSHOP AS PER DETAIL</t>
  </si>
  <si>
    <t>CAVITY COLUMN 150*50*4 SHS DUPLEX COATING WELDED IN WORKSHOP AS PER DETAIL</t>
  </si>
  <si>
    <t>E/O FOR HIT AND MISS DETAIL TO A DUPLEX COATING COLUMN</t>
  </si>
  <si>
    <t>INSTALL SENSOR LEAD FOR SOLAR HOT WATER UNIT</t>
  </si>
  <si>
    <t>Pricing as per 1/1/17</t>
  </si>
  <si>
    <t>Grano Areas</t>
  </si>
  <si>
    <t>Min Quantity (includes waste)</t>
  </si>
  <si>
    <t>297*80</t>
  </si>
  <si>
    <t>Column1</t>
  </si>
  <si>
    <t>DELIVERY - DARDANUP</t>
  </si>
  <si>
    <t>Slab Mesh As Per</t>
  </si>
  <si>
    <t>Engineer</t>
  </si>
  <si>
    <t>Site Report</t>
  </si>
  <si>
    <t>Deduct Door Frames</t>
  </si>
  <si>
    <t>Reinforcements</t>
  </si>
  <si>
    <t>DYNA BOLTS GALV M12 * 99MM (10003640)</t>
  </si>
  <si>
    <t>OLIVERI TASMAN ENDEAVOUR EE11 S/S SINK 1TH 1.75 BOWL LH END BOWL - 107025</t>
  </si>
  <si>
    <t>DYNA BOLTS GALV M12 * 100MM (9347176000337)</t>
  </si>
  <si>
    <t>GAINSBOROUGH TRILCOK OMNI ALLURE DUMMY SET PULL HANDLE SS</t>
  </si>
  <si>
    <t>620 RIGHT HAND 110 BO DELUXE SINGLE WC FRAME (ROVERS) - D262R12</t>
  </si>
  <si>
    <t>620 LEFT HAND 110 BO DELUXE SINGLE WC FRAME (ROVERS) - D262L12</t>
  </si>
  <si>
    <t>820 R/ HAND 3 HINGE &amp; D/LOCK 110 BO SINGLE FRAME (ROVERS) W-SILL- D282R14</t>
  </si>
  <si>
    <t>STUD FRAME CLIP (ROVERS) - ASFC400</t>
  </si>
  <si>
    <t>ZANDA ZENITH 9100BN PASSAGE SET</t>
  </si>
  <si>
    <t>ZANDA ZENITH 9101BN PRIVACY SET</t>
  </si>
  <si>
    <t>ZANDA ZENITH 9102BN DUMMY</t>
  </si>
  <si>
    <t>ZANDA FLUSH PULL SQUARE STAINLESS STEEL</t>
  </si>
  <si>
    <t>REDICOAT H/BOARD 2065*820 GRB</t>
  </si>
  <si>
    <t>ZANDA ZENITH 9103BN ENTRY SET</t>
  </si>
  <si>
    <t>ZANDA TRIAD 11519BN ROUND DOUBLE CYLINDER DEADBOLT</t>
  </si>
  <si>
    <t>Duragroove Smooth Narrow</t>
  </si>
  <si>
    <t>Rows per M</t>
  </si>
  <si>
    <t>200 UB 22 UNTREATED -HOLES ON TOP - 100552</t>
  </si>
  <si>
    <t>200 UB 22 RED OXIDE - HOLES ON TOP - 104466</t>
  </si>
  <si>
    <t>SISALATION TRADESELECT BRANE-VHP VAPOUR 2740 X 30M (9339338000446)</t>
  </si>
  <si>
    <t>TAPE SISALATION TRADESELECT BYUTE FLASH 75MM X 10M (9316328079408)</t>
  </si>
  <si>
    <t>0094</t>
  </si>
  <si>
    <t>Single wall/planters</t>
  </si>
  <si>
    <t>D11</t>
  </si>
  <si>
    <t>250 UB 25 RED OXIDE - HOLES ON TOP - 106718</t>
  </si>
  <si>
    <t>Stratum Duo</t>
  </si>
  <si>
    <t>SPECIAL EVO FRM MERBAU TO SUIT A 2040*820 DOOR 135MM FINISH -YYMBJ</t>
  </si>
  <si>
    <t>820 110 BO DELUXE DOUBLE SLIDER FRAME ROVERS</t>
  </si>
  <si>
    <t>720 110 BO DELUXE DOUBLE SLIDER FRAME ROVERS</t>
  </si>
  <si>
    <t>620 110 BO DELUXE DOUBLE SLIDER FRAME ROVERS</t>
  </si>
  <si>
    <t>Corrosion Classification</t>
  </si>
  <si>
    <t>DELIVERY - AUGUSTA</t>
  </si>
  <si>
    <t>Snaps</t>
  </si>
  <si>
    <t>SUPPLY &amp; INSTALL JAKARTA 600 X 600 MAIN FLOOR TILES INC GLUE, GROUT AND WASTE</t>
  </si>
  <si>
    <t>SUPPLY &amp; INSTALL JAKARTA 600 X 600 MAIN FLOOR TILES INC GLUE, GROUT TO LAUNDRY</t>
  </si>
  <si>
    <t>SJ5</t>
  </si>
  <si>
    <t>Total Length</t>
  </si>
  <si>
    <t>Times 2 for 2L6</t>
  </si>
  <si>
    <t>Total Rods to Supply</t>
  </si>
  <si>
    <t>ALL FRAMES TO SUIT BAL 12.5 FIRE RATING</t>
  </si>
  <si>
    <t>ENTRY DOORS TO SUIT BAL 12.5 FIRE RATING</t>
  </si>
  <si>
    <t>SJ10</t>
  </si>
  <si>
    <t>INSTALL MYSOLAR 300L 2 PANEL GROUND ELECT BOOST SOUTH WEST BUNBURY - MARG. RIVER</t>
  </si>
  <si>
    <t>Standard Tile Sizes</t>
  </si>
  <si>
    <t>200*200</t>
  </si>
  <si>
    <t>200*250</t>
  </si>
  <si>
    <t>200*400</t>
  </si>
  <si>
    <t>300*300</t>
  </si>
  <si>
    <t>Orientation</t>
  </si>
  <si>
    <t>Garage Footing Depth</t>
  </si>
  <si>
    <t>SJ15</t>
  </si>
  <si>
    <t>SL72 &amp; SL62</t>
  </si>
  <si>
    <t>ZANDA ALTO 9006BN-1 PASSAGE SET - 400084</t>
  </si>
  <si>
    <t>ZANDA ALTO 9005BN-1 PRIVACY SET - 400085</t>
  </si>
  <si>
    <t>ZANDA ALTO 9007BN-1 DUMMY - 400086</t>
  </si>
  <si>
    <t>Brick Piers</t>
  </si>
  <si>
    <t>CAVITY COLUMN 150*50*5 SHS DUPLEX COATING - 510044</t>
  </si>
  <si>
    <t>Copy &amp; Paste values for Colum 3 from column 2, filter blank lintels, remove duplicates</t>
  </si>
  <si>
    <t>Treatment</t>
  </si>
  <si>
    <t>Column2</t>
  </si>
  <si>
    <t>Column3</t>
  </si>
  <si>
    <t>250 UB 37 UNTREATED -HOLES ON TOP - 103529</t>
  </si>
  <si>
    <t>Ensuite 2</t>
  </si>
  <si>
    <t>ALUMINUM INTERNAL CORNER FOR DURAPLANK / STRATUM 3000 LONG (BGCINTCNR17)</t>
  </si>
  <si>
    <t>ALUMINUM EXTERNAL CORNER FOR DURAPLANK / STRATUM 3000 LONG (BGCEXTCNR17)</t>
  </si>
  <si>
    <t>210MF</t>
  </si>
  <si>
    <t>Mitres</t>
  </si>
  <si>
    <t>Maxbeam</t>
  </si>
  <si>
    <t>250 UB 37 RED OXIDE - HOLES ON TOP - 106717</t>
  </si>
  <si>
    <t>WC Wall Tile</t>
  </si>
  <si>
    <t>WC Floor Tile</t>
  </si>
  <si>
    <t>Texture Coat?</t>
  </si>
  <si>
    <t>DELIVER METRO</t>
  </si>
  <si>
    <t>Commons - Base Projection</t>
  </si>
  <si>
    <t>REDICOAT H/BOARD 2065*920 GTS</t>
  </si>
  <si>
    <t>WHITE CAROMA ARTISAN ABOVE COUNTER BASIN RECTANGLE 490MM - 106837</t>
  </si>
  <si>
    <t>Bathroom 2 Wall Tile</t>
  </si>
  <si>
    <t>Bathroom 2 Floor Tile</t>
  </si>
  <si>
    <t>Ensuite 2 Wall Tile</t>
  </si>
  <si>
    <t>Ensuite 2 Floor Tile</t>
  </si>
  <si>
    <t>Powder 2 Wall Tile</t>
  </si>
  <si>
    <t>Powder 2 Floor Tile</t>
  </si>
  <si>
    <t>Bathroom 2</t>
  </si>
  <si>
    <t>Powder 2</t>
  </si>
  <si>
    <t>PLASTIC  BEAD TO  ENTRY DOOR TREAD AND EXTERNAL FULL HEIGHT CORNERS (PER CORNER)</t>
  </si>
  <si>
    <t>BATH 2 FEATURE TILES</t>
  </si>
  <si>
    <t>ENSUITE 2 FEATURE TILES</t>
  </si>
  <si>
    <t>PN113</t>
  </si>
  <si>
    <t>BATH 2 WALL TILES</t>
  </si>
  <si>
    <t>ENSUITE 2 WALL TILES</t>
  </si>
  <si>
    <t>POWDER ROOM 2 WALL TILES</t>
  </si>
  <si>
    <t>BATH 2 FLOOR TILES</t>
  </si>
  <si>
    <t>ENSUITE 2 FLOOR TILES</t>
  </si>
  <si>
    <t>920 RIGHT HAND 110 BO DELUXE SINGLE FRAME ROVERS - D920R110</t>
  </si>
  <si>
    <t>920 LEFT HAND 110 BO DELUXE SINGLE FRAME ROVERS - D920L110</t>
  </si>
  <si>
    <t>FLAGSTONE 60MM</t>
  </si>
  <si>
    <t>Garage Internal Wall (Timber Frame)</t>
  </si>
  <si>
    <t>House Perimeter Ground</t>
  </si>
  <si>
    <t>Kennedy</t>
  </si>
  <si>
    <t>PN1300</t>
  </si>
  <si>
    <t>DELF CADIZ LEVER PASSAGE LEVER SC</t>
  </si>
  <si>
    <t>PN1301</t>
  </si>
  <si>
    <t>DELF CADIZ PRIVACY LEVER SC</t>
  </si>
  <si>
    <t>PN1302</t>
  </si>
  <si>
    <t>DELF CADIZ DUMMY LEVER SC</t>
  </si>
  <si>
    <t>FISHER &amp; PAYKEL BRUSHED STAINLESS STEEL HOT PLATE CG905CNGX2</t>
  </si>
  <si>
    <t>FISHER &amp; PAYKEL BRUSHED STAINLESS STEEL HOT PLATE CG604CNGX2</t>
  </si>
  <si>
    <t>FISHER &amp; PAYKEL CERAMIC GLASS INDUCTION HOT PLATE CI905DTB3</t>
  </si>
  <si>
    <t>FISHER &amp; PAYKEL BRUSHED STAINLESS STEEL/BLACK GLASS OVEN OB90S9MEX3</t>
  </si>
  <si>
    <t>FISHER &amp; PAYKEL BLACK GLASS PYROLYTIC OVEN OB60SD9PB1</t>
  </si>
  <si>
    <t>FISHER &amp; PAYKEL BRUSHED STAINLESS STEEL/BLACK GLASS CANOPY RANGEHOOD HC90DCXB3</t>
  </si>
  <si>
    <t>FISHER &amp; PAYKEL BRUSHED STAINLESS STEEL CANOPY RANGEHOOD HC60PLX4</t>
  </si>
  <si>
    <t>FISHER &amp; PAYKEL BLACK GLASS INTEGRATED RANGEHOOD HP90IDCHX2</t>
  </si>
  <si>
    <t>FISHER &amp; PAYKEL BRUSHED STAINLESS STEEL INTEGRATED RANGEHOOD HP60ICSX2</t>
  </si>
  <si>
    <t>FISHER &amp; PAYKEL BRUSHED STAINLESS STEEL INTEGRATED RANGEHOOD HP90ICSX3</t>
  </si>
  <si>
    <t>WESTINGHOUSE BLACK CERAMIC INDUCTION COOKTOP WHI954BA</t>
  </si>
  <si>
    <t>CHEF STAINLESS STEEL RANGEHOOD CS602S</t>
  </si>
  <si>
    <t>CHEF STAINLESS STEEL RANGEHOOD CS902S</t>
  </si>
  <si>
    <t>CHEF STAINLESS STEEL RANGEHOOD CS910CS</t>
  </si>
  <si>
    <t>WESTINGHOUSE STAINLESS STEEL RANGEHOOD WRH908IS</t>
  </si>
  <si>
    <t>FISHER &amp; PAYKEL INTEGRATED DISHWASHER DW60U2I1</t>
  </si>
  <si>
    <t>WESTINGHOUSE DISHWASHER WSF6608X</t>
  </si>
  <si>
    <t>FISHER &amp; PAYKEL MICROWAVE OM60NDB1</t>
  </si>
  <si>
    <t>6m lengths</t>
  </si>
  <si>
    <t>D10V</t>
  </si>
  <si>
    <t>DELIVERY - NANNUP</t>
  </si>
  <si>
    <t>DELIVERY - WITCHCLIFFE</t>
  </si>
  <si>
    <t>FISHER &amp; PAYKEL BRUSHED STAINLESS STEEL/BLACK GLASS OVEN OB60SC5CEX2</t>
  </si>
  <si>
    <t>PREMIXED CONCRETE- BUSSELTON 20MPA 14MM 100MM</t>
  </si>
  <si>
    <t>PREMIXED CONCRETE- AUGUSTA 20MPA 14MM 100MM</t>
  </si>
  <si>
    <t>PREMIXED CONCRETE - DARDANUP 20MPA 14MM 100MM</t>
  </si>
  <si>
    <t>PREMIXED CONCRETE - DONNYBROOK 20MPA 14MM 100MM</t>
  </si>
  <si>
    <t>PREMIXED CONCRETE - COLLIE 20MPA 14MM 100MM</t>
  </si>
  <si>
    <t>PREMIXED CONCRETE - YARLOOP / COOKERNUP 20MPA 14MM 100MM</t>
  </si>
  <si>
    <t>PREMIXED CONCRETE - WAROONA 20MPA 14MM 100MM</t>
  </si>
  <si>
    <t>PREMIXED CONCRETE - HARVEY / MYALUP / BINNINGUP 20MPA 14MM 100MM</t>
  </si>
  <si>
    <t>820 RIGHT HAND 116MMBRK STD SINGLE FRAME - TO SUIT DRYWALL LINING</t>
  </si>
  <si>
    <t>820 LEFT HAND 116MMBRK STD SINGLE FRAME - TO SUIT DRYWALL LINING</t>
  </si>
  <si>
    <t>720 RIGHT HAND 116MMBRK STD SINGLE FRAME - TO SUIT DRYWALL LINING</t>
  </si>
  <si>
    <t>720 LEFT HAND 116MMBRK STD SINGLE FRAME - TO SUIT DRYWALL LINING</t>
  </si>
  <si>
    <t>620 RIGHT HAND 116MMBRK STD SINGLE FRAME - TO SUIT DRYWALL LINING</t>
  </si>
  <si>
    <t>620 LEFT HAND 116MMBRK STD SINGLE FRAME - TO SUIT DRYWALL LINING</t>
  </si>
  <si>
    <t>520 RIGHT HAND 116MMBRK STD SINGLE FRAME - TO SUIT DRYWALL LINING</t>
  </si>
  <si>
    <t>520 LEFT HAND 116MMBRK STD SINGLE FRAME - TO SUIT DRYWALL LINING</t>
  </si>
  <si>
    <t>820 WC RIGHT HAND 116MMBRK STD SINGLE FRAME - TO SUIT DRYWALL LINING</t>
  </si>
  <si>
    <t>820 WC LEFT HAND 116MMBRK STD SINGLE FRAME - TO SUIT DRYWALL LINING</t>
  </si>
  <si>
    <t>720 WC RIGHT HAND 116MMBRK STD SINGLE FRAME - TO SUIT DRYWALL LINING</t>
  </si>
  <si>
    <t>720 WC LEFT HAND 116MMBRK STD SINGLE FRAME - TO SUIT DRYWALL LINING</t>
  </si>
  <si>
    <t>620 WC RIGHT HAND 116MMBRK STD SINGLE FRAME - TO SUIT DRYWALL LINING</t>
  </si>
  <si>
    <t>620 WC LEFT HAND 116MMBRK STD SINGLE FRAME - TO SUIT DRYWALL LINING</t>
  </si>
  <si>
    <t>820 SLIDER 116MMBRK STD SLIDING FRAME - TO SUIT DRYWALL LINING</t>
  </si>
  <si>
    <t>720 SLIDER 116MMBRK STD SLIDING FRAME - TO SUIT DRYWALL LINING</t>
  </si>
  <si>
    <t>620 SLIDER 116MMBRK STD SLIDING FRAME - TO SUIT DRYWALL LINING</t>
  </si>
  <si>
    <t>920 RIGHT HAND 116MMBRK STD SINGLE FRAME - TO SUIT DRYWALL LINING</t>
  </si>
  <si>
    <t>920 LEFT HAND 116MMBRK STD SINGLE FRAME - TO SUIT DRYWALL LINING</t>
  </si>
  <si>
    <t>2/820 116MMBRK DOUBLE STD SLIDING FRAME - TO SUIT DRYWALL LINING</t>
  </si>
  <si>
    <t>2/720 116MMBRK DOUBLE STD SLIDING FRAME - TO SUIT DRYWALL LINING</t>
  </si>
  <si>
    <t>2/620 116MMBRK DOUBLE STD SLIDING FRAME - TO SUIT DRYWALL LINING</t>
  </si>
  <si>
    <t>2/820 DOUBLE HUNG 116MMBRK STD DOUBLE FRAME - TO SUIT DRYWALL LINING</t>
  </si>
  <si>
    <t>2/720 DOUBLE HUNG 116MMBRK STD DOUBLE FRAME - TO SUIT DRYWALL LINING</t>
  </si>
  <si>
    <t>2/620 DOUBLE HUNG 116MMBRK STD DOUBLE FRAME - TO SUIT DRYWALL LINING</t>
  </si>
  <si>
    <t>2/520 DOUBLE HUNG 116MMBRK STD DOUBLE FRAME - TO SUIT DRYWALL LINING</t>
  </si>
  <si>
    <t>Max length 75*75*6 Lintel is 6M</t>
  </si>
  <si>
    <t>BLOCK OUT SLAB AT FLOOR WASTE LOCATIONS TO SUIT BERMUDA DRAINS</t>
  </si>
  <si>
    <t>Note room as "Recessed Sill" to pick up labour for brickie to install</t>
  </si>
  <si>
    <t>LEVEL 2 LIGHT SAND AND SATIN FINISH POLISHED CONCRETE</t>
  </si>
  <si>
    <t>EO for Polished Concrete</t>
  </si>
  <si>
    <t>YELLOW BRICKIES SAND - SCREENED MANJIMUP</t>
  </si>
  <si>
    <t>PREMIXED CONCRETE- MANJIMUP 20MPA 14MM 100MM</t>
  </si>
  <si>
    <t>ALL FRAMES TO SUIT BAL 19 FIRE RATING</t>
  </si>
  <si>
    <t>FEVH-S820 M&amp;B EVO FRM SGL 820 DR 2143X880OA O/IN UP TO BAL19</t>
  </si>
  <si>
    <t>YYMBJ M&amp;B EVO FRM SGL 820 DR 2143X880OA O/IN UP TO  BAL29</t>
  </si>
  <si>
    <t>YYCIN CORINTHIAN FRM ENVIRO SGL 2140X887X140 UP TO BAL40</t>
  </si>
  <si>
    <t>ALL FRAMES TO SUIT BAL 29 FIRE RATING</t>
  </si>
  <si>
    <t>ALL FRAMES TO SUIT BAL 40 FIRE RATING</t>
  </si>
  <si>
    <t>ERECT PREFABRICATED WALL FRAMES</t>
  </si>
  <si>
    <t>DELF RECTANGULAR FLUSH PULL SC DFPS125SC</t>
  </si>
  <si>
    <t>BEAM CHAMFER</t>
  </si>
  <si>
    <t>CBSB 90MM STEP BLOCK</t>
  </si>
  <si>
    <t>DUAL BEAM DB245</t>
  </si>
  <si>
    <t>DUAL BEAM DB295</t>
  </si>
  <si>
    <t>DUAL BEAM DB345</t>
  </si>
  <si>
    <t>DUAL BEAM DB383</t>
  </si>
  <si>
    <t>DUAL BEAM DB435</t>
  </si>
  <si>
    <t>WESTINGHOUSE STAINLESS STEEL COOKTOP WHG645SB</t>
  </si>
  <si>
    <t>Brick finish ie Face, Render or RBV</t>
  </si>
  <si>
    <t>REDICOAT H/BOARD 2015*870WC</t>
  </si>
  <si>
    <t>REDICOAT H/BOARD 2015*920WC</t>
  </si>
  <si>
    <t>PN0391</t>
  </si>
  <si>
    <t>PN0392</t>
  </si>
  <si>
    <t>WESTINGHOUSE STAINLESS STEEL RANGEHOOD WRC914SC</t>
  </si>
  <si>
    <t>REBATE KIT 890 MATT BLACK</t>
  </si>
  <si>
    <t>GAINSBOROUGH 385 SC SQUARE CAVITY SLIDING DOOR PRIVACY LOCK</t>
  </si>
  <si>
    <t>GAINSBOROUGH 385 MB SQUARE CAVITY SLIDING DOOR PRIVACY LOCK</t>
  </si>
  <si>
    <t>GAINSBOROUGH 385 SQUARE CAVITY SLIDING DOOR PRIVACY LOCK - COLOUR TBA</t>
  </si>
  <si>
    <t>WHITE CLARK SQUARE HAND WALL BASIN 1TH</t>
  </si>
  <si>
    <t>ADDITIONAL FEE EXTRA OVER MARGARET RIVER FOR BRIDGETOWN</t>
  </si>
  <si>
    <t>264*80</t>
  </si>
  <si>
    <t>Plasterboard?</t>
  </si>
  <si>
    <t>SJA</t>
  </si>
  <si>
    <t>ESTATE DOORS NOT BAL RATED PLEASE RESELECT</t>
  </si>
  <si>
    <t>DELF BARCELONA LEVER SATIN CHROME PRIVACY</t>
  </si>
  <si>
    <t>DELF BARCELONA LEVER SATIN CHROME PASSAGE</t>
  </si>
  <si>
    <t>DELF BARCELONA LEVER SATIN CHROME DUMMY</t>
  </si>
  <si>
    <t>Note Render to brick finish, T-Bar in selection and External to pick up render above t-bar</t>
  </si>
  <si>
    <t>Wind Rating</t>
  </si>
  <si>
    <t>BUNNI</t>
  </si>
  <si>
    <t>HANGER STRAPS</t>
  </si>
  <si>
    <t>WAKAFLEX 280MM WIDE X 5M LEAD GREY</t>
  </si>
  <si>
    <t>POST SHOE FOR BUSH POLES MSBPB 200</t>
  </si>
  <si>
    <t>PERGOLA BRACKETS 900MM</t>
  </si>
  <si>
    <t>POST SHOE TEE TYPE MST90200</t>
  </si>
  <si>
    <t>4.5 DURASHEET 2400*750 - 102617</t>
  </si>
  <si>
    <t>4.5 DURASHEET 1800*900 - 102610</t>
  </si>
  <si>
    <t>4.5 DURASHEET 2400*900 - 102618</t>
  </si>
  <si>
    <t>4.5 DURASHEET 2700*900 - 102622</t>
  </si>
  <si>
    <t>4.5 DURASHEET 3000*900 - 102626</t>
  </si>
  <si>
    <t>4.5 DURASHEET 1800*1200 - 102608</t>
  </si>
  <si>
    <t>4.5 DURASHEET 2400*1200 - 102613</t>
  </si>
  <si>
    <t>4.5 DURASHEET 2700*1200 - 102620</t>
  </si>
  <si>
    <t>4.5 DURASHEET 3000*1200 - 102624</t>
  </si>
  <si>
    <t>4.5MM PVC DURASHEET JOINERS 3.0M LENGTHS - 104279</t>
  </si>
  <si>
    <t>DURAPLANK SMOOTH - 4200 X 230W - 102585</t>
  </si>
  <si>
    <t>DURAPLANK WOODGRAIN - 4200 X 230W - 107434</t>
  </si>
  <si>
    <t>TRIPLE GRIPS</t>
  </si>
  <si>
    <t>NULINE WEATHERBOARD SQUARE 4200*205*14 - 104348</t>
  </si>
  <si>
    <t>NULINE WEATHERBOARD BULLNOSE 4200*205*14 - 104340</t>
  </si>
  <si>
    <t>Dummy Handles</t>
  </si>
  <si>
    <t>4.5 DURASHEET 2400*600 - 102616</t>
  </si>
  <si>
    <t>Zone 1</t>
  </si>
  <si>
    <t>Waterloo</t>
  </si>
  <si>
    <t>Australind</t>
  </si>
  <si>
    <t>Benger</t>
  </si>
  <si>
    <t>Binningup</t>
  </si>
  <si>
    <t>Boyanup</t>
  </si>
  <si>
    <t>Burekup</t>
  </si>
  <si>
    <t>CareyPark</t>
  </si>
  <si>
    <t>Dalyellup</t>
  </si>
  <si>
    <t>Dardanup</t>
  </si>
  <si>
    <t>Donnybrook</t>
  </si>
  <si>
    <t>Eaton</t>
  </si>
  <si>
    <t>Roelands</t>
  </si>
  <si>
    <t>Stratham</t>
  </si>
  <si>
    <t>Zone 2</t>
  </si>
  <si>
    <t>Zone 3</t>
  </si>
  <si>
    <t>Zone 4</t>
  </si>
  <si>
    <t>Zone 5</t>
  </si>
  <si>
    <t>Zone 6</t>
  </si>
  <si>
    <t>Eagle Bay</t>
  </si>
  <si>
    <t>Yallingup</t>
  </si>
  <si>
    <t>Gracetown</t>
  </si>
  <si>
    <t>Hamelin Bay</t>
  </si>
  <si>
    <t>Augusta</t>
  </si>
  <si>
    <t>Witchcliffe</t>
  </si>
  <si>
    <t>Nannup</t>
  </si>
  <si>
    <t>Manjimup</t>
  </si>
  <si>
    <t>Bridgetown</t>
  </si>
  <si>
    <t>Greenbushes</t>
  </si>
  <si>
    <t>Collie</t>
  </si>
  <si>
    <t>Boyup Brook</t>
  </si>
  <si>
    <t>Myalup</t>
  </si>
  <si>
    <t>Harvey</t>
  </si>
  <si>
    <t>DELIVERY FEE - ZONE 1 SOUTH WEST</t>
  </si>
  <si>
    <t>DELIVERY FEE - ZONE 2 SOUTH WEST</t>
  </si>
  <si>
    <t>DELIVERY FEE - ZONE 3 SOUTH WEST</t>
  </si>
  <si>
    <t>DELIVERY FEE - ZONE 4 SOUTH WEST</t>
  </si>
  <si>
    <t>DELIVERY FEE - ZONE 5 SOUTH WEST</t>
  </si>
  <si>
    <t>DELIVERY FEE - ZONE 6 SOUTH WEST</t>
  </si>
  <si>
    <t>E/O FOR N3 RATING</t>
  </si>
  <si>
    <t>MITEK BEAM BRACKET SCREW MSA1430B</t>
  </si>
  <si>
    <t>PAIR</t>
  </si>
  <si>
    <t>BEAM BRACKETS MITEK SPH180 PER PAIR (1 X LH, 1 X RH)</t>
  </si>
  <si>
    <t>Survey Package</t>
  </si>
  <si>
    <t>ABBTF TRAINING LEVY 1C FACE BRICKS / VERTI 76 FACE</t>
  </si>
  <si>
    <t>ABBTF TRAINING LEVY 2C FACE BRICKS</t>
  </si>
  <si>
    <t>ABBTF TRAINING LEVY DURACLAY / VERTICLAY</t>
  </si>
  <si>
    <t>ABBTF TRAINING LEVY VERTI 76</t>
  </si>
  <si>
    <t>ABBTF TRAINING LEVY COMMONS</t>
  </si>
  <si>
    <t>Deduct Render</t>
  </si>
  <si>
    <t>95*51</t>
  </si>
  <si>
    <t>Stud to reverse b/veneer CCA</t>
  </si>
  <si>
    <t>Studwork CCA</t>
  </si>
  <si>
    <t>Barge</t>
  </si>
  <si>
    <t>190*30</t>
  </si>
  <si>
    <t>150*100*10</t>
  </si>
  <si>
    <t>200*100*10</t>
  </si>
  <si>
    <t>250*100*10</t>
  </si>
  <si>
    <t>PREMIXED CONCRETE- BRIDGETOWN 20MPA 14MM 100MM</t>
  </si>
  <si>
    <t>BAL Rating</t>
  </si>
  <si>
    <t>DELIVERY - DUNSBOROUGH</t>
  </si>
  <si>
    <t>DELIVERY - DONNYBROOK</t>
  </si>
  <si>
    <t>DELIVERY - HARVEY</t>
  </si>
  <si>
    <t>DELIVERY - WAROONA</t>
  </si>
  <si>
    <t>DELIVERY - COLLIE</t>
  </si>
  <si>
    <t>DELIVERY - BRIDGETOWN</t>
  </si>
  <si>
    <t>DELIVERY - MANJIMUP</t>
  </si>
  <si>
    <t>DELIVERY - BOYUP BROOK</t>
  </si>
  <si>
    <t>PREMIXED CONCRETE - HARVEY 20MPA 14MM 100MM</t>
  </si>
  <si>
    <t>PREMIXED CONCRETE- NANNUP 20MPA 14MM 100MM</t>
  </si>
  <si>
    <t>PREMIXED LIMESTONE CONCRETE - DUNSBOROUGH</t>
  </si>
  <si>
    <t>Total Contract</t>
  </si>
  <si>
    <t>HOLLAN</t>
  </si>
  <si>
    <t>ROD TIE DOWN BRACKET</t>
  </si>
  <si>
    <t>SD SCREW HEX C3 FULL THREAD 12-14X55X200 UNITS + 10-14X16X100 UNITS</t>
  </si>
  <si>
    <t>260 SPLIT BRACKET</t>
  </si>
  <si>
    <t>310 SPLIT BRACKET</t>
  </si>
  <si>
    <t>DURAGAL BEAM 150*50*5</t>
  </si>
  <si>
    <t>DURAGAL POST 90*90*2</t>
  </si>
  <si>
    <t>DELIVERY FOR STEEL BEAMS OVER 8M (METRO AREA)</t>
  </si>
  <si>
    <t>75*8 FLAT BAR GALVANISED</t>
  </si>
  <si>
    <t>75*75*6 ANGLE GALVANISED</t>
  </si>
  <si>
    <t>100*75*6 GALVANISED</t>
  </si>
  <si>
    <t>100*75*8 GALVANISED</t>
  </si>
  <si>
    <t>100*100*8 GALVANISED</t>
  </si>
  <si>
    <t>125*75*8 GALVANISED</t>
  </si>
  <si>
    <t>150*90*8 GALVANISED</t>
  </si>
  <si>
    <t>150*100*10 GALVANISED</t>
  </si>
  <si>
    <t>200*150*10 T-BAR GALVANISED</t>
  </si>
  <si>
    <t>180*150*10 T-BAR GALVANISED</t>
  </si>
  <si>
    <t>200*200*10 T-BAR GALVANISED</t>
  </si>
  <si>
    <t>180*200*10 T-BAR GALVANISED</t>
  </si>
  <si>
    <t>200*250*10 T-BAR GALVANISED</t>
  </si>
  <si>
    <t>180*250*10 T-BAR GALVANISED</t>
  </si>
  <si>
    <t>40MM NB COLUMN GALVANISED</t>
  </si>
  <si>
    <t>BASE PLATE TO PIPE COLUMN</t>
  </si>
  <si>
    <t>CLEAT 150*50 W/- 2 HOLES GALVANISED</t>
  </si>
  <si>
    <t>FABRICATED LINTEL 150*90*8 / 75*50*8 GALVANISED</t>
  </si>
  <si>
    <t>75*75*6 DUPLEX COATING</t>
  </si>
  <si>
    <t>100*75*6 DUPLEX COATING</t>
  </si>
  <si>
    <t>100*75*8 DUPLEX COATING</t>
  </si>
  <si>
    <t>100*100*8 DUPLEX COATING</t>
  </si>
  <si>
    <t>125*75*8 DUPLEX COATING</t>
  </si>
  <si>
    <t>150*90*8 DUPLEX COATING</t>
  </si>
  <si>
    <t>150*100*10 DUPLEX COATING</t>
  </si>
  <si>
    <t>200*150*10 T-BAR DUPLEX COATING</t>
  </si>
  <si>
    <t>180*150*10 T-BAR DUPLEX COATING</t>
  </si>
  <si>
    <t>200*200*10 T-BAR DUPLEX COATING</t>
  </si>
  <si>
    <t>180*200*10 T-BAR DUPLEX COATING</t>
  </si>
  <si>
    <t>200*250*10 T-BAR DUPLEX COATING</t>
  </si>
  <si>
    <t>180*250*10 T-BAR DUPLEX COATING</t>
  </si>
  <si>
    <t>50*50*4MM SHS DUPLEX COATING COLUMN</t>
  </si>
  <si>
    <t>E/O FOR HIT AND MISS DETAIL TO A GALVANISED COLUMN</t>
  </si>
  <si>
    <t>50*50*4MM SHS HD GALVANISED COLUMN</t>
  </si>
  <si>
    <t>89*89*3.5MM SHS HD GALVANISED COLUMN</t>
  </si>
  <si>
    <t>125*125*4MM SHS HD GALVANISED COLUMN</t>
  </si>
  <si>
    <t>100*50*4MM RHS HD GALVANISED COLUMN</t>
  </si>
  <si>
    <t>150*150*5MM SHS HD GALVANISED COLUMN</t>
  </si>
  <si>
    <t>200*100*5MM RHS HD GALVANISED COLUMN</t>
  </si>
  <si>
    <t>BASE PLATE GALVANISED 150*100*10</t>
  </si>
  <si>
    <t>BASE PLATE GALVANISED 200*100*10</t>
  </si>
  <si>
    <t>BASE PLATE GALVANISED 250*100*10</t>
  </si>
  <si>
    <t>STANDARD FACE BRICK CORED</t>
  </si>
  <si>
    <t>STANDARD FACE BRICK SOLID</t>
  </si>
  <si>
    <t>STANDARD FACE BRICK CORED RUMBLED</t>
  </si>
  <si>
    <t>STANDARD FACE BRICK SOLID RUMBLED</t>
  </si>
  <si>
    <t>2 COURSE FACE BRICK CORED</t>
  </si>
  <si>
    <t>FINISHING BRICK</t>
  </si>
  <si>
    <t>190 SNAPS</t>
  </si>
  <si>
    <t>VERTI 76 FACE CORED</t>
  </si>
  <si>
    <t>VERTI 76 FACE SOLID</t>
  </si>
  <si>
    <t>SINGLE FACE FEATURE BRICK CORED</t>
  </si>
  <si>
    <t>WIRE TIES 3.0 * 170 GALVANISED - 162531</t>
  </si>
  <si>
    <t>ENVIRO-SEAL (EC1) SINGLE RH SIDE LIGHT 2140*1317 - MERBAU</t>
  </si>
  <si>
    <t>ENVIRO-SEAL (EC1) SINGLE LH SIDE LIGHT 2140*1317 - MERBAU</t>
  </si>
  <si>
    <t>ENVIRO-SEAL (EC2) SINGLE 2 SIDE LIGHTS 2140*1748*48 - MERBAU</t>
  </si>
  <si>
    <t>FRAME 1450 D/R LH S/L FD82SL3 - 1041304</t>
  </si>
  <si>
    <t>FRAME 1450 D/R RH S/L FD82SL3 - 1041306</t>
  </si>
  <si>
    <t>9.0 DURAGROOVE NARROW SMOOTH 3000*1200 - 102872</t>
  </si>
  <si>
    <t>DELIVER STANDARD FACE BRICK CORED - ZONE 5</t>
  </si>
  <si>
    <t>DELIVER STANDARD FACE BRICK SOLID - ZONE 5</t>
  </si>
  <si>
    <t>Millbridge</t>
  </si>
  <si>
    <t>Waroona</t>
  </si>
  <si>
    <t>Withers</t>
  </si>
  <si>
    <t>Abbey</t>
  </si>
  <si>
    <t>Ambergate</t>
  </si>
  <si>
    <t>Bovell</t>
  </si>
  <si>
    <t>Broadwater</t>
  </si>
  <si>
    <t>Geographe</t>
  </si>
  <si>
    <t>Provence</t>
  </si>
  <si>
    <t>Sabina River</t>
  </si>
  <si>
    <t>Tutunup</t>
  </si>
  <si>
    <t>Wonnerup</t>
  </si>
  <si>
    <t>Yalyalup</t>
  </si>
  <si>
    <t>Quindalup</t>
  </si>
  <si>
    <t>Cowaramup</t>
  </si>
  <si>
    <t>DELIVER 2 COURSE FACE BRICK CORED/FINISHING BRICK/190 SNAPS - ZONE 5</t>
  </si>
  <si>
    <t>DELIVER VERTI 76 FACE CORED - ZONE 5</t>
  </si>
  <si>
    <t>DELIVER STANDARD FACE BRICK CORED - ZONE 6</t>
  </si>
  <si>
    <t>DELIVER STANDARD FACE BRICK SOLID - ZONE 6</t>
  </si>
  <si>
    <t>DELIVER 2 COURSE FACE BRICK CORED/FINISHING BRICK/190 SNAPS - ZONE 6</t>
  </si>
  <si>
    <t>DELIVER VERTI 76 FACE CORED - ZONE 6</t>
  </si>
  <si>
    <t>DELIVER STANDARD FACE BRICK CORED - ZONE 7</t>
  </si>
  <si>
    <t>DELIVER STANDARD FACE BRICK SOLID - ZONE 7</t>
  </si>
  <si>
    <t>DELIVER 2 COURSE FACE BRICK CORED/FINISHING BRICK/190 SNAPS - ZONE 7</t>
  </si>
  <si>
    <t>DELIVER VERTI 76 FACE CORED - ZONE 7</t>
  </si>
  <si>
    <t>DELIVER STANDARD FACE BRICK CORED - ZONE 8</t>
  </si>
  <si>
    <t>DELIVER STANDARD FACE BRICK SOLID - ZONE 8</t>
  </si>
  <si>
    <t>DELIVER VERTI 76 FACE CORED - ZONE 8</t>
  </si>
  <si>
    <t>DELIVER 2 COURSE FACE BRICK CORED/FINISHING BRICK/190 SNAPS - ZONE 8</t>
  </si>
  <si>
    <t>DELIVER COMMONS CORED - ZONE 5</t>
  </si>
  <si>
    <t>DELIVER COMMONS CORED - ZONE 8</t>
  </si>
  <si>
    <t>DELIVER COMMONS CORED - ZONE 7</t>
  </si>
  <si>
    <t>DELIVER COMMONS CORED - ZONE 6</t>
  </si>
  <si>
    <t>DELIVER COMMONS - ZONE 5</t>
  </si>
  <si>
    <t>DELIVER DURACLAY - ZONE 5</t>
  </si>
  <si>
    <t>DELIVER VERTICLAY - ZONE 5</t>
  </si>
  <si>
    <t>DELIVER VERTI 76 CORED - ZONE 5</t>
  </si>
  <si>
    <t>DELIVER DURACLAY BRICK LINTEL - ZONE 5</t>
  </si>
  <si>
    <t>DELIVER COMMONS - ZONE 6</t>
  </si>
  <si>
    <t>DELIVER DURACLAY - ZONE 6</t>
  </si>
  <si>
    <t>DELIVER VERTICLAY - ZONE 6</t>
  </si>
  <si>
    <t>DELIVER VERTI 76 CORED - ZONE 6</t>
  </si>
  <si>
    <t>DELIVER DURACLAY BRICK LINTEL - ZONE 6</t>
  </si>
  <si>
    <t>DELIVER COMMONS - ZONE 7</t>
  </si>
  <si>
    <t>DELIVER DURACLAY - ZONE 7</t>
  </si>
  <si>
    <t>DELIVER VERTICLAY - ZONE 7</t>
  </si>
  <si>
    <t>DELIVER VERTI 76 CORED - ZONE 7</t>
  </si>
  <si>
    <t>DELIVER DURACLAY BRICK LINTEL - ZONE 7</t>
  </si>
  <si>
    <t>DELIVER COMMONS - ZONE 8</t>
  </si>
  <si>
    <t>DELIVER DURACLAY - ZONE 8</t>
  </si>
  <si>
    <t>DELIVER VERTICLAY - ZONE 8</t>
  </si>
  <si>
    <t>DELIVER VERTI 76 CORED - ZONE 8</t>
  </si>
  <si>
    <t>DELIVER DURACLAY BRICK LINTEL - ZONE 8</t>
  </si>
  <si>
    <t>INSTALL TRIPLE GRIPS /HOUSE</t>
  </si>
  <si>
    <t>ALLOWANCE FOR DYNABOLTS,LIQUID NAILS &amp; FLR SCREWS</t>
  </si>
  <si>
    <t>E/O FOR COASTAL ROOF HARDWARE ALLOWANCE</t>
  </si>
  <si>
    <t>DELIVERY FEE - 9920133</t>
  </si>
  <si>
    <t>DELIVERY FEE - PIVOT DOORS - 9920137</t>
  </si>
  <si>
    <t>DELIVERY FEE - BUNBURY, BUSSELTON , DUNSBOROUGH - 9920136</t>
  </si>
  <si>
    <t>DELIVERY FEE - COWARAMUP, MARGARET RIVER - 9920119</t>
  </si>
  <si>
    <t>SLIMLITE PSLM 208 2040*820 W/- CLEAR GLASS - 1972717</t>
  </si>
  <si>
    <t>PMAD 101 2040*820 W/- CLEAR GLASS - 1960000</t>
  </si>
  <si>
    <t>PMAD 04 2040*820 TRANSLUCENT GLASS - 2016972</t>
  </si>
  <si>
    <t>PMAD 101 2040*820 TRANSLUCENT GLASS - 2016627</t>
  </si>
  <si>
    <t>PMAD 104 2040*820 TRANSLUCENT GLASS - 2016712</t>
  </si>
  <si>
    <t>PMAD 111 2040*820 TRANSLUCENT GLASS - 2016796</t>
  </si>
  <si>
    <t>URBAN PURB 104 2040*820 - 2019254</t>
  </si>
  <si>
    <t>ESTATE COLLECTION 2040*820 STAIN GRADE RIVERVALE</t>
  </si>
  <si>
    <t>ESTATE COLLECTION 2040*820 STAIN GRADE DIXON</t>
  </si>
  <si>
    <t>ESTATE COLLECTION 2040*820 PAINT GRADE LANDSDOWNE</t>
  </si>
  <si>
    <t>ESTATE COLLECTION 2040*820 PAINT GRADE RANFORD</t>
  </si>
  <si>
    <t>ESTATE COLLECTION 2040*820 PAINT GRADE WARRATAH</t>
  </si>
  <si>
    <t>ESTATE COLLECTION 2040*820 PAINT GRADE RIVERVALE</t>
  </si>
  <si>
    <t>ESTATE COLLECTION 2040*820 PAINT GRADE DIXON</t>
  </si>
  <si>
    <t>ESTATE COLLECTION 2040*820 PAINT GRADE FREEMAN</t>
  </si>
  <si>
    <t>ESTATE COLLECTION 2040*820 PAINT GRADE SANCTUARY</t>
  </si>
  <si>
    <t>ESTATE COLLECTION 2040*820 PAINT GRADE CANNINGVALE</t>
  </si>
  <si>
    <t>ESTATE COLLECTION 2040*870 PAINT GRADE CANNINGVALE</t>
  </si>
  <si>
    <t>PIVOT DOOR FRAME PVTFAMB FRAME SINGLE-2143*1268(SUIT 2018*1200*40 DOOR)</t>
  </si>
  <si>
    <t>DECO 1S INTERNAL DOOR SOLID CONSTRUCTION 2040*820</t>
  </si>
  <si>
    <t>DECO 2S INTERNAL DOOR SOLID CONSTRUCTION 2040*820</t>
  </si>
  <si>
    <t>DECO 3S INTERNAL DOOR SOLID CONSTRUCTION 2040*820</t>
  </si>
  <si>
    <t>DECO 4S INTERNAL DOOR SOLID CONSTRUCTION 2040*820</t>
  </si>
  <si>
    <t>REDICOAT H/BOARD 2065*770 GRB - 2011962</t>
  </si>
  <si>
    <t>REDICOAT H/BOARD 2015*820WC - 2016718</t>
  </si>
  <si>
    <t>REDICOAT H/BOARD 2040*870 - 2010445</t>
  </si>
  <si>
    <t>STANFORD DOOR 2040*820 - 2014415</t>
  </si>
  <si>
    <t>ATHERTON DOOR 2040*820 - 2012073</t>
  </si>
  <si>
    <t>STANFORD DOOR 2040*720 - 2014423</t>
  </si>
  <si>
    <t>ATHERTON DOOR 2040*720 - 2011996</t>
  </si>
  <si>
    <t>STANFORD DOOR 2040*620 - 2014431</t>
  </si>
  <si>
    <t>ATHERTON DOOR 2040*620 - 2011970</t>
  </si>
  <si>
    <t>STANFORD DOOR 2040*520 - 2011904</t>
  </si>
  <si>
    <t>STANFORD DOOR 2015*620WC - 2012099</t>
  </si>
  <si>
    <t>STANFORD DOOR 2015*720WC - 2012243</t>
  </si>
  <si>
    <t>STANFORD DOOR 2065*870 GBR SLIDER - 2011912</t>
  </si>
  <si>
    <t>STANFORD DOOR 2065*770 GBR SLIDER - 2011653</t>
  </si>
  <si>
    <t>REBATE SINGLE</t>
  </si>
  <si>
    <t>DECO 1S INTERNAL DOOR 2040*820 - 85743</t>
  </si>
  <si>
    <t>DECO 2S INTERNAL DOOR 2040*820 - 85759</t>
  </si>
  <si>
    <t>DECO 3S INTERNAL DOOR 2040*820 - 85774</t>
  </si>
  <si>
    <t>DECO 4S INTERNAL DOOR 2040*820 - 85790</t>
  </si>
  <si>
    <t>DECO 1S INTERNAL DOOR 2040*720 - 85741</t>
  </si>
  <si>
    <t>DECO 2S INTERNAL DOOR 2040*720 - 85757</t>
  </si>
  <si>
    <t>DECO 3S INTERNAL DOOR 2040*720 - 85772</t>
  </si>
  <si>
    <t>DECO 4S INTERNAL DOOR 2040*720 - 85788</t>
  </si>
  <si>
    <t>DECO 1S INTERNAL DOOR 2040*620 - 85740</t>
  </si>
  <si>
    <t>DECO 2S INTERNAL DOOR 2040*620 - 85756</t>
  </si>
  <si>
    <t>DECO 3S INTERNAL DOOR 2040*620 - 85771</t>
  </si>
  <si>
    <t>DECO 4S INTERNAL DOOR 2040*620 - 85786</t>
  </si>
  <si>
    <t>755 SERIES MORTICE LOCK CK - 4198247</t>
  </si>
  <si>
    <t>GAINSBOROUGH PULL HANDLE 9248PH600SS - 4180305</t>
  </si>
  <si>
    <t>ROLLER MORTICE LOCK 775SC60 CK - 4191396</t>
  </si>
  <si>
    <t>DEAD LOCK 1951 SM DBLE SC CYLINDER KEYED ALIKE CK - 4062003</t>
  </si>
  <si>
    <t>DEAD LOCK 1951 SM DBLE BC CYLINDER KEYED ALIKE CK - 4062002</t>
  </si>
  <si>
    <t>DEAD LOCK 850 DBLE SS CYLINDER KEYED ALIKE CK - 4196782</t>
  </si>
  <si>
    <t>DEAD LOCK 850 DBLE PS CYLINDER KEYED ALIKE CK - 4196774</t>
  </si>
  <si>
    <t>ENTRANCE SET TERRACE 540 SS CONST KEYED, KEYED ALIKE - 4196928</t>
  </si>
  <si>
    <t>ENTRANCE SET TERRACE 540 PS CONST KEYED, KEYED ALIKE - 4196910</t>
  </si>
  <si>
    <t>ENTRANCE SET AMBASSADOR 540 LEVER BC CONS KEYED, KEYED ALIKE - 4203200</t>
  </si>
  <si>
    <t>ENTRANCE SET AMBASSADOR 540 LEVER SC CONS KEYED, KEYED ALIKE - 4203195</t>
  </si>
  <si>
    <t>ENTRANCE SET AURORA 1940 LEVER BSC CONS KEYED, KEYED ALIKE - 165690</t>
  </si>
  <si>
    <t>ENTRANCE SET AURORA 1940 LEVER MB CONS KEYED, KEYED ALIKE - 165691</t>
  </si>
  <si>
    <t>GAINSBOROUGH 8901 TRILOCK URBAN AURORA BSC - 12710</t>
  </si>
  <si>
    <t>GAINSBOROUGH 8201 TRILOCK URBAN AURORA DUMMY BSC - 115344</t>
  </si>
  <si>
    <t>GAINSBOROUGH 8901 TRILOCK URBAN AURORA MB - 115353</t>
  </si>
  <si>
    <t>GAINSBOROUGH 8201 TRILOCK URBAN AURORA DUMMY MB - 165693</t>
  </si>
  <si>
    <t>GAINSBOROUGH 8901 ALIGN TRILEVER BC - 4020170</t>
  </si>
  <si>
    <t>GAINSBOROUGH 8901 ANGULAR TRILEVER BC - 4205367</t>
  </si>
  <si>
    <t>GAINSBOROUGH 8201 ANGULAR TRILEVER DUMMY BC - 4180058</t>
  </si>
  <si>
    <t>GAINSBOROUGH 8201 ANGULAR TRILEVER DUMMY SC - 4180057</t>
  </si>
  <si>
    <t>GAINSBOROUGH TRILEVER 890 LEVER SC - 4197657</t>
  </si>
  <si>
    <t>GAINSBOROUGH TRILEVER 890 LEVER BC - 4197568</t>
  </si>
  <si>
    <t>INSTYLE LEVER PASSAGE 7000 SC CW LATCH - 4182963</t>
  </si>
  <si>
    <t>INSTYLE LEVER PRIVACY 7100 SC CW LATCH - 4183147</t>
  </si>
  <si>
    <t>INSTYLE LEVER DUMMY 7200 SC - 4180223</t>
  </si>
  <si>
    <t>INSTYLE LEVER PASSAGE 7000 BC CW LATCH - 4191235</t>
  </si>
  <si>
    <t>INSTYLE LEVER PRIVACY 7100 BC CW LATCH - 4191234</t>
  </si>
  <si>
    <t>INSTYLE LEVER DUMMY 7200 BC - 4180224</t>
  </si>
  <si>
    <t>AMBASSADOR LEVER PASSAGE SET CW LATCH BC - 4203056</t>
  </si>
  <si>
    <t>AMBASSADOR LEVER PRIVACY SET CW LATCH BC - 4203030</t>
  </si>
  <si>
    <t>AMBASSADOR LEVER DUMMY SET BC - 4203080</t>
  </si>
  <si>
    <t>ELENA LEVER PASSAGE SET CW LATCH BC - 4181739</t>
  </si>
  <si>
    <t>ELENA LEVER PRIVACY SET CW LATCH BC - 4190655</t>
  </si>
  <si>
    <t>ELENA LEVER DUMMY LH BC - 4183032</t>
  </si>
  <si>
    <t>ELENA LEVER DUMMY RH BC - 4183040</t>
  </si>
  <si>
    <t>ELENA LEVER PASSAGE SET CW LATCH SC - 4181747</t>
  </si>
  <si>
    <t>ELENA LEVER PRIVACY SET CW LATCH SC - 4190794</t>
  </si>
  <si>
    <t>ELENA LEVER DUMMY LH SC - 4183074</t>
  </si>
  <si>
    <t>ELENA LEVER DUMMY RH SC - 4183082</t>
  </si>
  <si>
    <t>SOFIA LEVER PASSAGE SET 700 CW LATCH BC - 4180539</t>
  </si>
  <si>
    <t>SOFIA LEVER PRIVACY SET 710 CW LATCH BC - 4194285</t>
  </si>
  <si>
    <t>SOFIA LEVER DUMMY 720 LH BC - 4182955</t>
  </si>
  <si>
    <t>SOFIA LEVER DUMMY 720 RH BC - 4182989</t>
  </si>
  <si>
    <t>SOFIA LEVER PASSAGE SET 700 CW LATCH SC - 4180521</t>
  </si>
  <si>
    <t>SOFIA LEVER PRIVACY SET 710 CW LATCH SC - 4194633</t>
  </si>
  <si>
    <t>SOFIA LEVER DUMMY 720 LH SC - 4183016</t>
  </si>
  <si>
    <t>SOFIA LEVER DUMMY 720 RH SC - 4183024</t>
  </si>
  <si>
    <t>ALYSSIA LEVER PASSAGE SET 700 CW LATCH BC - 4180149</t>
  </si>
  <si>
    <t>ALYSSIA LEVER PRIVACY SET 710 CW LATCH BC - 4190922</t>
  </si>
  <si>
    <t>ALYSSIA LEVER DUMMY 720 LH BC - 4182808</t>
  </si>
  <si>
    <t>ALYSSIA LEVER DUMMY 720 RH BC - 4182816</t>
  </si>
  <si>
    <t>ALYSSIA LEVER PASSAGE SET 700 CW LATCH SC - 4180238</t>
  </si>
  <si>
    <t>ALYSSIA LEVER PRIVACY SET 710 CW LATCH SC - 4191211</t>
  </si>
  <si>
    <t>ALYSSIA LEVER DUMMY 720 LH SC - 4182840</t>
  </si>
  <si>
    <t>ALYSSIA LEVER DUMMY 720 RH SC - 4182858</t>
  </si>
  <si>
    <t>LIANNA LEVER PASSAGE SET CW LATCH BC - 4180323</t>
  </si>
  <si>
    <t>LIANNA LEVER PRIVACY SET CW LATCH BC - 4180325</t>
  </si>
  <si>
    <t>LIANNA LEVER DUMMY LH BC - 4191292</t>
  </si>
  <si>
    <t>LIANNA LEVER DUMMY RH BC - 4191258</t>
  </si>
  <si>
    <t>AMELIA LEVER PASSAGE SET 105 SC - 4180051</t>
  </si>
  <si>
    <t>AMELIA LEVER PRIVACY SET 115 SC - 4180055</t>
  </si>
  <si>
    <t>AMELIA LEVER DUMMY LH SC - 4130724</t>
  </si>
  <si>
    <t>G2 SERIES AURORA LEVER PASSAGE SET BSC - 12711</t>
  </si>
  <si>
    <t>G2 SERIES AURORA LEVER PRIVACY SET BSC - 12713</t>
  </si>
  <si>
    <t>G2 SERIES AURORA LEVER DUMMY BSC - 12716</t>
  </si>
  <si>
    <t>G2 SERIES AURORA LEVER PASSAGE SET MB - 115349</t>
  </si>
  <si>
    <t>G2 SERIES AURORA LEVER DUMMY MB - 115351</t>
  </si>
  <si>
    <t>G2 SERIES AURORA LEVER PRIVACY SET MB - 115350</t>
  </si>
  <si>
    <t>FLUSH PULL #392 SC - 4194227</t>
  </si>
  <si>
    <t>FLUSH PULL #392 BC - 4194235</t>
  </si>
  <si>
    <t>GAINSBOROUGH 385 BC SQUARE CAVITY SLIDING DOOR PRIVACY LOCK - 4062100</t>
  </si>
  <si>
    <t>REBATE KIT 777 SC - 3970195</t>
  </si>
  <si>
    <t>REBATE KIT 800 BC - 4190809</t>
  </si>
  <si>
    <t>REBATE KIT 800 SC - 4196724</t>
  </si>
  <si>
    <t>REBATE KIT 850 BC - 4192110</t>
  </si>
  <si>
    <t>REBATE KIT 850 SC - 4192306</t>
  </si>
  <si>
    <t>REBATE KIT 890 BC - 4192089</t>
  </si>
  <si>
    <t>REBATE KIT 890 SC - 4192097</t>
  </si>
  <si>
    <t>BLT 150MM BARREL SC L/SH 654X150SCP - 4085820</t>
  </si>
  <si>
    <t>DOOR CLOSER CONCEALED MC20 - 4061921</t>
  </si>
  <si>
    <t>TOWEL RAIL 600 SGL 306128C CAROMA COSMO - 4820136</t>
  </si>
  <si>
    <t>TOWEL RAIL DBL 600 306129C CAROMA COSMO - 4820139</t>
  </si>
  <si>
    <t>TOWEL RAIL SGL 900 CAROMA COSMO - 4820138</t>
  </si>
  <si>
    <t>TOWEL RAIL DBL 900 306133C CAROMA COSMO - 4820140</t>
  </si>
  <si>
    <t>TOWEL RING CAROMA COSMO - 4820143</t>
  </si>
  <si>
    <t>TOWEL RAIL 750 SINGLE CHROME TONY ALDER STAR - 4831932</t>
  </si>
  <si>
    <t>TOWEL RAIL 900 SINGLE CHROME TONY ALDER STAR - 5001555</t>
  </si>
  <si>
    <t>TOWEL RING CHROME TONY ALDER STAR - 4831974</t>
  </si>
  <si>
    <t>TOILET ROLL HOLDER CHROME TONY ALDER STAR - 4831958</t>
  </si>
  <si>
    <t>TOWEL RAIL 750 DOUBLE CHROME TONY ALDER STAR - 109564</t>
  </si>
  <si>
    <t>TOWEL RAIL 900 DOUBLE CHROME TONY ALDER STAR - 5001553</t>
  </si>
  <si>
    <t>TOILET ROLL HOLDER 303024C CAROMA COSMO - 4821034</t>
  </si>
  <si>
    <t>TOILET ROLL HOLDER CHROME DORF ENIX - 4821244</t>
  </si>
  <si>
    <t>TOWEL RAIL 600 SINGLE CHROME DORF ENIX - 4821245</t>
  </si>
  <si>
    <t>TOWEL RAIL 600 DOUBLE CHROME DORF ENIX - 4821246</t>
  </si>
  <si>
    <t>TOWEL RAIL 900 SINGLE CHROME DORF ENIX - 4821247</t>
  </si>
  <si>
    <t>TOWEL RAIL 900 DOUBLE CHROME DORF ENIX - 4821238</t>
  </si>
  <si>
    <t>TOWEL RAIL HAND CHROME DORF ENIX - 4821239</t>
  </si>
  <si>
    <t>TOWEL RING CHROME DORF ENIX - 4821241</t>
  </si>
  <si>
    <t>TOWEL LADDER CHROME TONY ALDER ALTO</t>
  </si>
  <si>
    <t>TOWEL RAIL 750 SINGLE CHROME TONY ALDER ALTO - 4821434</t>
  </si>
  <si>
    <t>TOWEL RAIL 750 DOUBLE CHROME TONY ALDER ALTO - 4821442</t>
  </si>
  <si>
    <t>TOWEL RAIL 900 SINGLE CHROME TONY ALDER ALTO - 4820897</t>
  </si>
  <si>
    <t>TOWEL RAIL 900 DOUBLE CHROME TONY ALDER ALTO - 4820898</t>
  </si>
  <si>
    <t>TOWEL RING CHROME TONY ALDER ALTO - 4821599</t>
  </si>
  <si>
    <t>TOILET ROLL HOLDER CHROME TONY ALDER ALTO - 4821565</t>
  </si>
  <si>
    <t>ROBE HOOK VITO BERTONI TAYA - 155024</t>
  </si>
  <si>
    <t>ROBE HOOK VITO BERTONI TAYA BLACK - 155032</t>
  </si>
  <si>
    <t>TOWEL RAIL 750 SINGLE VITO BERTONI TAYA CHROME - 155017</t>
  </si>
  <si>
    <t>TOWEL RAIL 750 SINGLE VITO BERTONI TAYA BRUSHED NICKEL</t>
  </si>
  <si>
    <t>TOWEL RAIL 750 SINGLE VITO BERTONI TAYA MATT BLACK - 155027</t>
  </si>
  <si>
    <t>TOWEL RAIL 750 DOUBLE VITO BERTONI TAYA CHROME - 155019</t>
  </si>
  <si>
    <t>TOWEL RAIL 750 DOUBLE VITO BERTONI TAYA MATT BLACK - 155028</t>
  </si>
  <si>
    <t>TOWEL RAIL 900 SINGLE VITO BERTONI TAYA CHROME - 155018</t>
  </si>
  <si>
    <t>TOWEL RAIL 900 DOUBLE VITO BERTONI TAYA CHROME - 155020</t>
  </si>
  <si>
    <t>TOILET ROLL HOLDER VITO BERTONI TAYA CHROME - 155022</t>
  </si>
  <si>
    <t>TOILET ROLL HOLDER VITO BERTONI TAYA BRUSHED NICKEL</t>
  </si>
  <si>
    <t>TOILET ROLL HOLDER VITO BERTONI TAYA MATT BLACK - 155029</t>
  </si>
  <si>
    <t>GAINSBOROUGH PRO SERIES LENNOX HORIZONTAL DBLE CYLINDER BC CK - 4191634</t>
  </si>
  <si>
    <t>GAINSBOROUGH PRO SERIES TRISTAN ENTRANCE LEVER BC CK - 4191577</t>
  </si>
  <si>
    <t>GAINSBOROUGH PRO SERIES TRISTAN ENTRANCE LEVER SC CK - 4191582</t>
  </si>
  <si>
    <t>GAINSBOROUGH PRO SERIES DEXTON DEADBOLT ROUND DBLE CYLINDER BC CK - 4191616</t>
  </si>
  <si>
    <t>GAINSBOROUGH PRO SERIES DEXTON DEADBOLT ROUND DBLE CYLINDER SC CK - 4191618</t>
  </si>
  <si>
    <t>GAINSBOROUGH PRO SERIES BRAXTON PASSAGE LEVER BC - 4191593</t>
  </si>
  <si>
    <t>GAINSBOROUGH PRO SERIES BRAXTON PRIVACY LEVER BC - 4191594</t>
  </si>
  <si>
    <t>GAINSBOROUGH PRO SERIES BRAXTON DUMMY LEVER BC - 4191595</t>
  </si>
  <si>
    <t>GAINSBOROUGH PRO SERIES BRAXTON PASSAGE LEVER SC - 4191597</t>
  </si>
  <si>
    <t>GAINSBOROUGH PRO SERIES BRAXTON PRIVACY LEVER SC - 4191598</t>
  </si>
  <si>
    <t>GAINSBOROUGH PRO SERIES BRAXTON DUMMY LEVER SC - 4191599</t>
  </si>
  <si>
    <t>GAINSBOROUGH PRO SERIES LAURENT PASSAGE LEVER BC - 4191600</t>
  </si>
  <si>
    <t>GAINSBOROUGH PRO SERIES LAURENT PRIVACY LEVER BC - 4191602</t>
  </si>
  <si>
    <t>GAINSBOROUGH PRO SERIES LAURENT DUMMY LEVER LH BC - 4191603</t>
  </si>
  <si>
    <t>GAINSBOROUGH PRO SERIES LAURENT DUMMY LEVER RH BC - 4191604</t>
  </si>
  <si>
    <t>GAINSBOROUGH PRO SERIES LAURENT PASSAGE LEVER SC - 4191605</t>
  </si>
  <si>
    <t>GAINSBOROUGH PRO SERIES LAURENT PRIVACY LEVER SC - 4191606</t>
  </si>
  <si>
    <t>GAINSBOROUGH PRO SERIES LAURENT DUMMY LEVER LH SC - 4191607</t>
  </si>
  <si>
    <t>GAINSBOROUGH PRO SERIES LAURENT DUMMY LEVER RH SC - 4191608</t>
  </si>
  <si>
    <t>GAINSBOROUGH PRO SERIES LENNOX PASSAGE LEVER BC - 4191586</t>
  </si>
  <si>
    <t>GAINSBOROUGH PRO SERIES LENNOX PRIVACY LEVER BC - 4191587</t>
  </si>
  <si>
    <t>GAINSBOROUGH PRO SERIES LENNOX DUMMY LEVER BC - 4191589</t>
  </si>
  <si>
    <t>GAINSBOROUGH PRO SERIES LENNOX PASSAGE LEVER SC - 4191590</t>
  </si>
  <si>
    <t>GAINSBOROUGH PRO SERIES LENNOX PRIVACY LEVER SC - 4191591</t>
  </si>
  <si>
    <t>GAINSBOROUGH PRO SERIES LENNOX DUMMY LEVER SC - 4191592</t>
  </si>
  <si>
    <t>GAINSBOROUGH PRO SERIES TRISTAN PASSAGE LEVER BC - 4191578</t>
  </si>
  <si>
    <t>GAINSBOROUGH PRO SERIES TRISTAN PRIVACY LEVER BC - 4191579</t>
  </si>
  <si>
    <t>GAINSBOROUGH PRO SERIES TRISTAN DUMMY LEVER BC - 4191580</t>
  </si>
  <si>
    <t>GAINSBOROUGH PRO SERIES TRISTAN PASSAGE LEVER SC - 4191583</t>
  </si>
  <si>
    <t>GAINSBOROUGH PRO SERIES TRISTAN PRIVACY LEVER SC - 4191584</t>
  </si>
  <si>
    <t>GAINSBOROUGH PRO SERIES TRISTAN DUMMY LEVER SC - 4191585</t>
  </si>
  <si>
    <t>DELF LINEAR METRO SINGLE PULL HANDLE SET SS CK DLM600SSS - 85984</t>
  </si>
  <si>
    <t>DELF LINEAR SECURE DOUBLE CYLINDER LEVER SET SC CK DT890LUCSC - 83054</t>
  </si>
  <si>
    <t>DELF LINEAR SECURE DOUBLE CYLINDER LEVER SET BC CK DT890LUCBC - 83051</t>
  </si>
  <si>
    <t>DELF LINEAR SECURE DOUBLE CYLINDER LEVER SET MB CK DT890LUCMB - 83053</t>
  </si>
  <si>
    <t>DELF POMONA 500 ENTRANCE LEVER SC CK DL500POMSC - 83040</t>
  </si>
  <si>
    <t>DELF POMONA 500 ENTRANCE LEVER BC CK DL500POMBC - 83039</t>
  </si>
  <si>
    <t>DELF TERIFA 500 ENTRANCE LEVER SC CK DL500TERSC - 83038</t>
  </si>
  <si>
    <t>DELF TERIFA 500 ENTRANCE LEVER BC CK DL500TERBC - 83037</t>
  </si>
  <si>
    <t>DELF PORTO 500 ENTRANCE LEVER SC CK DL500PORSC - 83043</t>
  </si>
  <si>
    <t>DELF PORTO 500 ENTRANCE LEVER BC CK DL500PORBC - 83041</t>
  </si>
  <si>
    <t>DELF PORTO 500 ENTRANCE LEVER MB CK DL500PORMB - 83042</t>
  </si>
  <si>
    <t>DELF DOUBLE CYLINDER DEADBOLT SS CK DD550SS - 83026</t>
  </si>
  <si>
    <t>DELF DOUBLE CYLINDER DEADBOLT PS CK DD550PS - 83025</t>
  </si>
  <si>
    <t>DELF DOUBLE CYLINDER ROUND DEADBOLT SC CK DDR570SC - 178939</t>
  </si>
  <si>
    <t>DELF DOUBLE CYLINDER ROUND DEADBOLT MB CK DDR570MB - 179018</t>
  </si>
  <si>
    <t>DELF ROUND EURO DOUBLE DEADBOLT MB CK DD3850MB - 83021</t>
  </si>
  <si>
    <t>DELF VILLENA PASSAGE LEVER ON ROUND ROSETTE SC DL100VILSC - 47351</t>
  </si>
  <si>
    <t>DELF VILLENA PRIVACY LEVER ON ROUND ROSETTE SC DL110VILSC - 47383</t>
  </si>
  <si>
    <t>DELF VILLENA DUMMY LEVER ON ROUND ROSETTE SC DL120VILSC - 47417</t>
  </si>
  <si>
    <t>DELF VILLENA PASSAGE LEVER ON ROUND ROSETTE BC DL100VILBC - 47352</t>
  </si>
  <si>
    <t>DELF VILLENA PRIVACY LEVER ON ROUND ROSETTE BC DL110VILBC - 47384</t>
  </si>
  <si>
    <t>DELF VILLENA DUMMY LEVER ON ROUND ROSETTE BC DL120VILBC - 47418</t>
  </si>
  <si>
    <t>DELF MADRID PASSAGE LEVER ON ROUND ROSETTE SC DL100MADSC - 47353</t>
  </si>
  <si>
    <t>DELF MADRID PRIVACY LEVER ON ROUND ROSETTE SC DL110MADSC - 47385</t>
  </si>
  <si>
    <t>DELF MADRID DUMMY LEVER ON ROUND ROSETTE SC DL120MADSC - 47419</t>
  </si>
  <si>
    <t>DELF MADRID PASSAGE LEVER ON ROUND ROSETTE BC DL100MADBC - 47354</t>
  </si>
  <si>
    <t>DELF MADRID PRIVACY LEVER ON ROUND ROSETTE BC DL110MADBC - 47386</t>
  </si>
  <si>
    <t>DELF MADRID DUMMY LEVER ON ROUND ROSETTE BC DL120MADBC - 47420</t>
  </si>
  <si>
    <t>DELF MADRID PASSAGE LEVER ON ROUND ROSETTE MB DL100MADMB - 47356</t>
  </si>
  <si>
    <t>DELF MADRID PRIVACY LEVER ON ROUND ROSETTE MB DL110MADMB - 47387</t>
  </si>
  <si>
    <t>DELF MADRID DUMMY LEVER ON ROUND ROSETTE MB DL120MADMB - 47421</t>
  </si>
  <si>
    <t>DELF PRATO PASSAGE LEVER ON ROUND ROSETTE SC DL100PRASC - 47357</t>
  </si>
  <si>
    <t>DELF PRATO PRIVACY LEVER ON ROUND ROSETTE SC DL110PRASC - 47388</t>
  </si>
  <si>
    <t>DELF PRATO DUMMY LEVER ON ROUND ROSETTE SC DL120PRASC - 47422</t>
  </si>
  <si>
    <t>DELF PRATO PASSAGE LEVER ON ROUND ROSETTE BC DL100PRABC - 47358</t>
  </si>
  <si>
    <t>DELF PRATO PRIVACY LEVER ON ROUND ROSETTE BC DL110PRABC - 47390</t>
  </si>
  <si>
    <t>DELF PRATO DUMMY LEVER ON ROUND ROSETTE BC DL120PRABC - 47423</t>
  </si>
  <si>
    <t>DELF TERNI PASSAGE LEVER ON ROUND ROSETTE SC DL100TERSC - 47359</t>
  </si>
  <si>
    <t>DELF TERNI PRIVACY LEVER ON ROUND ROSETTE SC DL110TERSC - 47392</t>
  </si>
  <si>
    <t>DELF TERNI DUMMY LEVER ON ROUND ROSETTE SC DL120TERSC - 47424</t>
  </si>
  <si>
    <t>DELF TERNI PASSAGE LEVER ON ROUND ROSETTE BC DL100TERBC - 47360</t>
  </si>
  <si>
    <t>DELF TERNI PRIVACY LEVER ON ROUND ROSETTE BC DL110TERBC - 47392</t>
  </si>
  <si>
    <t>DELF TERNI DUMMY LEVER ON ROUND ROSETTE BC DL120TERBC - 47425</t>
  </si>
  <si>
    <t>DELF LIERA PASSAGE LEVER ON ROUND ROSETTE SC DL100LIESC - 47361</t>
  </si>
  <si>
    <t>DELF LIERA PRIVACY LEVER ON ROUND ROSETTE SC DL110TERSC - 47393</t>
  </si>
  <si>
    <t>DELF LIERA DUMMY LEVER ON ROUND ROSETTE SC DL120LIESC - 47426</t>
  </si>
  <si>
    <t>DELF LIERA PASSAGE LEVER ON ROUND ROSETTE BC DL100LIEBC - 47362</t>
  </si>
  <si>
    <t>DELF LIERA PRIVACY LEVER ON ROUND ROSETTE BC DL110TERBC - 47394</t>
  </si>
  <si>
    <t>DELF LIERA DUMMY LEVER ON ROUND ROSETTE BC DL120LIEBC - 47427</t>
  </si>
  <si>
    <t>DELF TERIFA PASSAGE LEVER ON ROUND ROSETTE SC DL505TERSC - 47316</t>
  </si>
  <si>
    <t>DELF TERIFA PRIVACY LEVER ON ROUND ROSETTE SC DL515TERSC - 47320</t>
  </si>
  <si>
    <t>DELF TERIFA DUMMY LEVER ON ROUND ROSETTE SC DL520TERSC - 47325</t>
  </si>
  <si>
    <t>DELF TERIFA PASSAGE LEVER ON ROUND ROSETTE BC DL505TERBC - 47317</t>
  </si>
  <si>
    <t>DELF TERIFA PRIVACY LEVER ON ROUND ROSETTE BC DL515TERBC - 47322</t>
  </si>
  <si>
    <t>DELF TERIFA DUMMY LEVER ON ROUND ROSETTE BC DL520TERBC - 47326</t>
  </si>
  <si>
    <t>DELF RECTANGULAR FLUSH PULL SQUARE WELL SS DFPS150SS - 218306</t>
  </si>
  <si>
    <t>DELF RECTANGULAR FLUSH PULL SQUARE WELL PS DFPS150PS - 218305</t>
  </si>
  <si>
    <t>DELF RECTANGULAR FLUSH PULL SQUARE WELL MB DFPS150MB - 218304</t>
  </si>
  <si>
    <t>DELF REBATE KIT 500 SC DREB500SC</t>
  </si>
  <si>
    <t>DELF REBATE KIT 500 BC DREB500BC</t>
  </si>
  <si>
    <t>DELF REBATE KIT 550 SC DREB550SC</t>
  </si>
  <si>
    <t>DELF REBATE KIT 550 BC DREB550BC</t>
  </si>
  <si>
    <t>BATH 1525 MAXTON WH MX5W - 4890003</t>
  </si>
  <si>
    <t>BATH 1525 DECINA NOVARA WHITE - 4822463</t>
  </si>
  <si>
    <t>CLARK ROUND 1525 BATH WHITE NO OVERFLOW - 107152</t>
  </si>
  <si>
    <t>BATH 1675 MAXTON WH MX7W - 4890005</t>
  </si>
  <si>
    <t>BATH 1665 DECINA NOVARA WHITE - 4822463</t>
  </si>
  <si>
    <t>BATH 1800 MAXTON WH MX8W - 4821615</t>
  </si>
  <si>
    <t>CAROMA LUNA 1675 FOUR TILE FLANGE BATH WHITE - 104270</t>
  </si>
  <si>
    <t>CLARK ROUND 1675 BATH WHITE NO OVERFLOW - 107154</t>
  </si>
  <si>
    <t>DECINA ANGELIQUE 1465 6 JET SPECIAL SPA W/- HOT PUMP,CHROME JETS WHITE</t>
  </si>
  <si>
    <t>PLUG/W BS CH 40X70 983 MIL - 4700243</t>
  </si>
  <si>
    <t>WHITE - CAROMA COSMO VANITY BASIN 3TH - 4822122</t>
  </si>
  <si>
    <t>WHITE - CAROMA COSMO VANITY BASIN 1TH - 4822120</t>
  </si>
  <si>
    <t>WHITE- BASIN STYLUS SYMPHONY 3TH INC P&amp;W W26330 - 4821215</t>
  </si>
  <si>
    <t>WHITE- BASIN STYLUS SYMPHONY 1TH INC P&amp;W W26330 - 4821213</t>
  </si>
  <si>
    <t>WHITE - CAROMA COSMO ABOVE COUNTER BASIN 1TH - 5120137</t>
  </si>
  <si>
    <t>WHITE - CAROMA COSMO SEMI RECESSED BASIN 3TH - 5120135</t>
  </si>
  <si>
    <t>WHITE - CAROMA COSMO SEMI RECESSED BASIN 1TH - 5120133</t>
  </si>
  <si>
    <t>WHITE-STYLUS SYMPHONY SEMI RECD BASIN 550 1TH INC P&amp;W W26530 - 4821217</t>
  </si>
  <si>
    <t>WHITE-STYLUS SYMPHONY SEMI RECD BASIN 550 3TH INC P&amp;W W26530 - 4821216</t>
  </si>
  <si>
    <t>WHITE CAROMA LIANO SEMI RECESSED BASIN 1TH INC P&amp;W - 5120123</t>
  </si>
  <si>
    <t>WHITE CAROMA LIANO VANITY BASIN 1TH INC P&amp;W - 5120115</t>
  </si>
  <si>
    <t>WHITE CAROMA CUBE 500 UNDER COUNTER BASIN 0TH INC P&amp;W - 5120171</t>
  </si>
  <si>
    <t>WHITE CAROMA CARBONI SEAMLESS INSET VANITY BASIN 1TH - 4822239</t>
  </si>
  <si>
    <t>WHITE CAROMA CARBONI II INSET BASIN 1TH - 4821406</t>
  </si>
  <si>
    <t>WHITE CAROMA CARBONI II INSET BASIN 3TH</t>
  </si>
  <si>
    <t>WHITE CAROMA CARBONI II ABOVE COUNTER BASIN 1TH - 4821420</t>
  </si>
  <si>
    <t>WHITE CAROMA CARBONI II ABOVE COUNTER BASIN 3TH - 4821405</t>
  </si>
  <si>
    <t>WHITE CAROMA CARBONI II SEMI RECESSED BASIN 1TH - 4821404</t>
  </si>
  <si>
    <t>WHITE CAROMA LIANO HAND WALL BASIN 1TH - 5120129</t>
  </si>
  <si>
    <t>WHITE CAROMA TRACK INSET BASIN 1TH</t>
  </si>
  <si>
    <t>WHITE CAROMA ORBIS INSET BASIN 1TH - 4821409</t>
  </si>
  <si>
    <t>CAROMA METRO 35 UTILITY BASIN LHS 1TH</t>
  </si>
  <si>
    <t>45L CLARK S/STEEL INSET TROUGH W/- SUD SVR 8510 - 5118919</t>
  </si>
  <si>
    <t>45L CLARK S/STEEL TROUGH W/- WHITE METAL CABINET &amp; SUD SVR 8011W - 5110462</t>
  </si>
  <si>
    <t>TILOS 45L S/STEEL TROUGH WITH WHITE METAL CABINET - 5140330</t>
  </si>
  <si>
    <t>OLIVERI 45L INSET TROUGH TI45S - 5140520</t>
  </si>
  <si>
    <t>RADIANT R150 S/S SINK 1100MM 1TH RH END BOWL - 5110280</t>
  </si>
  <si>
    <t>RADIANT R150 S/S SINK 1100MM 1TH LH END BOWL - 5110281</t>
  </si>
  <si>
    <t>CLARK VITAL 1127 S/S SINK 1080MM 1TH RH END BOWL - 5110290</t>
  </si>
  <si>
    <t>CLARK VITAL 1127 S/S SINK 1080MM 1TH LH END BOWL - 5110291</t>
  </si>
  <si>
    <t>CLARK MONACO 5111 S/S SINK 1200MM 1TH 1.75 BOWL RH END BOWL - 5110182</t>
  </si>
  <si>
    <t>CLARK ADVANCE 3507 S/S SINK 1530MM DBLE CENTRE BOWL DBLE DRAINER (1TH) - 5112905</t>
  </si>
  <si>
    <t>CLARK PUNCH 1.75 END BOWL 1TH LEFT HAND END BOWL - 5110494</t>
  </si>
  <si>
    <t>DRAIN STORM EVERHARD 3M BLACK GRATE - 4770175</t>
  </si>
  <si>
    <t>DRAIN STORM EVERHARD END CAP - 4770176</t>
  </si>
  <si>
    <t>WESTINGHOUSE STAINLESS STEEL OVEN WVEP916SC</t>
  </si>
  <si>
    <t>AGIND</t>
  </si>
  <si>
    <t>DELIVERY TO SOUTH WEST</t>
  </si>
  <si>
    <t>ALFRESCO WALL TILES</t>
  </si>
  <si>
    <t>PN150</t>
  </si>
  <si>
    <t>PN495</t>
  </si>
  <si>
    <t>PN484</t>
  </si>
  <si>
    <t>PN485</t>
  </si>
  <si>
    <t>PN949</t>
  </si>
  <si>
    <t>PN263</t>
  </si>
  <si>
    <t>PN273</t>
  </si>
  <si>
    <t>PN278</t>
  </si>
  <si>
    <t>PN9150</t>
  </si>
  <si>
    <t>PN367</t>
  </si>
  <si>
    <t>PN368</t>
  </si>
  <si>
    <t>PN189</t>
  </si>
  <si>
    <t>PN9</t>
  </si>
  <si>
    <t>enter "vanity hob" to pick up hobs - 1 per hob don't name returns or you will get two hobs for that hob</t>
  </si>
  <si>
    <t>Vanity Hob (EACH)</t>
  </si>
  <si>
    <t>requires location to be entered as "vanity hob"</t>
  </si>
  <si>
    <t>SUPPLY &amp; LAY LIMESTONE SUB-BASE TO LARGE AREAS</t>
  </si>
  <si>
    <t>VISTAPAVE 60MM (STONEWASH COLLECTION)</t>
  </si>
  <si>
    <t>GRANDPAVE 60MM (STONEWASH COLLECTION)</t>
  </si>
  <si>
    <t>FLAGSTONE 60MM (STONEWASH COLLECTION)</t>
  </si>
  <si>
    <t>VISTAPAVE 60MM (GRANITE COLLECTION)</t>
  </si>
  <si>
    <t>FLAGSTONE 60MM (GRANITE COLLECTION)</t>
  </si>
  <si>
    <t>GRANDPAVE 60MM (GRANITE COLLECTION)</t>
  </si>
  <si>
    <t>DELIVER 60MM PAVERS TO SITE - ZONE 7</t>
  </si>
  <si>
    <t>MINIMUM CARTAGE ZONE 7 (LESS THAN 35M2)</t>
  </si>
  <si>
    <t>MINIMUM CARTAGE ZONE 8 (LESS THAN 35M2)</t>
  </si>
  <si>
    <t>PREMIXED CONCRETE - CAPEL 20MPA 14MM 100MM</t>
  </si>
  <si>
    <t>PREMIXED CONCRETE - BUNBURY 20MPA 14MM 100MM</t>
  </si>
  <si>
    <t>CONSTRUCT FRAMED SUBFLOOR FOR TIMBER DECKING UNDER 15M2</t>
  </si>
  <si>
    <t>CONSTRUCT FRAMED SUBFLOOR FOR TIMBER DECKING OVER 15M2</t>
  </si>
  <si>
    <t>ENVIRO-SEAL (EA) SINGLE 2140*1087 - MERBAU</t>
  </si>
  <si>
    <t>Facsia Length</t>
  </si>
  <si>
    <t>HIP &amp; VALLEY</t>
  </si>
  <si>
    <t>Exposed Aggregate</t>
  </si>
  <si>
    <t>MOTIVE MOTP 3D INTERNAL DOOR 2040*920 - 2038721</t>
  </si>
  <si>
    <t>MOTIVE MOTP 3D INTERNAL DOOR 2040*820 - 2035854</t>
  </si>
  <si>
    <t>MOTIVE MOTP 3D INTERNAL DOOR 2040*720 - 2035856</t>
  </si>
  <si>
    <t>MOTIVE MOTP 3D INTERNAL DOOR 2040*620 - 2035857</t>
  </si>
  <si>
    <t>MOTIVE MOTP 3D INTERNAL DOOR 2015*720WC - 2040086</t>
  </si>
  <si>
    <t>MOTIVE MOTP 3D INTERNAL DOOR 2015*620WC - 2040085</t>
  </si>
  <si>
    <t>MOTIVE MOTP 3D INTERNAL DOOR 2065*870 GBR SLIDER - 2040088</t>
  </si>
  <si>
    <t>PN677</t>
  </si>
  <si>
    <t>MOTIVE MOTP 3D INTERNAL DOOR 2065*770 GBR SLIDER</t>
  </si>
  <si>
    <t>Bunnings Delivery Zones</t>
  </si>
  <si>
    <t>METER BOX ELECTRIC/GAS COMBO RECESSED</t>
  </si>
  <si>
    <t>HOOP IRON 25X0.5 G550 STRUCT-TIE BLUE MASONRY STRAPS 1800MM - 1091270</t>
  </si>
  <si>
    <t>HOOP IRON 25X0.5 G550 STRUCT-TIE BLUE MASONRY STRAPS 3000MM - 1091272</t>
  </si>
  <si>
    <t>Concrete Pump</t>
  </si>
  <si>
    <t>ZMET</t>
  </si>
  <si>
    <t>BUSHFIRE WEEPA VENTS (25 PER PACK) - 1070187</t>
  </si>
  <si>
    <t>E-Batten</t>
  </si>
  <si>
    <t>65*35</t>
  </si>
  <si>
    <t>SHOWER SCREENS AS QUOTED</t>
  </si>
  <si>
    <t>Studwork Plate CCA</t>
  </si>
  <si>
    <t>BATH 1525 SEIMA SELECT WHITE - 191979</t>
  </si>
  <si>
    <t>BATH 1675 SEIMA SELECT WHITE - 191987</t>
  </si>
  <si>
    <t>GRANO</t>
  </si>
  <si>
    <t>PAVING</t>
  </si>
  <si>
    <t>SEIMA ACERO SKS-A1200 SINK 1TH LH END BOWL</t>
  </si>
  <si>
    <t>SEIMA ACERO SKS-A1200 SINK 1TH RH END BOWL - 191792</t>
  </si>
  <si>
    <t>TOILET ROLL HOLDER SEIMA 1000 SERIES POLISHED STAINLESS STEEL - 700017</t>
  </si>
  <si>
    <t>TOILET ROLL HOLDER SEIMA 1000 SERIES SATIN STAINLESS STEEL - 700003</t>
  </si>
  <si>
    <t>TOWEL RING SEIMA 1000 SERIES POLISHED STAINLESS STEEL - 700027</t>
  </si>
  <si>
    <t>TOWEL RING SEIMA 1000 SERIES SATIN STAINLESS STEEL - 700007</t>
  </si>
  <si>
    <t>TOWEL RAIL 600 SINGLE SEIMA 1000 SERIES POLISHED STAINLESS STEEL - 700023</t>
  </si>
  <si>
    <t>TOWEL RAIL 600 SINGLE SEIMA 1000 SERIES SATIN STAINLESS STEEL - 700005</t>
  </si>
  <si>
    <t>TOWEL RAIL 600 DOUBLE SEIMA 1000 SERIES POLISHED STAINLESS STEEL - 700019</t>
  </si>
  <si>
    <t>TOWEL RAIL 600 DOUBLE SEIMA 1000 SERIES SATIN STAINLESS STEEL - 700001</t>
  </si>
  <si>
    <t>TOWEL RAIL 900 SINGLE SEIMA 1000 SERIES POLISHED STAINLESS STEEL - 700025</t>
  </si>
  <si>
    <t>TOWEL RAIL 900 SINGLE SEIMA 1000 SERIES SATIN STAINLESS STEEL - 700006</t>
  </si>
  <si>
    <t>TOWEL RAIL 900 DOUBLE SEIMA 1000 SERIES POLISHED STAINLESS STEEL - 700021</t>
  </si>
  <si>
    <t>TOWEL RAIL 900 DOUBLE SEIMA 1000 SERIES SATIN STAINLESS STEEL - 700002</t>
  </si>
  <si>
    <t>TOILET ROLL HOLDER SEIMA 1500 SERIES POLISHED STAINLESS STEEL - 700018</t>
  </si>
  <si>
    <t>TOILET ROLL HOLDER SEIMA 1500 SERIES SATIN STAINLESS STEEL - 700010</t>
  </si>
  <si>
    <t>TOWEL RING SEIMA 1500 SERIES POLISHED STAINLESS STEEL - 700028</t>
  </si>
  <si>
    <t>TOWEL RING SEIMA 1500 SERIES SATIN STAINLESS STEEL - 700014</t>
  </si>
  <si>
    <t>TOWEL RAIL 600 SINGLE SEIMA 1500 SERIES POLISHED STAINLESS STEEL - 700024</t>
  </si>
  <si>
    <t>TOWEL RAIL 600 SINGLE SEIMA 1500 SERIES SATIN STAINLESS STEEL - 700012</t>
  </si>
  <si>
    <t>TOWEL RAIL 600 DOUBLE SEIMA 1500 SERIES POLISHED STAINLESS STEEL - 700020</t>
  </si>
  <si>
    <t>TOWEL RAIL 600 DOUBLE SEIMA 1500 SERIES SATIN STAINLESS STEEL - 700008</t>
  </si>
  <si>
    <t>TOWEL RAIL 900 SINGLE SEIMA 1500 SERIES POLISHED STAINLESS STEEL - 700026</t>
  </si>
  <si>
    <t>TOWEL RAIL 900 SINGLE SEIMA 1500 SERIES SATIN STAINLESS STEEL - 700013</t>
  </si>
  <si>
    <t>TOWEL RAIL 900 DOUBLE SEIMA 1500 SERIES POLISHED STAINLESS STEEL - 700022</t>
  </si>
  <si>
    <t>TOWEL RAIL 900 DOUBLE SEIMA 1500 SERIES SATIN STAINLESS STEEL - 700009</t>
  </si>
  <si>
    <t>SEIMA LECCE HAND TOWEL RAIL MATTE BLACK - 705049</t>
  </si>
  <si>
    <t>BATH 1700 SEIMA JL609 MODERNA FREESTANDING WHITE - 705002</t>
  </si>
  <si>
    <t xml:space="preserve">BATH 1500 SEIMA JL609 MODERNA FREESTANDING WHITE </t>
  </si>
  <si>
    <t>BATH 1700 SEIMA JL609-A BLACK LINE MODERNA FREESTANDING WHITE - 705003</t>
  </si>
  <si>
    <t>BATH 1700 SEIMA JL629 POSITANO FREESTANDING WHITE - 705007</t>
  </si>
  <si>
    <t>BATH 1700 SEIMA JL609-B MODERNA FREESTANDING BLACK</t>
  </si>
  <si>
    <t>WHITE- BASIN SEIMA CHIOS SBC-201 1TH INC P&amp;W - 4822303</t>
  </si>
  <si>
    <t>WHITE- BASIN SEIMA KYRA SBC-017 1TH INC P&amp;W - 4822305</t>
  </si>
  <si>
    <t>WHITE- BASIN SEIMA KYRA ABOVE COUNTER SBC-010 1TH INC P&amp;W - 4822311</t>
  </si>
  <si>
    <t>WHITE- BASIN SEIMA PLATI ABOVE COUNTER SBC-015 1TH INC P&amp;W</t>
  </si>
  <si>
    <t>WHITE- BASIN SEIMA CHIOS SEMI RECESSED SBC-205 1TH INC P&amp;W</t>
  </si>
  <si>
    <t>WHITE- BASIN SEIMA KYRA SEMI RECESSED SBC-210 1TH INC P&amp;W - 4822312</t>
  </si>
  <si>
    <t>WHITE- BASIN SEIMA PAXI ABOVE COUNTER SBC-018 0TH INC P&amp;W – 4822322</t>
  </si>
  <si>
    <t>WHITE SEIMA FOTIA COMPACT WALL BASIN SBC-512 1TH INC P&amp;W - 4822304</t>
  </si>
  <si>
    <t>WHITE SEIMA PLATI COMPACT WALL BASIN SBC-514 1TH INC P&amp;W - 4822314</t>
  </si>
  <si>
    <t>SEIMA ACERO 45L SKS-007 S/STEEL INSET TROUGH - 5110496</t>
  </si>
  <si>
    <t>SEIMA UTILITY EVA 45L SKS-620 CERAMIC TROUGH</t>
  </si>
  <si>
    <t>SEIMA ACERO SKS-A1080 SINK 1TH LH END BOWL - 191789</t>
  </si>
  <si>
    <t>SEIMA ACERO SKS-A1080 SINK 1TH RH END BOWL - 191787</t>
  </si>
  <si>
    <t>SEIMA KUBIC SKS-KA175B-RD-1 SINK 1TH LH END BOWL - 192132</t>
  </si>
  <si>
    <t>SEIMA KUBIC SKS-KA175B-LD-1 SINK 1TH RH END BOWL - 192130</t>
  </si>
  <si>
    <t>SEIMA 500MM VANITY CABINET WHITE - 702060</t>
  </si>
  <si>
    <t>6.0 DURASHEET 3000*900 - 102627</t>
  </si>
  <si>
    <t>6.0 DURASHEET 2700*1200 - 102621</t>
  </si>
  <si>
    <t>6.0 DURASHEET 3000*1200 - 102625</t>
  </si>
  <si>
    <t>6.0MM PVC DURASHEET JOINERS 3.0M LENGTHS - 104280</t>
  </si>
  <si>
    <t>BAL 29 120*35 Trim (450mm facia fix)</t>
  </si>
  <si>
    <t>JH Fascia Barge</t>
  </si>
  <si>
    <t>180*16</t>
  </si>
  <si>
    <t>BAR CHAIRS 5065 (SUITABLE FOR 85/90/100MM SLABS) (PER BAG OF 100)</t>
  </si>
  <si>
    <t>Kealy</t>
  </si>
  <si>
    <t>FUJITSU ARTG30LHTAC 8.5KW DUCTED REVERSE CYCLE 1 PHASE -UP TO 6 OUTLETS/4 ZONES</t>
  </si>
  <si>
    <t>FUJITSU ARTG30LHTA 9KW DUCTED REVERSE CYCLE 1 PHASE -UP TO 6 OUTLETS/4 ZONES</t>
  </si>
  <si>
    <t>FUJITSU ARTG36LHTAC 10KW DUCTED REVERSE CYCLE 1 PHASE -UP TO 8 OUTLETS/4 ZONES</t>
  </si>
  <si>
    <t>FUJITSU ARTG36LHTA 10.5KW DUCTED REVERSE CYCLE 1 PHASE -UP TO 8 OUTLETS/4 ZONES</t>
  </si>
  <si>
    <t>FUJITSU ARTG45LHTA 12.5KW DUCTED REVERSE CYCLE 1 PHASE -UP TO 8 OUTLETS/4 ZONES</t>
  </si>
  <si>
    <t>FUJITSU ARTG54LHTC 14KW DUCTED REVERSE CYCLE 1 PHASE -UP TO 10 OUTLETS/4 ZONES</t>
  </si>
  <si>
    <t>FUJITSU ARTG60LHTC 15.8KW DUCTED REVERSE CYCLE 1 PHASE -UP TO 12 OUTLETS/4 ZONES</t>
  </si>
  <si>
    <t>ADDITIONAL OUTLETS</t>
  </si>
  <si>
    <t>ADDITIONAL ZONES</t>
  </si>
  <si>
    <t>E/O WALL REGISTER</t>
  </si>
  <si>
    <t>E/O EZONE SMART CONTROLLER WITH 2 EXTRA ZONES (6 ZONES TOTAL)</t>
  </si>
  <si>
    <t>E/O SOUTHWEST INSTALL REGION 1 - HARVEY, YARLOOP, WAROONA, AUSTRALIND</t>
  </si>
  <si>
    <t>E/O SOUTHWEST INSTALL REGION 2 - BUNBURY, BUSSELTON, VASSE, COLLIE, DONNYBROOK</t>
  </si>
  <si>
    <t>E/O SOUTHWEST INSTALL REGION 2 - NANNUP, BRIDGETOWN, DUNSBOROUGH, YALLINGYUP</t>
  </si>
  <si>
    <t>E/O SOUTHWEST INSTALL REGION 2 - MARGARET RIVER, AUGUSTA, MANJIMUP</t>
  </si>
  <si>
    <t>E/O SOUTHWEST INSTALL REGION 2 - KOJANUP, KATTANNING</t>
  </si>
  <si>
    <t>820 WC RIGHT HAND 95MM STD SINGLE FRAME</t>
  </si>
  <si>
    <t>820 WC LEFT HAND 95MM STD SINGLE FRAME</t>
  </si>
  <si>
    <t>2/820 95MM DOUBLE STD SLIDING FRAME</t>
  </si>
  <si>
    <t>2/720 95MM DOUBLE STD SLIDING FRAME</t>
  </si>
  <si>
    <t>2/620 95MM DOUBLE STD SLIDING FRAME</t>
  </si>
  <si>
    <t>Hanger</t>
  </si>
  <si>
    <t>LVL Beam</t>
  </si>
  <si>
    <t>SEIMA TILOS SLC-600B 45L S/STEEL TROUGH WITH WHITE METAL CABINET</t>
  </si>
  <si>
    <t>SMEG STAINLESS STEEL 90CM CLASSIC THERMOSEAL OVEN SFRA9300TVX</t>
  </si>
  <si>
    <t>SMEG STAINLESS STEEL 90CM CLASSIC GAS COOKTOP CIR597X5</t>
  </si>
  <si>
    <t>SMEG STAINLESS STEEL 90CM WALLMOUNT CANOPY RANGEHOOD SHW910X1</t>
  </si>
  <si>
    <t>370*100*10 Twin</t>
  </si>
  <si>
    <t>For twin posts with one base plate use the base type 370*100*10 Twin</t>
  </si>
  <si>
    <t>All base plates, caps and cleats to be provided loose</t>
  </si>
  <si>
    <t>PMAD 104 2040*1020 W/- CLEAR GLASS</t>
  </si>
  <si>
    <t>320*65</t>
  </si>
  <si>
    <t>HAIER STAINLESS STEEL 90CM OVEN HWO90S4MX1</t>
  </si>
  <si>
    <t>HAIER STAINLESS STEEL 90CM GAS COOKTOP HCG905WFCX1</t>
  </si>
  <si>
    <t>FISHER &amp; PAYKEL BLACK GLASS HOT PLATE CG905DNGGB4</t>
  </si>
  <si>
    <t>TOWEL RAIL 600 DOUBLE TONY ALDER WISH CHROME - 40774</t>
  </si>
  <si>
    <t>TOWEL RAIL 750 DOUBLE TONY ALDER WISH BRUSHED NICKEL - 155059</t>
  </si>
  <si>
    <t>Reticulated termite treatment</t>
  </si>
  <si>
    <t>ALTIS ANTI-TERMITE RETIC SYSTEM AFTER FIRST 10M TO ALFRESCO/VERANDAHS</t>
  </si>
  <si>
    <t>BAL 12.5 ENVIRO-SEAL (EA) SINGLE 2143*887 MERANTI</t>
  </si>
  <si>
    <t>BAL 40 ENVIRO-SEAL (EA) SINGLE 2143*887 MERBAU</t>
  </si>
  <si>
    <t>920 WC RIGHT HAND 95MM STD SINGLE FRAME</t>
  </si>
  <si>
    <t>920 WC LEFT HAND 95MM STD SINGLE FRAME</t>
  </si>
  <si>
    <t>M&amp;B ELEMENTS FIBREGLASS FLUSH PANEL DOOR 2040*920*40</t>
  </si>
  <si>
    <t>DURA EXTCNR17 17MMX3M - 108009</t>
  </si>
  <si>
    <t xml:space="preserve">BATH 1675 SEIMA TONDO WHITE - 191992	</t>
  </si>
  <si>
    <t xml:space="preserve">BATH 1525 SEIMA TONDO WHITE - 191989	</t>
  </si>
  <si>
    <t>Jobs Folder</t>
  </si>
  <si>
    <t>AHK Folder</t>
  </si>
  <si>
    <t>ALDER WISH 600MM SINGLE TOWEL RAIL MATTE BLACK</t>
  </si>
  <si>
    <t>ALDER WISH 600MM DOUBLE TOWEL RAIL MATTE BLACK</t>
  </si>
  <si>
    <t>PN877</t>
  </si>
  <si>
    <t xml:space="preserve"> ALDER WISH 750MM SINGLE TOWEL RAIL MATTE BLACK</t>
  </si>
  <si>
    <t>Internal Wall Paint</t>
  </si>
  <si>
    <t>CSV to BuildX Folder</t>
  </si>
  <si>
    <t>BATH 1500 SEIMA FOTIA BACK TO WALL FREESTANDING WHITE - 191953</t>
  </si>
  <si>
    <t>BATH 1700 SEIMA FOTIA BACK TO WALL FREESTANDING WHITE - 191958</t>
  </si>
  <si>
    <t>DELF LINEAR METRO SINGLE PULL HANDLE SET MB CK DLM600SMB - 85982</t>
  </si>
  <si>
    <t>DELF LINEAR SECURE ELBA MATT BLACK DT890ELBMB</t>
  </si>
  <si>
    <t>WIRE TIES 3.15 X 180MM STAINLESS STEEL</t>
  </si>
  <si>
    <t>Wesbatten</t>
  </si>
  <si>
    <t>Valley Boards 175 x 25</t>
  </si>
  <si>
    <t>GAINSBOROUGH TRILOCK OMNI ALLURE LEVERSET PULL HANDLE SS - 29502</t>
  </si>
  <si>
    <t>BATH 1700 SEIMA PAXI FREESTANDING WHITE - 191974</t>
  </si>
  <si>
    <t>WHITE- BASIN SEIMA NIMOS ABOVE COUNTER SBC-002 1TH - 4822306</t>
  </si>
  <si>
    <t>SITE</t>
  </si>
  <si>
    <t>TEMP. POWER  BUNBURY TO MARGARET RIVER (U/G ONLY)</t>
  </si>
  <si>
    <t>SINGLE STOREY - SHED ONLY (8 WEEKS)</t>
  </si>
  <si>
    <t>PLEASE DO NOT PLACE IN FRONT OF SITE SIGNS</t>
  </si>
  <si>
    <t>INSTALL BUILDERS SITE SIGN</t>
  </si>
  <si>
    <t>SITE WORKS AS PER Q#</t>
  </si>
  <si>
    <t>ACCESS TRACK AS PER Q#</t>
  </si>
  <si>
    <t>BRICK1</t>
  </si>
  <si>
    <t>STORMW</t>
  </si>
  <si>
    <t>STORMWATER AS PER QUOTE</t>
  </si>
  <si>
    <t>SLAB PRELAY - PROGRESS CLAIM</t>
  </si>
  <si>
    <t>SLAB1</t>
  </si>
  <si>
    <t>SL72 REINFORCEMENT MESH (6M X 2.4M)</t>
  </si>
  <si>
    <t>N16 RE-ENTRY BAR 2.0M</t>
  </si>
  <si>
    <t>TRENCH MESH L11TM - 3 BAR</t>
  </si>
  <si>
    <t>DELIVERY TO AUGUSTA</t>
  </si>
  <si>
    <t>ALLOWANCE FOR CONCRETE PUMP TO CARPORT</t>
  </si>
  <si>
    <t>SUPPLY ONLY 20/20/100 CONCRETE TO AUGUSTA</t>
  </si>
  <si>
    <t>RESISTA 101 SLAB EDGE PARGING</t>
  </si>
  <si>
    <t>SLAB TREATMENT PER SQ.METRE STAGE 1&amp;2 SOUTH WEST</t>
  </si>
  <si>
    <t>CONCRETE GARAGE HARDSTAND SLAB TREATMENT - S.WEST</t>
  </si>
  <si>
    <t>CONCRETE CURING PER JOB - SOUTH WEST</t>
  </si>
  <si>
    <t>FIX / INSTALL Y OR Z BARS</t>
  </si>
  <si>
    <t>RE ENTRY BARS TO SLAB</t>
  </si>
  <si>
    <t>PLASTIC &amp; BAR CHAIRS</t>
  </si>
  <si>
    <t>DOOR &amp; SHOWER SET DOWNS</t>
  </si>
  <si>
    <t>PAD FOOTINGS</t>
  </si>
  <si>
    <t>CONCRETE LABOUR TO FOOTINGS - INC'S INSTALL OF POLY, STEEL &amp; MESH</t>
  </si>
  <si>
    <t>CONCRETE LABOUR TO SLAB - INC'S INSTALL OF POLY, STEEL &amp; MESH</t>
  </si>
  <si>
    <t>GRANO WORKER TO BOOK AS REQUIRED - PEST CONTROL:</t>
  </si>
  <si>
    <t>DRAIN</t>
  </si>
  <si>
    <t>DRAINS - PROGRESS CLAIM AS PER QUOTE</t>
  </si>
  <si>
    <t>BRICK SAW</t>
  </si>
  <si>
    <t>ABBTF LEVY FOR STD BRICKS</t>
  </si>
  <si>
    <t>ABBTF LEVY FOR 2 COURSE BRICKS</t>
  </si>
  <si>
    <t>10M3 BIN FOR ZONE 1 - BUNBURY,A'LIND,DARDANUP,EATON,BUREKUP, DALYELLUP, STRATHAM</t>
  </si>
  <si>
    <t>10M3 BIN FOR ZONE 2 - BINNINGUP,BRUNSWICK,BOYANUP,CAPEL,MYALUP,BUSSELTON,DUNSBOROUGH,YALLINGUP</t>
  </si>
  <si>
    <t>10M3 BIN FOR ZONE 3 - HARVEY,DONNYBROOK,GRACETOWN,MARGARET RIVER, COWARAMUP.WHITECLIFFE,COLLIE</t>
  </si>
  <si>
    <t>10M3 BIN FOR ZONE 4 - NANNUP,BRIDGETOWN,BALINGUP,GREENBUSHES,BOYUP BROOK</t>
  </si>
  <si>
    <t>10M3 BIN FOR ZONE 5 - AUGUSTA, MANJIMUP,PEMBERTON</t>
  </si>
  <si>
    <t>SL63 REINFORCEMENT MESH (6M X 2.4M)</t>
  </si>
  <si>
    <t>SL62 REINFORCEMENT MESH (6M X 2.4M)</t>
  </si>
  <si>
    <t>SL82 REINFORCEMENT MESH (6M X 2.4M)</t>
  </si>
  <si>
    <t>SL92 REINFORCEMENT MESH (6M X 2.4M)</t>
  </si>
  <si>
    <t>TRENCH MESH L8TM - 3 BAR</t>
  </si>
  <si>
    <t>SL102 REINFORCEMENT MESH (6M X 2.4M)</t>
  </si>
  <si>
    <t>N16 RE-ENTRY BAR 1.2M</t>
  </si>
  <si>
    <t>SUPPLY ONLY 20/20/100 CONCRETE TO BUSSELTON</t>
  </si>
  <si>
    <t>SUPPLY ONLY 20/20/100 CONCRETE TO DUNSBOROUGH</t>
  </si>
  <si>
    <t>SUPPLY ONLY 20/20/100 CONCRETE TO MARGARET RIVER / COWARAMUP</t>
  </si>
  <si>
    <t>SUPPLY ONLY 20/20/100 CONCRETE TO WAROONA</t>
  </si>
  <si>
    <t>SUPPLY ONLY 20/20/100 CONCRETE TO BRIDGETOWN</t>
  </si>
  <si>
    <t>SUPPLY ONLY 20/20/100 CONCRETE TO MANJIMUP</t>
  </si>
  <si>
    <t>INSTALL CONTROL JOINT</t>
  </si>
  <si>
    <t>LABOUR E/O FOR -4C FOOTINGS</t>
  </si>
  <si>
    <t>Garage Footings</t>
  </si>
  <si>
    <t>LABOUR E/O FOR -6C FOOTINGS</t>
  </si>
  <si>
    <t>CONCRETE LABOUR TO FOOTINGS BRIDGETOWN - INC'S INSTALL OF POLY, STEEL &amp; MESH</t>
  </si>
  <si>
    <t>CONCRETE LABOUR TO SLAB BRIDGETOWN - INC'S INSTALL OF POLY, STEEL &amp; MESH</t>
  </si>
  <si>
    <t>YELLOW B'LAYERS SAND (BUSSELTON) EX R'MEAD</t>
  </si>
  <si>
    <t>Sand</t>
  </si>
  <si>
    <t>YELLOW B'LAYERS SAND (AUSTRALIND) EX R'MEAD</t>
  </si>
  <si>
    <t>YELLOW B'LAYERS SAND (BINNINGUP) EX R'MEAD</t>
  </si>
  <si>
    <t>YELLOW B'LAYERS SAND (BUNBURY) EX R'MEAD</t>
  </si>
  <si>
    <t>YELLOW B'LAYERS SAND (EATON) EX R'MEAD</t>
  </si>
  <si>
    <t>YELLOW B'LAYERS SAND (CAPEL) EX R'MEAD</t>
  </si>
  <si>
    <t>YELLOW B'LAYERS SAND (DUNSBOROUGH) EX R'MEAD</t>
  </si>
  <si>
    <t>YELLOW B'LAYERS SAND (DONNYBROOK) EX R'MEAD</t>
  </si>
  <si>
    <t>YELLOW B'LAYERS SAND (HARVEY) EX R'MEAD</t>
  </si>
  <si>
    <t>YELLOW B'LAYERS SAND (COLLIE) EX R'MEAD</t>
  </si>
  <si>
    <t>YELLOW B'LAYERS SAND (AUGUSTA) EX R'MEAD</t>
  </si>
  <si>
    <t>YELLOW B'LAYERS SAND (WAROONA)</t>
  </si>
  <si>
    <t>YELLOW B'LAYERS SAND (DARDANUP) EX R'MEAD</t>
  </si>
  <si>
    <t>YELLOW B'LAYERS SAND (BRUNSWICK) EX R'MEAD</t>
  </si>
  <si>
    <t>YELLOW B'LAYERS SAND (GELORUP-DALYELLUP) EX R'MEAD</t>
  </si>
  <si>
    <t>YELLOW B'LAYERS SAND (MYALUP) EX R'MEAD</t>
  </si>
  <si>
    <t>YELLOW B'LAYERS SAND (PEPPERMINT BEACH) EX R'MEAD</t>
  </si>
  <si>
    <t>YELLOW BRICKIES SAND (MARG RIVER) EX R'MEAD</t>
  </si>
  <si>
    <t>YELLOW BRICKIES SAND (YALLINGUP) EX R'MEAD</t>
  </si>
  <si>
    <t>YELLOW BRICKIES SAND (COWARAMUP) EX R'MEAD</t>
  </si>
  <si>
    <t>COCKBURN BRICKIES LITE 17.85KG 56 BAGS/PALLET</t>
  </si>
  <si>
    <t>COCKBURN BRICKIES GREY 17.85KG 56 BAGS/PALLET</t>
  </si>
  <si>
    <t>COCKBURN BRICKIES GREY COASTAL M4 20KG 56 BAGS/PALLET</t>
  </si>
  <si>
    <t>DELIVERY TO BUSSELTON</t>
  </si>
  <si>
    <t>CM1</t>
  </si>
  <si>
    <t>SCREENED BRICKIES SAND (MANJIMUP)</t>
  </si>
  <si>
    <t>Brickies Sand</t>
  </si>
  <si>
    <t>PRE</t>
  </si>
  <si>
    <t>PRE ITEMS AS PER AAJA REPORT</t>
  </si>
  <si>
    <t>PSUM1</t>
  </si>
  <si>
    <t>AREA LOADING</t>
  </si>
  <si>
    <t>DELIVERY TO MANJIMUP</t>
  </si>
  <si>
    <t>DELIVERY TO BRIDGETOWN</t>
  </si>
  <si>
    <t>DELIVERY TO BUNBURY</t>
  </si>
  <si>
    <t>DELIVERY TO COWARAMUP</t>
  </si>
  <si>
    <t>DELIVERY TO DONNYBROOK</t>
  </si>
  <si>
    <t>DELIVERY TO DUNSBOROUGH</t>
  </si>
  <si>
    <t>DELIVERY TO CAPEL</t>
  </si>
  <si>
    <t>DELIVERY TO MARGARET RIVER</t>
  </si>
  <si>
    <t>BRICK WIRE TIES (3.15 X 180) HEAVY GALV.</t>
  </si>
  <si>
    <t>B/VENEER HDG WALL TIES 3.15 X 150MM</t>
  </si>
  <si>
    <t>SHERRIFF S/STEEL B/VENEER WALL TIES S/FIX</t>
  </si>
  <si>
    <t>FRAME STRAPS STD</t>
  </si>
  <si>
    <t>(L10) PIER HOLD DOWN BOLT GALV 10MM X 3.0M OFFSET (1.5M THREAD)</t>
  </si>
  <si>
    <t>25MM GALV. CLOUTS</t>
  </si>
  <si>
    <t>ZAM STRAPS - 1.8M</t>
  </si>
  <si>
    <t>ZAM STRAPS - 3.0M</t>
  </si>
  <si>
    <t>METER BOX STD ELECTRIC</t>
  </si>
  <si>
    <t>WEEPA HOLES STANDARD (PKT 25)</t>
  </si>
  <si>
    <t>WIND POST 2672 SUIT 2.4M WALL WP1 (Z600)</t>
  </si>
  <si>
    <t>WIND POST 3272 SUIT 3.0M WALL WP3 (Z600)</t>
  </si>
  <si>
    <t>WIND POST 2972 SUIT 2.7M WALL WP2 (Z600)</t>
  </si>
  <si>
    <t>100MM X M12 GALV. THROUGH BOLT</t>
  </si>
  <si>
    <t>LONGREACH EX WORKS</t>
  </si>
  <si>
    <t>STD COMMONS EX WORKS</t>
  </si>
  <si>
    <t>VERTICLAY 162</t>
  </si>
  <si>
    <t>FASTWALL LINTEL 0.935M</t>
  </si>
  <si>
    <t>FASTWALL LINTEL 1.250M</t>
  </si>
  <si>
    <t>FASTWALL LINTEL 1.565M</t>
  </si>
  <si>
    <t>FASTWALL LINTEL 1.880M</t>
  </si>
  <si>
    <t>FASTWALL LINTEL 2.195M</t>
  </si>
  <si>
    <t>FASTWALL LINTEL 2.51M</t>
  </si>
  <si>
    <t>FASTWALL LINTEL 2.825M</t>
  </si>
  <si>
    <t>FASTWALL LINTEL 3.140M</t>
  </si>
  <si>
    <t>STD BRICKS 1C FACE (MANJIMUP)</t>
  </si>
  <si>
    <t>VERTICORE BRICKS (MANJIMUP)</t>
  </si>
  <si>
    <t>LONGREACH (MANJIMUP)</t>
  </si>
  <si>
    <t>2C FACE (MANJIMUP)</t>
  </si>
  <si>
    <t>2C FACE (BOYUP BROOK)</t>
  </si>
  <si>
    <t>2C FACE (BRIDGETOWN)</t>
  </si>
  <si>
    <t>2C FACE (BUSSELTON AREA)</t>
  </si>
  <si>
    <t>2C FACE (AUGUSTA AREA)</t>
  </si>
  <si>
    <t>2C FACE (COWARAMUP/MARGARET RIVER)</t>
  </si>
  <si>
    <t>Cowaramup/Margaret River</t>
  </si>
  <si>
    <t>KD Power &amp; Co Delivery Zones</t>
  </si>
  <si>
    <t>Augusta Area</t>
  </si>
  <si>
    <t>Karridale</t>
  </si>
  <si>
    <t>Leeuwin</t>
  </si>
  <si>
    <t>Deepene</t>
  </si>
  <si>
    <t>Busselton Area</t>
  </si>
  <si>
    <t>2C FACE (DUNSBOROUGH AREA)</t>
  </si>
  <si>
    <t>Dunsborough Area</t>
  </si>
  <si>
    <t>Quedjinup</t>
  </si>
  <si>
    <t>Naturaliste</t>
  </si>
  <si>
    <t>2C FACE (NANNUP)</t>
  </si>
  <si>
    <t>2C FACE (PEMBERTON)</t>
  </si>
  <si>
    <t>2C FACE (YALLINGUP AREA)</t>
  </si>
  <si>
    <t>VERTICORE BRICKS (AUGUSTA AREA)</t>
  </si>
  <si>
    <t>VERTICORE BRICKS (BOYUP BROOK)</t>
  </si>
  <si>
    <t>VERTICORE BRICKS (BRIDGETOWN)</t>
  </si>
  <si>
    <t>VERTICORE BRICKS (BUSSELTON AREA)</t>
  </si>
  <si>
    <t>VERTICORE BRICKS (COWARAMUP/MARGARET RIVER)</t>
  </si>
  <si>
    <t>VERTICORE BRICKS (DUNSBOROUGH AREA)</t>
  </si>
  <si>
    <t>VERTICORE BRICKS (NANNUP)</t>
  </si>
  <si>
    <t>VERTICORE BRICKS (PEMBERTON)</t>
  </si>
  <si>
    <t>VERTICORE BRICKS (YALLINGUP AREA)</t>
  </si>
  <si>
    <t>STD BRICKS 1C FACE (AUGUSTA)</t>
  </si>
  <si>
    <t>STD BRICKS 1C FACE (BOYUP BROOK)</t>
  </si>
  <si>
    <t>STD BRICKS 1C FACE (BRIDGETOWN)</t>
  </si>
  <si>
    <t>STD BRICKS 1C FACE (BUSSSELTON AREA)</t>
  </si>
  <si>
    <t>STD BRICKS 1C FACE (COWARAMUP/MARGARET RIVER)</t>
  </si>
  <si>
    <t>STD BRICKS 1C FACE (DUNSBOROUGH AREA)</t>
  </si>
  <si>
    <t>STD BRICKS 1C FACE (NANNUP)</t>
  </si>
  <si>
    <t>STD BRICKS 1C FACE (PEMBERTON)</t>
  </si>
  <si>
    <t>STD BRICKS 1C FACE (YALLINGUP AREA)</t>
  </si>
  <si>
    <t>Finishing Brick</t>
  </si>
  <si>
    <t>Verti 76 Face Solid</t>
  </si>
  <si>
    <t>Verti 76 Face Cored</t>
  </si>
  <si>
    <t>Verticlay 162</t>
  </si>
  <si>
    <t>SINGLE STOREY - CHEMICAL TOILET HIRE ONLY - 48 WEEKS HIRE</t>
  </si>
  <si>
    <t>ALCOR 300 X 10M</t>
  </si>
  <si>
    <t>ALCOR 110MM X 10M</t>
  </si>
  <si>
    <t>BRICK TIE S/STEEL 3.15 X 175</t>
  </si>
  <si>
    <t>METER BOX ELECTRIC LOCK &amp; VIEW PANEL</t>
  </si>
  <si>
    <t>METERBOX G/E COMBO PLAIN SIDES NO.9</t>
  </si>
  <si>
    <t>METERBOX G/E COMBI NO.9 WITH CAM LOCK &amp; VIEWING WINDOW</t>
  </si>
  <si>
    <t>INSULATION AIRCELL PERMICAV 1350X22.25M ROLL</t>
  </si>
  <si>
    <t>INSULATION SPACER BLOCK BAG 100</t>
  </si>
  <si>
    <t>INSULATION J382 ALUMINIUM FOIL TAPE 50MM X 50M</t>
  </si>
  <si>
    <t>GW6M3S6 6M X 6.5MM GALV. ROD</t>
  </si>
  <si>
    <t>500 X 500 X 6.5MM GALV. CORNER ROD</t>
  </si>
  <si>
    <t>BRICK LINTELS (MANJIMUP)</t>
  </si>
  <si>
    <t>0c Sill</t>
  </si>
  <si>
    <t>DAMPCO BLACK 4 LITRES</t>
  </si>
  <si>
    <t>BREMER BAY 290 X 90 X 162</t>
  </si>
  <si>
    <t>BREMER BAY 290 X 90 X 76 CORED</t>
  </si>
  <si>
    <t>BREMER BAY 290 X 90 X 76 SOLID</t>
  </si>
  <si>
    <t>ABBTF LEVY FOR STANDARD BRICKS</t>
  </si>
  <si>
    <t>BREMER BAY 290 X 90 X 162 FINISHING BRICK</t>
  </si>
  <si>
    <t>Terry Woodmansey Delivery Zones</t>
  </si>
  <si>
    <t>Zone 7</t>
  </si>
  <si>
    <t>Zone 8</t>
  </si>
  <si>
    <t>Zone 9</t>
  </si>
  <si>
    <t>Zone 10</t>
  </si>
  <si>
    <t>Lake Clifton</t>
  </si>
  <si>
    <t>Boddington</t>
  </si>
  <si>
    <t>Williams</t>
  </si>
  <si>
    <t>Narrogin</t>
  </si>
  <si>
    <t>Pemberton</t>
  </si>
  <si>
    <t>ZONE 1 - FACE LONGREACH - CORED (290 X 90 X 76)</t>
  </si>
  <si>
    <t>ZONE 1 - BUNBURY,BUREKUP,WITHERS,DARDANUP,DALYELLUP,BOYANUP</t>
  </si>
  <si>
    <t>ZONE 1 - 2C FACE - 290 BLOCK (290 X 90 X 162)</t>
  </si>
  <si>
    <t>ZONE 1 - FACE LONGREACH - SOLID (290 X 90 X 76)</t>
  </si>
  <si>
    <t>ZONE 1 - UTILITY - ULTRAFAST (305 X 90 X 162)</t>
  </si>
  <si>
    <t>ZONE 1 - UTILITY - LONGREACH CORED (305 X 90 X 76)</t>
  </si>
  <si>
    <t>ZONE 1 - UTILITY - LONGREACH SOLID (305 X 90 X 76)</t>
  </si>
  <si>
    <t>ZONE 1 - MINIMUM CHARGE</t>
  </si>
  <si>
    <t>ZONE 2 - 2C FACE - 290 BLOCK (290 X 90 X 162)</t>
  </si>
  <si>
    <t>ZONE 2 - FACE LONGREACH - CORED (290 X 90 X 76)</t>
  </si>
  <si>
    <t>ZONE 2 - FACE LONGREACH - SOLID (290 X 90 X 76)</t>
  </si>
  <si>
    <t>ZONE 2 - UTILITY - ULTRAFAST (305 X 90 X 162)</t>
  </si>
  <si>
    <t>ZONE 2 - UTILITY - LONGREACH CORED (305 X 90 X 76)</t>
  </si>
  <si>
    <t>ZONE 2 - UTILITY - LONGREACH SOLID (305 X 90 X 76)</t>
  </si>
  <si>
    <t>ZONE 2 - MINIMUM CHARGE</t>
  </si>
  <si>
    <t>ZONE 3 - 2C FACE - 290 BLOCK (290 X 90 X 162)</t>
  </si>
  <si>
    <t>ZONE 3 - FACE LONGREACH - CORED (290 X 90 X 76)</t>
  </si>
  <si>
    <t>ZONE 3 - FACE LONGREACH - SOLID (290 X 90 X 76)</t>
  </si>
  <si>
    <t>ZONE 3 - UTILITY - ULTRAFAST (305 X 90 X 162)</t>
  </si>
  <si>
    <t>ZONE 3 - UTILITY - LONGREACH CORED (305 X 90 X 76)</t>
  </si>
  <si>
    <t>ZONE 3 - UTILITY - LONGREACH SOLID (305 X 90 X 76)</t>
  </si>
  <si>
    <t>ZONE 3 - MINIMUM CHARGE</t>
  </si>
  <si>
    <t>ZONE 4 - 2C FACE - 290 BLOCK (290 X 90 X 162)</t>
  </si>
  <si>
    <t>ZONE 4 - FACE LONGREACH - CORED (290 X 90 X 76)</t>
  </si>
  <si>
    <t>ZONE 4 - FACE LONGREACH - SOLID (290 X 90 X 76)</t>
  </si>
  <si>
    <t>ZONE 4 - UTILITY - ULTRAFAST (305 X 90 X 162)</t>
  </si>
  <si>
    <t>ZONE 4 - UTILITY - LONGREACH CORED (305 X 90 X 76)</t>
  </si>
  <si>
    <t>ZONE 4 - UTILITY - LONGREACH SOLID (305 X 90 X 76)</t>
  </si>
  <si>
    <t>ZONE 4 - MINIMUM CHARGE</t>
  </si>
  <si>
    <t>ZONE 5 - 2C FACE - 290 BLOCK (290 X 90 X 162)</t>
  </si>
  <si>
    <t>ZONE 5 - FACE LONGREACH - CORED (290 X 90 X 76)</t>
  </si>
  <si>
    <t>ZONE 5 - FACE LONGREACH - SOLID (290 X 90 X 76)</t>
  </si>
  <si>
    <t>ZONE 5 - UTILITY - ULTRAFAST (305 X 90 X 162)</t>
  </si>
  <si>
    <t>ZONE 5 - UTILITY - LONGREACH CORED (305 X 90 X 76)</t>
  </si>
  <si>
    <t>ZONE 5 - UTILITY - LONGREACH SOLID (305 X 90 X 76)</t>
  </si>
  <si>
    <t>ZONE 5 - MINIMUM CHARGE</t>
  </si>
  <si>
    <t>ZONE 6 - 2C FACE - 290 BLOCK (290 X 90 X 162)</t>
  </si>
  <si>
    <t>ZONE 6 - FACE LONGREACH - CORED (290 X 90 X 76)</t>
  </si>
  <si>
    <t>ZONE 6 - FACE LONGREACH - SOLID (290 X 90 X 76)</t>
  </si>
  <si>
    <t>ZONE 6 - UTILITY - ULTRAFAST (306 X 90 X 162)</t>
  </si>
  <si>
    <t>ZONE 6 - UTILITY - LONGREACH CORED (306 X 90 X 76)</t>
  </si>
  <si>
    <t>ZONE 6 - UTILITY - LONGREACH SOLID (306 X 90 X 76)</t>
  </si>
  <si>
    <t>ZONE 6 - MINIMUM CHARGE</t>
  </si>
  <si>
    <t>ZONE 8 - 2C FACE - 290 BLOCK (290 X 90 X 162)</t>
  </si>
  <si>
    <t>ZONE 8 - FACE LONGREACH - CORED (290 X 90 X 76)</t>
  </si>
  <si>
    <t>ZONE 8 - FACE LONGREACH - SOLID (290 X 90 X 76)</t>
  </si>
  <si>
    <t>ZONE 8 - UTILITY - ULTRAFAST (308 X 90 X 162)</t>
  </si>
  <si>
    <t>ZONE 8 - UTILITY - LONGREACH CORED (308 X 90 X 76)</t>
  </si>
  <si>
    <t>ZONE 8 - UTILITY - LONGREACH SOLID (308 X 90 X 76)</t>
  </si>
  <si>
    <t>ZONE 8 - MINIMUM CHARGE</t>
  </si>
  <si>
    <t>ZONE 9 - 2C FACE - 290 BLOCK (290 X 90 X 162)</t>
  </si>
  <si>
    <t>ZONE 9 - FACE LONGREACH - CORED (290 X 90 X 76)</t>
  </si>
  <si>
    <t>ZONE 9 - FACE LONGREACH - SOLID (290 X 90 X 76)</t>
  </si>
  <si>
    <t>ZONE 9 - MINIMUM CHARGE</t>
  </si>
  <si>
    <t>ZONE 9 - UTILITY - ULTRAFAST (309 X 90 X 162)</t>
  </si>
  <si>
    <t>ZONE 9 - UTILITY - LONGREACH CORED (309 X 90 X 76)</t>
  </si>
  <si>
    <t>ZONE 9 - UTILITY - LONGREACH SOLID (309 X 90 X 76)</t>
  </si>
  <si>
    <t>ZONE 10 - 2C FACE - 290 BLOCK (290 X 90 X 162)</t>
  </si>
  <si>
    <t>ZONE 10 - FACE LONGREACH - CORED (290 X 90 X 76)</t>
  </si>
  <si>
    <t>ZONE 10 - FACE LONGREACH - SOLID (290 X 90 X 76)</t>
  </si>
  <si>
    <t>ZONE 10 - UTILITY - ULTRAFAST (309 X 90 X 162)</t>
  </si>
  <si>
    <t>ZONE 10 - UTILITY - LONGREACH CORED (309 X 90 X 76)</t>
  </si>
  <si>
    <t>ZONE 10 - UTILITY - LONGREACH SOLID (309 X 90 X 76)</t>
  </si>
  <si>
    <t>ZONE 10 - MINIMUM CHARGE</t>
  </si>
  <si>
    <t>DOOR/WINDOW FRAMES AS PER QUOTE - PROGRESS PAYMENT 60%</t>
  </si>
  <si>
    <t>ENVIRO-SEAL SGL 820 DOOR FRAME FE82SG (MERBAU)</t>
  </si>
  <si>
    <t>ENVIRO-SEAL SGL 870 DOOR FRAME FE87SG</t>
  </si>
  <si>
    <t>ENVIRO-SEAL SGL 920 DOOR FRAME FE92SG</t>
  </si>
  <si>
    <t>ENVIRO-SEAL DBL DOOR FRAME (REBATED 2/820) ESFBM (CORINTHIAN MERBAU)</t>
  </si>
  <si>
    <t>STRUCTURAL STEEL AS QUOTED</t>
  </si>
  <si>
    <t>75 X 8 FLAT BAR STD GALVANISED (R3)</t>
  </si>
  <si>
    <t>75*75*8 Lintel</t>
  </si>
  <si>
    <t>75 X 75 X 8 LINTEL STD GALVANISED (R3)</t>
  </si>
  <si>
    <t>100 X 75 X 8 LINTEL STD GALVANISED (R3)</t>
  </si>
  <si>
    <t>100 X 100 X 8 LINTEL STD GALVANISED (R3)</t>
  </si>
  <si>
    <t>125 X 75 X 8 LINTEL STD GALVANISED (R3)</t>
  </si>
  <si>
    <t>150 X 90 X 8 LINTEL STD GALVANISED (R3)</t>
  </si>
  <si>
    <t>150 X 100 X 10 LINTEL STD GALVANISED (R3)</t>
  </si>
  <si>
    <t>200 BASE X 150 UPSTAND X 10 T-BAR STD GALVANISED (R3)</t>
  </si>
  <si>
    <t>180 BASE X 150 UPSTAND X 10 T-BAR STD GALVANISED (R3)</t>
  </si>
  <si>
    <t>200 BASE X 200 UPSTAND X 10 T-BAR STD GALVANISED (R3)</t>
  </si>
  <si>
    <t>180 BASE X 200 UPSTAND X 10 T-BAR STD GALVANISED (R3)</t>
  </si>
  <si>
    <t>200 BASE X 250 UPSTAND X 10 T-BAR STD GALVANISED (R3)</t>
  </si>
  <si>
    <t>180 BASE X 250 UPSTAND X 10 T-BAR STD GALVANISED (R3)</t>
  </si>
  <si>
    <t>40 MM PIPE COLUMNS (GALVANISED)</t>
  </si>
  <si>
    <t>TYPE "A" HDG LINTEL - 150X90X8 W/-75X50X8 U/S DOWN TOP</t>
  </si>
  <si>
    <t>75 X 75 X 8 LINTEL - GALV 900G</t>
  </si>
  <si>
    <t>75 X 8 FLAT BAR - GALV 900G</t>
  </si>
  <si>
    <t>100 X 75 X 8 LINTEL - GALV 900G</t>
  </si>
  <si>
    <t>100 X 100 X 8 LINTEL - GALV 900G</t>
  </si>
  <si>
    <t>125 X 75 X 8 LINTEL - GALV 900G</t>
  </si>
  <si>
    <t>150 X 90 X 8 LINTEL - GALV 900G</t>
  </si>
  <si>
    <t>150 X 100 X 10 LINTEL - GALV 900G</t>
  </si>
  <si>
    <t>200 BASE X 150 UPSTAND X 10 T-BAR GALV - 900G</t>
  </si>
  <si>
    <t>180 BASE X 150 UPSTAND X 10 T-BAR GALV - 900G</t>
  </si>
  <si>
    <t>200 BASE X 200 UPSTAND X 10 T-BAR GALV - 900G</t>
  </si>
  <si>
    <t>180 BASE X 200 UPSTAND X 10 T-BAR GALV - 900G</t>
  </si>
  <si>
    <t>200 BASE X 250 UPSTAND X 10 T-BAR GALV - 900G</t>
  </si>
  <si>
    <t>180 BASE X 250 UPSTAND X 10 T-BAR GALV - 900G</t>
  </si>
  <si>
    <t>DELIVER TO AUSTRALIND</t>
  </si>
  <si>
    <t>DELIVER TO BINNINGUP</t>
  </si>
  <si>
    <t>DELIVER TO BOYANUP</t>
  </si>
  <si>
    <t>DELIVER TO BRIDGETOWN</t>
  </si>
  <si>
    <t>DELIVER TO BUNBURY</t>
  </si>
  <si>
    <t>DELIVER TO BUREKUP</t>
  </si>
  <si>
    <t>DELIVER TO DARDENUP</t>
  </si>
  <si>
    <t>DELIVER TO BUSSELTON</t>
  </si>
  <si>
    <t>DELIVER TO CAPEL</t>
  </si>
  <si>
    <t>DELIVER TO CHITTERING</t>
  </si>
  <si>
    <t>DELIVER TO COLLIE</t>
  </si>
  <si>
    <t>DELIVER TO DONNYBROOK</t>
  </si>
  <si>
    <t>DELIVER TO DUNSBOROUGH</t>
  </si>
  <si>
    <t>DELIVER TO EATON</t>
  </si>
  <si>
    <t>DELIVER TO GELORUP</t>
  </si>
  <si>
    <t>DELIVER TO HARVEY</t>
  </si>
  <si>
    <t>DELIVER TO MARGARET RIVER</t>
  </si>
  <si>
    <t>DELIVER TO NANNUP</t>
  </si>
  <si>
    <t>DELIVER TO PEMBERTON</t>
  </si>
  <si>
    <t>DELIVER TO MANJIMUP</t>
  </si>
  <si>
    <t>*** DELUXE PROFILE TO ALL DOOR FRAMES ***</t>
  </si>
  <si>
    <t>*** REGAL PROFILE TO ALL DOOR FRAMES ***</t>
  </si>
  <si>
    <t>2040 X 2/520 D/HUNG 90 B/OPENING</t>
  </si>
  <si>
    <t>2040 X 2/620 D/HUNG 90 B/OPENING</t>
  </si>
  <si>
    <t>2040 X 2/720 D/HUNG 90 B/OPENING</t>
  </si>
  <si>
    <t>2040 X 2/820 D/HUNG 90 B/OPENING</t>
  </si>
  <si>
    <t>2040 X 820 LH 90 B/OPENING</t>
  </si>
  <si>
    <t>2040 X 720 LH 90 B/OPENING</t>
  </si>
  <si>
    <t>2040 X 720 RH WC 90 B/OPENING</t>
  </si>
  <si>
    <t>2040 X 720 RH 90 B/OPENING</t>
  </si>
  <si>
    <t>2040 X 720 LH WC 90 B/OPENING</t>
  </si>
  <si>
    <t>2040 X 620 LH 90 B/OPENING</t>
  </si>
  <si>
    <t>2040 X 620 RH 90 B/OPENING</t>
  </si>
  <si>
    <t>2040 X 520 LH 90 B/OPENING</t>
  </si>
  <si>
    <t>2040 X 520 RH 90 B/OPENING</t>
  </si>
  <si>
    <t>PROVIDE 180 DEG. BROAD BUTT HINGES (PAIR)</t>
  </si>
  <si>
    <t>2040 X 620 RH WC 90 B/OPENING</t>
  </si>
  <si>
    <t>2040 X 620 LH WC 90 B/OPENING</t>
  </si>
  <si>
    <t>2060 X 870 SLIDER 90 B/OPENING</t>
  </si>
  <si>
    <t>2060 X 770 SLIDER 90 B/OPENING</t>
  </si>
  <si>
    <t>2060 X 670 SLIDER 90 B/OPENING</t>
  </si>
  <si>
    <t>2040 X 820 LH 90 B/OPENING W/- 3 HINGES</t>
  </si>
  <si>
    <t>2040 X 820 RH 90 B/OPENING W/- 3 HINGES</t>
  </si>
  <si>
    <t>DELIVERY TO AUSTRALIND</t>
  </si>
  <si>
    <t>DELIVERY TO BINNINGUP</t>
  </si>
  <si>
    <t>DELIVERY TO BOYANUP</t>
  </si>
  <si>
    <t>DELIVERY TO BRUNSWICK</t>
  </si>
  <si>
    <t>DELIVERY TO BUREKUP</t>
  </si>
  <si>
    <t>DELIVERY TO COLLIE</t>
  </si>
  <si>
    <t>DELIVERY TO DARDANUP</t>
  </si>
  <si>
    <t>DELIVERY TO GRACETOWN</t>
  </si>
  <si>
    <t>DELIVERY TO HARVEY</t>
  </si>
  <si>
    <t>DELIVERY TO KARRIDALE</t>
  </si>
  <si>
    <t>DELIVERY TO MYALUP</t>
  </si>
  <si>
    <t>DELIVERY TO PREVELLY PARK</t>
  </si>
  <si>
    <t>DELIVERY TO QUINDALUP</t>
  </si>
  <si>
    <t>DELIVERY TO VASSE</t>
  </si>
  <si>
    <t>DELIVERY TO WITCHCLIFFE</t>
  </si>
  <si>
    <t>DELIVERY TO WONNERUP</t>
  </si>
  <si>
    <t>DELIVERY TO YALLINGUP</t>
  </si>
  <si>
    <t>1ST CLEAN</t>
  </si>
  <si>
    <t>DELIVERY TO ALBANY</t>
  </si>
  <si>
    <t>DELIVERY TO BOYUP BROOK</t>
  </si>
  <si>
    <t>DELIVERY TO BUNBURY/DALYELLUP</t>
  </si>
  <si>
    <t>DELIVERY TO EATON</t>
  </si>
  <si>
    <t>DELIVERY TO MARGARET RIVER / COWARAMUP</t>
  </si>
  <si>
    <t>DELIVERY TO NANNUP</t>
  </si>
  <si>
    <t>150 UB 14 MILL FINISH</t>
  </si>
  <si>
    <t>180 UB 16 MILL FINISH</t>
  </si>
  <si>
    <t>200 UB 18 MILL FINISH</t>
  </si>
  <si>
    <t>200 UB 22 MILL FINISH</t>
  </si>
  <si>
    <t>200 UB 25 MILL FINISH</t>
  </si>
  <si>
    <t>250 UB 25 MILL FINISH</t>
  </si>
  <si>
    <t>250 UB 31 MILL FINISH</t>
  </si>
  <si>
    <t>250 UB 37 MILL FINISH</t>
  </si>
  <si>
    <t>310 UB 40 MILL FINISH</t>
  </si>
  <si>
    <t>150 UB 14 PAINTED</t>
  </si>
  <si>
    <t>180 UB 16 PAINTED</t>
  </si>
  <si>
    <t>200 UB 18 PAINTED</t>
  </si>
  <si>
    <t>200 UB 22 PAINTED</t>
  </si>
  <si>
    <t>200 UB 25 PAINTED</t>
  </si>
  <si>
    <t>250 UB 25 PAINTED</t>
  </si>
  <si>
    <t>250 UB 31 PAINTED</t>
  </si>
  <si>
    <t>250 UB 37 PAINTED</t>
  </si>
  <si>
    <t>310 UB 40 PAINTED</t>
  </si>
  <si>
    <t>SPLAY CUTS TO BEAMS</t>
  </si>
  <si>
    <t>Name</t>
  </si>
  <si>
    <t>2 COURSE FACE (290 X 90 X 162)</t>
  </si>
  <si>
    <t>1 COURSE FACE (290 X 90 X 76)</t>
  </si>
  <si>
    <t>VERTICORE</t>
  </si>
  <si>
    <t>COMMONS</t>
  </si>
  <si>
    <t>MODULAR 76</t>
  </si>
  <si>
    <t>FACE</t>
  </si>
  <si>
    <t>LAY BRICK LINTEL</t>
  </si>
  <si>
    <t>DOOR FRAMES / JAMBS</t>
  </si>
  <si>
    <t>RAKING GABLES</t>
  </si>
  <si>
    <t>SCAFFOLD PER GABLE</t>
  </si>
  <si>
    <t>SCAFFOLD TO INT. WALLS OVER 2.4M HIGH PER JOB</t>
  </si>
  <si>
    <t>F/STANDING PIERS</t>
  </si>
  <si>
    <t>CORBELLING TO BRICK PIERS</t>
  </si>
  <si>
    <t>SPLAYED SILL</t>
  </si>
  <si>
    <t>BRICK IN WIND POST, COLUMN, GARAGE RODS D/BOLT BASE</t>
  </si>
  <si>
    <t>CONTRASTING BRICK DADO</t>
  </si>
  <si>
    <t>SOLDIER COURSE</t>
  </si>
  <si>
    <t>BRICK UP CHIMNEY TO RAKED CEILING OVER 31C</t>
  </si>
  <si>
    <t>DOUBLE FACE</t>
  </si>
  <si>
    <t>FACE SQUINTS CORNERS</t>
  </si>
  <si>
    <t>BRICK HEARTH</t>
  </si>
  <si>
    <t>HOOP IRONS (PER STRAP)</t>
  </si>
  <si>
    <t>RODS TO TOP COURSES / WINDOWS (PER LIN M)</t>
  </si>
  <si>
    <t>INSTALL AIRCELL INSULATION IN CAVITY (PER LINEAL METRE OF CAVITY WALL)</t>
  </si>
  <si>
    <t>SETUP 'T' BAR INTO POSITION (OVER 4M LONG)</t>
  </si>
  <si>
    <t>SETUP 'T' BAR INTO POSITION (UNDER 4M LONG)</t>
  </si>
  <si>
    <t>ROUGH SQUINT CORNERS</t>
  </si>
  <si>
    <t>POLYFLASH</t>
  </si>
  <si>
    <t>FIX BOXES IN CAVITY WALLS (HWS CASING BOX, SHOWER NICHE BOX)</t>
  </si>
  <si>
    <t>CAVITY FILL PIERS (VERDELHAO) PER PIER</t>
  </si>
  <si>
    <t>SCAFFOLDING E/O</t>
  </si>
  <si>
    <t>SCAFFOLD</t>
  </si>
  <si>
    <t>CORBELLING FOR DADO</t>
  </si>
  <si>
    <t>EXTERNAL 1C FACE INCL. PIERS</t>
  </si>
  <si>
    <t>EXTERNAL 2C FACE INCL. PIERS</t>
  </si>
  <si>
    <t>FINAL CLEAN RED BRICKS</t>
  </si>
  <si>
    <t>DOUBLE FACE (2C BRICKS)</t>
  </si>
  <si>
    <t>DOUBLE FACE (1C BRICKS)</t>
  </si>
  <si>
    <t>TRAVEL TO AUGUSTA</t>
  </si>
  <si>
    <t>TRAVEL TO MARGARET RIVER</t>
  </si>
  <si>
    <t>T</t>
  </si>
  <si>
    <t>RFRAME1</t>
  </si>
  <si>
    <t>2400 X 750 X 4.5MM EAVES SHEET</t>
  </si>
  <si>
    <t>2400 X 600 X 4.5MM EAVES SHEET</t>
  </si>
  <si>
    <t>1800 X 900 X 4.5MM EAVES SHEET</t>
  </si>
  <si>
    <t>2400 X 1200 X 4.5MM EAVES SHEET</t>
  </si>
  <si>
    <t>2400 X 900 X 4.5MM EAVES SHEET</t>
  </si>
  <si>
    <t>2700 X 900 X 4.5MM EAVES SHEET</t>
  </si>
  <si>
    <t>3000 X 900 X 4.5MM EAVES SHEET</t>
  </si>
  <si>
    <t>1800 X 1200 X 4.5MM EAVES SHEET</t>
  </si>
  <si>
    <t>2700 X 1200 X 4.5MM EAVES SHEET</t>
  </si>
  <si>
    <t>3000 X 1200 X 4.5MM EAVES SHEET</t>
  </si>
  <si>
    <t>JH PVC EAVE JOINER 4.5MM (0710540) 3M LENGTH</t>
  </si>
  <si>
    <t>2400 X 900 X 6MM HARDIFLEX</t>
  </si>
  <si>
    <t>1800 X 1200 X 6MM HARDIFLEX</t>
  </si>
  <si>
    <t>2400 X 1200 X 6MM HARDIFLEX</t>
  </si>
  <si>
    <t>Marybrook</t>
  </si>
  <si>
    <t>Metricup</t>
  </si>
  <si>
    <t>Treeton</t>
  </si>
  <si>
    <t>Prevelly</t>
  </si>
  <si>
    <t>Gnarabup</t>
  </si>
  <si>
    <t>Rosa Glen</t>
  </si>
  <si>
    <t>Bramley</t>
  </si>
  <si>
    <t>DELIVERY PER LOT TO BUNBURY</t>
  </si>
  <si>
    <t>DELIVERY PER LOT TO BUSSELTON</t>
  </si>
  <si>
    <t>DELIVERY PER LOT TO DUNSBOROUGH</t>
  </si>
  <si>
    <t>DELIVERY PER LOT TO MARGARET RIVER</t>
  </si>
  <si>
    <t>DELIVERY PER LOT TO BRIDGETOWN</t>
  </si>
  <si>
    <t>AREA INCL. GALV NAIL ALLOW.</t>
  </si>
  <si>
    <t>E/O RAKING AREAS - INTERNAL &amp; EXTERNAL</t>
  </si>
  <si>
    <t>SCOTCH VALLEY</t>
  </si>
  <si>
    <t>HARDIFLEX LINING (4.5MM AND 6.0MM)</t>
  </si>
  <si>
    <t>GABLETS</t>
  </si>
  <si>
    <t>GABLES FRAMING</t>
  </si>
  <si>
    <t>SPANDREL END ALL IN RATE</t>
  </si>
  <si>
    <t>GABLE HARDIFLEX</t>
  </si>
  <si>
    <t>GABLE VERGE OVERHANG</t>
  </si>
  <si>
    <t>STEEL BEAMS</t>
  </si>
  <si>
    <t>TIMBER BEAMS</t>
  </si>
  <si>
    <t>INSTALL FINIAL</t>
  </si>
  <si>
    <t>BUSH POLES 150MM DIA (INCL. BOLTING SHOE TO FOOTING)</t>
  </si>
  <si>
    <t>TIMBER POSTS (INCL. BOLTING SHOE TO FOOTING)</t>
  </si>
  <si>
    <t>METAL BATTEN (MUST BE SCREWED W/-14G X 40MM TEKS) FOR TIN ROOF</t>
  </si>
  <si>
    <t>FRAMING FOR COFFERED CEILING</t>
  </si>
  <si>
    <t>CUTTING HOLES IN BRICKWORK</t>
  </si>
  <si>
    <t>WALL FRAMING UP TO 3.0M HIGH - MADE ON SITE</t>
  </si>
  <si>
    <t>E/O PER DYNABOLT TO CONCRETE SLAB</t>
  </si>
  <si>
    <t>FLASHINGS PER FRAME</t>
  </si>
  <si>
    <t>SISALATION</t>
  </si>
  <si>
    <t>CORNER STOPS (INCL FLASHINGS) INT &amp; EXT</t>
  </si>
  <si>
    <t>BOLTING PLATE</t>
  </si>
  <si>
    <t>E/O FOR DOUBLE ROWS OF UNDERPURLINS PER JOB</t>
  </si>
  <si>
    <t>WINDOW/DOOR FRAMES INTO STUD WALLS</t>
  </si>
  <si>
    <t>E/O FOR FRAMED BULKHEADS</t>
  </si>
  <si>
    <t>E/O LARGE &amp;/OR DIFFICULT ROOF (OVER 250M2 / IRREGULAR ROOF / 16+ HIPS &amp; VALLEYS)</t>
  </si>
  <si>
    <t>E/O BUGLE SCREWS TO TIMBER BATTENS</t>
  </si>
  <si>
    <t>BOLT PERGOLA RAFTERS BOLTS TO RAFTERS</t>
  </si>
  <si>
    <t>BUSH POLES 200MM DIA AND OVER (INCL. BOLTING SHOE TO FOOTING)</t>
  </si>
  <si>
    <t>INSTALL INSULATION TO STUD WALLS</t>
  </si>
  <si>
    <t>FIX CLADDING - HARDIPLANK OR SIMILAR (OVER 50M2)</t>
  </si>
  <si>
    <t>FIX CLADDING - HARDIPLANK OR SIMILAR (UNDER 50M2)</t>
  </si>
  <si>
    <t>CEILS1</t>
  </si>
  <si>
    <t>REND1</t>
  </si>
  <si>
    <t>SAND FINISH RENDER FOR PAINT FINISH</t>
  </si>
  <si>
    <t>2C RENDERED DADO</t>
  </si>
  <si>
    <t>PLASTERING SAND (BUNBURY)</t>
  </si>
  <si>
    <t>SETS1</t>
  </si>
  <si>
    <t>WALL FLOAT &amp; SET</t>
  </si>
  <si>
    <t>METAL LATHE BEAD FOR ALL CORNERS</t>
  </si>
  <si>
    <t>HIGH CEILINGS PER JOB (LARGE)</t>
  </si>
  <si>
    <t>HIGH CEILINGS PER JOB (SMALL)</t>
  </si>
  <si>
    <t>EXT. RENDER - PLASTIC STOP ENDS</t>
  </si>
  <si>
    <t>UNDER EAVES BULKHEADS E/O (PER LIN M)</t>
  </si>
  <si>
    <t>RAKED CEILINGS (LINED UNDER RAFTERS)</t>
  </si>
  <si>
    <t>E/O RETURN TRIP TO FIX CORNICE TO FULL HEIGHT TILING/OVERHEAD CUPBOARD</t>
  </si>
  <si>
    <t>AQUACHECK TO WALLS E/O STD</t>
  </si>
  <si>
    <t>AQUACHECK TO CEILINGS TO 2800 HIGH E/O STD</t>
  </si>
  <si>
    <t>SOFFITS (TO FULL HEIGHT OPENINGS ETC)</t>
  </si>
  <si>
    <t>S &amp; I RONDO P50 SHADOWLINE CORNICE</t>
  </si>
  <si>
    <t>L BEAM TO VAULTED CEILING &amp; B/HEAD</t>
  </si>
  <si>
    <t>SUPPLY &amp; INSTALL R4.1 INSULATION TO RAKED CEILING</t>
  </si>
  <si>
    <t>ALL BUTT JOINTS TO BE BACK BLOCKED</t>
  </si>
  <si>
    <t>LINEAL METRES OF CORNICE</t>
  </si>
  <si>
    <t>HARDIFLEX LINING EXT. &amp; INT.</t>
  </si>
  <si>
    <t>CEILINGS STD</t>
  </si>
  <si>
    <t>EXTERNAL GYPROCK CEILINGS (2 COATS SOLAGARD)</t>
  </si>
  <si>
    <t>PAINT EXTERNAL FIBRE CEMENT WITH NEGATIVE DETAIL</t>
  </si>
  <si>
    <t>FIX1</t>
  </si>
  <si>
    <t>105 X 12 JH SCRIBE</t>
  </si>
  <si>
    <t>12 X 12 JARRAH QUAD 1.8M &amp; UP</t>
  </si>
  <si>
    <t>67 X 18 COLONIAL MDF PRIMED ARCHITRAVE (5.4M)</t>
  </si>
  <si>
    <t>1800 X 445 X 16MM MELAMINE SHELVING</t>
  </si>
  <si>
    <t>1800 X 595 X 16MM MELAMINE SHELVING</t>
  </si>
  <si>
    <t>2400 X 595 X 16MM MELAMINE SHELVING</t>
  </si>
  <si>
    <t>3600 X 595 X 16MM MELAMINE SHELVING</t>
  </si>
  <si>
    <t>2400 X 445 X 16MM MELAMINE SHELVING</t>
  </si>
  <si>
    <t>42 X 19 MERANTI</t>
  </si>
  <si>
    <t>66 X 18 DESIGN PINE DRESSED 5.4M</t>
  </si>
  <si>
    <t>3600 X 445 X 16MM MELAMINE SHELVING</t>
  </si>
  <si>
    <t>IMPRESSIONS CMB SMOOTH  2040*820</t>
  </si>
  <si>
    <t>IMPRESSIONS CMB SMOOTH  2040*720</t>
  </si>
  <si>
    <t>IMPRESSIONS CMB SMOOTH  2040*620</t>
  </si>
  <si>
    <t>IMPRESSIONS CMB SMOOTH  2015*620WC</t>
  </si>
  <si>
    <t>IMPRESSIONS CMB SMOOTH  2065*870GBR</t>
  </si>
  <si>
    <t>IMPRESSIONS CMB SMOOTH  2015*720WC</t>
  </si>
  <si>
    <t>IMPRESSIONS CMB SMOOTH  2015*820WC</t>
  </si>
  <si>
    <t>IMPRESSIONS CMB SMOOTH  2065*770GBR</t>
  </si>
  <si>
    <t>IMPRESSIONS CMB SMOOTH  2040*820 SOLID</t>
  </si>
  <si>
    <t>DELIVERY TO BUNBURY /DALYELLUP</t>
  </si>
  <si>
    <t>DELIVERY TO DONNYRBOOK</t>
  </si>
  <si>
    <t>OLIVE LEVERSET BRIGHT CHROME DUMMY</t>
  </si>
  <si>
    <t>OLIVE LEVERSET BRIGHT CHROME PASSAGE</t>
  </si>
  <si>
    <t>OLIVE LEVERSET BRIGHT CHROME PRIVACY</t>
  </si>
  <si>
    <t>19MM C.P.TOWLE RAIL 1800MM LONG</t>
  </si>
  <si>
    <t>19MM C.P.TOWLE RAIL 3600MM LONG</t>
  </si>
  <si>
    <t>19MM C.P. TWL RAIL ENDS (AS A PAIR)</t>
  </si>
  <si>
    <t>19MM C.P. TOWEL RAIL CTR PILLARS</t>
  </si>
  <si>
    <t>BUMPON -  DOOR BUFFERS STICK-ON (WHITE)</t>
  </si>
  <si>
    <t>RAVEN RP4 DOOR SEAL (SILVER) 825MM</t>
  </si>
  <si>
    <t>NAIL AND BOLT ALLOWANCE FOR FIX1NG DECKING PER 30M2</t>
  </si>
  <si>
    <t>COSMO METAL DOUBLE TOWEL RAIL 930MM BLACK</t>
  </si>
  <si>
    <t>COSMO TOWEL RING BLACK</t>
  </si>
  <si>
    <t>COSMO TOILET ROLL HOLDER BLACK</t>
  </si>
  <si>
    <t>EXTERNAL DOORS (INC PAINT BOTTOM EDGE)</t>
  </si>
  <si>
    <t>DOUBLE EXTERNAL DOORS (INC.PAINT BOTTOM EDGE)</t>
  </si>
  <si>
    <t>E/O - INSTALL 1200 WIDE HINGED DOOR ONLY</t>
  </si>
  <si>
    <t>INSTALL &amp; TRIM PIVOT DOOR SYSTEM INCLUDING HARDWARE</t>
  </si>
  <si>
    <t>INTERNAL DOORS (INC PAINT BOTTOM EDGE)</t>
  </si>
  <si>
    <t>E/O INTERNAL SOLID CORE OR GLAZED DOOR</t>
  </si>
  <si>
    <t>REBATE KIT</t>
  </si>
  <si>
    <t>BARREL/SHOOT BOLTS</t>
  </si>
  <si>
    <t>NAIL &amp; SCREW ALLOWANCE</t>
  </si>
  <si>
    <t>SHELVING</t>
  </si>
  <si>
    <t>TOWEL RAILS</t>
  </si>
  <si>
    <t>FIX TOWEL RING</t>
  </si>
  <si>
    <t>HANGING RAILS</t>
  </si>
  <si>
    <t>NOSING E/O MOULDINGS</t>
  </si>
  <si>
    <t>TIMBER CAPPING E/O MOULDINGS</t>
  </si>
  <si>
    <t>SKIRTINGS E/O MOULDINGS</t>
  </si>
  <si>
    <t>INSTALL ARCHITRAVE TO CAVITY SLIDER</t>
  </si>
  <si>
    <t>JARRAH DOOR TREAD TO METAL DOOR FRAME (GARAGE)</t>
  </si>
  <si>
    <t>DOOR SEALS</t>
  </si>
  <si>
    <t>PRE-FAB TIMBER PELMET (INC CUTTING DOWN)</t>
  </si>
  <si>
    <t>ASSEMBLE AND FIT CORINTHIAN CAVITY SLIDING DOOR UNIT</t>
  </si>
  <si>
    <t>TIMBER CORNICE</t>
  </si>
  <si>
    <t>PINE T&amp;G CEILING (ON THE RAKE)</t>
  </si>
  <si>
    <t>PINE T&amp;G CEILING</t>
  </si>
  <si>
    <t>GABLE MOULDINGS E/O MOULDINGS INC RAKING AREAS</t>
  </si>
  <si>
    <t>ARTICULATED CRANE (FOR 180UB OR LARGER)</t>
  </si>
  <si>
    <t>DOGMAN FOR CRANE ALLOWANCE</t>
  </si>
  <si>
    <t>DB-A100</t>
  </si>
  <si>
    <t>2c Longreach for Rods</t>
  </si>
  <si>
    <t>ELECTRICAL AS PER QUOTE</t>
  </si>
  <si>
    <t>KD Power</t>
  </si>
  <si>
    <t>SLOTS TO LINTELS &amp; TBARS (STANDARD)</t>
  </si>
  <si>
    <t>HIGH PERFORMANCE BUSHFIRE WEEPA (PACK 25) - BAL 12.5 &amp; BAL 19</t>
  </si>
  <si>
    <t>CAVITY VENT CONNECTOR 165 X 245 X 90MM</t>
  </si>
  <si>
    <t>S/STEEL WIND POST 2672 TO SUIT 2.4M WALL</t>
  </si>
  <si>
    <t>S/STEEL WIND POST 2972 TO SUIT 2.7M WALL</t>
  </si>
  <si>
    <t>S/STEEL WIND POST 3272 TO SUIT 3.0M WALL</t>
  </si>
  <si>
    <t>BULLARA 290 X 90 X 162</t>
  </si>
  <si>
    <t>BULLARA 290 X 90 X 76 CORED</t>
  </si>
  <si>
    <t>BULLARA 290 X 90 X 76 SOLID</t>
  </si>
  <si>
    <t>BULLARA 290 X 90 X 162 FINISHING BRICK</t>
  </si>
  <si>
    <t>LOONGANA LIMESTONE 290 X 90 X 162</t>
  </si>
  <si>
    <t>LOONGANA LIMESTONE 290 X 90 X 76 CORED</t>
  </si>
  <si>
    <t>LOONGANA LIMESTONE 290 X 90 X 76 SOLID</t>
  </si>
  <si>
    <t>LOONGANA LIMESTONE 290 X 90 X 162 FINISHING BRICK</t>
  </si>
  <si>
    <t>BRICK LINTELS (BUSSELTON AREA)</t>
  </si>
  <si>
    <t>BRICK LINTELS (AUGUSTA AREA)</t>
  </si>
  <si>
    <t>BRICK LINTELS (BOYUP BROOK AREA)</t>
  </si>
  <si>
    <t>BRICK LINTELS (BRIDGETOWN AREA)</t>
  </si>
  <si>
    <t>BRICK LINTELS (COWARAMUP/MARGARET RIVER AREA)</t>
  </si>
  <si>
    <t>BRICK LINTELS (DUNSBOROUGH AREA)</t>
  </si>
  <si>
    <t>BRICK LINTELS (NANNUP)</t>
  </si>
  <si>
    <t>BRICK LINTELS (PEMBERTON)</t>
  </si>
  <si>
    <t>BRICK LINTELS (YALLINGUP)</t>
  </si>
  <si>
    <t>100 X 100 X 6 END PACKER</t>
  </si>
  <si>
    <t>CLEAT E - HDG LOOSE (FOR TIE DOWN ROD)</t>
  </si>
  <si>
    <t>CLEAT F - HDG LOOSE (FOR UB TO PER ROD)</t>
  </si>
  <si>
    <t>SITE WELDING ALLOWANCE (PER JOB)</t>
  </si>
  <si>
    <t>EXTRA STRIKER BOX FITTED FOR DEADLOCK</t>
  </si>
  <si>
    <t>C:\Users\Main\Desktop\Work\AutoHotkey</t>
  </si>
  <si>
    <t>*UB*</t>
  </si>
  <si>
    <t>C:\Users\Main\Desktop\Work\Jobs\</t>
  </si>
  <si>
    <t>A100</t>
  </si>
  <si>
    <t>1c Cored Face Other</t>
  </si>
  <si>
    <t>KENNEDY 290 X 90 X 162</t>
  </si>
  <si>
    <t>KENNEDY 290 X 90 X 76 CORED</t>
  </si>
  <si>
    <t>KENNEDY 290 X 90 X 76 SOLID</t>
  </si>
  <si>
    <t>KENNEDY 290 X 90 X 162 FINISHING BRICK</t>
  </si>
  <si>
    <t>MODULAR 76 BRICKS INCLUDES FACE (AUGUSTA AREA)</t>
  </si>
  <si>
    <t>MODULAR 76 BRICKS INCLUDES FACE (BOYUP BROOK AREA)</t>
  </si>
  <si>
    <t>MODULAR 76 BRICKS INCLUDES FACE (BUSSELTON AREA)</t>
  </si>
  <si>
    <t>MODULAR 76 BRICKS INCLUDES FACE (COWARAMUP/MARGARET RIVER AREA)</t>
  </si>
  <si>
    <t>MODULAR 76 BRICKS INCLUDES FACE (YALLINGUP AREA)</t>
  </si>
  <si>
    <t>MODULAR 76 BRICKS INCLUDES FACE (DUNSBOROUGH AREA)</t>
  </si>
  <si>
    <t>CM4</t>
  </si>
  <si>
    <t>150*270*150</t>
  </si>
  <si>
    <t>PRELAY1</t>
  </si>
  <si>
    <t>CTUBE1</t>
  </si>
  <si>
    <t>PLUMBING TUBE - PROGRESS CLAIM AS PER QUOTE</t>
  </si>
  <si>
    <t>IPLUM</t>
  </si>
  <si>
    <t>SANI - PROGRESS CLAIM AS PER QUOTE</t>
  </si>
  <si>
    <t>FINAL</t>
  </si>
  <si>
    <t>FINAL - PROGRESS CLAIM AS PER QUOTE</t>
  </si>
  <si>
    <t>KORDON TERMITE BARRIER TO ZERO LOT SGL LEAF WALLS</t>
  </si>
  <si>
    <t>GRANIT-GUARD TO ZERO LOT CAVITY WALLS (OVER 5M)</t>
  </si>
  <si>
    <t>GRANIT-GUARD TO ZERO LOT CAVITY WALLS (UNDER 5M)</t>
  </si>
  <si>
    <t>PERIMETER TERMITE TREATMENT ONLY (SLAB SPRAY BY OTHERS) W/- STICKER TO M/BOX</t>
  </si>
  <si>
    <t>SPRAY TO PENETRATIONS ONLY</t>
  </si>
  <si>
    <t>TRAVEL ALLOWANCE - (PER TRIP)  -  MARGARET RIVER</t>
  </si>
  <si>
    <t>1c Face Brick to perimter of 2c Face Block house - 1 row of solids</t>
  </si>
  <si>
    <t xml:space="preserve">ZONE 2 - </t>
  </si>
  <si>
    <t>ZONE 3 -</t>
  </si>
  <si>
    <t xml:space="preserve">ZONE 4 - </t>
  </si>
  <si>
    <t xml:space="preserve">ZONE 5 - </t>
  </si>
  <si>
    <t xml:space="preserve">ZONE 6 - </t>
  </si>
  <si>
    <t xml:space="preserve">ZONE 8 - </t>
  </si>
  <si>
    <t xml:space="preserve">ZONE 9 - </t>
  </si>
  <si>
    <t xml:space="preserve">ZONE 10 - </t>
  </si>
  <si>
    <t>KEYED ALIKE - PER CYLINDER</t>
  </si>
  <si>
    <t>TILES</t>
  </si>
  <si>
    <t>LINTELS</t>
  </si>
  <si>
    <t>Cover m2</t>
  </si>
  <si>
    <t>m2 per unit</t>
  </si>
  <si>
    <t>Axon 133mm Smooth</t>
  </si>
  <si>
    <t>105x12</t>
  </si>
  <si>
    <t>BATHROOM WALL TILES</t>
  </si>
  <si>
    <t>BATHROOM FLOOR TILES</t>
  </si>
  <si>
    <t>W.C. WALL TILES</t>
  </si>
  <si>
    <t>W.C. FLOOR TILES</t>
  </si>
  <si>
    <t>L'DRY WALL TILES</t>
  </si>
  <si>
    <t>L'DRY FLOOR TILES</t>
  </si>
  <si>
    <t>10 X 10 ALUMINIUM ANGLE</t>
  </si>
  <si>
    <t>GROUT 1.5KG</t>
  </si>
  <si>
    <t>DELIVERY (PER PALLET)</t>
  </si>
  <si>
    <t>WALL TILES (TO WET AREAS) MAX.300X300</t>
  </si>
  <si>
    <t>FLOOR TILES INC.MTL STRPS (WET AREAS) MAX.300X300</t>
  </si>
  <si>
    <t>TILE GLUE POWDERMASTIC SUPPLY</t>
  </si>
  <si>
    <t>*FLOOR TILES TO LIVING AREAS</t>
  </si>
  <si>
    <t>BATH HOB E/O 1 END</t>
  </si>
  <si>
    <t>BRICK IN BATH (INC.1 END)</t>
  </si>
  <si>
    <t>BRICK UP TO VANITY</t>
  </si>
  <si>
    <t>ONE HOB SHOWER</t>
  </si>
  <si>
    <t>TWO HOB SHOWER</t>
  </si>
  <si>
    <t>E/O SMALL FORMAT SUBWAY TILES (EG 300X75/100, 200X75/100)</t>
  </si>
  <si>
    <t>EO checkerboard tiling</t>
  </si>
  <si>
    <t>Checkerboard</t>
  </si>
  <si>
    <t>EO hexagonal tiling</t>
  </si>
  <si>
    <t>Hexagonal</t>
  </si>
  <si>
    <t>E/O CHECKERBOARD PATTERN - MORE THAN ONE COLOUR</t>
  </si>
  <si>
    <t>E/O HEXAGONAL SHAPED TILING / NON SQUARE</t>
  </si>
  <si>
    <t>MITRED TILES (PER LIN M)</t>
  </si>
  <si>
    <t>Listello Pieces</t>
  </si>
  <si>
    <t>EO for larger than 300x300</t>
  </si>
  <si>
    <t>E/O FOR TILES LARGER THAN 300X300</t>
  </si>
  <si>
    <t>E/O PORCELAIN-VITRIFIED-RECTIFIED TILES</t>
  </si>
  <si>
    <t>E/O RECTIFIED EDGE TO CERAMIC TILES</t>
  </si>
  <si>
    <t>Mosaics M2</t>
  </si>
  <si>
    <t>2015 X 720 INTERNAL DOOR R/COTE</t>
  </si>
  <si>
    <t>2015 X 620 INTERNAL DOOR R/COTE</t>
  </si>
  <si>
    <t>2040 X 520 INTERNAL DOOR R/COTE</t>
  </si>
  <si>
    <t>2040 X 620 INTERNAL DOOR R/COTE</t>
  </si>
  <si>
    <t>2040 X 720 INTERNAL DOOR R/COTE</t>
  </si>
  <si>
    <t>2040 X 820 INTERNAL DOOR R/COTE</t>
  </si>
  <si>
    <t>2065 X 870 INTERNAL SLIDER R/COTE</t>
  </si>
  <si>
    <t>2040 X 820 SOLIDOR DURA TEMP HARDBOARD</t>
  </si>
  <si>
    <t>JUNIOR SLIDING DOOR TRACK</t>
  </si>
  <si>
    <t>ARCHITRAVE SLIDING DOOR GUIDE METAL 57000059</t>
  </si>
  <si>
    <t>TRI-LOCK LEVER ANGULAR 8901 DOUBLE CYLINDER (MATT BLACK)</t>
  </si>
  <si>
    <t>SCAFF1</t>
  </si>
  <si>
    <t>SCAFFOLD AS QUOTED</t>
  </si>
  <si>
    <t>CHASE WALLS UP TO QTY OF 10 (MINIMUM CHARGE)</t>
  </si>
  <si>
    <t>CHASE WALLS OVER FIRST 10 TO JOB</t>
  </si>
  <si>
    <t>HARDWARE ALLOWANCE (PER JOB)</t>
  </si>
  <si>
    <t>CHISEL OUT AND INSTALL ROD (TO CHASE)</t>
  </si>
  <si>
    <t>DELIVERY NORTHCLIFFE</t>
  </si>
  <si>
    <t>DELIVERY BALINGUP</t>
  </si>
  <si>
    <t>DELIVERY NANNUP</t>
  </si>
  <si>
    <t>DELIVERY KULIKUP</t>
  </si>
  <si>
    <t>DELIVERY YARLOOP</t>
  </si>
  <si>
    <t>DELIVERY BUSSELTON</t>
  </si>
  <si>
    <t>DELIVERY YALLINGUP</t>
  </si>
  <si>
    <t>DELIVERY COWARAMUP</t>
  </si>
  <si>
    <t>DELIVERY WITCHCLIFFE</t>
  </si>
  <si>
    <t>DELIVERY AUGUSTA</t>
  </si>
  <si>
    <t>DELIVERY KARRIDALE</t>
  </si>
  <si>
    <t>DELIVERY DALYELUP</t>
  </si>
  <si>
    <t>DELIVERY BUNBURY</t>
  </si>
  <si>
    <t>DELIVERY MILLBRIDGE</t>
  </si>
  <si>
    <t>DELIVERY AUSTRALIND</t>
  </si>
  <si>
    <t>DELIVERY MYALUP</t>
  </si>
  <si>
    <t>DELIVERY BINNINGUP</t>
  </si>
  <si>
    <t>DELIVERY DARDANUP</t>
  </si>
  <si>
    <t>DELIVERY HARVEY</t>
  </si>
  <si>
    <t>DELIVERY BRUNSWICK</t>
  </si>
  <si>
    <t>DELIVERY PINJARRA</t>
  </si>
  <si>
    <t>DELIVERY WAROONA</t>
  </si>
  <si>
    <t>DELIVERY COLLIE</t>
  </si>
  <si>
    <t>DELIVERY DWELLINGUP</t>
  </si>
  <si>
    <t>DELIVERY DONNYBROOK</t>
  </si>
  <si>
    <t>DELIVERY BOYANUP</t>
  </si>
  <si>
    <t>DELIVERY BOYUP BROOK</t>
  </si>
  <si>
    <t>DELIVERY MOODIARRUP</t>
  </si>
  <si>
    <t>DELIVERY BRIDGETOWN</t>
  </si>
  <si>
    <t>DELIVERY MANJIMUP</t>
  </si>
  <si>
    <t>DELIVERY PEMBERTON</t>
  </si>
  <si>
    <t>DELIVERY COOKERNUP</t>
  </si>
  <si>
    <t>INSTALL 6MM FIBRE CEMENT (NAILED) WITH NEGATIVE DETAIL JOIN ON FLAT (NO JOINT STRIP)</t>
  </si>
  <si>
    <t>INSTALL LINEA REVEALS PER WINDOW (INC'S CUTTING DOWN)</t>
  </si>
  <si>
    <t>CUT CLADDING INTO FRAMES</t>
  </si>
  <si>
    <t>TRIM OUT FOR MAN-HOLE / RETURN AIR</t>
  </si>
  <si>
    <t>RCOVM1</t>
  </si>
  <si>
    <t>COLOURBOND ROOF AS QUOTED</t>
  </si>
  <si>
    <t>RCOVM2</t>
  </si>
  <si>
    <t>2040 X 820 SLIMLINE 3000 CAVITY SLIDER UNIT (90MM)</t>
  </si>
  <si>
    <t>2040 X 870 SLIMLINE 3000 CAVITY SLIDER UNIT (90MM)</t>
  </si>
  <si>
    <t>2040 X 720 SLIMLINE 3000 CAVITY SLIDER UNIT (90MM)</t>
  </si>
  <si>
    <t>2040 X 620 SLIMLINE 3000 CAVITY SLIDER UNIT (90MM)</t>
  </si>
  <si>
    <t>2040 X 920 SLIMLINE 3000 CAVITY SLIDER UNIT (90MM)</t>
  </si>
  <si>
    <t>2040 X 1440 SLIMLINE 3000 CAVITY SLIDER UNIT-90MM</t>
  </si>
  <si>
    <t>2040 X 1240 SLIMLINE 3000 CAVITY SLIDER UNIT-90MM</t>
  </si>
  <si>
    <t>2040 X 1640 SLIMLINE 3000 CAVITY SLIDER UNIT-90MM</t>
  </si>
  <si>
    <t>2040 X 1740 SLIMLINE 3000 CAVITY SLIDER UNIT-90MM</t>
  </si>
  <si>
    <t>FIBREGLASS BATT INSUL. R2.0 WALLS (SUPPLY ONLY)</t>
  </si>
  <si>
    <t>DELIVERY EX: PLASTERBOARD VASSE - ZONE A (BUSSELTON)</t>
  </si>
  <si>
    <t>DELIVERY EX: PLASTERBOARD VASSE - ZONE B (DUNSBOROUGH, YALLINGUP)</t>
  </si>
  <si>
    <t>DELIVERY EX: PLASTERBOARD VASSE - ZONE C (CAPEL, NANNUP)</t>
  </si>
  <si>
    <t>DELIVERY EX: PLASTERBOARD MARGARET RIVER - ZONE A (TOWN)</t>
  </si>
  <si>
    <t>DELIVERY EX: PLASTERBOARD MARGARET RIVER - ZONE B (PREVELLY, WITCHCLIFFE)</t>
  </si>
  <si>
    <t>RETURN TRIP FOR FINAL FIX</t>
  </si>
  <si>
    <t>ETUBE1</t>
  </si>
  <si>
    <t>FIBRE SERVICE - 3 POINT PACK (INCL. 1 X PHONE POINT, 1 X DATA POINT, 1 X TV POINT, INTERNAL NBN CONDUIT &amp; 3 GANG CONNECTION PLATE)</t>
  </si>
  <si>
    <t>AIRC1</t>
  </si>
  <si>
    <t>AIR CONDITIONING AS PER QUOTE</t>
  </si>
  <si>
    <t>EXTERNAL WALL FLOAT ONLY (FOR ACRYLIC FINISH) GROUND FLOOR</t>
  </si>
  <si>
    <t>TEXT1</t>
  </si>
  <si>
    <t>ACRYLIC / TEXTURE RENDER (FLOAT BY BUILDER) - GROUND FLOOR</t>
  </si>
  <si>
    <t>ACRYLIC / TEXTURE RENDER (FLOAT BY BUILDER) - TOP FLOOR</t>
  </si>
  <si>
    <t>TEXTURE COATING 2 COATS TO STICK ON MOULDINGS</t>
  </si>
  <si>
    <t>ACRYLIC TEXTURE CORBELLING</t>
  </si>
  <si>
    <t>ACRYLIC TEXTURE PIERS</t>
  </si>
  <si>
    <t>Sand M3</t>
  </si>
  <si>
    <t>PLASTERING SAND (BUSSELTON / VASSE)</t>
  </si>
  <si>
    <t>PLASTERING SAND (CAPEL)</t>
  </si>
  <si>
    <t>PLASTERING SAND (AUGUSTA)</t>
  </si>
  <si>
    <t>PLASTERING SAND (AUSTRALIND)</t>
  </si>
  <si>
    <t>PLASTERING SAND (BINNINGUP)</t>
  </si>
  <si>
    <t>PLASTERING SAND (EATON)</t>
  </si>
  <si>
    <t>PLASTERING SAND (DUNSBOROUGH)</t>
  </si>
  <si>
    <t>PLASTERING SAND (DONNYBROOK / BROOKHAMPTON)</t>
  </si>
  <si>
    <t>PLASTERING SAND (COWARAMUP)</t>
  </si>
  <si>
    <t>PLASTERING SAND (HARVEY)</t>
  </si>
  <si>
    <t>PLASTERING SAND (MARG RIVER)</t>
  </si>
  <si>
    <t>PLASTERING SAND (WAROONA)</t>
  </si>
  <si>
    <t>PLASTERING SAND (MANJIMUP / DINGUP)</t>
  </si>
  <si>
    <t>PLASTERING SAND (YALLINGUP)</t>
  </si>
  <si>
    <t>PLASTERING SAND (WITCHCLIFFE)</t>
  </si>
  <si>
    <t>YELLOW PLASTERING SAND (COLLIE)</t>
  </si>
  <si>
    <t>PLASTERING SAND (BUREKUP)</t>
  </si>
  <si>
    <t>PLASTERING SAND (BRUNSWICK)</t>
  </si>
  <si>
    <t>PLASTERING SAND (BRIDGETOWN)</t>
  </si>
  <si>
    <t>PLASTERING SAND (BALINGUP)</t>
  </si>
  <si>
    <t>PLASTERING SAND (BOYANUP)</t>
  </si>
  <si>
    <t>PLASTERING SAND (BOYUP BROOK)</t>
  </si>
  <si>
    <t>PLASTERING SAND (DARDANUP)</t>
  </si>
  <si>
    <t>FLOAT1</t>
  </si>
  <si>
    <t>GYPROCK TO TIMBER STUD WALLS 2.4 - 2.7M HIGH (O/A)</t>
  </si>
  <si>
    <t>8MM GYPROCK DRY WALL LINING OVER 2700 HIGH</t>
  </si>
  <si>
    <t>Internal Walls up to 31c</t>
  </si>
  <si>
    <t>Internal Walls over 31c</t>
  </si>
  <si>
    <t>CEILING VENTS E/O (EACH)</t>
  </si>
  <si>
    <t>SUPPLY &amp; FIX ALUMINIUM MANHOLE TRIM</t>
  </si>
  <si>
    <t>EXTRA MANHOLE SUPL'D &amp; FIT'D W/- ALUMINIUM TRIM</t>
  </si>
  <si>
    <t>E/O BORAL LINEAR CORNICE</t>
  </si>
  <si>
    <t>30 X 30 X 5.4M DESIGN PINE SCOTIA</t>
  </si>
  <si>
    <t>100MM LONG BARREL BOLT BRZ/CP/PB/SC</t>
  </si>
  <si>
    <t>BUTTS 100MM Z/P LOOSE PIN HINGE</t>
  </si>
  <si>
    <t>PRE-FAB. TIMBER PELMET 1800MM LONG (PAINT)</t>
  </si>
  <si>
    <t>DOUBLE PELMET PAINT GRADE</t>
  </si>
  <si>
    <t>HINGE BALL BEARING DESIGN 316 100X75X2.5 SC 304SS D3HNGSCP10075</t>
  </si>
  <si>
    <t>LANES ROLLER CATCH #437 NYLON TYPE (ZINK-ROMAK)</t>
  </si>
  <si>
    <t>NYLON GRIPPER CATCHES</t>
  </si>
  <si>
    <t>CUPBDS</t>
  </si>
  <si>
    <t>SUPPLY &amp; FIX CUPBOARDS AS PER QUOTE</t>
  </si>
  <si>
    <t>E/O TO FIX GAINS. TRI-LOCK</t>
  </si>
  <si>
    <t>FIX DEADBOLT</t>
  </si>
  <si>
    <t>PLUMBING FIXTURES SUPPLIED BY ACTIVE PLUMBING IN QUOTE</t>
  </si>
  <si>
    <t>APPLIAN</t>
  </si>
  <si>
    <t>WESTINGHOUSE WVE615DSCA WALL OVEN (DARK SS)</t>
  </si>
  <si>
    <t>WESTINGHOUSE WHG958BC GAS HOTPLATE (BLACK GLOSS)</t>
  </si>
  <si>
    <t>WESTINGHOUSE WRI814BB 80CM RANGEHOOD (DARK SS)</t>
  </si>
  <si>
    <t>OUTER AREA DELIVERY (PER ITEM)</t>
  </si>
  <si>
    <t>HWS</t>
  </si>
  <si>
    <t>RHEEM METRO MAX CONTINUOUS FLOW GAS 876T26 50 DEG</t>
  </si>
  <si>
    <t>OUTER AREA DELIVERY (1 ITEM ONLY)</t>
  </si>
  <si>
    <t>FSCRAP1</t>
  </si>
  <si>
    <t>FLOOR SCRAPE (SINGLE STOREY)</t>
  </si>
  <si>
    <t>DELIVERY TO BUNBURY - EX BUSSELTON STORE</t>
  </si>
  <si>
    <t>DELIVERY TO BUSSELTON - EX BUSSELTON STORE</t>
  </si>
  <si>
    <t>DELIVERY TO DENMARK</t>
  </si>
  <si>
    <t>DELIVERY TO DUNSBOROUGH - EX BUSSELTON STORE</t>
  </si>
  <si>
    <t>DELIVERY TO MARGARET RIVER - EX BUSSELTON STORE</t>
  </si>
  <si>
    <t>DELIVERY TO YALLINGUP - EX BUSSELTON STORE</t>
  </si>
  <si>
    <t>SCREED TO WET AREA FLOORS</t>
  </si>
  <si>
    <t>SETUP AND INSTALL SHOWER GRATE</t>
  </si>
  <si>
    <t>RETURN TRIP FOR WALL FACED TOILET</t>
  </si>
  <si>
    <t>FLEXIBLE SEALANT MUST BE USED TO BATH</t>
  </si>
  <si>
    <t>FLEXIBLE SEALANT MUST BE USED TO ALL BENCHTOPS</t>
  </si>
  <si>
    <t>NIB WALL</t>
  </si>
  <si>
    <t>DAVCO DAMPFAST WATERPROOFING TO SHOWERS</t>
  </si>
  <si>
    <t>DAVCO DAMPFAST WATERPROOFING TO BATH, SPLASH &amp; JUNCTIONS</t>
  </si>
  <si>
    <t>SET UP &amp; INSTALL BERMUDA OR SIMILAR TILE INSERT WASTE</t>
  </si>
  <si>
    <t>DAVCO DAMPFAST WATERPROOFING TO JUNCTIONS (NO BATH IN WET AREA)</t>
  </si>
  <si>
    <t>BRICKUP ROMAN BATH (INC.WATERPROOFING)</t>
  </si>
  <si>
    <t>BRICK IN SPA INCL. STEPS</t>
  </si>
  <si>
    <t>E/O FOR TILES LAID IN 45 DEG PATTERN</t>
  </si>
  <si>
    <t>MUST ENSURE ADEQUATE FALLS TO ALL FLOOR WASTES</t>
  </si>
  <si>
    <t>USE DAVCO ULTRAPRIME &amp; K10 WATERPROOFER WITH BOND BREAKER IN ALL CORNERS AS PER MANUFACTURERS INSTRUCTIONS</t>
  </si>
  <si>
    <t>GAP BETWEEN TILE &amp; VANITY TOP 3MM FOR SEALANT</t>
  </si>
  <si>
    <t>FLEXIBLE SEALANT ONLY TO SHOWER FLOOR / WALL JUNCTION</t>
  </si>
  <si>
    <t>PLEASE PLACE ALL RUBBISH &amp; WASTE IN BIN</t>
  </si>
  <si>
    <t>ENTER HARDIFLEX SHEETS FROM IND. TIMB. CUT LIST</t>
  </si>
  <si>
    <t>BOT &amp;TOP EXTERNAL &amp; WET AREA DOORS MUST BE SEALED WITH 2 COATS</t>
  </si>
  <si>
    <t>SHOWER</t>
  </si>
  <si>
    <t>PAINT1</t>
  </si>
  <si>
    <t>WATTYL PAINTS TO BE USED</t>
  </si>
  <si>
    <t>PAINT HARDIES PRIMELINE WEATHERBOARDS</t>
  </si>
  <si>
    <t>TWO TONE GUTTER/FASCIA E/O STD</t>
  </si>
  <si>
    <t>DOWNPIPES,M/BOX,FLUMES,VALLEY IRONS,EXT PIPES ETC</t>
  </si>
  <si>
    <t>GUTTERS OR FASCIA ONLY</t>
  </si>
  <si>
    <t>GUTTERS / FASCIA</t>
  </si>
  <si>
    <t>PAINT RENDERED DADO/SILLS</t>
  </si>
  <si>
    <t>TIMBER DOOR FRAMES (SINGLE)</t>
  </si>
  <si>
    <t>TIMBER DOOR FRAMES (DOUBLE)</t>
  </si>
  <si>
    <t>VERGE H/FLEX (300MM WIDE)</t>
  </si>
  <si>
    <t>GABLE MOULDINGS E.O. MOULDINGS</t>
  </si>
  <si>
    <t>PAINT FINIAL POST</t>
  </si>
  <si>
    <t>FRONT DOOR PAINT (1200MM WIDE)</t>
  </si>
  <si>
    <t>FRONT DOOR PAINT PAINT OR STAIN</t>
  </si>
  <si>
    <t>1 DOOR JAMB</t>
  </si>
  <si>
    <t>2 DOOR JAMB</t>
  </si>
  <si>
    <t>PAINT EXPOSED STEEL BEAMS</t>
  </si>
  <si>
    <t>GAP AXON / HERITAGE / SCYON 4 SIDES</t>
  </si>
  <si>
    <t>GAP RENDER EXTERNALLY</t>
  </si>
  <si>
    <t>PAINT EXPOSED BATTENS TO IRON ROOF</t>
  </si>
  <si>
    <t>EXTERNAL RENDER (GRANOPRIME + 2 COATS GRANOSITE)</t>
  </si>
  <si>
    <t>E/O SECOND COLOUR RENDER</t>
  </si>
  <si>
    <t>INTERNAL DOOR - FLUSH</t>
  </si>
  <si>
    <t>COLONIAL GLAZED DOORS (PAINTED BOTH SIDES)</t>
  </si>
  <si>
    <t>COLONIAL PANELED DOORS</t>
  </si>
  <si>
    <t>FULL HEIGHT DOORS</t>
  </si>
  <si>
    <t>1 DOOR JAMB FULL HEIGHT</t>
  </si>
  <si>
    <t>SKIRTINGS E.0 MOULDINGS</t>
  </si>
  <si>
    <t>EXPOSED BEAMS</t>
  </si>
  <si>
    <t>EXPOSED (BOLTING) PLATE</t>
  </si>
  <si>
    <t>TIMBER POSTS</t>
  </si>
  <si>
    <t>TIMBER BUSH POLES</t>
  </si>
  <si>
    <t>INT. WALLS 1 COAT SEALER 2 COATS WASHABLE ACRYLIC</t>
  </si>
  <si>
    <t>TIMBER PELMETS EACH E/O MOULDINGS</t>
  </si>
  <si>
    <t>E/O FOR NOSINGS &amp; CAPPINGS</t>
  </si>
  <si>
    <t>NOTE: RENDER MUST BE PAINTED TO TOP OF FOOTING</t>
  </si>
  <si>
    <t>FULL TOUCH UP CAN OF EACH COLOUR TO BE LEFT ONSITE</t>
  </si>
  <si>
    <t>TIMBER FRAME W/- SIDELIGHT</t>
  </si>
  <si>
    <t>SIKKENS TO WESTERN RED CEDAR PLANKING</t>
  </si>
  <si>
    <t>PAINT STAIRCASE BALUSTRADE</t>
  </si>
  <si>
    <t>TILE ROOF (VALLEY/FLUMES)</t>
  </si>
  <si>
    <t>INSTALLATION OF STANDARD CANOPY RANGEHOOD</t>
  </si>
  <si>
    <t>SUPPLY AND FIT FLUE TO SUIT RANGEHOOD</t>
  </si>
  <si>
    <t>RHOOD</t>
  </si>
  <si>
    <t>TRAVEL TO COLLIE</t>
  </si>
  <si>
    <t>TRAVEL TO HARVEY</t>
  </si>
  <si>
    <t>SOLARP</t>
  </si>
  <si>
    <t>SOLAR PACKAGE - 3.42KW SYSTEM</t>
  </si>
  <si>
    <t>SUPPLY ONLY 20:14:80 CONCRETE TO MARGARET RIVER / COWARAMUP</t>
  </si>
  <si>
    <t>GARAGE ONLY HARDSTAND LABOUR</t>
  </si>
  <si>
    <t>CARPORT / ALFRESCO / DRIVEWAYS / PATHS LABOUR</t>
  </si>
  <si>
    <t>Mass Brick Reatining Wall A</t>
  </si>
  <si>
    <t>Courses Heigh</t>
  </si>
  <si>
    <t>Courses Wide</t>
  </si>
  <si>
    <t>FIREPLACE AS QUOTED 1372</t>
  </si>
  <si>
    <t>DAMP COURSE MUST BE USED ON THE 1ST COURSE OF THE</t>
  </si>
  <si>
    <t>INTERNAL &amp; EXTERNAL (RENDERED) RING BEAM AND ALSO THE 1ST</t>
  </si>
  <si>
    <t>COURSE OF ALL THE WET AREA WALLS</t>
  </si>
  <si>
    <t>S15</t>
  </si>
  <si>
    <t>Longreach to odd course render brick</t>
  </si>
  <si>
    <t>25C X 1200 WIDE HINGED EVO PLUS ENTRY DOOR FRAME</t>
  </si>
  <si>
    <t>TIE DOWN CHASING THREADED ROD 3.0M INCL 90 DEG BEND (NO CLEAT)</t>
  </si>
  <si>
    <t>2040 X 920 LH 90 B/OPENING W/- 3 HINGES</t>
  </si>
  <si>
    <t>2040 X 920 RH 90 B/OPENING W/- 3 HINGES</t>
  </si>
  <si>
    <t>PS Amount</t>
  </si>
  <si>
    <t>BOQ Amount</t>
  </si>
  <si>
    <t>Line item/description</t>
  </si>
  <si>
    <t>Quote Value</t>
  </si>
  <si>
    <t>Active Plumbing Site</t>
  </si>
  <si>
    <t>Active Plumbing Drains</t>
  </si>
  <si>
    <t>Active Plumbing Storm</t>
  </si>
  <si>
    <t>Active Plumbing Ctube</t>
  </si>
  <si>
    <t>Active Plumbing Sani</t>
  </si>
  <si>
    <t>Active Plumbing Final</t>
  </si>
  <si>
    <t>Warrick Welding</t>
  </si>
  <si>
    <t>Roof Cover</t>
  </si>
  <si>
    <t>CARPET</t>
  </si>
  <si>
    <t>Air Conditioner</t>
  </si>
  <si>
    <t>Cabinets</t>
  </si>
  <si>
    <t>Electrical</t>
  </si>
  <si>
    <t>Structural Steel</t>
  </si>
  <si>
    <t>Scaffolding</t>
  </si>
  <si>
    <t>SRG Global</t>
  </si>
  <si>
    <t>AAC Moulding</t>
  </si>
  <si>
    <t>Linear Architectural Systems</t>
  </si>
  <si>
    <t>Requested</t>
  </si>
  <si>
    <t>Fibre Cement Ceilings</t>
  </si>
  <si>
    <t>BORAL GYPROCK MUST BE USED</t>
  </si>
  <si>
    <t>SUPPLY,FIX &amp; FLUSH 6MM VILLABOARD</t>
  </si>
  <si>
    <t>FURRING CHANNELS TO TIMBER</t>
  </si>
  <si>
    <t>RENDERED EXT. WINDOW SILLS</t>
  </si>
  <si>
    <t>PLAST'S NOT CLEANING OUT WINDOWS WILL BE B/CHARGED</t>
  </si>
  <si>
    <t>2ND CLEAN - LOCK UP &amp; BOX OUT GARAGE</t>
  </si>
  <si>
    <t>SITE GLAZING AS PER QUOTE</t>
  </si>
  <si>
    <t>TRI-LOCK LEVER ANGULAR 8901 DOUBLE CYLINDER SC</t>
  </si>
  <si>
    <t>COSMO DOUBLE TOWEL RAIL CHROME 900MM</t>
  </si>
  <si>
    <t>COSMO TOILET ROLL HOLDER CHROME</t>
  </si>
  <si>
    <t>COSMO TOWEL RING CHROME</t>
  </si>
  <si>
    <t>WESTINGHOUSE WHG955SB HOT PLATE (S/STEEL)*</t>
  </si>
  <si>
    <t>WESTINGHOUSE WVE915SC 900MM ELECT OVEN (S/STEEL)</t>
  </si>
  <si>
    <t>WESTINGHOUSE WVE915SCA 900MM OVEN</t>
  </si>
  <si>
    <t>WESTINGHOUSE WRF900CS 900MM RANGEHOOD S/STEEL</t>
  </si>
  <si>
    <t>SUPPLY ONLY 20:14:80 CONCRETE TO BUSSELTON</t>
  </si>
  <si>
    <t>PAVIN</t>
  </si>
  <si>
    <t>PAVING SAND ALLOWANCE PER JOB</t>
  </si>
  <si>
    <t>PAVING BRICKS (BUSSELTON AREA) (PER PACK)</t>
  </si>
  <si>
    <t>15% FUEL LEVY</t>
  </si>
  <si>
    <t>AREA INCL COMPACT BASE &amp; CEMENT EDGES</t>
  </si>
  <si>
    <t>EXTRA FOR CURVED PAVING</t>
  </si>
  <si>
    <t>E/O 300 X 300 PAVERS OR LARGER</t>
  </si>
  <si>
    <t>E/O FOR FLAGSTONE PAVING</t>
  </si>
  <si>
    <t>EXPOSED AGGREGATE LABOUR</t>
  </si>
  <si>
    <t>INSUL</t>
  </si>
  <si>
    <t>BATT INSUL. R4.1 FLAT AREA (SOUTH WEST)</t>
  </si>
  <si>
    <t>BATT INSUL. R5.0 FLAT AREA (SOUTH WEST)</t>
  </si>
  <si>
    <t>INSTALLATION TO HOUSE &amp; GARAGE AREAS</t>
  </si>
  <si>
    <t>JOISTS SPACING IS 600MM IN MAIN HOUSE AREA</t>
  </si>
  <si>
    <t>JOISTS SPACING IS 450MM TO GARAGE AREA</t>
  </si>
  <si>
    <t>INSTALL R4.1 TO RAKING AREAS (SOUTH WEST)</t>
  </si>
  <si>
    <t>TRAVEL ALLOWANCE - (PER TRIP) - DARDANUP (SW)</t>
  </si>
  <si>
    <t>TRAVEL ALLOWANCE - (PER TRIP) - AUGUSTA (SW)</t>
  </si>
  <si>
    <t>TRAVEL ALLOWANCE - (PER TRIP) - BALINGUP</t>
  </si>
  <si>
    <t>TRAVEL ALLOWANCE - (PER TRIP) - BINNINGUP (SW)</t>
  </si>
  <si>
    <t>TRAVEL ALLOWANCE - (PER TRIP) - BUNBURY (SW)</t>
  </si>
  <si>
    <t>TRAVEL ALLOWANCE - (PER TRIP) - BUSSELTON (SW)</t>
  </si>
  <si>
    <t>TRAVEL ALLOWANCE - (PER TRIP) - COWARAMUP (SW)</t>
  </si>
  <si>
    <t>FINAL CLEAN</t>
  </si>
  <si>
    <t>HOUSE CLEAN (AREA) ALL IN RATE</t>
  </si>
  <si>
    <t>COLONIAL GLAZED DOORS</t>
  </si>
  <si>
    <t>E/O FOR FULL RENDER HOUSE</t>
  </si>
  <si>
    <t>E/O FRONT ELEVATION RENDER ONLY</t>
  </si>
  <si>
    <t>E/O FOR TWO STOREY WORK PER WINDOW</t>
  </si>
  <si>
    <t>COLORBOND SECTIONAL DOOR UP TO 26C X 5005 - 5300W AUTOMATIC DOUBLE WIDTH</t>
  </si>
  <si>
    <t>EXTRAS - SECTIONAL DOOR STANDARD PELMET 250MM SMOOTH FINISH (PER DOOR)</t>
  </si>
  <si>
    <t>EXTRAS - SECTIONAL DOOR FLAME RETARDENT SEALS</t>
  </si>
  <si>
    <t>EXTRAS - SECTIONAL DOOR COLORBOND WOODLOCK - CAOBA OR CLASS. CEDAR (DOUBLE DOOR)</t>
  </si>
  <si>
    <t>TRAVEL CHARGE TO BUSSELTON</t>
  </si>
  <si>
    <t>GARAGED</t>
  </si>
  <si>
    <t>Floor Coverings</t>
  </si>
  <si>
    <t>Window Treatments</t>
  </si>
  <si>
    <t>Trevors Carpets</t>
  </si>
  <si>
    <t>WTREAT</t>
  </si>
  <si>
    <t>Roof Frame</t>
  </si>
  <si>
    <t>Roof Hardware</t>
  </si>
  <si>
    <t>Shower Screens, Mirrors &amp; Robes</t>
  </si>
  <si>
    <t>ARCHITECTURAL MOULDING AS QUOTED</t>
  </si>
  <si>
    <t>Area Loading</t>
  </si>
  <si>
    <t>Allanson</t>
  </si>
  <si>
    <t>Argyle</t>
  </si>
  <si>
    <t>Balbarrup</t>
  </si>
  <si>
    <t>Balingup</t>
  </si>
  <si>
    <t>Brookhampton</t>
  </si>
  <si>
    <t>Brunswick</t>
  </si>
  <si>
    <t>Carbunup Bridge</t>
  </si>
  <si>
    <t>Clifton Park</t>
  </si>
  <si>
    <t>Cookernup</t>
  </si>
  <si>
    <t>Donnelly River</t>
  </si>
  <si>
    <t>Fergusen Valley</t>
  </si>
  <si>
    <t>Gelorup</t>
  </si>
  <si>
    <t>Glen Iris</t>
  </si>
  <si>
    <t>Jalbarragup</t>
  </si>
  <si>
    <t>Kingston</t>
  </si>
  <si>
    <t>Kirup</t>
  </si>
  <si>
    <t>Kulikup</t>
  </si>
  <si>
    <t>Ludlow</t>
  </si>
  <si>
    <t>Mullalyup</t>
  </si>
  <si>
    <t>Mumballup</t>
  </si>
  <si>
    <t>Newlands</t>
  </si>
  <si>
    <t>Noggerup</t>
  </si>
  <si>
    <t>Northcliffe</t>
  </si>
  <si>
    <t>Palgarup</t>
  </si>
  <si>
    <t>Peppermint Beach</t>
  </si>
  <si>
    <t>Perup</t>
  </si>
  <si>
    <t>Picton</t>
  </si>
  <si>
    <t>Quinninup</t>
  </si>
  <si>
    <t>Rosa Brook</t>
  </si>
  <si>
    <t>Smiths Beach</t>
  </si>
  <si>
    <t>Thompson Brook</t>
  </si>
  <si>
    <t>Treendale</t>
  </si>
  <si>
    <t>Witchcliffe (near H/Way)</t>
  </si>
  <si>
    <t>Wokalup</t>
  </si>
  <si>
    <t>Yabberup</t>
  </si>
  <si>
    <t>Yallingup Townsite</t>
  </si>
  <si>
    <t>Yarloop</t>
  </si>
  <si>
    <t>Yelverton</t>
  </si>
  <si>
    <t>BOQ Total for area loading</t>
  </si>
  <si>
    <t>Active Plumbing Roofp</t>
  </si>
  <si>
    <t>TIEDN1</t>
  </si>
  <si>
    <t>RPLUMB1</t>
  </si>
  <si>
    <t>ROOF PLUMBING - PROGRESS CLAIM AS PER QUOTE</t>
  </si>
  <si>
    <t>R2.0 Wall Insulation</t>
  </si>
  <si>
    <t>Scyon Linea 180mm</t>
  </si>
  <si>
    <t>PVC Downpipes</t>
  </si>
  <si>
    <t>***BAL*** NEGATIVE DETAIL FLASHING</t>
  </si>
  <si>
    <t>Studwork &amp; Reverse Brick Veneer</t>
  </si>
  <si>
    <t>Studwork &amp; Reverse Brick Veneer Window Openings</t>
  </si>
  <si>
    <t>WALL FRAMING UP TO 3.0M HIGH - PREFAB (PINE)</t>
  </si>
  <si>
    <t>FLUSH JAMB</t>
  </si>
  <si>
    <t>INSULATION R2.0 580 - (INCLUDES 32 SHEETS, 21.75M2 COVERAGE)</t>
  </si>
  <si>
    <t>DELIVERY TO BOYUPBROOK</t>
  </si>
  <si>
    <t>E/O BORAL CAIRO 4 STEP CORNICE    (COPIED FROM CEILING FORCE RATES)</t>
  </si>
  <si>
    <t>PMOD 2 INTERNAL DOOR 2040*820</t>
  </si>
  <si>
    <t>PMOD 2 INTERNAL DOOR 2040*720</t>
  </si>
  <si>
    <t>PMOD 2 INTERNAL DOOR 2040*620</t>
  </si>
  <si>
    <t>PMOD 2 INTERNAL DOOR 2040*520</t>
  </si>
  <si>
    <t>PMAD 7 BAL 12.5 2040*820 CLEAR GLAZED</t>
  </si>
  <si>
    <t>PMOD 2 INTERNAL DOOR 2040*620 (TRIM TO 2015 ON SITE)</t>
  </si>
  <si>
    <t>1400PROBELSC BELA PASSAGE LEVERSET SC</t>
  </si>
  <si>
    <t>1410PROBELSC BELA PRIVACY LEVERSET SC</t>
  </si>
  <si>
    <t>1420PROBELSC BELA DUMMY LEVERSET SC</t>
  </si>
  <si>
    <t>1400PROSQBELSC BELA PASSAGE LEVERSET SC</t>
  </si>
  <si>
    <t>1410PROSQBELSC BELA PRIVACY LEVERSET SC</t>
  </si>
  <si>
    <t>1420PROSQBELSC BELA DUMMY LEVERSET SC</t>
  </si>
  <si>
    <t>TAYA TOWEL RAIL DOUBLE  750MM BRUSHED NICKEL</t>
  </si>
  <si>
    <t>TAYA TOWEL RAIL DOUBLE  600MM BRUSHED NICKEL</t>
  </si>
  <si>
    <t>386SCC SQUARE PASSAGE SLIDING CAVITY SET SATIN CHROME</t>
  </si>
  <si>
    <t>PPR20B PRISM DOUBLE BOWL UNDERMOUNT SINK</t>
  </si>
  <si>
    <t>METRO UTILITY BASIN WHITE (1 TAP HOLE)</t>
  </si>
  <si>
    <t>CLARK SQUARE 400MM INSET BASIN WHITE (1TH)</t>
  </si>
  <si>
    <t>CLASSIC 1700MM ISLAND BATH CL7W</t>
  </si>
  <si>
    <t>SHOWER SCREENS, MIRRORS AND ROBES AS QUOTED</t>
  </si>
  <si>
    <t>SUPPLY ONLY 20/20/100 CONCRETE TO BRUNSWICK</t>
  </si>
  <si>
    <t>COLORBOND SECTIONAL DOOR 27C - 29C X 4505 - 5000W AUTOMATIC DOUBLE WIDTH</t>
  </si>
  <si>
    <t>Entered</t>
  </si>
  <si>
    <t>Check</t>
  </si>
  <si>
    <t>Powder Wall Tile</t>
  </si>
  <si>
    <t>Powder Floor Tile</t>
  </si>
  <si>
    <t>Credit</t>
  </si>
  <si>
    <t>Line item/description2</t>
  </si>
  <si>
    <t>Septic Fuji Clean ATU</t>
  </si>
  <si>
    <t>Craneford Plumbing</t>
  </si>
  <si>
    <t>FUJI CLEAN ATU AS PER QUOTE</t>
  </si>
  <si>
    <t>2040 X 820 X 35 FLUSH PANEL ELEMENTS DOOR</t>
  </si>
  <si>
    <t>RAVEN RP61 DRAUGHT EXCLUDER PILE WEATHER STRIP SELF ADHESIVE GR 5000MM GREY</t>
  </si>
  <si>
    <t>SUPPLY AND INSTALL INSULATION TO BULKHEADS</t>
  </si>
  <si>
    <t>TEMPORARY FREIGHT SUBSIDY</t>
  </si>
  <si>
    <t>SUPPLY ONLY 20/20/100 CONCRETE TO AUSTRALIND</t>
  </si>
  <si>
    <t>Fireplace</t>
  </si>
  <si>
    <t>INSTALL STANDARD CLEAT</t>
  </si>
  <si>
    <t>Hearth House Busselton</t>
  </si>
  <si>
    <t>FIREPLACE AS QUOTED</t>
  </si>
  <si>
    <t>K10 20 LITRE WATERPROOFING (20M2 OF COVERAGE PER TUB)</t>
  </si>
  <si>
    <t>ULTRAPRIME 5 LITRE TIN (40-50M2 PER TIN)</t>
  </si>
  <si>
    <t>DELIVERY CHARGE FOR GLUE &amp; WATERPROOFING ONLY</t>
  </si>
  <si>
    <t>VENT GABLE EXTERIOR WALL++457X609MM RECT PRIMED 500RTL</t>
  </si>
  <si>
    <t>FLORENCE LEVER ROUND ROSETTE DUMMY</t>
  </si>
  <si>
    <t>FLORENCE LEVER ROUND ROSETTE PASSAGE SET</t>
  </si>
  <si>
    <t>FLORENCE LEVER ROUND ROSETTE PRIVACY SET</t>
  </si>
  <si>
    <t>COSMO HAND TOWEL RAIL CHROME 200MM</t>
  </si>
  <si>
    <t>WESTINGHOUSE WVE915DSCA 900MM OVEN (DARK SS)</t>
  </si>
  <si>
    <t>Small Format Subway</t>
  </si>
  <si>
    <t>SUPPLY &amp; INSTALL ABLEFLEX (PER JOB)</t>
  </si>
  <si>
    <t>FFA</t>
  </si>
  <si>
    <t>Primeline Heritage 300</t>
  </si>
  <si>
    <t>Wall Frame</t>
  </si>
  <si>
    <t>WA Timber Supplies</t>
  </si>
  <si>
    <t>DESIGN PINE (H3) (112 X 30 X 5.4M) DOOR JAMB</t>
  </si>
  <si>
    <t>MDF MOULDING PRIMED JAMB SET (110 X 30) MDFMLJM1130 HMR AND INCLUDES DOOR STOP</t>
  </si>
  <si>
    <t>DESIGN PINE LOSP H3 DAR DOOR STOP (42 X 10 X 5.4M) LOSPDAR421054</t>
  </si>
  <si>
    <t>67 X 18 X 5.4 MDF PRIMED SPLAYED SKIRTING</t>
  </si>
  <si>
    <t>WFRAME1</t>
  </si>
  <si>
    <t>PRE-FAB WALL TRUSSES AND ANCILLARIES AS QUOTED</t>
  </si>
  <si>
    <t>LAY ALCOR UNDER EXTERNAL WALL FRAMES</t>
  </si>
  <si>
    <t>INSTALL METERBOX TO WALL FRAME</t>
  </si>
  <si>
    <t>PARGING TO EXPOSED SLAB FACE (STUD FRAME JOBS)</t>
  </si>
  <si>
    <t>FIX PLYWOOD BRACING TO WALLS</t>
  </si>
  <si>
    <t>DOMESTIC METER BOX - ELECTRIC</t>
  </si>
  <si>
    <t>ICLAD1</t>
  </si>
  <si>
    <t>SUPPLY &amp; INSTALL MAGIC CORNER</t>
  </si>
  <si>
    <t>ROOF TIMBER ALLOWANCE</t>
  </si>
  <si>
    <t>FASCIA FIXING CLIP STANDARD</t>
  </si>
  <si>
    <t>COLORBOND FASCIA 0.55 - 100MM WITH TILT</t>
  </si>
  <si>
    <t>COLORBOND FASCIA CORNER 90 DEGREES EXTERNAL</t>
  </si>
  <si>
    <t>COLORBOND FASCIA CORNER 90 DEGREES INTERNAL</t>
  </si>
  <si>
    <t>FASCIA SLEEVES</t>
  </si>
  <si>
    <t>COLORBOND POP RIVETS - PACK OF 100</t>
  </si>
  <si>
    <t>19MM C.P.TOWEL RAIL 2400MM LONG</t>
  </si>
  <si>
    <t>1400PROBELMB BELA DUMMY LEVERSET MB</t>
  </si>
  <si>
    <t>1400PROBELMB BELA PRIVACY LEVERSET MB</t>
  </si>
  <si>
    <t>1400PROBELMB BELA PASSAGE LEVERSET MB</t>
  </si>
  <si>
    <t>WISH BLACK TOWEL RAIL DOUBLE 750MM</t>
  </si>
  <si>
    <t>WISH BLACK TOILET ROLL HOLDER</t>
  </si>
  <si>
    <t>INSTALL TIMBER DOOR JAMBS INC ARCHITRAVE/DOOR STOP</t>
  </si>
  <si>
    <t>INTERNAL DOOR-TIMBER JAMB (INC.PAINT BOTTOM EDGE)</t>
  </si>
  <si>
    <t>CLARK VITAL 1123 765MM SINGLE BOWL SINK</t>
  </si>
  <si>
    <t>WESTINGHOUSE WVE613SCA 600MM ELECTRIC OVEN STAINLESS</t>
  </si>
  <si>
    <t>WESTINGHOUSE WHG643SB 600MM GAS HOTPLATE</t>
  </si>
  <si>
    <t>WESTINGHOUSE WRC614SC RANGEHOOD</t>
  </si>
  <si>
    <t>FLAGSTONE 60 - 330X165X60 (STONEWASHED COLLECTION)</t>
  </si>
  <si>
    <t>ENTER FASCIA FROM IND. TIMB. CUT LIST</t>
  </si>
  <si>
    <t>GAINS 1805 SQUARE ANGULAR LEVER PASSAGE SET MATT BLACK</t>
  </si>
  <si>
    <t>GAINS 1815 SQUARE ANGULAR LEVER PRIVACY SET MATT BLACK</t>
  </si>
  <si>
    <t>GAINS 1820 SQUARE ANGULAR LEVER DUMMY HANDLE MATT BLACK</t>
  </si>
  <si>
    <t>GAINS 1905 ROUND ANGULAR LEVER PASSAGE SET S/CHROME</t>
  </si>
  <si>
    <t>GAINS 1915 ROUND ANGULAR LEVER PRIVACY SET S/CHROME</t>
  </si>
  <si>
    <t>GAINS 1920 ROUND ANGULAR LEVER DUMMY HANDLE S/CHROME</t>
  </si>
  <si>
    <t>PCI</t>
  </si>
  <si>
    <t>67 X 18 X 5.4 DESIGN PINE PENCIL ROUND</t>
  </si>
  <si>
    <t>90*42 DESIGN PINE WINDOW SURROUND 5.4M LENGTH</t>
  </si>
  <si>
    <t>42*42 DESIGN PINE WINDOW SURROUND 5.4M LENGTH</t>
  </si>
  <si>
    <t>Shelf Support</t>
  </si>
  <si>
    <t>WA External Solutions</t>
  </si>
  <si>
    <t>2040 X 870 SOLIDOR DURA TEMP HARDBOARD</t>
  </si>
  <si>
    <t>2040 X 920 SOLIDOR DURA TEMP HARDBOARD</t>
  </si>
  <si>
    <t>2040 X 920 R/COTE</t>
  </si>
  <si>
    <t>2040*1200 PRU 101 TRANSLUCENT GLAZING BAL 12.5</t>
  </si>
  <si>
    <t>NEUE TRILOCK OMNI ENCHANT DOUBLE CYLINDER - 600MM - STAINLESS STEEL</t>
  </si>
  <si>
    <t>PAVING BRICKS (COWARAMUP/MARGARET RIVER) (PER PACK)</t>
  </si>
  <si>
    <t>ILVE - ILGP95X 90CM GAS COOKTOP</t>
  </si>
  <si>
    <t>ILVE - IVN900X 90CM RANGEHOOD</t>
  </si>
  <si>
    <t>ILO990X - MULTIFUNCTION ELECTRIC OVEN - 900MM</t>
  </si>
  <si>
    <t>BAILEY LEVER ROUND ROSETTE DUMMY SET</t>
  </si>
  <si>
    <t>BAILEY LEVER ROUND ROSETTE PRIVACY SET SC</t>
  </si>
  <si>
    <t>BAILEY LEVER ROUND ROSETTE PASSAGE SET SC</t>
  </si>
  <si>
    <t>1c Face Brick feature NOT to perimeter of 2c Face Block house</t>
  </si>
  <si>
    <t>1c Face Brick to perimeter of 2c Face Block house</t>
  </si>
  <si>
    <t>Common Brick to perimeter of 2c Face Block house</t>
  </si>
  <si>
    <t>WHITE CEMENT MALAYSIAN 20KG BAGS</t>
  </si>
  <si>
    <t>COCKBURN HYLIME 20KG 48 BAGS/PALLET</t>
  </si>
  <si>
    <t>NOUVEAU GREY STD</t>
  </si>
  <si>
    <t>NOUVEAU GREY SOLIDS</t>
  </si>
  <si>
    <t>IMPRESSIONS ROCKPORT  2040*820</t>
  </si>
  <si>
    <t>IMPRESSIONS ROCKPORT  2040*720</t>
  </si>
  <si>
    <t>IMPRESSIONS ROCKPORT  2040*620</t>
  </si>
  <si>
    <t>IMPRESSIONS ROCKPORT  2015*620WC</t>
  </si>
  <si>
    <t>IMPRESSIONS ROCKPORT  2015*720WC</t>
  </si>
  <si>
    <t>IMPRESSIONS ROCKPORT  2015*820WC</t>
  </si>
  <si>
    <t>IMPRESSIONS ROCKPORT  2065*770GBR</t>
  </si>
  <si>
    <t>IMPRESSIONS ROCKPORT  2065*870GBR</t>
  </si>
  <si>
    <t>IMPRESSIONS ROCKPORT  2040*820 SOLID</t>
  </si>
  <si>
    <t>GAINS 8901 ALIGN TRILOCK LEVER (DOUBLE CYLINDER) SATIN CHROME</t>
  </si>
  <si>
    <t>LIANNA LEVER PASSAGE SET CW LATCH SC</t>
  </si>
  <si>
    <t>LIANNA LEVER PRIVACY SET CW LATCH SC</t>
  </si>
  <si>
    <t>LIANNA LEVER DUMMY LH SC</t>
  </si>
  <si>
    <t>LIANNA LEVER DUMMY RH SC</t>
  </si>
  <si>
    <t>RHEEM LOLINE SOLAR WATER HEATER 325L</t>
  </si>
  <si>
    <t>FLAGSTONE 60 - 330X165X60 (GEO COLLECTION)</t>
  </si>
  <si>
    <t>FLUSH CEILING (NO CORNICE)</t>
  </si>
  <si>
    <t>Single Wall/Planter</t>
  </si>
  <si>
    <t>Paste Eagle Estimating Quote Here</t>
  </si>
  <si>
    <t>198x60</t>
  </si>
  <si>
    <t>Kapur Glulam</t>
  </si>
  <si>
    <t>200x63</t>
  </si>
  <si>
    <t>LVL E-Beam</t>
  </si>
  <si>
    <t>300x63</t>
  </si>
  <si>
    <t>190x45</t>
  </si>
  <si>
    <t>MGP10 H2 Blue</t>
  </si>
  <si>
    <t>90x35</t>
  </si>
  <si>
    <t>120x35</t>
  </si>
  <si>
    <t>70x35</t>
  </si>
  <si>
    <t>1200x2400</t>
  </si>
  <si>
    <t>170x35</t>
  </si>
  <si>
    <t>190x35</t>
  </si>
  <si>
    <t>96x51</t>
  </si>
  <si>
    <t>E-Purlin</t>
  </si>
  <si>
    <t>175x25</t>
  </si>
  <si>
    <t>Pine GRS</t>
  </si>
  <si>
    <t>Treated Pine CCA</t>
  </si>
  <si>
    <t>Pricing</t>
  </si>
  <si>
    <t>Member</t>
  </si>
  <si>
    <t>Cost</t>
  </si>
  <si>
    <t>CAST IN STARTER BAR TO BRICK PIER OR SIMILAR</t>
  </si>
  <si>
    <t>Paste Eagle Estimating Cladding Here</t>
  </si>
  <si>
    <t>Primeline Heritage</t>
  </si>
  <si>
    <t>Primeline Chamfer</t>
  </si>
  <si>
    <t>Primeline Newport</t>
  </si>
  <si>
    <t>Primeline Summit</t>
  </si>
  <si>
    <t>Linea 180mm</t>
  </si>
  <si>
    <t>Linea 150mm</t>
  </si>
  <si>
    <t>Hardieplank Smooth 230mm</t>
  </si>
  <si>
    <t>Hardieplank Smooth 300mm</t>
  </si>
  <si>
    <t>6mm</t>
  </si>
  <si>
    <t>Paste Eagle Estimating Eave Shets Here</t>
  </si>
  <si>
    <t>1200x1800</t>
  </si>
  <si>
    <t>1200x2700</t>
  </si>
  <si>
    <t>1200x3000</t>
  </si>
  <si>
    <t>1800x1200</t>
  </si>
  <si>
    <t>2400x450</t>
  </si>
  <si>
    <t>2400x600</t>
  </si>
  <si>
    <t>2400x750</t>
  </si>
  <si>
    <t>2400x1200</t>
  </si>
  <si>
    <t>4.5mm</t>
  </si>
  <si>
    <t>2700x1200</t>
  </si>
  <si>
    <t>3000x1200</t>
  </si>
  <si>
    <t>HARDIFLEX / CLADDING ALLOWANCE</t>
  </si>
  <si>
    <t>PMADPV104 TRANS GLAZING 1200MM WIDE X 2229MM HIGH</t>
  </si>
  <si>
    <t>35MM PMDF HOLLOWCORE 1020MM WIDE X 2229MM HIGH</t>
  </si>
  <si>
    <t>35MM EPS FOAM CORE SPEC 2.6 1100MM WIDE X 2229MM HIGH TO SUIT 26C OPENING HEIGHT</t>
  </si>
  <si>
    <t>35MM EPS FOAM CORE SPEC 2.5A 1100MM WIDE X 2754MM HIGH TO SUIT CEILING HEIGHT</t>
  </si>
  <si>
    <t>COLORBOND FASCIA STOP END LEFT HAND SIDE</t>
  </si>
  <si>
    <t>COLORBOND FASCIA STOP END RIGHT HAND SIDE</t>
  </si>
  <si>
    <t>Paste Eagle Estimating Fascia Here</t>
  </si>
  <si>
    <t>FL231CC 0.6 C/BOND TOE MOULD DETAIL E</t>
  </si>
  <si>
    <t>92 X 18 X 5.4M SPLAYED SKIRTING PRE-PRIMED</t>
  </si>
  <si>
    <t>FLAT CEILING 2600 TO 2800 HIGH (31CRS - 32CRS)</t>
  </si>
  <si>
    <t>FLAT CEILING ABOVE 2800 HIGH (33CRS +)</t>
  </si>
  <si>
    <t>FLAT CEILINGS TO 2600 HIGH (30CRS)</t>
  </si>
  <si>
    <t>DRY WALL LINING UP TO 2700 HIGH</t>
  </si>
  <si>
    <t>SOLIDOR TEMPERED HARDBOARD 1100MM WIDE X 2229MM HIGH</t>
  </si>
  <si>
    <t>A&amp;A Kitchens WA</t>
  </si>
  <si>
    <t>Ensuite Wall Tile</t>
  </si>
  <si>
    <t>Ensuite Floor Tile</t>
  </si>
  <si>
    <t>CM3</t>
  </si>
  <si>
    <t>Retaining Wall</t>
  </si>
  <si>
    <t>Bunbury Retaining Walls</t>
  </si>
  <si>
    <t>RETAINING WALL AS PER QUOTE</t>
  </si>
  <si>
    <t>RWALL</t>
  </si>
  <si>
    <t>Make sure Net Quantity is selected in FW Orders Before Running Check</t>
  </si>
  <si>
    <t>Skylight</t>
  </si>
  <si>
    <t>THERMANICHE RSN01</t>
  </si>
  <si>
    <t>THERMANICHE RSN03</t>
  </si>
  <si>
    <t>THERMANICHE RSN02</t>
  </si>
  <si>
    <t>Skylights WA</t>
  </si>
  <si>
    <t>SKY LIGHTING AS PER QUOTE</t>
  </si>
  <si>
    <t>COLORBOND SECTIONAL DOOR UP TO 26C X 4505 - 5000W AUTOMATIC DOUBLE WIDTH</t>
  </si>
  <si>
    <t>COLORBOND SECTIONAL DOOR UP TO 26C X UP TO 3000W AUTOMATIC SINGLE WIDTH</t>
  </si>
  <si>
    <t>COLORBOND SECTIONAL DOOR UP TO 26C X 3005 - 3500W AUTOMATIC SINGLE WIDTH</t>
  </si>
  <si>
    <t>COLORBOND SECTIONAL DOOR UP TO 26C X 3505 - 4500W AUTOMATIC DOUBLE WIDTH</t>
  </si>
  <si>
    <t>COLORBOND SECTIONAL DOOR UP TO 26C X 5305 - 5650W AUTOMATIC DOUBLE WIDTH</t>
  </si>
  <si>
    <t>COLORBOND SECTIONAL DOOR UP TO 26C X 5655 - 6200W AUTOMATIC DOUBLE PLUS WIDTH</t>
  </si>
  <si>
    <t>COLORBOND SECTIONAL DOOR 27C - 29C X UP TO 3000W AUTOMATIC SINGLE WIDTH</t>
  </si>
  <si>
    <t>COLORBOND SECTIONAL DOOR 27C - 29C X 3005 - 3500W AUTOMATIC SINGLE WIDTH</t>
  </si>
  <si>
    <t>COLORBOND SECTIONAL DOOR 27C - 29C X 3505 - 4500W AUTOMATIC DOUBLE WIDTH</t>
  </si>
  <si>
    <t>COLORBOND SECTIONAL DOOR 27C - 29C X 5005 - 5300W AUTOMATIC DOUBLE WIDTH</t>
  </si>
  <si>
    <t>COLORBOND SECTIONAL DOOR 27C - 29C X 5305 - 5650W AUTOMATIC DOUBLE WIDTH</t>
  </si>
  <si>
    <t>COLORBOND SECTIONAL DOOR 27C - 29C X 5655 - 6200W AUTOMATIC DOUBLE PLUS WIDTH</t>
  </si>
  <si>
    <t>COLORBOND SECTIONAL DOOR 30C - 31C X UP TO 3000W AUTOMATIC SINGLE WIDTH</t>
  </si>
  <si>
    <t>COLORBOND SECTIONAL DOOR 30C - 31C X 3005 - 3500W AUTOMATIC SINGLE WIDTH</t>
  </si>
  <si>
    <t>COLORBOND SECTIONAL DOOR 30C - 31C X 3505 - 4500W AUTOMATIC DOUBLE WIDTH</t>
  </si>
  <si>
    <t>COLORBOND SECTIONAL DOOR 30C - 31C X 4505 - 5000W AUTOMATIC DOUBLE WIDTH</t>
  </si>
  <si>
    <t>COLORBOND SECTIONAL DOOR 30C - 31C X 5005 - 5300W AUTOMATIC DOUBLE WIDTH</t>
  </si>
  <si>
    <t>COLORBOND SECTIONAL DOOR 30C - 31C X 5305 - 5650W AUTOMATIC DOUBLE WIDTH</t>
  </si>
  <si>
    <t>COLORBOND SECTIONAL DOOR 30C - 31C X 5655 - 6200W AUTOMATIC DOUBLE PLUS WIDTH</t>
  </si>
  <si>
    <t>COLORBOND SECTIONAL DOOR 32C - 39C X UP TO 3000W AUTOMATIC SINGLE WIDTH</t>
  </si>
  <si>
    <t>COLORBOND SECTIONAL DOOR 32C - 39C X 3005 - 3500W AUTOMATIC SINGLE WIDTH</t>
  </si>
  <si>
    <t>COLORBOND SECTIONAL DOOR 32C - 39C X 3505 - 4500W AUTOMATIC DOUBLE WIDTH</t>
  </si>
  <si>
    <t>COLORBOND SECTIONAL DOOR 32C - 39C X 4505 - 5000W AUTOMATIC DOUBLE WIDTH</t>
  </si>
  <si>
    <t>COLORBOND SECTIONAL DOOR 32C - 39C X 5005 - 5300W AUTOMATIC DOUBLE WIDTH</t>
  </si>
  <si>
    <t>COLORBOND SECTIONAL DOOR 32C - 39C X 5305 - 5650W AUTOMATIC DOUBLE WIDTH</t>
  </si>
  <si>
    <t>COLORBOND SECTIONAL DOOR 32C - 39C X 5655 - 6200W AUTOMATIC DOUBLE PLUS WIDTH</t>
  </si>
  <si>
    <t>TRAVEL CHARGE TO AUGUSTA</t>
  </si>
  <si>
    <t>TRAVEL CHARGE TO BINNINGUP</t>
  </si>
  <si>
    <t>TRAVEL CHARGE TO BRIDGETOWN</t>
  </si>
  <si>
    <t>TRAVEL CHARGE TO COWARAMUP</t>
  </si>
  <si>
    <t>TRAVEL CHARGE TO DUNSBOROUGH</t>
  </si>
  <si>
    <t>TRAVEL CHARGE TO GREENBUSHES</t>
  </si>
  <si>
    <t>TRAVEL CHARGE TO HARVEY</t>
  </si>
  <si>
    <t>TRAVEL CHARGE TO MANJIMUP</t>
  </si>
  <si>
    <t>TRAVEL CHARGE TO MYALUP</t>
  </si>
  <si>
    <t>TRAVEL CHARGE TO NANNUP</t>
  </si>
  <si>
    <t>TRAVEL CHARGE TO PEMBERTON</t>
  </si>
  <si>
    <t>TRAVEL CHARGE TO SOUTHWEST (BUNBURY / BUSSELTON &lt;50KM FROM TOWN) PER DOOR</t>
  </si>
  <si>
    <t>TRAVEL CHARGE TO WAROONA</t>
  </si>
  <si>
    <t>TRAVEL CHARGE TO WITCHCLIFFE</t>
  </si>
  <si>
    <t>TRAVEL CHARGE TO YARLOOP</t>
  </si>
  <si>
    <t>COLORBOND ROOF AS QUOTED</t>
  </si>
  <si>
    <t>SKY1</t>
  </si>
  <si>
    <t>SKYLIGHT AS QUOTED</t>
  </si>
  <si>
    <t>WESTINGHOUSE WVE615SCA WALL OVEN</t>
  </si>
  <si>
    <t>WESTINGHOUSE WHI943BC - 90CM INDUCTION HOT PLATE</t>
  </si>
  <si>
    <t>ELECTROLUX ERI712SA UNBRANDED 702MM INTEGRATED RANGEHOOD</t>
  </si>
  <si>
    <t>180x16</t>
  </si>
  <si>
    <t>240x63</t>
  </si>
  <si>
    <t>360X63</t>
  </si>
  <si>
    <t>Glulam</t>
  </si>
  <si>
    <t>240x45</t>
  </si>
  <si>
    <t>264x60</t>
  </si>
  <si>
    <t>Post</t>
  </si>
  <si>
    <t>Strut</t>
  </si>
  <si>
    <t>95x95</t>
  </si>
  <si>
    <t>65x63</t>
  </si>
  <si>
    <t>TRAVEL ALLOWANCE - (PER TRIP)  -  BALINGUP</t>
  </si>
  <si>
    <t>TRAVEL ALLOWANCE - (PER TRIP)  -  DUNSBOROUGH</t>
  </si>
  <si>
    <t>TRAVEL ALLOWANCE - (PER TRIP)  -  BOYUP BROOK</t>
  </si>
  <si>
    <t>TRAVEL ALLOWANCE - (PER TRIP)  -  BRIDGETOWN</t>
  </si>
  <si>
    <t>TRAVEL ALLOWANCE - (PER TRIP)  -  BUNBURY</t>
  </si>
  <si>
    <t>TRAVEL ALLOWANCE - (PER TRIP)  -  BUSSELTON</t>
  </si>
  <si>
    <t>Pad footings</t>
  </si>
  <si>
    <t>PMAD 104 2040*820 W/- CLEAR GLASS</t>
  </si>
  <si>
    <t>WISH CHROME TOWEL RAIL DOUBLE  750MM</t>
  </si>
  <si>
    <t>WISH CHROME TOILET ROLL HOLDER</t>
  </si>
  <si>
    <t>CLARK 42L TROUGH AND CABINET (F6001)</t>
  </si>
  <si>
    <t>CAROMA 1525MM LUNA BATH (WHITE)</t>
  </si>
  <si>
    <t>CLARK PUNCH SINK DOUBLE BOWL 1200MM</t>
  </si>
  <si>
    <t>WESTINGHOUSE WHG953SB 900MM GAS HOTPLATE STAINLESS</t>
  </si>
  <si>
    <t>VISTAPAVE 60 - 190X190X60 (STONEWASHED COLLECTION)</t>
  </si>
  <si>
    <t>Yallingup Area</t>
  </si>
  <si>
    <t>PAVING BRICKS (YALLINGUP/EAGLE BAY) (PER PACK)</t>
  </si>
  <si>
    <t>PAVING BRICKS (DUNSBOROUGH AREA) (PER PACK)</t>
  </si>
  <si>
    <t>TRAVEL ALLOWANCE - (PER TRIP) - DUNSBOROUGH (SW)</t>
  </si>
  <si>
    <t>TRAVEL ALLOWANCE - (PER TRIP) - WAROONA (SW)</t>
  </si>
  <si>
    <t>TRAVEL ALLOWANCE - (PER TRIP) - YALLINGUP (SW)</t>
  </si>
  <si>
    <t>TRAVEL TO BOYUP BROOK</t>
  </si>
  <si>
    <t>TRAVEL TO BRIDGETOWN</t>
  </si>
  <si>
    <t>TRAVEL TO DONNYBROOK</t>
  </si>
  <si>
    <t>TRAVEL TO GREENBUSHES</t>
  </si>
  <si>
    <t>TRAVEL TO HARVEY/COLLI</t>
  </si>
  <si>
    <t>TRAVEL TO MANJIMUP</t>
  </si>
  <si>
    <t>TRAVEL TO NANNUP</t>
  </si>
  <si>
    <t>TRAVEL TO PEMBERTON</t>
  </si>
  <si>
    <t>CMA</t>
  </si>
  <si>
    <t>Custom</t>
  </si>
  <si>
    <t>Independent</t>
  </si>
  <si>
    <t>E/O LABOUR FOR 85MM SLAB</t>
  </si>
  <si>
    <t>BURNISHED RED STD</t>
  </si>
  <si>
    <t>BURNISHED RED SOLID</t>
  </si>
  <si>
    <t>2040 X 920 LH 90 B/OPENING W/- 4 HINGES</t>
  </si>
  <si>
    <t>2040 X0 920 RH 90 B/OPENING W/- 4 HINGES</t>
  </si>
  <si>
    <t>2040 X 820 BALMORAL 4 (PAINT)</t>
  </si>
  <si>
    <t>2040 X 720 BALMORAL 4 (PAINT)</t>
  </si>
  <si>
    <t>2040 X 620 BALMORAL 4 (PAINT)</t>
  </si>
  <si>
    <t>2040 X 520 BALMORAL 4 (PAINT)</t>
  </si>
  <si>
    <t>CUT DOWN BALMORAL 4 2040 TO 2015*820WC ON SITE</t>
  </si>
  <si>
    <t>CUT DOWN BALMORAL 4 2040 TO 2015*720WC ON SITE</t>
  </si>
  <si>
    <t>CUT DOWN BALMORAL 4 2040 TO 2015*620WC ON SITE</t>
  </si>
  <si>
    <t>CUT DOWN BALMORAL 4 2040 TO 2015*520WC ON SITE</t>
  </si>
  <si>
    <t>OLIVE LEVERSET SATIN CHROME PASSAGE</t>
  </si>
  <si>
    <t>OLIVE LEVERSET SATIN CHROME PRIVACY</t>
  </si>
  <si>
    <t>OLIVE LEVERSET SATIN CHROME DUMMY</t>
  </si>
  <si>
    <t>1080</t>
  </si>
  <si>
    <t>02029</t>
  </si>
  <si>
    <t>0575</t>
  </si>
  <si>
    <t>WESTINGHOUSE WHI945BC INDUCTION HOT PLATE</t>
  </si>
  <si>
    <t>External Plasterboard Ceilings</t>
  </si>
  <si>
    <t>Red Bricks</t>
  </si>
  <si>
    <t>Burnished Red</t>
  </si>
  <si>
    <t>Restoration Red</t>
  </si>
  <si>
    <t>Restoration Red Coach</t>
  </si>
  <si>
    <t>Subiaco Red</t>
  </si>
  <si>
    <t>Subiaco Red Coach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</si>
</sst>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44" formatCode="_(&quot;$&quot;* #,##0.00_);_(&quot;$&quot;* \(#,##0.00\);_(&quot;$&quot;* &quot;-&quot;??_);_(@_)"/>
    <numFmt numFmtId="164" formatCode="_(&quot;$&quot;* #,##0.00_);_(&quot;$&quot;* \(#,##0.00\);_(&quot;$&quot;* &quot;-&quot;??_);_(@_)"/>
    <numFmt numFmtId="165" formatCode="_(* #,##0.00_);_(* \(#,##0.00\);_(* &quot;-&quot;??_);_(@_)"/>
    <numFmt numFmtId="166" formatCode="0.0"/>
    <numFmt numFmtId="167" formatCode="0.000"/>
    <numFmt numFmtId="168" formatCode="#,##0.0"/>
    <numFmt numFmtId="169" formatCode="#\ ?/2"/>
    <numFmt numFmtId="170" formatCode="&quot;$&quot;#,##0.00"/>
    <numFmt numFmtId="171" formatCode="&quot;$&quot;#,##0"/>
    <numFmt numFmtId="172" formatCode="0000"/>
    <numFmt numFmtId="173" formatCode="&quot;$&quot;#,##0.0"/>
  </numFmts>
  <fonts count="81"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0"/>
      <name val="Arial"/>
      <family val="2"/>
    </font>
    <font>
      <b/>
      <sz val="9"/>
      <name val="Arial"/>
      <family val="2"/>
    </font>
    <font>
      <sz val="10"/>
      <name val="Arial"/>
      <family val="2"/>
    </font>
    <font>
      <sz val="8"/>
      <name val="Arial"/>
      <family val="2"/>
    </font>
    <font>
      <sz val="8"/>
      <color indexed="81"/>
      <name val="Tahoma"/>
      <family val="2"/>
    </font>
    <font>
      <b/>
      <sz val="8"/>
      <color indexed="81"/>
      <name val="Tahoma"/>
      <family val="2"/>
    </font>
    <font>
      <sz val="9"/>
      <name val="Arial"/>
      <family val="2"/>
    </font>
    <font>
      <b/>
      <sz val="18"/>
      <name val="Arial"/>
      <family val="2"/>
    </font>
    <font>
      <sz val="9"/>
      <name val="Arial"/>
      <family val="2"/>
    </font>
    <font>
      <i/>
      <sz val="10"/>
      <name val="Arial"/>
      <family val="2"/>
    </font>
    <font>
      <sz val="10"/>
      <color indexed="10"/>
      <name val="Arial"/>
      <family val="2"/>
    </font>
    <font>
      <b/>
      <sz val="8"/>
      <name val="Arial"/>
      <family val="2"/>
    </font>
    <font>
      <b/>
      <i/>
      <sz val="10"/>
      <name val="Arial"/>
      <family val="2"/>
    </font>
    <font>
      <b/>
      <sz val="12"/>
      <name val="Arial"/>
      <family val="2"/>
    </font>
    <font>
      <sz val="9"/>
      <color indexed="10"/>
      <name val="Arial"/>
      <family val="2"/>
    </font>
    <font>
      <b/>
      <sz val="11"/>
      <name val="Arial"/>
      <family val="2"/>
    </font>
    <font>
      <sz val="10"/>
      <color indexed="43"/>
      <name val="Arial"/>
      <family val="2"/>
    </font>
    <font>
      <b/>
      <sz val="10"/>
      <color indexed="10"/>
      <name val="Arial"/>
      <family val="2"/>
    </font>
    <font>
      <sz val="10"/>
      <color indexed="22"/>
      <name val="Arial"/>
      <family val="2"/>
    </font>
    <font>
      <b/>
      <sz val="8"/>
      <color indexed="10"/>
      <name val="Arial"/>
      <family val="2"/>
    </font>
    <font>
      <b/>
      <sz val="10"/>
      <color indexed="10"/>
      <name val="Arial"/>
      <family val="2"/>
    </font>
    <font>
      <sz val="11"/>
      <name val="Arial"/>
      <family val="2"/>
    </font>
    <font>
      <b/>
      <vertAlign val="superscript"/>
      <sz val="10"/>
      <name val="Arial"/>
      <family val="2"/>
    </font>
    <font>
      <sz val="10"/>
      <color indexed="9"/>
      <name val="Arial"/>
      <family val="2"/>
    </font>
    <font>
      <sz val="9"/>
      <name val="Arial Black"/>
      <family val="2"/>
    </font>
    <font>
      <vertAlign val="superscript"/>
      <sz val="10"/>
      <name val="Arial"/>
      <family val="2"/>
    </font>
    <font>
      <b/>
      <sz val="10"/>
      <name val="Arial"/>
      <family val="2"/>
    </font>
    <font>
      <b/>
      <sz val="9"/>
      <name val="Arial Black"/>
      <family val="2"/>
    </font>
    <font>
      <sz val="14"/>
      <name val="Arial"/>
      <family val="2"/>
    </font>
    <font>
      <sz val="14"/>
      <name val="Arial Black"/>
      <family val="2"/>
    </font>
    <font>
      <b/>
      <sz val="9"/>
      <color indexed="81"/>
      <name val="Tahoma"/>
      <family val="2"/>
    </font>
    <font>
      <sz val="9"/>
      <color indexed="81"/>
      <name val="Tahoma"/>
      <family val="2"/>
    </font>
    <font>
      <sz val="10"/>
      <name val="Arial Black"/>
      <family val="2"/>
    </font>
    <font>
      <sz val="11"/>
      <color rgb="FF006100"/>
      <name val="Calibri"/>
      <family val="2"/>
      <scheme val="minor"/>
    </font>
    <font>
      <sz val="11"/>
      <color rgb="FF9C6500"/>
      <name val="Calibri"/>
      <family val="2"/>
      <scheme val="minor"/>
    </font>
    <font>
      <sz val="11"/>
      <color rgb="FF3F3F76"/>
      <name val="Calibri"/>
      <family val="2"/>
      <scheme val="minor"/>
    </font>
    <font>
      <sz val="10"/>
      <color rgb="FF000000"/>
      <name val="Arial"/>
      <family val="2"/>
    </font>
    <font>
      <sz val="10"/>
      <color rgb="FFFFFF99"/>
      <name val="Arial"/>
      <family val="2"/>
    </font>
    <font>
      <sz val="10"/>
      <color rgb="FFFFFFCC"/>
      <name val="Arial"/>
      <family val="2"/>
    </font>
    <font>
      <b/>
      <sz val="14"/>
      <color theme="0"/>
      <name val="Arial"/>
      <family val="2"/>
    </font>
    <font>
      <sz val="10"/>
      <color rgb="FFFF0000"/>
      <name val="Arial"/>
      <family val="2"/>
    </font>
    <font>
      <sz val="14"/>
      <color rgb="FFFF0000"/>
      <name val="Arial"/>
      <family val="2"/>
    </font>
    <font>
      <sz val="20"/>
      <color theme="0"/>
      <name val="Arial"/>
      <family val="2"/>
    </font>
    <font>
      <b/>
      <sz val="12"/>
      <color theme="0"/>
      <name val="Arial"/>
      <family val="2"/>
    </font>
    <font>
      <sz val="10"/>
      <color theme="1"/>
      <name val="Arial"/>
      <family val="2"/>
    </font>
    <font>
      <sz val="11"/>
      <name val="Calibri"/>
      <family val="2"/>
      <scheme val="minor"/>
    </font>
    <font>
      <sz val="18"/>
      <color rgb="FF9C6500"/>
      <name val="Calibri"/>
      <family val="2"/>
      <scheme val="minor"/>
    </font>
    <font>
      <sz val="18"/>
      <name val="Arial"/>
      <family val="2"/>
    </font>
    <font>
      <b/>
      <sz val="16"/>
      <name val="Calibri"/>
      <family val="2"/>
      <scheme val="minor"/>
    </font>
    <font>
      <b/>
      <sz val="11"/>
      <name val="Calibri"/>
      <family val="2"/>
      <scheme val="minor"/>
    </font>
    <font>
      <b/>
      <i/>
      <sz val="11"/>
      <color rgb="FF006100"/>
      <name val="Calibri"/>
      <family val="2"/>
      <scheme val="minor"/>
    </font>
    <font>
      <sz val="10"/>
      <color rgb="FF333333"/>
      <name val="Verdana"/>
      <family val="2"/>
    </font>
    <font>
      <b/>
      <sz val="18"/>
      <color rgb="FFFFFFCC"/>
      <name val="Arial"/>
      <family val="2"/>
    </font>
    <font>
      <b/>
      <sz val="12"/>
      <color rgb="FFFFFFCC"/>
      <name val="Arial"/>
      <family val="2"/>
    </font>
    <font>
      <sz val="10"/>
      <name val="Segoe UI"/>
      <family val="2"/>
    </font>
    <font>
      <sz val="9"/>
      <color indexed="43"/>
      <name val="Arial"/>
      <family val="2"/>
    </font>
    <font>
      <sz val="9"/>
      <color rgb="FFFFFFCC"/>
      <name val="Arial"/>
      <family val="2"/>
    </font>
    <font>
      <b/>
      <i/>
      <sz val="10"/>
      <color rgb="FFFF0000"/>
      <name val="Arial"/>
      <family val="2"/>
    </font>
    <font>
      <sz val="8"/>
      <name val="Arial"/>
      <family val="2"/>
    </font>
    <font>
      <b/>
      <sz val="16"/>
      <name val="Arial"/>
      <family val="2"/>
    </font>
    <font>
      <b/>
      <sz val="10"/>
      <color rgb="FFFFFFCC"/>
      <name val="Arial"/>
      <family val="2"/>
    </font>
    <font>
      <b/>
      <i/>
      <sz val="11"/>
      <color rgb="FF3F3F76"/>
      <name val="Calibri"/>
      <family val="2"/>
      <scheme val="minor"/>
    </font>
    <font>
      <sz val="11"/>
      <color rgb="FF000000"/>
      <name val="Calibri"/>
      <family val="2"/>
    </font>
    <font>
      <b/>
      <sz val="11"/>
      <color rgb="FF3F3F76"/>
      <name val="Calibri"/>
      <family val="2"/>
      <scheme val="minor"/>
    </font>
    <font>
      <b/>
      <sz val="11"/>
      <color rgb="FFFA7D00"/>
      <name val="Calibri"/>
      <family val="2"/>
      <scheme val="minor"/>
    </font>
    <font>
      <b/>
      <sz val="10"/>
      <color rgb="FF0070C0"/>
      <name val="Arial"/>
      <family val="2"/>
    </font>
    <font>
      <b/>
      <sz val="11"/>
      <color rgb="FF0070C0"/>
      <name val="Calibri"/>
      <family val="2"/>
      <scheme val="minor"/>
    </font>
    <font>
      <sz val="10"/>
      <color rgb="FF0070C0"/>
      <name val="Arial"/>
      <family val="2"/>
    </font>
    <font>
      <b/>
      <i/>
      <sz val="10"/>
      <color rgb="FF0070C0"/>
      <name val="Arial"/>
      <family val="2"/>
    </font>
    <font>
      <u/>
      <sz val="10"/>
      <color theme="10"/>
      <name val="Arial"/>
      <family val="2"/>
    </font>
    <font>
      <sz val="12"/>
      <name val="Arial"/>
      <family val="2"/>
    </font>
    <font>
      <b/>
      <sz val="20"/>
      <color rgb="FFFF0000"/>
      <name val="Arial"/>
      <family val="2"/>
    </font>
  </fonts>
  <fills count="34">
    <fill>
      <patternFill patternType="none"/>
    </fill>
    <fill>
      <patternFill patternType="gray125"/>
    </fill>
    <fill>
      <patternFill patternType="solid">
        <fgColor indexed="43"/>
        <bgColor indexed="64"/>
      </patternFill>
    </fill>
    <fill>
      <patternFill patternType="solid">
        <fgColor indexed="42"/>
        <bgColor indexed="64"/>
      </patternFill>
    </fill>
    <fill>
      <patternFill patternType="solid">
        <fgColor indexed="47"/>
        <bgColor indexed="64"/>
      </patternFill>
    </fill>
    <fill>
      <patternFill patternType="solid">
        <fgColor indexed="9"/>
        <bgColor indexed="64"/>
      </patternFill>
    </fill>
    <fill>
      <patternFill patternType="solid">
        <fgColor indexed="22"/>
        <bgColor indexed="64"/>
      </patternFill>
    </fill>
    <fill>
      <patternFill patternType="solid">
        <fgColor indexed="53"/>
        <bgColor indexed="64"/>
      </patternFill>
    </fill>
    <fill>
      <patternFill patternType="solid">
        <fgColor rgb="FFC6EFCE"/>
      </patternFill>
    </fill>
    <fill>
      <patternFill patternType="solid">
        <fgColor rgb="FFFFEB9C"/>
      </patternFill>
    </fill>
    <fill>
      <patternFill patternType="solid">
        <fgColor rgb="FFFFCC99"/>
      </patternFill>
    </fill>
    <fill>
      <patternFill patternType="solid">
        <fgColor rgb="FFFFFF99"/>
        <bgColor indexed="64"/>
      </patternFill>
    </fill>
    <fill>
      <patternFill patternType="solid">
        <fgColor theme="7" tint="0.79998168889431442"/>
        <bgColor indexed="64"/>
      </patternFill>
    </fill>
    <fill>
      <patternFill patternType="solid">
        <fgColor theme="8" tint="0.59999389629810485"/>
        <bgColor indexed="64"/>
      </patternFill>
    </fill>
    <fill>
      <patternFill patternType="solid">
        <fgColor theme="3" tint="0.79998168889431442"/>
        <bgColor indexed="64"/>
      </patternFill>
    </fill>
    <fill>
      <patternFill patternType="solid">
        <fgColor theme="2" tint="-9.9978637043366805E-2"/>
        <bgColor indexed="64"/>
      </patternFill>
    </fill>
    <fill>
      <patternFill patternType="solid">
        <fgColor theme="0" tint="-0.14999847407452621"/>
        <bgColor indexed="64"/>
      </patternFill>
    </fill>
    <fill>
      <patternFill patternType="solid">
        <fgColor theme="5" tint="0.79998168889431442"/>
        <bgColor indexed="64"/>
      </patternFill>
    </fill>
    <fill>
      <patternFill patternType="solid">
        <fgColor theme="9" tint="0.59999389629810485"/>
        <bgColor indexed="64"/>
      </patternFill>
    </fill>
    <fill>
      <patternFill patternType="solid">
        <fgColor theme="6" tint="0.59999389629810485"/>
        <bgColor indexed="64"/>
      </patternFill>
    </fill>
    <fill>
      <patternFill patternType="solid">
        <fgColor theme="9" tint="0.79998168889431442"/>
        <bgColor indexed="64"/>
      </patternFill>
    </fill>
    <fill>
      <patternFill patternType="solid">
        <fgColor rgb="FFFFFFCC"/>
        <bgColor indexed="64"/>
      </patternFill>
    </fill>
    <fill>
      <patternFill patternType="solid">
        <fgColor theme="1" tint="0.499984740745262"/>
        <bgColor indexed="64"/>
      </patternFill>
    </fill>
    <fill>
      <patternFill patternType="solid">
        <fgColor theme="6" tint="0.39997558519241921"/>
        <bgColor indexed="64"/>
      </patternFill>
    </fill>
    <fill>
      <patternFill patternType="solid">
        <fgColor theme="0" tint="-4.9989318521683403E-2"/>
        <bgColor indexed="64"/>
      </patternFill>
    </fill>
    <fill>
      <patternFill patternType="solid">
        <fgColor theme="1"/>
        <bgColor indexed="64"/>
      </patternFill>
    </fill>
    <fill>
      <patternFill patternType="solid">
        <fgColor theme="0"/>
        <bgColor indexed="64"/>
      </patternFill>
    </fill>
    <fill>
      <patternFill patternType="solid">
        <fgColor rgb="FFFFFFCC"/>
      </patternFill>
    </fill>
    <fill>
      <patternFill patternType="solid">
        <fgColor rgb="FFF2F2F2"/>
        <bgColor indexed="64"/>
      </patternFill>
    </fill>
    <fill>
      <patternFill patternType="solid">
        <fgColor rgb="FFFF0000"/>
        <bgColor indexed="64"/>
      </patternFill>
    </fill>
    <fill>
      <patternFill patternType="solid">
        <fgColor rgb="FFFFFF00"/>
        <bgColor indexed="64"/>
      </patternFill>
    </fill>
    <fill>
      <patternFill patternType="solid">
        <fgColor rgb="FFFFC000"/>
        <bgColor indexed="64"/>
      </patternFill>
    </fill>
    <fill>
      <patternFill patternType="solid">
        <fgColor rgb="FFF2F2F2"/>
      </patternFill>
    </fill>
    <fill>
      <patternFill patternType="solid">
        <fgColor theme="6" tint="0.59996337778862885"/>
        <bgColor indexed="64"/>
      </patternFill>
    </fill>
  </fills>
  <borders count="143">
    <border>
      <left/>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style="medium">
        <color indexed="64"/>
      </top>
      <bottom style="medium">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bottom/>
      <diagonal/>
    </border>
    <border>
      <left/>
      <right/>
      <top/>
      <bottom style="thin">
        <color indexed="64"/>
      </bottom>
      <diagonal/>
    </border>
    <border>
      <left style="thin">
        <color indexed="64"/>
      </left>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hair">
        <color indexed="64"/>
      </right>
      <top/>
      <bottom style="hair">
        <color indexed="64"/>
      </bottom>
      <diagonal/>
    </border>
    <border>
      <left style="hair">
        <color indexed="64"/>
      </left>
      <right style="thin">
        <color indexed="64"/>
      </right>
      <top/>
      <bottom style="hair">
        <color indexed="64"/>
      </bottom>
      <diagonal/>
    </border>
    <border>
      <left style="thin">
        <color indexed="64"/>
      </left>
      <right style="thin">
        <color indexed="64"/>
      </right>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style="hair">
        <color indexed="64"/>
      </left>
      <right style="thin">
        <color indexed="64"/>
      </right>
      <top style="hair">
        <color indexed="64"/>
      </top>
      <bottom style="thin">
        <color indexed="64"/>
      </bottom>
      <diagonal/>
    </border>
    <border>
      <left style="thin">
        <color indexed="64"/>
      </left>
      <right style="hair">
        <color indexed="64"/>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style="medium">
        <color indexed="64"/>
      </left>
      <right style="medium">
        <color indexed="64"/>
      </right>
      <top/>
      <bottom/>
      <diagonal/>
    </border>
    <border>
      <left/>
      <right style="thin">
        <color indexed="64"/>
      </right>
      <top/>
      <bottom/>
      <diagonal/>
    </border>
    <border>
      <left/>
      <right style="thin">
        <color indexed="64"/>
      </right>
      <top/>
      <bottom style="thin">
        <color indexed="64"/>
      </bottom>
      <diagonal/>
    </border>
    <border>
      <left/>
      <right/>
      <top style="medium">
        <color indexed="64"/>
      </top>
      <bottom/>
      <diagonal/>
    </border>
    <border diagonalUp="1" diagonalDown="1">
      <left style="medium">
        <color indexed="64"/>
      </left>
      <right style="medium">
        <color indexed="64"/>
      </right>
      <top style="medium">
        <color indexed="64"/>
      </top>
      <bottom style="thin">
        <color indexed="64"/>
      </bottom>
      <diagonal style="thin">
        <color indexed="64"/>
      </diagonal>
    </border>
    <border>
      <left style="medium">
        <color indexed="64"/>
      </left>
      <right/>
      <top/>
      <bottom style="hair">
        <color indexed="64"/>
      </bottom>
      <diagonal/>
    </border>
    <border>
      <left/>
      <right/>
      <top/>
      <bottom style="hair">
        <color indexed="64"/>
      </bottom>
      <diagonal/>
    </border>
    <border>
      <left/>
      <right style="medium">
        <color indexed="64"/>
      </right>
      <top/>
      <bottom style="hair">
        <color indexed="64"/>
      </bottom>
      <diagonal/>
    </border>
    <border diagonalUp="1" diagonalDown="1">
      <left style="medium">
        <color indexed="64"/>
      </left>
      <right style="medium">
        <color indexed="64"/>
      </right>
      <top style="thin">
        <color indexed="64"/>
      </top>
      <bottom style="thin">
        <color indexed="64"/>
      </bottom>
      <diagonal style="thin">
        <color indexed="64"/>
      </diagonal>
    </border>
    <border>
      <left style="medium">
        <color indexed="64"/>
      </left>
      <right/>
      <top style="hair">
        <color indexed="64"/>
      </top>
      <bottom style="hair">
        <color indexed="64"/>
      </bottom>
      <diagonal/>
    </border>
    <border>
      <left/>
      <right/>
      <top style="hair">
        <color indexed="64"/>
      </top>
      <bottom style="hair">
        <color indexed="64"/>
      </bottom>
      <diagonal/>
    </border>
    <border>
      <left/>
      <right style="medium">
        <color indexed="64"/>
      </right>
      <top style="hair">
        <color indexed="64"/>
      </top>
      <bottom style="hair">
        <color indexed="64"/>
      </bottom>
      <diagonal/>
    </border>
    <border diagonalUp="1" diagonalDown="1">
      <left style="hair">
        <color indexed="64"/>
      </left>
      <right style="hair">
        <color indexed="64"/>
      </right>
      <top/>
      <bottom style="hair">
        <color indexed="64"/>
      </bottom>
      <diagonal style="hair">
        <color indexed="64"/>
      </diagonal>
    </border>
    <border diagonalUp="1" diagonalDown="1">
      <left style="hair">
        <color indexed="64"/>
      </left>
      <right style="hair">
        <color indexed="64"/>
      </right>
      <top style="hair">
        <color indexed="64"/>
      </top>
      <bottom style="hair">
        <color indexed="64"/>
      </bottom>
      <diagonal style="hair">
        <color indexed="64"/>
      </diagonal>
    </border>
    <border>
      <left/>
      <right/>
      <top style="dotted">
        <color indexed="64"/>
      </top>
      <bottom style="dotted">
        <color indexed="64"/>
      </bottom>
      <diagonal/>
    </border>
    <border>
      <left/>
      <right/>
      <top style="medium">
        <color indexed="64"/>
      </top>
      <bottom style="dotted">
        <color indexed="64"/>
      </bottom>
      <diagonal/>
    </border>
    <border>
      <left style="medium">
        <color indexed="64"/>
      </left>
      <right/>
      <top style="dotted">
        <color indexed="64"/>
      </top>
      <bottom style="dotted">
        <color indexed="64"/>
      </bottom>
      <diagonal/>
    </border>
    <border>
      <left/>
      <right/>
      <top style="dotted">
        <color indexed="64"/>
      </top>
      <bottom style="medium">
        <color indexed="64"/>
      </bottom>
      <diagonal/>
    </border>
    <border>
      <left style="medium">
        <color indexed="64"/>
      </left>
      <right/>
      <top style="medium">
        <color indexed="64"/>
      </top>
      <bottom style="dotted">
        <color indexed="64"/>
      </bottom>
      <diagonal/>
    </border>
    <border>
      <left style="medium">
        <color indexed="64"/>
      </left>
      <right/>
      <top style="dotted">
        <color indexed="64"/>
      </top>
      <bottom style="medium">
        <color indexed="64"/>
      </bottom>
      <diagonal/>
    </border>
    <border>
      <left/>
      <right style="medium">
        <color indexed="64"/>
      </right>
      <top style="dotted">
        <color indexed="64"/>
      </top>
      <bottom style="dotted">
        <color indexed="64"/>
      </bottom>
      <diagonal/>
    </border>
    <border>
      <left/>
      <right style="medium">
        <color indexed="64"/>
      </right>
      <top/>
      <bottom style="dotted">
        <color indexed="64"/>
      </bottom>
      <diagonal/>
    </border>
    <border>
      <left style="thin">
        <color indexed="64"/>
      </left>
      <right style="thin">
        <color indexed="64"/>
      </right>
      <top style="medium">
        <color indexed="64"/>
      </top>
      <bottom style="medium">
        <color indexed="64"/>
      </bottom>
      <diagonal/>
    </border>
    <border>
      <left/>
      <right style="medium">
        <color indexed="64"/>
      </right>
      <top style="dotted">
        <color indexed="64"/>
      </top>
      <bottom style="medium">
        <color indexed="64"/>
      </bottom>
      <diagonal/>
    </border>
    <border>
      <left style="medium">
        <color indexed="64"/>
      </left>
      <right style="medium">
        <color indexed="64"/>
      </right>
      <top style="medium">
        <color indexed="64"/>
      </top>
      <bottom/>
      <diagonal/>
    </border>
    <border>
      <left/>
      <right style="medium">
        <color indexed="64"/>
      </right>
      <top style="medium">
        <color indexed="64"/>
      </top>
      <bottom style="dotted">
        <color indexed="64"/>
      </bottom>
      <diagonal/>
    </border>
    <border>
      <left style="thin">
        <color indexed="64"/>
      </left>
      <right style="thin">
        <color indexed="64"/>
      </right>
      <top style="dotted">
        <color indexed="64"/>
      </top>
      <bottom style="dotted">
        <color indexed="64"/>
      </bottom>
      <diagonal/>
    </border>
    <border>
      <left/>
      <right/>
      <top style="dotted">
        <color indexed="64"/>
      </top>
      <bottom/>
      <diagonal/>
    </border>
    <border>
      <left/>
      <right style="medium">
        <color indexed="64"/>
      </right>
      <top style="dotted">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thin">
        <color indexed="64"/>
      </top>
      <bottom style="dotted">
        <color indexed="64"/>
      </bottom>
      <diagonal/>
    </border>
    <border>
      <left/>
      <right style="thin">
        <color indexed="64"/>
      </right>
      <top style="thin">
        <color indexed="64"/>
      </top>
      <bottom style="dotted">
        <color indexed="64"/>
      </bottom>
      <diagonal/>
    </border>
    <border>
      <left/>
      <right style="thin">
        <color indexed="64"/>
      </right>
      <top style="dotted">
        <color indexed="64"/>
      </top>
      <bottom style="dotted">
        <color indexed="64"/>
      </bottom>
      <diagonal/>
    </border>
    <border>
      <left/>
      <right/>
      <top style="dotted">
        <color indexed="64"/>
      </top>
      <bottom style="thin">
        <color indexed="64"/>
      </bottom>
      <diagonal/>
    </border>
    <border>
      <left/>
      <right style="thin">
        <color indexed="64"/>
      </right>
      <top style="dotted">
        <color indexed="64"/>
      </top>
      <bottom style="thin">
        <color indexed="64"/>
      </bottom>
      <diagonal/>
    </border>
    <border>
      <left style="thin">
        <color indexed="64"/>
      </left>
      <right/>
      <top style="thin">
        <color indexed="64"/>
      </top>
      <bottom style="dotted">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dotted">
        <color indexed="64"/>
      </bottom>
      <diagonal/>
    </border>
    <border>
      <left style="thin">
        <color indexed="64"/>
      </left>
      <right style="thin">
        <color indexed="64"/>
      </right>
      <top style="medium">
        <color indexed="64"/>
      </top>
      <bottom style="dotted">
        <color indexed="64"/>
      </bottom>
      <diagonal/>
    </border>
    <border>
      <left style="thin">
        <color indexed="64"/>
      </left>
      <right style="medium">
        <color indexed="64"/>
      </right>
      <top style="medium">
        <color indexed="64"/>
      </top>
      <bottom style="dotted">
        <color indexed="64"/>
      </bottom>
      <diagonal/>
    </border>
    <border>
      <left style="medium">
        <color indexed="64"/>
      </left>
      <right style="thin">
        <color indexed="64"/>
      </right>
      <top style="dotted">
        <color indexed="64"/>
      </top>
      <bottom style="dotted">
        <color indexed="64"/>
      </bottom>
      <diagonal/>
    </border>
    <border>
      <left style="thin">
        <color indexed="64"/>
      </left>
      <right style="medium">
        <color indexed="64"/>
      </right>
      <top style="dotted">
        <color indexed="64"/>
      </top>
      <bottom style="dotted">
        <color indexed="64"/>
      </bottom>
      <diagonal/>
    </border>
    <border>
      <left style="medium">
        <color indexed="64"/>
      </left>
      <right style="thin">
        <color indexed="64"/>
      </right>
      <top style="dotted">
        <color indexed="64"/>
      </top>
      <bottom style="medium">
        <color indexed="64"/>
      </bottom>
      <diagonal/>
    </border>
    <border>
      <left style="thin">
        <color indexed="64"/>
      </left>
      <right style="thin">
        <color indexed="64"/>
      </right>
      <top style="dotted">
        <color indexed="64"/>
      </top>
      <bottom style="medium">
        <color indexed="64"/>
      </bottom>
      <diagonal/>
    </border>
    <border>
      <left style="thin">
        <color indexed="64"/>
      </left>
      <right style="medium">
        <color indexed="64"/>
      </right>
      <top style="dotted">
        <color indexed="64"/>
      </top>
      <bottom style="medium">
        <color indexed="64"/>
      </bottom>
      <diagonal/>
    </border>
    <border>
      <left style="thin">
        <color indexed="64"/>
      </left>
      <right style="thin">
        <color indexed="64"/>
      </right>
      <top style="medium">
        <color indexed="64"/>
      </top>
      <bottom/>
      <diagonal/>
    </border>
    <border>
      <left style="medium">
        <color indexed="64"/>
      </left>
      <right/>
      <top style="dotted">
        <color indexed="64"/>
      </top>
      <bottom/>
      <diagonal/>
    </border>
    <border>
      <left style="thin">
        <color indexed="64"/>
      </left>
      <right style="thin">
        <color indexed="64"/>
      </right>
      <top/>
      <bottom style="dotted">
        <color indexed="64"/>
      </bottom>
      <diagonal/>
    </border>
    <border>
      <left style="thin">
        <color indexed="64"/>
      </left>
      <right style="thin">
        <color indexed="64"/>
      </right>
      <top style="dotted">
        <color indexed="64"/>
      </top>
      <bottom/>
      <diagonal/>
    </border>
    <border>
      <left style="medium">
        <color indexed="64"/>
      </left>
      <right style="medium">
        <color indexed="64"/>
      </right>
      <top style="dotted">
        <color indexed="64"/>
      </top>
      <bottom style="dotted">
        <color indexed="64"/>
      </bottom>
      <diagonal/>
    </border>
    <border>
      <left style="medium">
        <color indexed="64"/>
      </left>
      <right style="medium">
        <color indexed="64"/>
      </right>
      <top style="medium">
        <color indexed="64"/>
      </top>
      <bottom style="dotted">
        <color indexed="64"/>
      </bottom>
      <diagonal/>
    </border>
    <border>
      <left style="medium">
        <color indexed="64"/>
      </left>
      <right style="medium">
        <color indexed="64"/>
      </right>
      <top style="dotted">
        <color indexed="64"/>
      </top>
      <bottom style="medium">
        <color indexed="64"/>
      </bottom>
      <diagonal/>
    </border>
    <border>
      <left style="medium">
        <color indexed="64"/>
      </left>
      <right style="thin">
        <color indexed="64"/>
      </right>
      <top style="dotted">
        <color indexed="64"/>
      </top>
      <bottom/>
      <diagonal/>
    </border>
    <border>
      <left/>
      <right/>
      <top/>
      <bottom style="dotted">
        <color indexed="64"/>
      </bottom>
      <diagonal/>
    </border>
    <border>
      <left/>
      <right style="thin">
        <color indexed="64"/>
      </right>
      <top style="medium">
        <color indexed="64"/>
      </top>
      <bottom style="dotted">
        <color indexed="64"/>
      </bottom>
      <diagonal/>
    </border>
    <border>
      <left style="thin">
        <color indexed="64"/>
      </left>
      <right/>
      <top style="dotted">
        <color indexed="64"/>
      </top>
      <bottom style="dotted">
        <color indexed="64"/>
      </bottom>
      <diagonal/>
    </border>
    <border>
      <left style="medium">
        <color indexed="64"/>
      </left>
      <right style="thin">
        <color indexed="64"/>
      </right>
      <top/>
      <bottom style="dotted">
        <color indexed="64"/>
      </bottom>
      <diagonal/>
    </border>
    <border>
      <left style="medium">
        <color indexed="64"/>
      </left>
      <right style="thin">
        <color indexed="64"/>
      </right>
      <top style="dotted">
        <color indexed="64"/>
      </top>
      <bottom style="thin">
        <color indexed="64"/>
      </bottom>
      <diagonal/>
    </border>
    <border>
      <left style="thin">
        <color indexed="64"/>
      </left>
      <right/>
      <top style="dotted">
        <color indexed="64"/>
      </top>
      <bottom style="thin">
        <color indexed="64"/>
      </bottom>
      <diagonal/>
    </border>
    <border>
      <left/>
      <right/>
      <top/>
      <bottom style="medium">
        <color indexed="64"/>
      </bottom>
      <diagonal/>
    </border>
    <border>
      <left style="thin">
        <color indexed="64"/>
      </left>
      <right/>
      <top/>
      <bottom style="dotted">
        <color indexed="64"/>
      </bottom>
      <diagonal/>
    </border>
    <border>
      <left style="thin">
        <color indexed="64"/>
      </left>
      <right/>
      <top/>
      <bottom style="hair">
        <color indexed="64"/>
      </bottom>
      <diagonal/>
    </border>
    <border>
      <left style="thin">
        <color indexed="64"/>
      </left>
      <right/>
      <top style="thin">
        <color indexed="64"/>
      </top>
      <bottom style="hair">
        <color indexed="64"/>
      </bottom>
      <diagonal/>
    </border>
    <border>
      <left style="thin">
        <color indexed="64"/>
      </left>
      <right/>
      <top style="hair">
        <color indexed="64"/>
      </top>
      <bottom style="hair">
        <color indexed="64"/>
      </bottom>
      <diagonal/>
    </border>
    <border>
      <left style="thin">
        <color indexed="64"/>
      </left>
      <right/>
      <top style="hair">
        <color indexed="64"/>
      </top>
      <bottom/>
      <diagonal/>
    </border>
    <border>
      <left style="thin">
        <color indexed="64"/>
      </left>
      <right style="medium">
        <color indexed="64"/>
      </right>
      <top/>
      <bottom/>
      <diagonal/>
    </border>
    <border>
      <left style="thin">
        <color indexed="64"/>
      </left>
      <right style="thin">
        <color indexed="64"/>
      </right>
      <top style="thin">
        <color indexed="64"/>
      </top>
      <bottom style="hair">
        <color indexed="64"/>
      </bottom>
      <diagonal/>
    </border>
    <border>
      <left style="thin">
        <color rgb="FF7F7F7F"/>
      </left>
      <right style="thin">
        <color rgb="FF7F7F7F"/>
      </right>
      <top style="thin">
        <color rgb="FF7F7F7F"/>
      </top>
      <bottom style="thin">
        <color rgb="FF7F7F7F"/>
      </bottom>
      <diagonal/>
    </border>
    <border>
      <left style="thin">
        <color indexed="64"/>
      </left>
      <right/>
      <top style="thin">
        <color indexed="64"/>
      </top>
      <bottom style="medium">
        <color indexed="64"/>
      </bottom>
      <diagonal/>
    </border>
    <border>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top style="medium">
        <color indexed="64"/>
      </top>
      <bottom style="thin">
        <color indexed="64"/>
      </bottom>
      <diagonal/>
    </border>
    <border>
      <left/>
      <right style="medium">
        <color indexed="64"/>
      </right>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diagonal/>
    </border>
    <border>
      <left style="medium">
        <color indexed="64"/>
      </left>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rgb="FFB2B2B2"/>
      </left>
      <right style="thin">
        <color rgb="FFB2B2B2"/>
      </right>
      <top style="thin">
        <color rgb="FFB2B2B2"/>
      </top>
      <bottom style="thin">
        <color rgb="FFB2B2B2"/>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right style="thin">
        <color indexed="64"/>
      </right>
      <top style="thin">
        <color indexed="64"/>
      </top>
      <bottom style="medium">
        <color indexed="64"/>
      </bottom>
      <diagonal/>
    </border>
    <border>
      <left/>
      <right/>
      <top style="medium">
        <color indexed="64"/>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diagonal/>
    </border>
    <border>
      <left style="medium">
        <color indexed="64"/>
      </left>
      <right/>
      <top/>
      <bottom style="thin">
        <color indexed="64"/>
      </bottom>
      <diagonal/>
    </border>
    <border>
      <left style="medium">
        <color indexed="64"/>
      </left>
      <right/>
      <top/>
      <bottom style="dotted">
        <color indexed="64"/>
      </bottom>
      <diagonal/>
    </border>
    <border>
      <left style="thin">
        <color indexed="64"/>
      </left>
      <right style="thin">
        <color indexed="64"/>
      </right>
      <top style="thin">
        <color indexed="64"/>
      </top>
      <bottom style="dotted">
        <color indexed="64"/>
      </bottom>
      <diagonal/>
    </border>
    <border>
      <left style="thin">
        <color indexed="64"/>
      </left>
      <right style="thin">
        <color indexed="64"/>
      </right>
      <top style="dotted">
        <color indexed="64"/>
      </top>
      <bottom style="thin">
        <color indexed="64"/>
      </bottom>
      <diagonal/>
    </border>
    <border>
      <left style="thin">
        <color indexed="64"/>
      </left>
      <right/>
      <top style="dotted">
        <color indexed="64"/>
      </top>
      <bottom/>
      <diagonal/>
    </border>
    <border>
      <left style="dotted">
        <color indexed="64"/>
      </left>
      <right style="dotted">
        <color indexed="64"/>
      </right>
      <top style="dotted">
        <color indexed="64"/>
      </top>
      <bottom style="dotted">
        <color indexed="64"/>
      </bottom>
      <diagonal/>
    </border>
    <border>
      <left style="dotted">
        <color indexed="64"/>
      </left>
      <right style="medium">
        <color indexed="64"/>
      </right>
      <top style="medium">
        <color indexed="64"/>
      </top>
      <bottom style="dotted">
        <color indexed="64"/>
      </bottom>
      <diagonal/>
    </border>
    <border>
      <left style="medium">
        <color indexed="64"/>
      </left>
      <right style="dotted">
        <color indexed="64"/>
      </right>
      <top style="dotted">
        <color indexed="64"/>
      </top>
      <bottom style="dotted">
        <color indexed="64"/>
      </bottom>
      <diagonal/>
    </border>
    <border>
      <left style="dotted">
        <color indexed="64"/>
      </left>
      <right style="medium">
        <color indexed="64"/>
      </right>
      <top style="dotted">
        <color indexed="64"/>
      </top>
      <bottom style="dotted">
        <color indexed="64"/>
      </bottom>
      <diagonal/>
    </border>
    <border>
      <left style="medium">
        <color indexed="64"/>
      </left>
      <right style="dotted">
        <color indexed="64"/>
      </right>
      <top style="dotted">
        <color indexed="64"/>
      </top>
      <bottom style="medium">
        <color indexed="64"/>
      </bottom>
      <diagonal/>
    </border>
    <border>
      <left style="dotted">
        <color indexed="64"/>
      </left>
      <right style="dotted">
        <color indexed="64"/>
      </right>
      <top style="dotted">
        <color indexed="64"/>
      </top>
      <bottom style="medium">
        <color indexed="64"/>
      </bottom>
      <diagonal/>
    </border>
    <border>
      <left style="dotted">
        <color indexed="64"/>
      </left>
      <right style="medium">
        <color indexed="64"/>
      </right>
      <top style="dotted">
        <color indexed="64"/>
      </top>
      <bottom style="medium">
        <color indexed="64"/>
      </bottom>
      <diagonal/>
    </border>
    <border>
      <left/>
      <right style="thin">
        <color indexed="64"/>
      </right>
      <top/>
      <bottom style="dotted">
        <color indexed="64"/>
      </bottom>
      <diagonal/>
    </border>
    <border>
      <left style="thin">
        <color rgb="FF7F7F7F"/>
      </left>
      <right style="thin">
        <color rgb="FF7F7F7F"/>
      </right>
      <top style="thin">
        <color rgb="FF7F7F7F"/>
      </top>
      <bottom/>
      <diagonal/>
    </border>
    <border>
      <left/>
      <right style="dotted">
        <color indexed="64"/>
      </right>
      <top style="medium">
        <color indexed="64"/>
      </top>
      <bottom style="dotted">
        <color indexed="64"/>
      </bottom>
      <diagonal/>
    </border>
    <border>
      <left style="thin">
        <color indexed="64"/>
      </left>
      <right style="medium">
        <color indexed="64"/>
      </right>
      <top style="medium">
        <color indexed="64"/>
      </top>
      <bottom/>
      <diagonal/>
    </border>
    <border>
      <left/>
      <right/>
      <top/>
      <bottom style="thin">
        <color rgb="FF7F7F7F"/>
      </bottom>
      <diagonal/>
    </border>
  </borders>
  <cellStyleXfs count="38">
    <xf numFmtId="0" fontId="0" fillId="0" borderId="0"/>
    <xf numFmtId="164" fontId="8" fillId="0" borderId="0" applyFont="0" applyFill="0" applyBorder="0" applyAlignment="0" applyProtection="0"/>
    <xf numFmtId="0" fontId="42" fillId="8" borderId="0" applyNumberFormat="0" applyBorder="0" applyAlignment="0" applyProtection="0"/>
    <xf numFmtId="0" fontId="44" fillId="10" borderId="102" applyNumberFormat="0" applyAlignment="0" applyProtection="0"/>
    <xf numFmtId="0" fontId="43" fillId="9" borderId="0" applyNumberFormat="0" applyBorder="0" applyAlignment="0" applyProtection="0"/>
    <xf numFmtId="0" fontId="8" fillId="0" borderId="0"/>
    <xf numFmtId="0" fontId="7" fillId="0" borderId="0"/>
    <xf numFmtId="0" fontId="8" fillId="27" borderId="119" applyNumberFormat="0" applyFont="0" applyAlignment="0" applyProtection="0"/>
    <xf numFmtId="0" fontId="6" fillId="0" borderId="0"/>
    <xf numFmtId="164" fontId="8" fillId="0" borderId="0" applyFont="0" applyFill="0" applyBorder="0" applyAlignment="0" applyProtection="0"/>
    <xf numFmtId="0" fontId="5" fillId="0" borderId="0"/>
    <xf numFmtId="0" fontId="5" fillId="0" borderId="0"/>
    <xf numFmtId="0" fontId="4" fillId="0" borderId="0"/>
    <xf numFmtId="0" fontId="4" fillId="0" borderId="0"/>
    <xf numFmtId="0" fontId="3" fillId="0" borderId="0"/>
    <xf numFmtId="164" fontId="8" fillId="0" borderId="0" applyFont="0" applyFill="0" applyBorder="0" applyAlignment="0" applyProtection="0"/>
    <xf numFmtId="0" fontId="2" fillId="0" borderId="0"/>
    <xf numFmtId="0" fontId="2" fillId="0" borderId="0"/>
    <xf numFmtId="164" fontId="8" fillId="0" borderId="0" applyFont="0" applyFill="0" applyBorder="0" applyAlignment="0" applyProtection="0"/>
    <xf numFmtId="0" fontId="2" fillId="0" borderId="0"/>
    <xf numFmtId="0" fontId="2" fillId="0" borderId="0"/>
    <xf numFmtId="0" fontId="2" fillId="0" borderId="0"/>
    <xf numFmtId="0" fontId="73" fillId="32" borderId="102" applyNumberFormat="0" applyAlignment="0" applyProtection="0"/>
    <xf numFmtId="0" fontId="78" fillId="0" borderId="0" applyNumberFormat="0" applyFill="0" applyBorder="0" applyAlignment="0" applyProtection="0"/>
    <xf numFmtId="44" fontId="8" fillId="0" borderId="0" applyFont="0" applyFill="0" applyBorder="0" applyAlignment="0" applyProtection="0"/>
    <xf numFmtId="0" fontId="1" fillId="0" borderId="0"/>
    <xf numFmtId="0" fontId="1" fillId="0" borderId="0"/>
    <xf numFmtId="44" fontId="8" fillId="0" borderId="0" applyFont="0" applyFill="0" applyBorder="0" applyAlignment="0" applyProtection="0"/>
    <xf numFmtId="0" fontId="1" fillId="0" borderId="0"/>
    <xf numFmtId="0" fontId="1" fillId="0" borderId="0"/>
    <xf numFmtId="0" fontId="1" fillId="0" borderId="0"/>
    <xf numFmtId="44" fontId="8" fillId="0" borderId="0" applyFont="0" applyFill="0" applyBorder="0" applyAlignment="0" applyProtection="0"/>
    <xf numFmtId="0" fontId="1" fillId="0" borderId="0"/>
    <xf numFmtId="0" fontId="1" fillId="0" borderId="0"/>
    <xf numFmtId="44" fontId="8" fillId="0" borderId="0" applyFont="0" applyFill="0" applyBorder="0" applyAlignment="0" applyProtection="0"/>
    <xf numFmtId="0" fontId="1" fillId="0" borderId="0"/>
    <xf numFmtId="0" fontId="1" fillId="0" borderId="0"/>
    <xf numFmtId="0" fontId="1" fillId="0" borderId="0"/>
  </cellStyleXfs>
  <cellXfs count="1405">
    <xf numFmtId="0" fontId="0" fillId="0" borderId="0" xfId="0"/>
    <xf numFmtId="0" fontId="0" fillId="2" borderId="0" xfId="0" applyFill="1"/>
    <xf numFmtId="0" fontId="0" fillId="0" borderId="0" xfId="0" applyAlignment="1">
      <alignment horizontal="center"/>
    </xf>
    <xf numFmtId="0" fontId="9" fillId="0" borderId="0" xfId="0" applyFont="1"/>
    <xf numFmtId="0" fontId="16" fillId="2" borderId="0" xfId="0" applyFont="1" applyFill="1"/>
    <xf numFmtId="0" fontId="9" fillId="2" borderId="0" xfId="0" applyFont="1" applyFill="1"/>
    <xf numFmtId="0" fontId="9" fillId="0" borderId="0" xfId="0" applyFont="1" applyAlignment="1">
      <alignment horizontal="center"/>
    </xf>
    <xf numFmtId="0" fontId="9" fillId="2" borderId="0" xfId="0" applyFont="1" applyFill="1" applyAlignment="1">
      <alignment horizontal="center"/>
    </xf>
    <xf numFmtId="0" fontId="0" fillId="2" borderId="5" xfId="0" applyFill="1" applyBorder="1"/>
    <xf numFmtId="0" fontId="0" fillId="2" borderId="6" xfId="0" applyFill="1" applyBorder="1"/>
    <xf numFmtId="0" fontId="9" fillId="2" borderId="17" xfId="0" applyFont="1" applyFill="1" applyBorder="1" applyAlignment="1">
      <alignment horizontal="center"/>
    </xf>
    <xf numFmtId="0" fontId="0" fillId="0" borderId="1" xfId="0" applyBorder="1" applyAlignment="1" applyProtection="1">
      <alignment horizontal="center"/>
      <protection locked="0"/>
    </xf>
    <xf numFmtId="0" fontId="0" fillId="0" borderId="15" xfId="0" applyBorder="1" applyAlignment="1" applyProtection="1">
      <alignment horizontal="center"/>
      <protection locked="0"/>
    </xf>
    <xf numFmtId="0" fontId="9" fillId="2" borderId="4" xfId="0" applyFont="1" applyFill="1" applyBorder="1" applyAlignment="1">
      <alignment horizontal="center"/>
    </xf>
    <xf numFmtId="0" fontId="0" fillId="0" borderId="0" xfId="0" applyProtection="1">
      <protection locked="0"/>
    </xf>
    <xf numFmtId="0" fontId="0" fillId="0" borderId="9" xfId="0" applyBorder="1" applyProtection="1">
      <protection locked="0"/>
    </xf>
    <xf numFmtId="0" fontId="0" fillId="0" borderId="11" xfId="0" applyBorder="1" applyProtection="1">
      <protection locked="0"/>
    </xf>
    <xf numFmtId="0" fontId="0" fillId="0" borderId="7" xfId="0" applyBorder="1" applyProtection="1">
      <protection locked="0"/>
    </xf>
    <xf numFmtId="0" fontId="0" fillId="0" borderId="16" xfId="0" applyBorder="1" applyProtection="1">
      <protection locked="0"/>
    </xf>
    <xf numFmtId="0" fontId="0" fillId="0" borderId="34" xfId="0" applyBorder="1" applyProtection="1">
      <protection locked="0"/>
    </xf>
    <xf numFmtId="0" fontId="15" fillId="0" borderId="0" xfId="0" applyFont="1" applyAlignment="1" applyProtection="1">
      <alignment horizontal="left"/>
      <protection locked="0"/>
    </xf>
    <xf numFmtId="0" fontId="0" fillId="0" borderId="13" xfId="0" applyBorder="1" applyProtection="1">
      <protection locked="0"/>
    </xf>
    <xf numFmtId="0" fontId="0" fillId="0" borderId="35" xfId="0" applyBorder="1" applyProtection="1">
      <protection locked="0"/>
    </xf>
    <xf numFmtId="0" fontId="0" fillId="0" borderId="14" xfId="0" applyBorder="1" applyProtection="1">
      <protection locked="0"/>
    </xf>
    <xf numFmtId="0" fontId="0" fillId="0" borderId="12" xfId="0" applyBorder="1" applyAlignment="1" applyProtection="1">
      <alignment horizontal="center"/>
      <protection locked="0"/>
    </xf>
    <xf numFmtId="0" fontId="19" fillId="0" borderId="10" xfId="0" applyFont="1" applyBorder="1" applyAlignment="1" applyProtection="1">
      <alignment horizontal="left"/>
      <protection locked="0"/>
    </xf>
    <xf numFmtId="0" fontId="19" fillId="0" borderId="12" xfId="0" applyFont="1" applyBorder="1" applyAlignment="1" applyProtection="1">
      <alignment horizontal="left"/>
      <protection locked="0"/>
    </xf>
    <xf numFmtId="0" fontId="0" fillId="0" borderId="11" xfId="0" applyBorder="1" applyAlignment="1" applyProtection="1">
      <alignment horizontal="center"/>
      <protection locked="0"/>
    </xf>
    <xf numFmtId="0" fontId="0" fillId="0" borderId="9" xfId="0" applyBorder="1" applyAlignment="1" applyProtection="1">
      <alignment horizontal="center"/>
      <protection locked="0"/>
    </xf>
    <xf numFmtId="0" fontId="15" fillId="0" borderId="9" xfId="0" applyFont="1" applyBorder="1" applyAlignment="1" applyProtection="1">
      <alignment horizontal="center"/>
      <protection locked="0"/>
    </xf>
    <xf numFmtId="0" fontId="19" fillId="0" borderId="15" xfId="0" applyFont="1" applyBorder="1" applyAlignment="1" applyProtection="1">
      <alignment horizontal="left"/>
      <protection locked="0"/>
    </xf>
    <xf numFmtId="0" fontId="0" fillId="0" borderId="10" xfId="0" applyBorder="1" applyAlignment="1" applyProtection="1">
      <alignment horizontal="center"/>
      <protection locked="0"/>
    </xf>
    <xf numFmtId="0" fontId="29" fillId="0" borderId="12" xfId="0" applyFont="1" applyBorder="1" applyAlignment="1" applyProtection="1">
      <alignment horizontal="left"/>
      <protection locked="0"/>
    </xf>
    <xf numFmtId="0" fontId="0" fillId="5" borderId="0" xfId="0" applyFill="1"/>
    <xf numFmtId="0" fontId="32" fillId="0" borderId="0" xfId="0" applyFont="1"/>
    <xf numFmtId="0" fontId="0" fillId="0" borderId="0" xfId="0" applyAlignment="1" applyProtection="1">
      <alignment horizontal="center"/>
      <protection locked="0"/>
    </xf>
    <xf numFmtId="0" fontId="19" fillId="0" borderId="0" xfId="0" applyFont="1" applyAlignment="1" applyProtection="1">
      <alignment horizontal="left"/>
      <protection locked="0"/>
    </xf>
    <xf numFmtId="2" fontId="0" fillId="0" borderId="0" xfId="0" applyNumberFormat="1" applyAlignment="1">
      <alignment horizontal="center"/>
    </xf>
    <xf numFmtId="0" fontId="0" fillId="6" borderId="0" xfId="0" applyFill="1" applyAlignment="1">
      <alignment horizontal="center"/>
    </xf>
    <xf numFmtId="0" fontId="37" fillId="0" borderId="0" xfId="0" applyFont="1" applyAlignment="1">
      <alignment vertical="center"/>
    </xf>
    <xf numFmtId="0" fontId="38" fillId="0" borderId="0" xfId="0" applyFont="1" applyAlignment="1">
      <alignment horizontal="center" vertical="center"/>
    </xf>
    <xf numFmtId="0" fontId="0" fillId="0" borderId="0" xfId="0" applyAlignment="1">
      <alignment vertical="center"/>
    </xf>
    <xf numFmtId="0" fontId="33" fillId="0" borderId="0" xfId="0" applyFont="1" applyAlignment="1">
      <alignment horizontal="center" vertical="center"/>
    </xf>
    <xf numFmtId="0" fontId="33" fillId="0" borderId="0" xfId="0" applyFont="1" applyAlignment="1">
      <alignment vertical="center"/>
    </xf>
    <xf numFmtId="0" fontId="35" fillId="0" borderId="0" xfId="0" applyFont="1" applyAlignment="1">
      <alignment vertical="center"/>
    </xf>
    <xf numFmtId="0" fontId="36" fillId="0" borderId="0" xfId="0" applyFont="1" applyAlignment="1">
      <alignment horizontal="center" vertical="center"/>
    </xf>
    <xf numFmtId="0" fontId="9" fillId="0" borderId="0" xfId="0" applyFont="1" applyAlignment="1">
      <alignment vertical="center"/>
    </xf>
    <xf numFmtId="0" fontId="9" fillId="0" borderId="0" xfId="0" applyFont="1" applyAlignment="1">
      <alignment horizontal="right" vertical="center"/>
    </xf>
    <xf numFmtId="166" fontId="0" fillId="0" borderId="0" xfId="0" applyNumberFormat="1" applyAlignment="1">
      <alignment vertical="center"/>
    </xf>
    <xf numFmtId="1" fontId="0" fillId="0" borderId="0" xfId="0" applyNumberFormat="1" applyAlignment="1">
      <alignment vertical="center"/>
    </xf>
    <xf numFmtId="2" fontId="0" fillId="0" borderId="0" xfId="0" applyNumberFormat="1" applyAlignment="1">
      <alignment vertical="center"/>
    </xf>
    <xf numFmtId="0" fontId="9" fillId="0" borderId="33" xfId="0" applyFont="1" applyBorder="1" applyAlignment="1">
      <alignment vertical="center"/>
    </xf>
    <xf numFmtId="0" fontId="22" fillId="0" borderId="0" xfId="0" applyFont="1" applyAlignment="1">
      <alignment horizontal="center" vertical="center" textRotation="90"/>
    </xf>
    <xf numFmtId="167" fontId="0" fillId="0" borderId="0" xfId="0" applyNumberFormat="1" applyAlignment="1">
      <alignment vertical="center"/>
    </xf>
    <xf numFmtId="0" fontId="8" fillId="2" borderId="0" xfId="0" applyFont="1" applyFill="1"/>
    <xf numFmtId="0" fontId="0" fillId="11" borderId="0" xfId="0" applyFill="1"/>
    <xf numFmtId="0" fontId="0" fillId="12" borderId="0" xfId="0" applyFill="1" applyAlignment="1">
      <alignment vertical="center"/>
    </xf>
    <xf numFmtId="167" fontId="0" fillId="13" borderId="53" xfId="0" applyNumberFormat="1" applyFill="1" applyBorder="1" applyAlignment="1">
      <alignment vertical="center"/>
    </xf>
    <xf numFmtId="0" fontId="0" fillId="13" borderId="0" xfId="0" applyFill="1" applyAlignment="1">
      <alignment vertical="center"/>
    </xf>
    <xf numFmtId="167" fontId="0" fillId="14" borderId="53" xfId="0" applyNumberFormat="1" applyFill="1" applyBorder="1" applyAlignment="1">
      <alignment vertical="center"/>
    </xf>
    <xf numFmtId="0" fontId="0" fillId="14" borderId="0" xfId="0" applyFill="1" applyAlignment="1">
      <alignment vertical="center"/>
    </xf>
    <xf numFmtId="167" fontId="0" fillId="15" borderId="53" xfId="0" applyNumberFormat="1" applyFill="1" applyBorder="1" applyAlignment="1">
      <alignment vertical="center"/>
    </xf>
    <xf numFmtId="167" fontId="0" fillId="12" borderId="54" xfId="0" applyNumberFormat="1" applyFill="1" applyBorder="1" applyAlignment="1">
      <alignment vertical="center"/>
    </xf>
    <xf numFmtId="167" fontId="0" fillId="12" borderId="53" xfId="0" applyNumberFormat="1" applyFill="1" applyBorder="1" applyAlignment="1">
      <alignment vertical="center"/>
    </xf>
    <xf numFmtId="0" fontId="9" fillId="16" borderId="55" xfId="0" applyFont="1" applyFill="1" applyBorder="1" applyAlignment="1">
      <alignment vertical="center"/>
    </xf>
    <xf numFmtId="0" fontId="0" fillId="16" borderId="0" xfId="0" applyFill="1" applyAlignment="1">
      <alignment vertical="center"/>
    </xf>
    <xf numFmtId="0" fontId="0" fillId="15" borderId="0" xfId="0" applyFill="1" applyAlignment="1">
      <alignment vertical="center"/>
    </xf>
    <xf numFmtId="0" fontId="0" fillId="17" borderId="0" xfId="0" applyFill="1" applyAlignment="1">
      <alignment vertical="center"/>
    </xf>
    <xf numFmtId="167" fontId="0" fillId="17" borderId="53" xfId="0" applyNumberFormat="1" applyFill="1" applyBorder="1" applyAlignment="1">
      <alignment vertical="center"/>
    </xf>
    <xf numFmtId="167" fontId="0" fillId="17" borderId="56" xfId="0" applyNumberFormat="1" applyFill="1" applyBorder="1" applyAlignment="1">
      <alignment vertical="center"/>
    </xf>
    <xf numFmtId="0" fontId="33" fillId="0" borderId="0" xfId="0" applyFont="1" applyAlignment="1">
      <alignment horizontal="center"/>
    </xf>
    <xf numFmtId="167" fontId="0" fillId="18" borderId="58" xfId="0" applyNumberFormat="1" applyFill="1" applyBorder="1" applyAlignment="1">
      <alignment vertical="center"/>
    </xf>
    <xf numFmtId="0" fontId="8" fillId="18" borderId="0" xfId="0" applyFont="1" applyFill="1" applyAlignment="1">
      <alignment vertical="center"/>
    </xf>
    <xf numFmtId="0" fontId="8" fillId="0" borderId="0" xfId="0" applyFont="1" applyAlignment="1">
      <alignment horizontal="center"/>
    </xf>
    <xf numFmtId="0" fontId="0" fillId="0" borderId="11" xfId="0" applyBorder="1" applyAlignment="1">
      <alignment horizontal="center"/>
    </xf>
    <xf numFmtId="0" fontId="0" fillId="0" borderId="7" xfId="0" applyBorder="1" applyAlignment="1">
      <alignment horizontal="center"/>
    </xf>
    <xf numFmtId="0" fontId="0" fillId="0" borderId="16" xfId="0" applyBorder="1" applyAlignment="1">
      <alignment horizontal="center"/>
    </xf>
    <xf numFmtId="0" fontId="0" fillId="0" borderId="9" xfId="0" applyBorder="1" applyAlignment="1">
      <alignment horizontal="center"/>
    </xf>
    <xf numFmtId="0" fontId="0" fillId="0" borderId="34" xfId="0" applyBorder="1" applyAlignment="1">
      <alignment horizontal="center"/>
    </xf>
    <xf numFmtId="0" fontId="8" fillId="0" borderId="9" xfId="0" applyFont="1" applyBorder="1" applyAlignment="1">
      <alignment horizontal="center"/>
    </xf>
    <xf numFmtId="0" fontId="0" fillId="0" borderId="14" xfId="0" applyBorder="1"/>
    <xf numFmtId="0" fontId="0" fillId="0" borderId="13" xfId="0" applyBorder="1"/>
    <xf numFmtId="0" fontId="0" fillId="0" borderId="35" xfId="0" applyBorder="1"/>
    <xf numFmtId="0" fontId="0" fillId="0" borderId="7" xfId="0" applyBorder="1"/>
    <xf numFmtId="0" fontId="0" fillId="0" borderId="16" xfId="0" applyBorder="1"/>
    <xf numFmtId="0" fontId="0" fillId="0" borderId="9" xfId="0" applyBorder="1" applyAlignment="1">
      <alignment horizontal="right"/>
    </xf>
    <xf numFmtId="0" fontId="0" fillId="0" borderId="34" xfId="0" applyBorder="1"/>
    <xf numFmtId="0" fontId="8" fillId="0" borderId="0" xfId="0" applyFont="1"/>
    <xf numFmtId="0" fontId="8" fillId="0" borderId="9" xfId="0" applyFont="1" applyBorder="1" applyAlignment="1">
      <alignment horizontal="right"/>
    </xf>
    <xf numFmtId="0" fontId="8" fillId="0" borderId="34" xfId="0" applyFont="1" applyBorder="1"/>
    <xf numFmtId="0" fontId="8" fillId="0" borderId="34" xfId="0" applyFont="1" applyBorder="1" applyAlignment="1">
      <alignment horizontal="center"/>
    </xf>
    <xf numFmtId="0" fontId="8" fillId="0" borderId="14" xfId="0" applyFont="1" applyBorder="1" applyAlignment="1">
      <alignment horizontal="center"/>
    </xf>
    <xf numFmtId="0" fontId="0" fillId="0" borderId="13" xfId="0" applyBorder="1" applyAlignment="1">
      <alignment horizontal="center"/>
    </xf>
    <xf numFmtId="0" fontId="8" fillId="0" borderId="35" xfId="0" applyFont="1" applyBorder="1" applyAlignment="1">
      <alignment horizontal="center"/>
    </xf>
    <xf numFmtId="0" fontId="0" fillId="0" borderId="7" xfId="0" applyBorder="1" applyAlignment="1">
      <alignment horizontal="right"/>
    </xf>
    <xf numFmtId="0" fontId="0" fillId="0" borderId="0" xfId="0" applyAlignment="1">
      <alignment horizontal="right"/>
    </xf>
    <xf numFmtId="0" fontId="8" fillId="0" borderId="0" xfId="0" applyFont="1" applyAlignment="1">
      <alignment horizontal="right"/>
    </xf>
    <xf numFmtId="0" fontId="8" fillId="5" borderId="0" xfId="0" applyFont="1" applyFill="1"/>
    <xf numFmtId="165" fontId="0" fillId="0" borderId="0" xfId="0" applyNumberFormat="1"/>
    <xf numFmtId="0" fontId="8" fillId="0" borderId="9" xfId="0" applyFont="1" applyBorder="1" applyAlignment="1" applyProtection="1">
      <alignment horizontal="center"/>
      <protection locked="0"/>
    </xf>
    <xf numFmtId="0" fontId="8" fillId="0" borderId="9" xfId="0" applyFont="1" applyBorder="1" applyProtection="1">
      <protection locked="0"/>
    </xf>
    <xf numFmtId="0" fontId="8" fillId="0" borderId="0" xfId="0" applyFont="1" applyProtection="1">
      <protection locked="0"/>
    </xf>
    <xf numFmtId="0" fontId="8" fillId="0" borderId="0" xfId="0" applyFont="1" applyAlignment="1">
      <alignment vertical="center"/>
    </xf>
    <xf numFmtId="1" fontId="0" fillId="20" borderId="47" xfId="0" applyNumberFormat="1" applyFill="1" applyBorder="1" applyAlignment="1">
      <alignment vertical="center"/>
    </xf>
    <xf numFmtId="1" fontId="0" fillId="20" borderId="48" xfId="0" applyNumberFormat="1" applyFill="1" applyBorder="1" applyAlignment="1">
      <alignment vertical="center"/>
    </xf>
    <xf numFmtId="167" fontId="0" fillId="20" borderId="58" xfId="0" applyNumberFormat="1" applyFill="1" applyBorder="1" applyAlignment="1">
      <alignment vertical="center"/>
    </xf>
    <xf numFmtId="167" fontId="0" fillId="20" borderId="53" xfId="0" applyNumberFormat="1" applyFill="1" applyBorder="1" applyAlignment="1">
      <alignment vertical="center"/>
    </xf>
    <xf numFmtId="167" fontId="0" fillId="20" borderId="56" xfId="0" applyNumberFormat="1" applyFill="1" applyBorder="1" applyAlignment="1">
      <alignment vertical="center"/>
    </xf>
    <xf numFmtId="1" fontId="0" fillId="20" borderId="60" xfId="0" applyNumberFormat="1" applyFill="1" applyBorder="1" applyAlignment="1">
      <alignment vertical="center"/>
    </xf>
    <xf numFmtId="1" fontId="0" fillId="20" borderId="50" xfId="0" applyNumberFormat="1" applyFill="1" applyBorder="1" applyAlignment="1">
      <alignment vertical="center"/>
    </xf>
    <xf numFmtId="167" fontId="0" fillId="20" borderId="19" xfId="0" applyNumberFormat="1" applyFill="1" applyBorder="1" applyAlignment="1">
      <alignment vertical="center"/>
    </xf>
    <xf numFmtId="167" fontId="0" fillId="20" borderId="61" xfId="0" applyNumberFormat="1" applyFill="1" applyBorder="1" applyAlignment="1">
      <alignment vertical="center"/>
    </xf>
    <xf numFmtId="0" fontId="0" fillId="21" borderId="51" xfId="0" applyFill="1" applyBorder="1" applyAlignment="1">
      <alignment vertical="center"/>
    </xf>
    <xf numFmtId="0" fontId="0" fillId="21" borderId="49" xfId="0" applyFill="1" applyBorder="1" applyAlignment="1">
      <alignment vertical="center"/>
    </xf>
    <xf numFmtId="0" fontId="33" fillId="21" borderId="48" xfId="0" applyFont="1" applyFill="1" applyBorder="1" applyAlignment="1">
      <alignment horizontal="center" vertical="center"/>
    </xf>
    <xf numFmtId="0" fontId="33" fillId="21" borderId="47" xfId="0" applyFont="1" applyFill="1" applyBorder="1" applyAlignment="1">
      <alignment horizontal="center" vertical="center"/>
    </xf>
    <xf numFmtId="0" fontId="0" fillId="21" borderId="52" xfId="0" applyFill="1" applyBorder="1" applyAlignment="1">
      <alignment vertical="center"/>
    </xf>
    <xf numFmtId="0" fontId="0" fillId="21" borderId="50" xfId="0" applyFill="1" applyBorder="1" applyAlignment="1">
      <alignment vertical="center"/>
    </xf>
    <xf numFmtId="0" fontId="33" fillId="21" borderId="50" xfId="0" applyFont="1" applyFill="1" applyBorder="1" applyAlignment="1">
      <alignment horizontal="center" vertical="center"/>
    </xf>
    <xf numFmtId="1" fontId="0" fillId="21" borderId="50" xfId="0" applyNumberFormat="1" applyFill="1" applyBorder="1" applyAlignment="1">
      <alignment vertical="center"/>
    </xf>
    <xf numFmtId="0" fontId="0" fillId="21" borderId="48" xfId="0" applyFill="1" applyBorder="1" applyAlignment="1">
      <alignment vertical="center"/>
    </xf>
    <xf numFmtId="0" fontId="33" fillId="21" borderId="60" xfId="0" applyFont="1" applyFill="1" applyBorder="1" applyAlignment="1">
      <alignment horizontal="center" vertical="center"/>
    </xf>
    <xf numFmtId="0" fontId="0" fillId="21" borderId="62" xfId="0" applyFill="1" applyBorder="1" applyAlignment="1">
      <alignment vertical="center"/>
    </xf>
    <xf numFmtId="1" fontId="0" fillId="21" borderId="47" xfId="0" applyNumberFormat="1" applyFill="1" applyBorder="1" applyAlignment="1">
      <alignment vertical="center"/>
    </xf>
    <xf numFmtId="0" fontId="8" fillId="21" borderId="49" xfId="0" applyFont="1" applyFill="1" applyBorder="1" applyAlignment="1">
      <alignment vertical="center"/>
    </xf>
    <xf numFmtId="0" fontId="9" fillId="18" borderId="0" xfId="0" applyFont="1" applyFill="1" applyAlignment="1">
      <alignment vertical="center"/>
    </xf>
    <xf numFmtId="0" fontId="9" fillId="18" borderId="63" xfId="0" applyFont="1" applyFill="1" applyBorder="1" applyAlignment="1">
      <alignment horizontal="right" vertical="center"/>
    </xf>
    <xf numFmtId="0" fontId="9" fillId="18" borderId="64" xfId="0" applyFont="1" applyFill="1" applyBorder="1" applyAlignment="1">
      <alignment vertical="center"/>
    </xf>
    <xf numFmtId="1" fontId="0" fillId="21" borderId="48" xfId="0" applyNumberFormat="1" applyFill="1" applyBorder="1" applyAlignment="1">
      <alignment vertical="center"/>
    </xf>
    <xf numFmtId="0" fontId="0" fillId="21" borderId="47" xfId="0" applyFill="1" applyBorder="1" applyAlignment="1">
      <alignment vertical="center"/>
    </xf>
    <xf numFmtId="0" fontId="0" fillId="20" borderId="50" xfId="0" applyFill="1" applyBorder="1" applyAlignment="1">
      <alignment vertical="center"/>
    </xf>
    <xf numFmtId="0" fontId="8" fillId="21" borderId="51" xfId="0" applyFont="1" applyFill="1" applyBorder="1" applyAlignment="1">
      <alignment vertical="center"/>
    </xf>
    <xf numFmtId="0" fontId="8" fillId="0" borderId="66" xfId="0" applyFont="1" applyBorder="1" applyAlignment="1">
      <alignment vertical="center"/>
    </xf>
    <xf numFmtId="0" fontId="8" fillId="0" borderId="67" xfId="0" applyFont="1" applyBorder="1" applyAlignment="1">
      <alignment vertical="center"/>
    </xf>
    <xf numFmtId="0" fontId="8" fillId="0" borderId="69" xfId="0" applyFont="1" applyBorder="1" applyAlignment="1">
      <alignment vertical="center"/>
    </xf>
    <xf numFmtId="0" fontId="16" fillId="21" borderId="0" xfId="0" applyFont="1" applyFill="1"/>
    <xf numFmtId="0" fontId="0" fillId="21" borderId="0" xfId="0" applyFill="1"/>
    <xf numFmtId="0" fontId="9" fillId="21" borderId="0" xfId="0" applyFont="1" applyFill="1"/>
    <xf numFmtId="0" fontId="9" fillId="21" borderId="0" xfId="0" applyFont="1" applyFill="1" applyAlignment="1">
      <alignment horizontal="center"/>
    </xf>
    <xf numFmtId="0" fontId="15" fillId="0" borderId="72" xfId="0" applyFont="1" applyBorder="1" applyAlignment="1" applyProtection="1">
      <alignment horizontal="center"/>
      <protection locked="0"/>
    </xf>
    <xf numFmtId="0" fontId="15" fillId="0" borderId="73" xfId="0" applyFont="1" applyBorder="1" applyAlignment="1" applyProtection="1">
      <alignment horizontal="center"/>
      <protection locked="0"/>
    </xf>
    <xf numFmtId="0" fontId="0" fillId="0" borderId="73" xfId="0" applyBorder="1" applyAlignment="1" applyProtection="1">
      <alignment horizontal="center"/>
      <protection locked="0"/>
    </xf>
    <xf numFmtId="0" fontId="15" fillId="0" borderId="75" xfId="0" applyFont="1" applyBorder="1" applyAlignment="1" applyProtection="1">
      <alignment horizontal="center"/>
      <protection locked="0"/>
    </xf>
    <xf numFmtId="0" fontId="15" fillId="0" borderId="59" xfId="0" applyFont="1" applyBorder="1" applyAlignment="1" applyProtection="1">
      <alignment horizontal="center"/>
      <protection locked="0"/>
    </xf>
    <xf numFmtId="0" fontId="0" fillId="0" borderId="59" xfId="0" applyBorder="1" applyAlignment="1" applyProtection="1">
      <alignment horizontal="center"/>
      <protection locked="0"/>
    </xf>
    <xf numFmtId="0" fontId="15" fillId="0" borderId="77" xfId="0" applyFont="1" applyBorder="1" applyAlignment="1" applyProtection="1">
      <alignment horizontal="center"/>
      <protection locked="0"/>
    </xf>
    <xf numFmtId="0" fontId="15" fillId="0" borderId="78" xfId="0" applyFont="1" applyBorder="1" applyAlignment="1" applyProtection="1">
      <alignment horizontal="center"/>
      <protection locked="0"/>
    </xf>
    <xf numFmtId="0" fontId="0" fillId="0" borderId="78" xfId="0" applyBorder="1" applyAlignment="1" applyProtection="1">
      <alignment horizontal="center"/>
      <protection locked="0"/>
    </xf>
    <xf numFmtId="2" fontId="15" fillId="0" borderId="73" xfId="0" applyNumberFormat="1" applyFont="1" applyBorder="1" applyAlignment="1" applyProtection="1">
      <alignment horizontal="center"/>
      <protection locked="0"/>
    </xf>
    <xf numFmtId="2" fontId="15" fillId="0" borderId="59" xfId="0" applyNumberFormat="1" applyFont="1" applyBorder="1" applyAlignment="1" applyProtection="1">
      <alignment horizontal="center"/>
      <protection locked="0"/>
    </xf>
    <xf numFmtId="2" fontId="15" fillId="0" borderId="78" xfId="0" applyNumberFormat="1" applyFont="1" applyBorder="1" applyAlignment="1" applyProtection="1">
      <alignment horizontal="center"/>
      <protection locked="0"/>
    </xf>
    <xf numFmtId="1" fontId="15" fillId="0" borderId="73" xfId="0" applyNumberFormat="1" applyFont="1" applyBorder="1" applyAlignment="1" applyProtection="1">
      <alignment horizontal="center"/>
      <protection locked="0"/>
    </xf>
    <xf numFmtId="1" fontId="15" fillId="0" borderId="59" xfId="0" applyNumberFormat="1" applyFont="1" applyBorder="1" applyAlignment="1" applyProtection="1">
      <alignment horizontal="center"/>
      <protection locked="0"/>
    </xf>
    <xf numFmtId="1" fontId="15" fillId="0" borderId="78" xfId="0" applyNumberFormat="1" applyFont="1" applyBorder="1" applyAlignment="1" applyProtection="1">
      <alignment horizontal="center"/>
      <protection locked="0"/>
    </xf>
    <xf numFmtId="0" fontId="33" fillId="21" borderId="0" xfId="0" applyFont="1" applyFill="1" applyAlignment="1">
      <alignment horizontal="center"/>
    </xf>
    <xf numFmtId="0" fontId="11" fillId="21" borderId="0" xfId="0" applyFont="1" applyFill="1" applyAlignment="1">
      <alignment horizontal="center"/>
    </xf>
    <xf numFmtId="0" fontId="0" fillId="21" borderId="0" xfId="0" applyFill="1" applyAlignment="1" applyProtection="1">
      <alignment horizontal="center"/>
      <protection locked="0"/>
    </xf>
    <xf numFmtId="0" fontId="33" fillId="21" borderId="0" xfId="0" applyFont="1" applyFill="1" applyAlignment="1" applyProtection="1">
      <alignment horizontal="center"/>
      <protection locked="0"/>
    </xf>
    <xf numFmtId="0" fontId="0" fillId="21" borderId="5" xfId="0" applyFill="1" applyBorder="1"/>
    <xf numFmtId="0" fontId="0" fillId="21" borderId="6" xfId="0" applyFill="1" applyBorder="1"/>
    <xf numFmtId="0" fontId="9" fillId="21" borderId="10" xfId="0" applyFont="1" applyFill="1" applyBorder="1" applyAlignment="1">
      <alignment horizontal="center"/>
    </xf>
    <xf numFmtId="0" fontId="9" fillId="21" borderId="11" xfId="0" applyFont="1" applyFill="1" applyBorder="1" applyAlignment="1">
      <alignment horizontal="center"/>
    </xf>
    <xf numFmtId="0" fontId="0" fillId="21" borderId="7" xfId="0" applyFill="1" applyBorder="1"/>
    <xf numFmtId="0" fontId="0" fillId="21" borderId="16" xfId="0" applyFill="1" applyBorder="1"/>
    <xf numFmtId="0" fontId="0" fillId="19" borderId="47" xfId="0" applyFill="1" applyBorder="1" applyAlignment="1">
      <alignment vertical="center"/>
    </xf>
    <xf numFmtId="1" fontId="0" fillId="19" borderId="48" xfId="0" applyNumberFormat="1" applyFill="1" applyBorder="1" applyAlignment="1">
      <alignment vertical="center"/>
    </xf>
    <xf numFmtId="1" fontId="0" fillId="19" borderId="47" xfId="0" applyNumberFormat="1" applyFill="1" applyBorder="1" applyAlignment="1">
      <alignment vertical="center"/>
    </xf>
    <xf numFmtId="167" fontId="0" fillId="23" borderId="53" xfId="0" applyNumberFormat="1" applyFill="1" applyBorder="1" applyAlignment="1">
      <alignment vertical="center"/>
    </xf>
    <xf numFmtId="0" fontId="0" fillId="23" borderId="0" xfId="0" applyFill="1" applyAlignment="1">
      <alignment vertical="center"/>
    </xf>
    <xf numFmtId="1" fontId="0" fillId="19" borderId="50" xfId="0" applyNumberFormat="1" applyFill="1" applyBorder="1" applyAlignment="1">
      <alignment vertical="center"/>
    </xf>
    <xf numFmtId="0" fontId="9" fillId="21" borderId="0" xfId="0" applyFont="1" applyFill="1" applyAlignment="1" applyProtection="1">
      <alignment horizontal="center"/>
      <protection locked="0"/>
    </xf>
    <xf numFmtId="0" fontId="9" fillId="21" borderId="17" xfId="0" applyFont="1" applyFill="1" applyBorder="1" applyAlignment="1" applyProtection="1">
      <alignment horizontal="center"/>
      <protection locked="0"/>
    </xf>
    <xf numFmtId="1" fontId="9" fillId="21" borderId="0" xfId="0" applyNumberFormat="1" applyFont="1" applyFill="1" applyAlignment="1">
      <alignment horizontal="center"/>
    </xf>
    <xf numFmtId="0" fontId="10" fillId="0" borderId="0" xfId="0" applyFont="1" applyAlignment="1">
      <alignment vertical="center"/>
    </xf>
    <xf numFmtId="0" fontId="10" fillId="0" borderId="0" xfId="0" quotePrefix="1" applyFont="1" applyAlignment="1">
      <alignment vertical="center"/>
    </xf>
    <xf numFmtId="1" fontId="0" fillId="20" borderId="0" xfId="0" applyNumberFormat="1" applyFill="1" applyAlignment="1">
      <alignment vertical="center"/>
    </xf>
    <xf numFmtId="0" fontId="9" fillId="21" borderId="4" xfId="0" applyFont="1" applyFill="1" applyBorder="1" applyAlignment="1">
      <alignment horizontal="center"/>
    </xf>
    <xf numFmtId="0" fontId="9" fillId="21" borderId="17" xfId="0" applyFont="1" applyFill="1" applyBorder="1" applyAlignment="1">
      <alignment horizontal="center"/>
    </xf>
    <xf numFmtId="0" fontId="0" fillId="19" borderId="2" xfId="0" applyFill="1" applyBorder="1"/>
    <xf numFmtId="0" fontId="0" fillId="19" borderId="19" xfId="0" applyFill="1" applyBorder="1"/>
    <xf numFmtId="0" fontId="9" fillId="20" borderId="2" xfId="0" applyFont="1" applyFill="1" applyBorder="1"/>
    <xf numFmtId="0" fontId="0" fillId="21" borderId="0" xfId="0" applyFill="1" applyAlignment="1">
      <alignment horizontal="center"/>
    </xf>
    <xf numFmtId="0" fontId="9" fillId="21" borderId="5" xfId="0" applyFont="1" applyFill="1" applyBorder="1" applyAlignment="1" applyProtection="1">
      <alignment horizontal="center"/>
      <protection locked="0"/>
    </xf>
    <xf numFmtId="0" fontId="0" fillId="0" borderId="49" xfId="0" applyBorder="1" applyAlignment="1" applyProtection="1">
      <alignment vertical="center"/>
      <protection locked="0"/>
    </xf>
    <xf numFmtId="0" fontId="0" fillId="0" borderId="47" xfId="0" applyBorder="1" applyAlignment="1" applyProtection="1">
      <alignment vertical="center"/>
      <protection locked="0"/>
    </xf>
    <xf numFmtId="1" fontId="0" fillId="0" borderId="47" xfId="0" applyNumberFormat="1" applyBorder="1" applyAlignment="1" applyProtection="1">
      <alignment vertical="center"/>
      <protection locked="0"/>
    </xf>
    <xf numFmtId="1" fontId="0" fillId="0" borderId="48" xfId="0" applyNumberFormat="1" applyBorder="1" applyAlignment="1" applyProtection="1">
      <alignment vertical="center"/>
      <protection locked="0"/>
    </xf>
    <xf numFmtId="0" fontId="0" fillId="0" borderId="52" xfId="0" applyBorder="1" applyAlignment="1" applyProtection="1">
      <alignment vertical="center"/>
      <protection locked="0"/>
    </xf>
    <xf numFmtId="0" fontId="0" fillId="0" borderId="60" xfId="0" applyBorder="1" applyAlignment="1" applyProtection="1">
      <alignment vertical="center"/>
      <protection locked="0"/>
    </xf>
    <xf numFmtId="0" fontId="0" fillId="0" borderId="48" xfId="0" applyBorder="1" applyAlignment="1" applyProtection="1">
      <alignment vertical="center"/>
      <protection locked="0"/>
    </xf>
    <xf numFmtId="0" fontId="0" fillId="19" borderId="47" xfId="0" applyFill="1" applyBorder="1" applyAlignment="1" applyProtection="1">
      <alignment vertical="center"/>
      <protection locked="0"/>
    </xf>
    <xf numFmtId="0" fontId="0" fillId="0" borderId="50" xfId="0" applyBorder="1" applyAlignment="1" applyProtection="1">
      <alignment vertical="center"/>
      <protection locked="0"/>
    </xf>
    <xf numFmtId="1" fontId="0" fillId="0" borderId="60" xfId="0" applyNumberFormat="1" applyBorder="1" applyAlignment="1" applyProtection="1">
      <alignment vertical="center"/>
      <protection locked="0"/>
    </xf>
    <xf numFmtId="1" fontId="0" fillId="0" borderId="50" xfId="0" applyNumberFormat="1" applyBorder="1" applyAlignment="1" applyProtection="1">
      <alignment vertical="center"/>
      <protection locked="0"/>
    </xf>
    <xf numFmtId="0" fontId="49" fillId="0" borderId="91" xfId="0" applyFont="1" applyBorder="1" applyAlignment="1" applyProtection="1">
      <alignment vertical="center"/>
      <protection locked="0"/>
    </xf>
    <xf numFmtId="0" fontId="49" fillId="0" borderId="75" xfId="0" applyFont="1" applyBorder="1" applyAlignment="1" applyProtection="1">
      <alignment vertical="center"/>
      <protection locked="0"/>
    </xf>
    <xf numFmtId="0" fontId="50" fillId="0" borderId="75" xfId="0" applyFont="1" applyBorder="1" applyAlignment="1" applyProtection="1">
      <alignment vertical="center"/>
      <protection locked="0"/>
    </xf>
    <xf numFmtId="0" fontId="49" fillId="0" borderId="92" xfId="0" applyFont="1" applyBorder="1" applyAlignment="1" applyProtection="1">
      <alignment vertical="center"/>
      <protection locked="0"/>
    </xf>
    <xf numFmtId="0" fontId="0" fillId="0" borderId="70" xfId="0" applyBorder="1" applyAlignment="1" applyProtection="1">
      <alignment vertical="center"/>
      <protection locked="0"/>
    </xf>
    <xf numFmtId="0" fontId="0" fillId="0" borderId="90" xfId="0" applyBorder="1" applyAlignment="1" applyProtection="1">
      <alignment vertical="center"/>
      <protection locked="0"/>
    </xf>
    <xf numFmtId="0" fontId="0" fillId="0" borderId="93" xfId="0" applyBorder="1" applyAlignment="1" applyProtection="1">
      <alignment vertical="center"/>
      <protection locked="0"/>
    </xf>
    <xf numFmtId="0" fontId="0" fillId="19" borderId="49" xfId="0" applyFill="1" applyBorder="1" applyAlignment="1" applyProtection="1">
      <alignment vertical="center"/>
      <protection locked="0"/>
    </xf>
    <xf numFmtId="0" fontId="0" fillId="19" borderId="52" xfId="0" applyFill="1" applyBorder="1" applyAlignment="1" applyProtection="1">
      <alignment vertical="center"/>
      <protection locked="0"/>
    </xf>
    <xf numFmtId="0" fontId="8" fillId="19" borderId="49" xfId="0" applyFont="1" applyFill="1" applyBorder="1" applyAlignment="1" applyProtection="1">
      <alignment vertical="center"/>
      <protection locked="0"/>
    </xf>
    <xf numFmtId="0" fontId="0" fillId="19" borderId="81" xfId="0" applyFill="1" applyBorder="1" applyAlignment="1" applyProtection="1">
      <alignment vertical="center"/>
      <protection locked="0"/>
    </xf>
    <xf numFmtId="0" fontId="17" fillId="0" borderId="0" xfId="0" applyFont="1"/>
    <xf numFmtId="0" fontId="0" fillId="0" borderId="65" xfId="0" applyBorder="1" applyAlignment="1" applyProtection="1">
      <alignment vertical="center"/>
      <protection locked="0"/>
    </xf>
    <xf numFmtId="0" fontId="0" fillId="0" borderId="68" xfId="0" applyBorder="1" applyAlignment="1" applyProtection="1">
      <alignment vertical="center"/>
      <protection locked="0"/>
    </xf>
    <xf numFmtId="0" fontId="8" fillId="0" borderId="59" xfId="0" applyFont="1" applyBorder="1" applyAlignment="1" applyProtection="1">
      <alignment horizontal="center"/>
      <protection locked="0"/>
    </xf>
    <xf numFmtId="0" fontId="33" fillId="0" borderId="12" xfId="0" applyFont="1" applyBorder="1" applyAlignment="1">
      <alignment vertical="center"/>
    </xf>
    <xf numFmtId="0" fontId="11" fillId="0" borderId="0" xfId="0" applyFont="1" applyAlignment="1">
      <alignment horizontal="center"/>
    </xf>
    <xf numFmtId="0" fontId="33" fillId="0" borderId="0" xfId="0" applyFont="1" applyAlignment="1" applyProtection="1">
      <alignment horizontal="center"/>
      <protection locked="0"/>
    </xf>
    <xf numFmtId="1" fontId="0" fillId="0" borderId="0" xfId="0" applyNumberFormat="1" applyAlignment="1">
      <alignment horizontal="center"/>
    </xf>
    <xf numFmtId="1" fontId="9" fillId="0" borderId="0" xfId="0" applyNumberFormat="1" applyFont="1" applyAlignment="1">
      <alignment horizontal="center"/>
    </xf>
    <xf numFmtId="0" fontId="11" fillId="0" borderId="0" xfId="0" applyFont="1"/>
    <xf numFmtId="2" fontId="11" fillId="0" borderId="0" xfId="0" applyNumberFormat="1" applyFont="1" applyAlignment="1">
      <alignment horizontal="center"/>
    </xf>
    <xf numFmtId="2" fontId="19" fillId="0" borderId="0" xfId="0" applyNumberFormat="1" applyFont="1" applyAlignment="1" applyProtection="1">
      <alignment horizontal="left"/>
      <protection locked="0"/>
    </xf>
    <xf numFmtId="0" fontId="0" fillId="0" borderId="12" xfId="0" applyBorder="1" applyProtection="1">
      <protection locked="0"/>
    </xf>
    <xf numFmtId="0" fontId="33" fillId="21" borderId="0" xfId="0" applyFont="1" applyFill="1" applyAlignment="1">
      <alignment horizontal="center" vertical="center"/>
    </xf>
    <xf numFmtId="2" fontId="11" fillId="21" borderId="0" xfId="0" applyNumberFormat="1" applyFont="1" applyFill="1"/>
    <xf numFmtId="0" fontId="8" fillId="21" borderId="0" xfId="0" applyFont="1" applyFill="1" applyAlignment="1" applyProtection="1">
      <alignment horizontal="center"/>
      <protection locked="0"/>
    </xf>
    <xf numFmtId="1" fontId="0" fillId="21" borderId="0" xfId="0" applyNumberFormat="1" applyFill="1" applyAlignment="1">
      <alignment horizontal="center"/>
    </xf>
    <xf numFmtId="2" fontId="0" fillId="21" borderId="0" xfId="0" applyNumberFormat="1" applyFill="1" applyAlignment="1">
      <alignment horizontal="center"/>
    </xf>
    <xf numFmtId="2" fontId="0" fillId="21" borderId="0" xfId="0" applyNumberFormat="1" applyFill="1"/>
    <xf numFmtId="0" fontId="8" fillId="21" borderId="0" xfId="0" applyFont="1" applyFill="1" applyAlignment="1">
      <alignment horizontal="center"/>
    </xf>
    <xf numFmtId="2" fontId="0" fillId="21" borderId="0" xfId="0" applyNumberFormat="1" applyFill="1" applyProtection="1">
      <protection locked="0"/>
    </xf>
    <xf numFmtId="0" fontId="11" fillId="21" borderId="0" xfId="0" applyFont="1" applyFill="1" applyAlignment="1" applyProtection="1">
      <alignment horizontal="center"/>
      <protection locked="0"/>
    </xf>
    <xf numFmtId="0" fontId="8" fillId="21" borderId="0" xfId="0" applyFont="1" applyFill="1"/>
    <xf numFmtId="0" fontId="0" fillId="21" borderId="0" xfId="0" applyFill="1" applyAlignment="1">
      <alignment horizontal="right"/>
    </xf>
    <xf numFmtId="1" fontId="8" fillId="21" borderId="0" xfId="0" applyNumberFormat="1" applyFont="1" applyFill="1" applyAlignment="1">
      <alignment horizontal="center"/>
    </xf>
    <xf numFmtId="2" fontId="8" fillId="21" borderId="0" xfId="0" applyNumberFormat="1" applyFont="1" applyFill="1" applyAlignment="1">
      <alignment horizontal="center"/>
    </xf>
    <xf numFmtId="0" fontId="11" fillId="21" borderId="0" xfId="0" applyFont="1" applyFill="1"/>
    <xf numFmtId="0" fontId="8" fillId="0" borderId="49" xfId="0" applyFont="1" applyBorder="1" applyAlignment="1" applyProtection="1">
      <alignment vertical="center"/>
      <protection locked="0"/>
    </xf>
    <xf numFmtId="0" fontId="16" fillId="21" borderId="0" xfId="5" applyFont="1" applyFill="1"/>
    <xf numFmtId="0" fontId="9" fillId="21" borderId="0" xfId="5" applyFont="1" applyFill="1"/>
    <xf numFmtId="0" fontId="8" fillId="21" borderId="0" xfId="5" applyFill="1" applyAlignment="1">
      <alignment horizontal="center"/>
    </xf>
    <xf numFmtId="0" fontId="8" fillId="21" borderId="0" xfId="5" applyFill="1"/>
    <xf numFmtId="0" fontId="9" fillId="21" borderId="10" xfId="5" applyFont="1" applyFill="1" applyBorder="1" applyAlignment="1">
      <alignment horizontal="center"/>
    </xf>
    <xf numFmtId="0" fontId="9" fillId="21" borderId="11" xfId="5" applyFont="1" applyFill="1" applyBorder="1" applyAlignment="1">
      <alignment horizontal="center"/>
    </xf>
    <xf numFmtId="0" fontId="8" fillId="21" borderId="7" xfId="5" applyFill="1" applyBorder="1"/>
    <xf numFmtId="0" fontId="8" fillId="21" borderId="16" xfId="5" applyFill="1" applyBorder="1"/>
    <xf numFmtId="0" fontId="8" fillId="0" borderId="0" xfId="5"/>
    <xf numFmtId="0" fontId="9" fillId="21" borderId="0" xfId="5" applyFont="1" applyFill="1" applyAlignment="1">
      <alignment horizontal="center" vertical="center" wrapText="1"/>
    </xf>
    <xf numFmtId="0" fontId="19" fillId="0" borderId="12" xfId="5" applyFont="1" applyBorder="1" applyAlignment="1" applyProtection="1">
      <alignment horizontal="left"/>
      <protection locked="0"/>
    </xf>
    <xf numFmtId="0" fontId="8" fillId="0" borderId="12" xfId="5" applyBorder="1" applyAlignment="1" applyProtection="1">
      <alignment horizontal="center"/>
      <protection locked="0"/>
    </xf>
    <xf numFmtId="0" fontId="8" fillId="0" borderId="12" xfId="5" applyBorder="1" applyProtection="1">
      <protection locked="0"/>
    </xf>
    <xf numFmtId="0" fontId="8" fillId="0" borderId="72" xfId="5" applyBorder="1" applyAlignment="1">
      <alignment vertical="center"/>
    </xf>
    <xf numFmtId="0" fontId="8" fillId="0" borderId="73" xfId="5" applyBorder="1" applyAlignment="1">
      <alignment vertical="center"/>
    </xf>
    <xf numFmtId="0" fontId="8" fillId="0" borderId="73" xfId="5" applyBorder="1" applyAlignment="1">
      <alignment horizontal="center" vertical="center"/>
    </xf>
    <xf numFmtId="0" fontId="8" fillId="20" borderId="73" xfId="5" applyFill="1" applyBorder="1" applyAlignment="1">
      <alignment horizontal="center" vertical="center"/>
    </xf>
    <xf numFmtId="2" fontId="8" fillId="20" borderId="74" xfId="5" applyNumberFormat="1" applyFill="1" applyBorder="1" applyAlignment="1">
      <alignment vertical="center"/>
    </xf>
    <xf numFmtId="0" fontId="41" fillId="0" borderId="34" xfId="5" applyFont="1" applyBorder="1" applyAlignment="1">
      <alignment vertical="center"/>
    </xf>
    <xf numFmtId="0" fontId="41" fillId="0" borderId="12" xfId="5" applyFont="1" applyBorder="1" applyAlignment="1">
      <alignment vertical="center"/>
    </xf>
    <xf numFmtId="0" fontId="8" fillId="0" borderId="75" xfId="5" applyBorder="1" applyAlignment="1">
      <alignment vertical="center"/>
    </xf>
    <xf numFmtId="0" fontId="8" fillId="0" borderId="59" xfId="5" applyBorder="1" applyAlignment="1">
      <alignment vertical="center"/>
    </xf>
    <xf numFmtId="0" fontId="8" fillId="0" borderId="59" xfId="5" applyBorder="1" applyAlignment="1">
      <alignment horizontal="center" vertical="center"/>
    </xf>
    <xf numFmtId="0" fontId="8" fillId="20" borderId="59" xfId="5" applyFill="1" applyBorder="1" applyAlignment="1">
      <alignment horizontal="center" vertical="center"/>
    </xf>
    <xf numFmtId="2" fontId="8" fillId="20" borderId="76" xfId="5" applyNumberFormat="1" applyFill="1" applyBorder="1" applyAlignment="1">
      <alignment vertical="center"/>
    </xf>
    <xf numFmtId="0" fontId="19" fillId="0" borderId="34" xfId="5" applyFont="1" applyBorder="1" applyAlignment="1" applyProtection="1">
      <alignment horizontal="left"/>
      <protection locked="0"/>
    </xf>
    <xf numFmtId="1" fontId="8" fillId="0" borderId="59" xfId="5" applyNumberFormat="1" applyBorder="1" applyAlignment="1">
      <alignment horizontal="center" vertical="center"/>
    </xf>
    <xf numFmtId="2" fontId="8" fillId="0" borderId="59" xfId="5" applyNumberFormat="1" applyBorder="1" applyAlignment="1">
      <alignment horizontal="center" vertical="center"/>
    </xf>
    <xf numFmtId="0" fontId="8" fillId="0" borderId="59" xfId="5" applyBorder="1" applyAlignment="1">
      <alignment horizontal="right" vertical="center"/>
    </xf>
    <xf numFmtId="0" fontId="8" fillId="0" borderId="77" xfId="5" applyBorder="1" applyAlignment="1">
      <alignment vertical="center"/>
    </xf>
    <xf numFmtId="0" fontId="8" fillId="0" borderId="78" xfId="5" applyBorder="1" applyAlignment="1">
      <alignment vertical="center"/>
    </xf>
    <xf numFmtId="0" fontId="8" fillId="0" borderId="78" xfId="5" applyBorder="1" applyAlignment="1">
      <alignment horizontal="center" vertical="center"/>
    </xf>
    <xf numFmtId="0" fontId="8" fillId="20" borderId="78" xfId="5" applyFill="1" applyBorder="1" applyAlignment="1">
      <alignment horizontal="center" vertical="center"/>
    </xf>
    <xf numFmtId="1" fontId="8" fillId="0" borderId="78" xfId="5" applyNumberFormat="1" applyBorder="1" applyAlignment="1">
      <alignment horizontal="center" vertical="center"/>
    </xf>
    <xf numFmtId="2" fontId="8" fillId="0" borderId="78" xfId="5" applyNumberFormat="1" applyBorder="1" applyAlignment="1">
      <alignment horizontal="center" vertical="center"/>
    </xf>
    <xf numFmtId="2" fontId="8" fillId="20" borderId="79" xfId="5" applyNumberFormat="1" applyFill="1" applyBorder="1" applyAlignment="1">
      <alignment vertical="center"/>
    </xf>
    <xf numFmtId="1" fontId="8" fillId="21" borderId="0" xfId="5" applyNumberFormat="1" applyFill="1" applyAlignment="1">
      <alignment horizontal="center"/>
    </xf>
    <xf numFmtId="0" fontId="8" fillId="21" borderId="0" xfId="5" applyFill="1" applyAlignment="1">
      <alignment horizontal="center" vertical="center"/>
    </xf>
    <xf numFmtId="2" fontId="8" fillId="21" borderId="0" xfId="5" applyNumberFormat="1" applyFill="1" applyAlignment="1">
      <alignment horizontal="center"/>
    </xf>
    <xf numFmtId="0" fontId="8" fillId="0" borderId="80" xfId="5" applyBorder="1" applyAlignment="1">
      <alignment vertical="center"/>
    </xf>
    <xf numFmtId="0" fontId="8" fillId="0" borderId="80" xfId="5" applyBorder="1" applyAlignment="1">
      <alignment horizontal="center" vertical="center"/>
    </xf>
    <xf numFmtId="0" fontId="8" fillId="20" borderId="80" xfId="5" applyFill="1" applyBorder="1" applyAlignment="1">
      <alignment horizontal="center" vertical="center"/>
    </xf>
    <xf numFmtId="0" fontId="8" fillId="0" borderId="82" xfId="5" applyBorder="1" applyAlignment="1">
      <alignment vertical="center"/>
    </xf>
    <xf numFmtId="0" fontId="8" fillId="0" borderId="82" xfId="5" applyBorder="1" applyAlignment="1">
      <alignment horizontal="center" vertical="center"/>
    </xf>
    <xf numFmtId="0" fontId="8" fillId="20" borderId="82" xfId="5" applyFill="1" applyBorder="1" applyAlignment="1">
      <alignment horizontal="center" vertical="center"/>
    </xf>
    <xf numFmtId="0" fontId="22" fillId="21" borderId="0" xfId="5" applyFont="1" applyFill="1"/>
    <xf numFmtId="1" fontId="8" fillId="20" borderId="0" xfId="5" applyNumberFormat="1" applyFill="1"/>
    <xf numFmtId="49" fontId="8" fillId="21" borderId="0" xfId="5" applyNumberFormat="1" applyFill="1" applyAlignment="1">
      <alignment horizontal="center"/>
    </xf>
    <xf numFmtId="1" fontId="8" fillId="20" borderId="0" xfId="5" applyNumberFormat="1" applyFill="1" applyAlignment="1">
      <alignment horizontal="center"/>
    </xf>
    <xf numFmtId="0" fontId="8" fillId="0" borderId="0" xfId="5" applyAlignment="1">
      <alignment horizontal="center"/>
    </xf>
    <xf numFmtId="0" fontId="19" fillId="0" borderId="0" xfId="5" applyFont="1" applyAlignment="1" applyProtection="1">
      <alignment horizontal="left"/>
      <protection locked="0"/>
    </xf>
    <xf numFmtId="0" fontId="8" fillId="0" borderId="0" xfId="5" applyAlignment="1" applyProtection="1">
      <alignment horizontal="center"/>
      <protection locked="0"/>
    </xf>
    <xf numFmtId="0" fontId="8" fillId="0" borderId="0" xfId="5" applyProtection="1">
      <protection locked="0"/>
    </xf>
    <xf numFmtId="0" fontId="9" fillId="0" borderId="0" xfId="5" applyFont="1"/>
    <xf numFmtId="0" fontId="8" fillId="0" borderId="9" xfId="5" applyBorder="1" applyProtection="1">
      <protection locked="0"/>
    </xf>
    <xf numFmtId="0" fontId="19" fillId="21" borderId="34" xfId="5" applyFont="1" applyFill="1" applyBorder="1" applyAlignment="1" applyProtection="1">
      <alignment horizontal="left"/>
      <protection locked="0"/>
    </xf>
    <xf numFmtId="0" fontId="8" fillId="21" borderId="20" xfId="5" applyFill="1" applyBorder="1" applyAlignment="1">
      <alignment horizontal="center" vertical="center"/>
    </xf>
    <xf numFmtId="0" fontId="41" fillId="21" borderId="34" xfId="5" applyFont="1" applyFill="1" applyBorder="1" applyAlignment="1">
      <alignment vertical="center"/>
    </xf>
    <xf numFmtId="1" fontId="8" fillId="21" borderId="0" xfId="5" applyNumberFormat="1" applyFill="1" applyAlignment="1">
      <alignment horizontal="center" vertical="center"/>
    </xf>
    <xf numFmtId="0" fontId="9" fillId="21" borderId="94" xfId="5" applyFont="1" applyFill="1" applyBorder="1" applyAlignment="1">
      <alignment horizontal="center" vertical="center" wrapText="1"/>
    </xf>
    <xf numFmtId="0" fontId="19" fillId="21" borderId="12" xfId="5" applyFont="1" applyFill="1" applyBorder="1" applyAlignment="1" applyProtection="1">
      <alignment horizontal="left"/>
      <protection locked="0"/>
    </xf>
    <xf numFmtId="0" fontId="9" fillId="21" borderId="0" xfId="5" applyFont="1" applyFill="1" applyAlignment="1">
      <alignment horizontal="center"/>
    </xf>
    <xf numFmtId="1" fontId="9" fillId="21" borderId="0" xfId="5" applyNumberFormat="1" applyFont="1" applyFill="1" applyAlignment="1">
      <alignment horizontal="center"/>
    </xf>
    <xf numFmtId="0" fontId="9" fillId="20" borderId="1" xfId="5" applyFont="1" applyFill="1" applyBorder="1" applyAlignment="1">
      <alignment horizontal="center" vertical="center"/>
    </xf>
    <xf numFmtId="0" fontId="9" fillId="20" borderId="1" xfId="5" applyFont="1" applyFill="1" applyBorder="1" applyAlignment="1">
      <alignment horizontal="center"/>
    </xf>
    <xf numFmtId="0" fontId="8" fillId="20" borderId="15" xfId="5" applyFill="1" applyBorder="1" applyAlignment="1">
      <alignment horizontal="center"/>
    </xf>
    <xf numFmtId="0" fontId="8" fillId="20" borderId="10" xfId="5" applyFill="1" applyBorder="1" applyAlignment="1">
      <alignment horizontal="center"/>
    </xf>
    <xf numFmtId="0" fontId="8" fillId="0" borderId="11" xfId="0" applyFont="1" applyBorder="1" applyAlignment="1">
      <alignment horizontal="right"/>
    </xf>
    <xf numFmtId="49" fontId="19" fillId="0" borderId="12" xfId="0" applyNumberFormat="1" applyFont="1" applyBorder="1" applyAlignment="1" applyProtection="1">
      <alignment horizontal="left"/>
      <protection locked="0"/>
    </xf>
    <xf numFmtId="167" fontId="9" fillId="18" borderId="0" xfId="0" applyNumberFormat="1" applyFont="1" applyFill="1" applyAlignment="1">
      <alignment vertical="center"/>
    </xf>
    <xf numFmtId="0" fontId="49" fillId="0" borderId="75" xfId="0" applyFont="1" applyBorder="1" applyAlignment="1" applyProtection="1">
      <alignment horizontal="left" vertical="center"/>
      <protection locked="0"/>
    </xf>
    <xf numFmtId="0" fontId="43" fillId="9" borderId="17" xfId="4" applyBorder="1" applyAlignment="1">
      <alignment horizontal="center" wrapText="1"/>
    </xf>
    <xf numFmtId="0" fontId="42" fillId="8" borderId="17" xfId="2" applyBorder="1" applyAlignment="1">
      <alignment horizontal="center"/>
    </xf>
    <xf numFmtId="0" fontId="43" fillId="9" borderId="17" xfId="4" applyBorder="1" applyAlignment="1">
      <alignment horizontal="center"/>
    </xf>
    <xf numFmtId="0" fontId="42" fillId="8" borderId="10" xfId="2" applyBorder="1" applyAlignment="1">
      <alignment horizontal="center"/>
    </xf>
    <xf numFmtId="0" fontId="42" fillId="8" borderId="15" xfId="2" applyBorder="1" applyAlignment="1">
      <alignment horizontal="center"/>
    </xf>
    <xf numFmtId="0" fontId="42" fillId="8" borderId="12" xfId="2" applyBorder="1" applyAlignment="1">
      <alignment horizontal="center"/>
    </xf>
    <xf numFmtId="0" fontId="43" fillId="9" borderId="10" xfId="4" applyBorder="1" applyAlignment="1">
      <alignment horizontal="center"/>
    </xf>
    <xf numFmtId="0" fontId="9" fillId="0" borderId="0" xfId="5" applyFont="1" applyAlignment="1">
      <alignment horizontal="center"/>
    </xf>
    <xf numFmtId="0" fontId="8" fillId="0" borderId="0" xfId="5" applyAlignment="1">
      <alignment horizontal="left"/>
    </xf>
    <xf numFmtId="0" fontId="42" fillId="8" borderId="12" xfId="2" applyBorder="1"/>
    <xf numFmtId="0" fontId="42" fillId="8" borderId="15" xfId="2" applyBorder="1"/>
    <xf numFmtId="0" fontId="42" fillId="8" borderId="17" xfId="2" applyBorder="1"/>
    <xf numFmtId="0" fontId="42" fillId="8" borderId="17" xfId="2" applyNumberFormat="1" applyBorder="1" applyAlignment="1">
      <alignment horizontal="center"/>
    </xf>
    <xf numFmtId="0" fontId="43" fillId="9" borderId="17" xfId="4" applyNumberFormat="1" applyBorder="1" applyAlignment="1">
      <alignment horizontal="center"/>
    </xf>
    <xf numFmtId="0" fontId="8" fillId="0" borderId="1" xfId="0" applyFont="1" applyBorder="1" applyAlignment="1" applyProtection="1">
      <alignment horizontal="center"/>
      <protection locked="0"/>
    </xf>
    <xf numFmtId="0" fontId="9" fillId="0" borderId="0" xfId="5" applyFont="1" applyAlignment="1">
      <alignment horizontal="left"/>
    </xf>
    <xf numFmtId="1" fontId="8" fillId="0" borderId="47" xfId="0" applyNumberFormat="1" applyFont="1" applyBorder="1" applyAlignment="1" applyProtection="1">
      <alignment vertical="center"/>
      <protection locked="0"/>
    </xf>
    <xf numFmtId="164" fontId="15" fillId="0" borderId="0" xfId="1" applyFont="1" applyFill="1" applyAlignment="1" applyProtection="1">
      <alignment horizontal="center"/>
      <protection locked="0"/>
    </xf>
    <xf numFmtId="0" fontId="8" fillId="0" borderId="73" xfId="0" applyFont="1" applyBorder="1" applyAlignment="1" applyProtection="1">
      <alignment horizontal="center"/>
      <protection locked="0"/>
    </xf>
    <xf numFmtId="0" fontId="26" fillId="0" borderId="12" xfId="0" applyFont="1" applyBorder="1" applyAlignment="1" applyProtection="1">
      <alignment horizontal="left"/>
      <protection locked="0"/>
    </xf>
    <xf numFmtId="0" fontId="8" fillId="0" borderId="0" xfId="5" applyAlignment="1">
      <alignment horizontal="center" vertical="center"/>
    </xf>
    <xf numFmtId="166" fontId="8" fillId="0" borderId="0" xfId="5" applyNumberFormat="1" applyAlignment="1">
      <alignment horizontal="center" vertical="center"/>
    </xf>
    <xf numFmtId="0" fontId="8" fillId="0" borderId="0" xfId="5" applyAlignment="1" applyProtection="1">
      <alignment horizontal="center" vertical="center"/>
      <protection hidden="1"/>
    </xf>
    <xf numFmtId="166" fontId="42" fillId="8" borderId="106" xfId="2" applyNumberFormat="1" applyBorder="1" applyAlignment="1" applyProtection="1">
      <alignment horizontal="center" vertical="center"/>
    </xf>
    <xf numFmtId="173" fontId="42" fillId="8" borderId="114" xfId="2" applyNumberFormat="1" applyBorder="1" applyAlignment="1" applyProtection="1">
      <alignment horizontal="center" vertical="center"/>
    </xf>
    <xf numFmtId="166" fontId="42" fillId="8" borderId="17" xfId="2" applyNumberFormat="1" applyBorder="1" applyAlignment="1" applyProtection="1">
      <alignment horizontal="center" vertical="center"/>
    </xf>
    <xf numFmtId="173" fontId="42" fillId="8" borderId="115" xfId="2" applyNumberFormat="1" applyBorder="1" applyAlignment="1" applyProtection="1">
      <alignment horizontal="center" vertical="center"/>
    </xf>
    <xf numFmtId="2" fontId="8" fillId="0" borderId="105" xfId="5" applyNumberFormat="1" applyBorder="1" applyAlignment="1" applyProtection="1">
      <alignment horizontal="center" vertical="center"/>
      <protection locked="0"/>
    </xf>
    <xf numFmtId="0" fontId="43" fillId="9" borderId="17" xfId="4" applyBorder="1" applyAlignment="1" applyProtection="1">
      <alignment horizontal="center" vertical="center"/>
    </xf>
    <xf numFmtId="2" fontId="8" fillId="0" borderId="106" xfId="5" applyNumberFormat="1" applyBorder="1" applyAlignment="1" applyProtection="1">
      <alignment horizontal="center" vertical="center"/>
      <protection locked="0"/>
    </xf>
    <xf numFmtId="0" fontId="43" fillId="9" borderId="4" xfId="4" applyBorder="1" applyAlignment="1" applyProtection="1">
      <alignment horizontal="center" vertical="center"/>
    </xf>
    <xf numFmtId="0" fontId="43" fillId="9" borderId="107" xfId="4" applyBorder="1" applyAlignment="1" applyProtection="1">
      <alignment horizontal="center" vertical="center"/>
    </xf>
    <xf numFmtId="2" fontId="8" fillId="0" borderId="6" xfId="5" applyNumberFormat="1" applyBorder="1" applyAlignment="1" applyProtection="1">
      <alignment horizontal="center" vertical="center"/>
      <protection locked="0"/>
    </xf>
    <xf numFmtId="2" fontId="8" fillId="0" borderId="17" xfId="5" applyNumberFormat="1" applyBorder="1" applyAlignment="1" applyProtection="1">
      <alignment horizontal="center" vertical="center"/>
      <protection locked="0"/>
    </xf>
    <xf numFmtId="0" fontId="43" fillId="9" borderId="109" xfId="4" applyBorder="1" applyAlignment="1" applyProtection="1">
      <alignment horizontal="center" vertical="center"/>
    </xf>
    <xf numFmtId="2" fontId="8" fillId="0" borderId="16" xfId="5" applyNumberFormat="1" applyBorder="1" applyAlignment="1" applyProtection="1">
      <alignment horizontal="center" vertical="center"/>
      <protection locked="0"/>
    </xf>
    <xf numFmtId="2" fontId="8" fillId="0" borderId="10" xfId="5" applyNumberFormat="1" applyBorder="1" applyAlignment="1" applyProtection="1">
      <alignment horizontal="center" vertical="center"/>
      <protection locked="0"/>
    </xf>
    <xf numFmtId="0" fontId="43" fillId="9" borderId="112" xfId="4" applyBorder="1" applyAlignment="1" applyProtection="1">
      <alignment horizontal="center" vertical="center"/>
    </xf>
    <xf numFmtId="0" fontId="9" fillId="0" borderId="0" xfId="5" applyFont="1" applyAlignment="1">
      <alignment horizontal="center" vertical="center"/>
    </xf>
    <xf numFmtId="0" fontId="9" fillId="0" borderId="104" xfId="5" applyFont="1" applyBorder="1" applyAlignment="1" applyProtection="1">
      <alignment horizontal="center" vertical="center"/>
      <protection locked="0"/>
    </xf>
    <xf numFmtId="0" fontId="9" fillId="0" borderId="108" xfId="5" applyFont="1" applyBorder="1" applyAlignment="1" applyProtection="1">
      <alignment horizontal="center" vertical="center"/>
      <protection locked="0"/>
    </xf>
    <xf numFmtId="0" fontId="9" fillId="0" borderId="110" xfId="5" applyFont="1" applyBorder="1" applyAlignment="1" applyProtection="1">
      <alignment horizontal="center" vertical="center"/>
      <protection locked="0"/>
    </xf>
    <xf numFmtId="0" fontId="9" fillId="0" borderId="111" xfId="5" applyFont="1" applyBorder="1" applyAlignment="1" applyProtection="1">
      <alignment horizontal="center" vertical="center"/>
      <protection locked="0"/>
    </xf>
    <xf numFmtId="172" fontId="8" fillId="0" borderId="0" xfId="5" applyNumberFormat="1" applyAlignment="1">
      <alignment horizontal="center" vertical="center"/>
    </xf>
    <xf numFmtId="0" fontId="43" fillId="9" borderId="22" xfId="4" applyBorder="1" applyAlignment="1" applyProtection="1">
      <alignment horizontal="center" vertical="center"/>
      <protection hidden="1"/>
    </xf>
    <xf numFmtId="0" fontId="42" fillId="8" borderId="115" xfId="2" applyBorder="1" applyAlignment="1" applyProtection="1">
      <alignment horizontal="center" vertical="center"/>
    </xf>
    <xf numFmtId="0" fontId="55" fillId="9" borderId="1" xfId="4" applyFont="1" applyBorder="1" applyAlignment="1" applyProtection="1">
      <alignment horizontal="center" vertical="center"/>
    </xf>
    <xf numFmtId="9" fontId="9" fillId="0" borderId="0" xfId="5" applyNumberFormat="1" applyFont="1" applyAlignment="1">
      <alignment horizontal="center" vertical="center"/>
    </xf>
    <xf numFmtId="0" fontId="43" fillId="9" borderId="17" xfId="4" applyBorder="1" applyAlignment="1">
      <alignment horizontal="center" vertical="center"/>
    </xf>
    <xf numFmtId="0" fontId="58" fillId="0" borderId="1" xfId="4" applyFont="1" applyFill="1" applyBorder="1" applyAlignment="1" applyProtection="1">
      <alignment horizontal="center" vertical="center"/>
      <protection locked="0"/>
    </xf>
    <xf numFmtId="0" fontId="54" fillId="0" borderId="1" xfId="2" applyFont="1" applyFill="1" applyBorder="1" applyAlignment="1" applyProtection="1">
      <alignment horizontal="center" vertical="center"/>
      <protection locked="0"/>
    </xf>
    <xf numFmtId="170" fontId="54" fillId="0" borderId="1" xfId="4" applyNumberFormat="1" applyFont="1" applyFill="1" applyBorder="1" applyAlignment="1" applyProtection="1">
      <alignment horizontal="center" vertical="center"/>
      <protection locked="0"/>
    </xf>
    <xf numFmtId="9" fontId="42" fillId="8" borderId="8" xfId="2" applyNumberFormat="1" applyBorder="1" applyAlignment="1" applyProtection="1">
      <alignment horizontal="center" vertical="center"/>
    </xf>
    <xf numFmtId="0" fontId="42" fillId="8" borderId="17" xfId="2" applyBorder="1" applyAlignment="1">
      <alignment horizontal="center" vertical="center"/>
    </xf>
    <xf numFmtId="0" fontId="43" fillId="9" borderId="94" xfId="4" applyBorder="1" applyAlignment="1" applyProtection="1">
      <alignment horizontal="center" vertical="center"/>
    </xf>
    <xf numFmtId="0" fontId="42" fillId="8" borderId="71" xfId="2" applyBorder="1" applyAlignment="1" applyProtection="1">
      <alignment horizontal="center" vertical="center"/>
    </xf>
    <xf numFmtId="9" fontId="42" fillId="8" borderId="8" xfId="2" applyNumberFormat="1" applyBorder="1" applyAlignment="1" applyProtection="1">
      <alignment horizontal="center" vertical="center"/>
      <protection hidden="1"/>
    </xf>
    <xf numFmtId="0" fontId="9" fillId="0" borderId="104" xfId="5" applyFont="1" applyBorder="1" applyAlignment="1" applyProtection="1">
      <alignment horizontal="center" vertical="center"/>
      <protection locked="0" hidden="1"/>
    </xf>
    <xf numFmtId="2" fontId="8" fillId="0" borderId="105" xfId="5" applyNumberFormat="1" applyBorder="1" applyAlignment="1" applyProtection="1">
      <alignment horizontal="center" vertical="center"/>
      <protection locked="0" hidden="1"/>
    </xf>
    <xf numFmtId="0" fontId="43" fillId="9" borderId="17" xfId="4" applyBorder="1" applyAlignment="1" applyProtection="1">
      <alignment horizontal="center" vertical="center"/>
      <protection hidden="1"/>
    </xf>
    <xf numFmtId="2" fontId="8" fillId="0" borderId="106" xfId="5" applyNumberFormat="1" applyBorder="1" applyAlignment="1" applyProtection="1">
      <alignment horizontal="center" vertical="center"/>
      <protection locked="0" hidden="1"/>
    </xf>
    <xf numFmtId="0" fontId="43" fillId="9" borderId="4" xfId="4" applyBorder="1" applyAlignment="1" applyProtection="1">
      <alignment horizontal="center" vertical="center"/>
      <protection hidden="1"/>
    </xf>
    <xf numFmtId="0" fontId="43" fillId="9" borderId="107" xfId="4" applyBorder="1" applyAlignment="1" applyProtection="1">
      <alignment horizontal="center" vertical="center"/>
      <protection hidden="1"/>
    </xf>
    <xf numFmtId="0" fontId="9" fillId="0" borderId="108" xfId="5" applyFont="1" applyBorder="1" applyAlignment="1" applyProtection="1">
      <alignment horizontal="center" vertical="center"/>
      <protection locked="0" hidden="1"/>
    </xf>
    <xf numFmtId="2" fontId="8" fillId="0" borderId="6" xfId="5" applyNumberFormat="1" applyBorder="1" applyAlignment="1" applyProtection="1">
      <alignment horizontal="center" vertical="center"/>
      <protection locked="0" hidden="1"/>
    </xf>
    <xf numFmtId="2" fontId="8" fillId="0" borderId="17" xfId="5" applyNumberFormat="1" applyBorder="1" applyAlignment="1" applyProtection="1">
      <alignment horizontal="center" vertical="center"/>
      <protection locked="0" hidden="1"/>
    </xf>
    <xf numFmtId="0" fontId="43" fillId="9" borderId="109" xfId="4" applyBorder="1" applyAlignment="1" applyProtection="1">
      <alignment horizontal="center" vertical="center"/>
      <protection hidden="1"/>
    </xf>
    <xf numFmtId="0" fontId="9" fillId="0" borderId="110" xfId="5" applyFont="1" applyBorder="1" applyAlignment="1" applyProtection="1">
      <alignment horizontal="center" vertical="center"/>
      <protection locked="0" hidden="1"/>
    </xf>
    <xf numFmtId="0" fontId="9" fillId="0" borderId="111" xfId="5" applyFont="1" applyBorder="1" applyAlignment="1" applyProtection="1">
      <alignment horizontal="center" vertical="center"/>
      <protection locked="0" hidden="1"/>
    </xf>
    <xf numFmtId="2" fontId="8" fillId="0" borderId="16" xfId="5" applyNumberFormat="1" applyBorder="1" applyAlignment="1" applyProtection="1">
      <alignment horizontal="center" vertical="center"/>
      <protection locked="0" hidden="1"/>
    </xf>
    <xf numFmtId="2" fontId="8" fillId="0" borderId="10" xfId="5" applyNumberFormat="1" applyBorder="1" applyAlignment="1" applyProtection="1">
      <alignment horizontal="center" vertical="center"/>
      <protection locked="0" hidden="1"/>
    </xf>
    <xf numFmtId="0" fontId="43" fillId="9" borderId="112" xfId="4" applyBorder="1" applyAlignment="1" applyProtection="1">
      <alignment horizontal="center" vertical="center"/>
      <protection hidden="1"/>
    </xf>
    <xf numFmtId="0" fontId="43" fillId="9" borderId="94" xfId="4" applyBorder="1" applyAlignment="1" applyProtection="1">
      <alignment horizontal="center" vertical="center"/>
      <protection hidden="1"/>
    </xf>
    <xf numFmtId="0" fontId="42" fillId="8" borderId="118" xfId="2" applyBorder="1" applyAlignment="1" applyProtection="1">
      <alignment horizontal="center" vertical="center"/>
    </xf>
    <xf numFmtId="0" fontId="8" fillId="0" borderId="47" xfId="0" applyFont="1" applyBorder="1" applyAlignment="1" applyProtection="1">
      <alignment vertical="center"/>
      <protection locked="0"/>
    </xf>
    <xf numFmtId="0" fontId="22" fillId="21" borderId="0" xfId="0" applyFont="1" applyFill="1" applyAlignment="1">
      <alignment horizontal="center" vertical="center"/>
    </xf>
    <xf numFmtId="1" fontId="0" fillId="0" borderId="47" xfId="0" applyNumberFormat="1" applyBorder="1" applyAlignment="1" applyProtection="1">
      <alignment horizontal="right" vertical="center"/>
      <protection locked="0"/>
    </xf>
    <xf numFmtId="1" fontId="0" fillId="0" borderId="50" xfId="0" applyNumberFormat="1" applyBorder="1" applyAlignment="1" applyProtection="1">
      <alignment horizontal="right" vertical="center"/>
      <protection locked="0"/>
    </xf>
    <xf numFmtId="1" fontId="49" fillId="0" borderId="75" xfId="0" applyNumberFormat="1" applyFont="1" applyBorder="1" applyAlignment="1" applyProtection="1">
      <alignment vertical="center"/>
      <protection locked="0"/>
    </xf>
    <xf numFmtId="1" fontId="8" fillId="20" borderId="47" xfId="0" applyNumberFormat="1" applyFont="1" applyFill="1" applyBorder="1" applyAlignment="1">
      <alignment vertical="center"/>
    </xf>
    <xf numFmtId="167" fontId="8" fillId="20" borderId="53" xfId="0" applyNumberFormat="1" applyFont="1" applyFill="1" applyBorder="1" applyAlignment="1">
      <alignment vertical="center"/>
    </xf>
    <xf numFmtId="0" fontId="9" fillId="2" borderId="0" xfId="0" applyFont="1" applyFill="1" applyAlignment="1">
      <alignment horizontal="center" vertical="center"/>
    </xf>
    <xf numFmtId="0" fontId="0" fillId="2" borderId="0" xfId="0" applyFill="1" applyAlignment="1">
      <alignment horizontal="center" vertical="center"/>
    </xf>
    <xf numFmtId="0" fontId="9" fillId="2" borderId="0" xfId="0" applyFont="1" applyFill="1" applyAlignment="1">
      <alignment horizontal="left" vertical="center"/>
    </xf>
    <xf numFmtId="0" fontId="0" fillId="2" borderId="0" xfId="0" applyFill="1" applyAlignment="1">
      <alignment horizontal="left" vertical="center"/>
    </xf>
    <xf numFmtId="0" fontId="8" fillId="2" borderId="0" xfId="0" applyFont="1" applyFill="1" applyAlignment="1">
      <alignment horizontal="left" vertical="center"/>
    </xf>
    <xf numFmtId="0" fontId="9" fillId="21" borderId="10" xfId="0" applyFont="1" applyFill="1" applyBorder="1" applyAlignment="1" applyProtection="1">
      <alignment horizontal="center"/>
      <protection locked="0"/>
    </xf>
    <xf numFmtId="2" fontId="0" fillId="21" borderId="0" xfId="0" applyNumberFormat="1" applyFill="1" applyAlignment="1" applyProtection="1">
      <alignment horizontal="center" vertical="center"/>
      <protection locked="0"/>
    </xf>
    <xf numFmtId="2" fontId="9" fillId="21" borderId="0" xfId="0" applyNumberFormat="1" applyFont="1" applyFill="1" applyAlignment="1" applyProtection="1">
      <alignment horizontal="center" vertical="center"/>
      <protection locked="0"/>
    </xf>
    <xf numFmtId="0" fontId="9" fillId="21" borderId="4" xfId="0" applyFont="1" applyFill="1" applyBorder="1" applyAlignment="1" applyProtection="1">
      <alignment horizontal="center"/>
      <protection locked="0"/>
    </xf>
    <xf numFmtId="0" fontId="9" fillId="21" borderId="6" xfId="0" applyFont="1" applyFill="1" applyBorder="1" applyAlignment="1" applyProtection="1">
      <alignment horizontal="center"/>
      <protection locked="0"/>
    </xf>
    <xf numFmtId="0" fontId="9" fillId="0" borderId="0" xfId="0" applyFont="1" applyProtection="1">
      <protection locked="0"/>
    </xf>
    <xf numFmtId="0" fontId="17" fillId="0" borderId="0" xfId="0" applyFont="1" applyProtection="1">
      <protection locked="0"/>
    </xf>
    <xf numFmtId="0" fontId="17" fillId="0" borderId="0" xfId="0" applyFont="1" applyAlignment="1" applyProtection="1">
      <alignment horizontal="center"/>
      <protection locked="0"/>
    </xf>
    <xf numFmtId="0" fontId="9" fillId="21" borderId="20" xfId="0" applyFont="1" applyFill="1" applyBorder="1" applyAlignment="1" applyProtection="1">
      <alignment vertical="center"/>
      <protection locked="0"/>
    </xf>
    <xf numFmtId="0" fontId="0" fillId="21" borderId="20" xfId="0" applyFill="1" applyBorder="1" applyAlignment="1" applyProtection="1">
      <alignment vertical="center"/>
      <protection locked="0"/>
    </xf>
    <xf numFmtId="0" fontId="27" fillId="0" borderId="0" xfId="0" applyFont="1" applyProtection="1">
      <protection locked="0"/>
    </xf>
    <xf numFmtId="0" fontId="27" fillId="0" borderId="0" xfId="0" applyFont="1" applyAlignment="1" applyProtection="1">
      <alignment horizontal="right"/>
      <protection locked="0"/>
    </xf>
    <xf numFmtId="0" fontId="27" fillId="0" borderId="0" xfId="0" applyFont="1" applyAlignment="1" applyProtection="1">
      <alignment horizontal="center"/>
      <protection locked="0"/>
    </xf>
    <xf numFmtId="0" fontId="0" fillId="21" borderId="0" xfId="0" applyFill="1" applyProtection="1">
      <protection locked="0"/>
    </xf>
    <xf numFmtId="0" fontId="15" fillId="0" borderId="0" xfId="0" applyFont="1" applyAlignment="1" applyProtection="1">
      <alignment horizontal="center"/>
      <protection locked="0"/>
    </xf>
    <xf numFmtId="2" fontId="15"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6" fontId="9" fillId="2" borderId="0" xfId="0" applyNumberFormat="1" applyFont="1" applyFill="1" applyAlignment="1">
      <alignment horizontal="center" vertical="center"/>
    </xf>
    <xf numFmtId="166" fontId="0" fillId="2" borderId="0" xfId="0" applyNumberFormat="1" applyFill="1" applyAlignment="1">
      <alignment horizontal="center" vertical="center"/>
    </xf>
    <xf numFmtId="166" fontId="8" fillId="2" borderId="0" xfId="0" applyNumberFormat="1" applyFont="1" applyFill="1" applyAlignment="1">
      <alignment horizontal="center" vertical="center"/>
    </xf>
    <xf numFmtId="166" fontId="0" fillId="6" borderId="0" xfId="0" applyNumberFormat="1" applyFill="1" applyAlignment="1">
      <alignment horizontal="center"/>
    </xf>
    <xf numFmtId="0" fontId="59" fillId="8" borderId="17" xfId="2" applyFont="1" applyBorder="1" applyAlignment="1">
      <alignment horizontal="center"/>
    </xf>
    <xf numFmtId="0" fontId="8" fillId="0" borderId="0" xfId="5" applyAlignment="1">
      <alignment horizontal="left" vertical="center"/>
    </xf>
    <xf numFmtId="3" fontId="0" fillId="0" borderId="0" xfId="0" applyNumberFormat="1"/>
    <xf numFmtId="2" fontId="8" fillId="20" borderId="85" xfId="5" applyNumberFormat="1" applyFill="1" applyBorder="1" applyAlignment="1">
      <alignment horizontal="center" vertical="center"/>
    </xf>
    <xf numFmtId="2" fontId="8" fillId="20" borderId="84" xfId="5" applyNumberFormat="1" applyFill="1" applyBorder="1" applyAlignment="1">
      <alignment horizontal="center" vertical="center"/>
    </xf>
    <xf numFmtId="2" fontId="8" fillId="20" borderId="86" xfId="5" applyNumberFormat="1" applyFill="1" applyBorder="1" applyAlignment="1">
      <alignment horizontal="center" vertical="center"/>
    </xf>
    <xf numFmtId="2" fontId="9" fillId="20" borderId="1" xfId="5" applyNumberFormat="1" applyFont="1" applyFill="1" applyBorder="1" applyAlignment="1">
      <alignment horizontal="center"/>
    </xf>
    <xf numFmtId="0" fontId="37" fillId="0" borderId="0" xfId="0" applyFont="1" applyAlignment="1" applyProtection="1">
      <alignment vertical="center"/>
      <protection locked="0"/>
    </xf>
    <xf numFmtId="0" fontId="8" fillId="21" borderId="49" xfId="0" applyFont="1" applyFill="1" applyBorder="1" applyAlignment="1" applyProtection="1">
      <alignment vertical="center"/>
      <protection locked="0"/>
    </xf>
    <xf numFmtId="0" fontId="0" fillId="0" borderId="0" xfId="0" applyAlignment="1" applyProtection="1">
      <alignment vertical="center"/>
      <protection locked="0"/>
    </xf>
    <xf numFmtId="0" fontId="38" fillId="0" borderId="0" xfId="0" applyFont="1" applyAlignment="1" applyProtection="1">
      <alignment horizontal="center" vertical="center"/>
      <protection locked="0"/>
    </xf>
    <xf numFmtId="0" fontId="33" fillId="0" borderId="0" xfId="0" applyFont="1" applyAlignment="1" applyProtection="1">
      <alignment horizontal="center" vertical="center"/>
      <protection locked="0"/>
    </xf>
    <xf numFmtId="0" fontId="33" fillId="0" borderId="0" xfId="0" applyFont="1" applyAlignment="1" applyProtection="1">
      <alignment vertical="center"/>
      <protection locked="0"/>
    </xf>
    <xf numFmtId="0" fontId="9" fillId="0" borderId="0" xfId="0" applyFont="1" applyAlignment="1" applyProtection="1">
      <alignment vertical="center"/>
      <protection locked="0"/>
    </xf>
    <xf numFmtId="0" fontId="36" fillId="0" borderId="0" xfId="0" applyFont="1" applyAlignment="1" applyProtection="1">
      <alignment horizontal="center" vertical="center"/>
      <protection locked="0"/>
    </xf>
    <xf numFmtId="0" fontId="0" fillId="21" borderId="62" xfId="0" applyFill="1" applyBorder="1" applyAlignment="1" applyProtection="1">
      <alignment vertical="center"/>
      <protection locked="0"/>
    </xf>
    <xf numFmtId="0" fontId="8" fillId="21" borderId="51" xfId="0" applyFont="1" applyFill="1" applyBorder="1" applyAlignment="1" applyProtection="1">
      <alignment vertical="center"/>
      <protection locked="0"/>
    </xf>
    <xf numFmtId="0" fontId="0" fillId="19" borderId="48" xfId="0" applyFill="1" applyBorder="1" applyAlignment="1" applyProtection="1">
      <alignment vertical="center"/>
      <protection locked="0"/>
    </xf>
    <xf numFmtId="0" fontId="33" fillId="21" borderId="48" xfId="0" applyFont="1" applyFill="1" applyBorder="1" applyAlignment="1" applyProtection="1">
      <alignment horizontal="center" vertical="center"/>
      <protection locked="0"/>
    </xf>
    <xf numFmtId="1" fontId="0" fillId="19" borderId="48" xfId="0" applyNumberFormat="1" applyFill="1" applyBorder="1" applyAlignment="1" applyProtection="1">
      <alignment vertical="center"/>
      <protection locked="0"/>
    </xf>
    <xf numFmtId="0" fontId="0" fillId="21" borderId="51" xfId="0" applyFill="1" applyBorder="1" applyAlignment="1" applyProtection="1">
      <alignment vertical="center"/>
      <protection locked="0"/>
    </xf>
    <xf numFmtId="0" fontId="0" fillId="21" borderId="48" xfId="0" applyFill="1" applyBorder="1" applyAlignment="1" applyProtection="1">
      <alignment vertical="center"/>
      <protection locked="0"/>
    </xf>
    <xf numFmtId="0" fontId="0" fillId="21" borderId="49" xfId="0" applyFill="1" applyBorder="1" applyAlignment="1" applyProtection="1">
      <alignment vertical="center"/>
      <protection locked="0"/>
    </xf>
    <xf numFmtId="0" fontId="33" fillId="21" borderId="47" xfId="0" applyFont="1" applyFill="1" applyBorder="1" applyAlignment="1" applyProtection="1">
      <alignment horizontal="center" vertical="center"/>
      <protection locked="0"/>
    </xf>
    <xf numFmtId="1" fontId="0" fillId="19" borderId="47" xfId="0" applyNumberFormat="1" applyFill="1" applyBorder="1" applyAlignment="1" applyProtection="1">
      <alignment vertical="center"/>
      <protection locked="0"/>
    </xf>
    <xf numFmtId="0" fontId="33" fillId="21" borderId="60" xfId="0" applyFont="1" applyFill="1" applyBorder="1" applyAlignment="1" applyProtection="1">
      <alignment horizontal="center" vertical="center"/>
      <protection locked="0"/>
    </xf>
    <xf numFmtId="1" fontId="0" fillId="0" borderId="0" xfId="0" applyNumberFormat="1" applyAlignment="1" applyProtection="1">
      <alignment vertical="center"/>
      <protection locked="0"/>
    </xf>
    <xf numFmtId="0" fontId="0" fillId="21" borderId="52" xfId="0" applyFill="1" applyBorder="1" applyAlignment="1" applyProtection="1">
      <alignment vertical="center"/>
      <protection locked="0"/>
    </xf>
    <xf numFmtId="0" fontId="0" fillId="21" borderId="50" xfId="0" applyFill="1" applyBorder="1" applyAlignment="1" applyProtection="1">
      <alignment vertical="center"/>
      <protection locked="0"/>
    </xf>
    <xf numFmtId="0" fontId="33" fillId="21" borderId="50" xfId="0" applyFont="1" applyFill="1" applyBorder="1" applyAlignment="1" applyProtection="1">
      <alignment horizontal="center" vertical="center"/>
      <protection locked="0"/>
    </xf>
    <xf numFmtId="1" fontId="0" fillId="21" borderId="50" xfId="0" applyNumberFormat="1" applyFill="1" applyBorder="1" applyAlignment="1" applyProtection="1">
      <alignment vertical="center"/>
      <protection locked="0"/>
    </xf>
    <xf numFmtId="0" fontId="9" fillId="0" borderId="0" xfId="0" applyFont="1" applyAlignment="1" applyProtection="1">
      <alignment horizontal="right" vertical="center"/>
      <protection locked="0"/>
    </xf>
    <xf numFmtId="0" fontId="9" fillId="18" borderId="63" xfId="0" applyFont="1" applyFill="1" applyBorder="1" applyAlignment="1" applyProtection="1">
      <alignment horizontal="right" vertical="center"/>
      <protection locked="0"/>
    </xf>
    <xf numFmtId="0" fontId="9" fillId="18" borderId="64" xfId="0" applyFont="1" applyFill="1" applyBorder="1" applyAlignment="1" applyProtection="1">
      <alignment vertical="center"/>
      <protection locked="0"/>
    </xf>
    <xf numFmtId="0" fontId="10" fillId="0" borderId="0" xfId="0" applyFont="1" applyAlignment="1" applyProtection="1">
      <alignment vertical="center"/>
      <protection locked="0"/>
    </xf>
    <xf numFmtId="0" fontId="10" fillId="0" borderId="0" xfId="0" quotePrefix="1" applyFont="1" applyAlignment="1" applyProtection="1">
      <alignment vertical="center"/>
      <protection locked="0"/>
    </xf>
    <xf numFmtId="0" fontId="0" fillId="16" borderId="0" xfId="0" applyFill="1" applyAlignment="1" applyProtection="1">
      <alignment vertical="center"/>
      <protection locked="0"/>
    </xf>
    <xf numFmtId="166" fontId="0" fillId="0" borderId="0" xfId="0" applyNumberFormat="1" applyAlignment="1" applyProtection="1">
      <alignment vertical="center"/>
      <protection locked="0"/>
    </xf>
    <xf numFmtId="2" fontId="0" fillId="0" borderId="0" xfId="0" applyNumberFormat="1" applyAlignment="1" applyProtection="1">
      <alignment vertical="center"/>
      <protection locked="0"/>
    </xf>
    <xf numFmtId="0" fontId="0" fillId="12" borderId="0" xfId="0" applyFill="1" applyAlignment="1" applyProtection="1">
      <alignment vertical="center"/>
      <protection locked="0"/>
    </xf>
    <xf numFmtId="0" fontId="0" fillId="13" borderId="0" xfId="0" applyFill="1" applyAlignment="1" applyProtection="1">
      <alignment vertical="center"/>
      <protection locked="0"/>
    </xf>
    <xf numFmtId="0" fontId="8" fillId="18" borderId="0" xfId="0" applyFont="1" applyFill="1" applyAlignment="1" applyProtection="1">
      <alignment vertical="center"/>
      <protection locked="0"/>
    </xf>
    <xf numFmtId="0" fontId="9" fillId="0" borderId="33" xfId="0" applyFont="1" applyBorder="1" applyAlignment="1" applyProtection="1">
      <alignment vertical="center"/>
      <protection locked="0"/>
    </xf>
    <xf numFmtId="1" fontId="0" fillId="21" borderId="47" xfId="0" applyNumberFormat="1" applyFill="1" applyBorder="1" applyAlignment="1" applyProtection="1">
      <alignment vertical="center"/>
      <protection locked="0"/>
    </xf>
    <xf numFmtId="0" fontId="22" fillId="0" borderId="0" xfId="0" applyFont="1" applyAlignment="1" applyProtection="1">
      <alignment horizontal="center" vertical="center" textRotation="90"/>
      <protection locked="0"/>
    </xf>
    <xf numFmtId="167" fontId="0" fillId="0" borderId="0" xfId="0" applyNumberFormat="1" applyAlignment="1" applyProtection="1">
      <alignment vertical="center"/>
      <protection locked="0"/>
    </xf>
    <xf numFmtId="0" fontId="0" fillId="15" borderId="0" xfId="0" applyFill="1" applyAlignment="1" applyProtection="1">
      <alignment vertical="center"/>
      <protection locked="0"/>
    </xf>
    <xf numFmtId="0" fontId="0" fillId="17" borderId="0" xfId="0" applyFill="1" applyAlignment="1" applyProtection="1">
      <alignment vertical="center"/>
      <protection locked="0"/>
    </xf>
    <xf numFmtId="1" fontId="0" fillId="21" borderId="48" xfId="0" applyNumberFormat="1" applyFill="1" applyBorder="1" applyAlignment="1" applyProtection="1">
      <alignment vertical="center"/>
      <protection locked="0"/>
    </xf>
    <xf numFmtId="0" fontId="0" fillId="21" borderId="47" xfId="0" applyFill="1" applyBorder="1" applyAlignment="1" applyProtection="1">
      <alignment vertical="center"/>
      <protection locked="0"/>
    </xf>
    <xf numFmtId="0" fontId="8" fillId="0" borderId="66" xfId="0" applyFont="1" applyBorder="1" applyAlignment="1" applyProtection="1">
      <alignment vertical="center"/>
      <protection locked="0"/>
    </xf>
    <xf numFmtId="0" fontId="8" fillId="0" borderId="67" xfId="0" applyFont="1" applyBorder="1" applyAlignment="1" applyProtection="1">
      <alignment vertical="center"/>
      <protection locked="0"/>
    </xf>
    <xf numFmtId="0" fontId="8" fillId="0" borderId="69" xfId="0" applyFont="1" applyBorder="1" applyAlignment="1" applyProtection="1">
      <alignment vertical="center"/>
      <protection locked="0"/>
    </xf>
    <xf numFmtId="0" fontId="8" fillId="0" borderId="0" xfId="0" applyFont="1" applyAlignment="1">
      <alignment horizontal="left"/>
    </xf>
    <xf numFmtId="0" fontId="0" fillId="19" borderId="2" xfId="0" applyFill="1" applyBorder="1" applyProtection="1">
      <protection locked="0"/>
    </xf>
    <xf numFmtId="0" fontId="0" fillId="19" borderId="19" xfId="0" applyFill="1" applyBorder="1" applyProtection="1">
      <protection locked="0"/>
    </xf>
    <xf numFmtId="0" fontId="9" fillId="20" borderId="2" xfId="0" applyFont="1" applyFill="1" applyBorder="1" applyProtection="1">
      <protection locked="0"/>
    </xf>
    <xf numFmtId="0" fontId="9" fillId="21" borderId="0" xfId="0" applyFont="1" applyFill="1" applyProtection="1">
      <protection locked="0"/>
    </xf>
    <xf numFmtId="0" fontId="9" fillId="20" borderId="2" xfId="0" applyFont="1" applyFill="1" applyBorder="1" applyAlignment="1" applyProtection="1">
      <alignment horizontal="center"/>
      <protection locked="0"/>
    </xf>
    <xf numFmtId="4" fontId="0" fillId="0" borderId="0" xfId="0" applyNumberFormat="1"/>
    <xf numFmtId="170" fontId="42" fillId="8" borderId="1" xfId="2" applyNumberFormat="1" applyBorder="1" applyAlignment="1" applyProtection="1">
      <alignment horizontal="center" vertical="center"/>
    </xf>
    <xf numFmtId="0" fontId="30" fillId="0" borderId="0" xfId="5" applyFont="1" applyAlignment="1">
      <alignment horizontal="center" vertical="center"/>
    </xf>
    <xf numFmtId="0" fontId="24" fillId="0" borderId="104" xfId="5" applyFont="1" applyBorder="1" applyAlignment="1" applyProtection="1">
      <alignment horizontal="center" vertical="center"/>
      <protection locked="0"/>
    </xf>
    <xf numFmtId="2" fontId="30" fillId="0" borderId="105" xfId="5" applyNumberFormat="1" applyFont="1" applyBorder="1" applyAlignment="1" applyProtection="1">
      <alignment horizontal="center" vertical="center"/>
      <protection locked="0"/>
    </xf>
    <xf numFmtId="2" fontId="30" fillId="0" borderId="106" xfId="5" applyNumberFormat="1" applyFont="1" applyBorder="1" applyAlignment="1" applyProtection="1">
      <alignment horizontal="center" vertical="center"/>
      <protection locked="0"/>
    </xf>
    <xf numFmtId="0" fontId="24" fillId="0" borderId="108" xfId="5" applyFont="1" applyBorder="1" applyAlignment="1" applyProtection="1">
      <alignment horizontal="center" vertical="center"/>
      <protection locked="0"/>
    </xf>
    <xf numFmtId="2" fontId="30" fillId="0" borderId="6" xfId="5" applyNumberFormat="1" applyFont="1" applyBorder="1" applyAlignment="1" applyProtection="1">
      <alignment horizontal="center" vertical="center"/>
      <protection locked="0"/>
    </xf>
    <xf numFmtId="2" fontId="30" fillId="0" borderId="17" xfId="5" applyNumberFormat="1" applyFont="1" applyBorder="1" applyAlignment="1" applyProtection="1">
      <alignment horizontal="center" vertical="center"/>
      <protection locked="0"/>
    </xf>
    <xf numFmtId="0" fontId="24" fillId="0" borderId="110" xfId="5" applyFont="1" applyBorder="1" applyAlignment="1" applyProtection="1">
      <alignment horizontal="center" vertical="center"/>
      <protection locked="0"/>
    </xf>
    <xf numFmtId="1" fontId="43" fillId="9" borderId="109" xfId="4" applyNumberFormat="1" applyBorder="1" applyAlignment="1" applyProtection="1">
      <alignment horizontal="center" vertical="center"/>
    </xf>
    <xf numFmtId="0" fontId="24" fillId="0" borderId="111" xfId="5" applyFont="1" applyBorder="1" applyAlignment="1" applyProtection="1">
      <alignment horizontal="center" vertical="center"/>
      <protection locked="0"/>
    </xf>
    <xf numFmtId="2" fontId="30" fillId="0" borderId="16" xfId="5" applyNumberFormat="1" applyFont="1" applyBorder="1" applyAlignment="1" applyProtection="1">
      <alignment horizontal="center" vertical="center"/>
      <protection locked="0"/>
    </xf>
    <xf numFmtId="2" fontId="30" fillId="0" borderId="10" xfId="5" applyNumberFormat="1" applyFont="1" applyBorder="1" applyAlignment="1" applyProtection="1">
      <alignment horizontal="center" vertical="center"/>
      <protection locked="0"/>
    </xf>
    <xf numFmtId="1" fontId="43" fillId="9" borderId="112" xfId="4" applyNumberFormat="1" applyBorder="1" applyAlignment="1" applyProtection="1">
      <alignment horizontal="center" vertical="center"/>
    </xf>
    <xf numFmtId="166" fontId="0" fillId="0" borderId="57" xfId="0" applyNumberFormat="1" applyBorder="1" applyAlignment="1" applyProtection="1">
      <alignment horizontal="center"/>
      <protection locked="0"/>
    </xf>
    <xf numFmtId="166" fontId="0" fillId="19" borderId="1" xfId="0" applyNumberFormat="1" applyFill="1" applyBorder="1" applyAlignment="1">
      <alignment horizontal="center"/>
    </xf>
    <xf numFmtId="166" fontId="0" fillId="19" borderId="57" xfId="0" applyNumberFormat="1" applyFill="1" applyBorder="1" applyAlignment="1">
      <alignment horizontal="center"/>
    </xf>
    <xf numFmtId="0" fontId="8" fillId="0" borderId="0" xfId="5" applyAlignment="1" applyProtection="1">
      <alignment horizontal="left"/>
      <protection locked="0"/>
    </xf>
    <xf numFmtId="0" fontId="9" fillId="0" borderId="0" xfId="5" applyFont="1" applyAlignment="1" applyProtection="1">
      <alignment horizontal="left"/>
      <protection locked="0"/>
    </xf>
    <xf numFmtId="0" fontId="11" fillId="19" borderId="17" xfId="0" applyFont="1" applyFill="1" applyBorder="1" applyAlignment="1">
      <alignment horizontal="left"/>
    </xf>
    <xf numFmtId="2" fontId="30" fillId="0" borderId="1" xfId="5" applyNumberFormat="1" applyFont="1" applyBorder="1" applyAlignment="1" applyProtection="1">
      <alignment horizontal="center" vertical="center"/>
      <protection locked="0"/>
    </xf>
    <xf numFmtId="0" fontId="43" fillId="9" borderId="1" xfId="4" applyBorder="1" applyAlignment="1" applyProtection="1">
      <alignment horizontal="center" vertical="center"/>
    </xf>
    <xf numFmtId="0" fontId="43" fillId="9" borderId="15" xfId="4" applyBorder="1" applyAlignment="1" applyProtection="1">
      <alignment horizontal="center" vertical="center"/>
    </xf>
    <xf numFmtId="0" fontId="43" fillId="9" borderId="14" xfId="4" applyBorder="1" applyAlignment="1" applyProtection="1">
      <alignment horizontal="center" vertical="center"/>
    </xf>
    <xf numFmtId="2" fontId="30" fillId="0" borderId="123" xfId="5" applyNumberFormat="1" applyFont="1" applyBorder="1" applyAlignment="1" applyProtection="1">
      <alignment horizontal="center" vertical="center"/>
      <protection locked="0"/>
    </xf>
    <xf numFmtId="0" fontId="43" fillId="9" borderId="123" xfId="4" applyBorder="1" applyAlignment="1" applyProtection="1">
      <alignment horizontal="center" vertical="center"/>
    </xf>
    <xf numFmtId="0" fontId="24" fillId="0" borderId="120" xfId="5" applyFont="1" applyBorder="1" applyAlignment="1" applyProtection="1">
      <alignment horizontal="center" vertical="center"/>
      <protection locked="0"/>
    </xf>
    <xf numFmtId="0" fontId="24" fillId="0" borderId="124" xfId="5" applyFont="1" applyBorder="1" applyAlignment="1" applyProtection="1">
      <alignment horizontal="center" vertical="center"/>
      <protection locked="0"/>
    </xf>
    <xf numFmtId="0" fontId="24" fillId="0" borderId="121" xfId="5" applyFont="1" applyBorder="1" applyAlignment="1" applyProtection="1">
      <alignment horizontal="center" vertical="center"/>
      <protection locked="0"/>
    </xf>
    <xf numFmtId="0" fontId="24" fillId="0" borderId="125" xfId="5" applyFont="1" applyBorder="1" applyAlignment="1" applyProtection="1">
      <alignment horizontal="center" vertical="center"/>
      <protection locked="0"/>
    </xf>
    <xf numFmtId="1" fontId="42" fillId="8" borderId="17" xfId="2" applyNumberFormat="1" applyBorder="1" applyAlignment="1" applyProtection="1">
      <alignment horizontal="center" vertical="center"/>
    </xf>
    <xf numFmtId="1" fontId="42" fillId="8" borderId="117" xfId="2" applyNumberFormat="1" applyBorder="1" applyAlignment="1" applyProtection="1">
      <alignment horizontal="center" vertical="center"/>
    </xf>
    <xf numFmtId="0" fontId="9" fillId="0" borderId="0" xfId="5" applyFont="1" applyAlignment="1">
      <alignment horizontal="left" vertical="center"/>
    </xf>
    <xf numFmtId="1" fontId="43" fillId="9" borderId="126" xfId="4" applyNumberFormat="1" applyBorder="1" applyAlignment="1" applyProtection="1">
      <alignment horizontal="center" vertical="center"/>
    </xf>
    <xf numFmtId="0" fontId="8" fillId="0" borderId="0" xfId="0" applyFont="1" applyAlignment="1" applyProtection="1">
      <alignment horizontal="left" vertical="center"/>
      <protection locked="0"/>
    </xf>
    <xf numFmtId="1" fontId="0" fillId="0" borderId="0" xfId="0" applyNumberFormat="1" applyAlignment="1" applyProtection="1">
      <alignment horizontal="left" vertical="center"/>
      <protection locked="0"/>
    </xf>
    <xf numFmtId="0" fontId="8" fillId="0" borderId="75" xfId="5" applyBorder="1" applyAlignment="1" applyProtection="1">
      <alignment vertical="center"/>
      <protection locked="0"/>
    </xf>
    <xf numFmtId="0" fontId="8" fillId="0" borderId="59" xfId="5" applyBorder="1" applyAlignment="1" applyProtection="1">
      <alignment horizontal="center" vertical="center"/>
      <protection locked="0"/>
    </xf>
    <xf numFmtId="0" fontId="8" fillId="0" borderId="77" xfId="5" applyBorder="1" applyAlignment="1" applyProtection="1">
      <alignment vertical="center"/>
      <protection locked="0"/>
    </xf>
    <xf numFmtId="0" fontId="8" fillId="0" borderId="78" xfId="5" applyBorder="1" applyAlignment="1" applyProtection="1">
      <alignment horizontal="center" vertical="center"/>
      <protection locked="0"/>
    </xf>
    <xf numFmtId="0" fontId="8" fillId="0" borderId="91" xfId="5" applyBorder="1" applyAlignment="1" applyProtection="1">
      <alignment vertical="center"/>
      <protection locked="0"/>
    </xf>
    <xf numFmtId="0" fontId="8" fillId="0" borderId="82" xfId="5" applyBorder="1" applyAlignment="1" applyProtection="1">
      <alignment horizontal="center" vertical="center"/>
      <protection locked="0"/>
    </xf>
    <xf numFmtId="0" fontId="9" fillId="2" borderId="10" xfId="0" applyFont="1" applyFill="1" applyBorder="1" applyAlignment="1" applyProtection="1">
      <alignment vertical="center"/>
      <protection locked="0"/>
    </xf>
    <xf numFmtId="0" fontId="9" fillId="2" borderId="12" xfId="0" applyFont="1" applyFill="1" applyBorder="1" applyAlignment="1" applyProtection="1">
      <alignment vertical="center"/>
      <protection locked="0"/>
    </xf>
    <xf numFmtId="0" fontId="9" fillId="20" borderId="1" xfId="5" applyFont="1" applyFill="1" applyBorder="1" applyAlignment="1">
      <alignment horizontal="center" vertical="center" wrapText="1"/>
    </xf>
    <xf numFmtId="0" fontId="43" fillId="9" borderId="113" xfId="4" applyBorder="1" applyAlignment="1" applyProtection="1">
      <alignment horizontal="left" vertical="center"/>
    </xf>
    <xf numFmtId="0" fontId="43" fillId="9" borderId="62" xfId="4" applyBorder="1" applyAlignment="1" applyProtection="1">
      <alignment horizontal="left" vertical="center"/>
    </xf>
    <xf numFmtId="0" fontId="43" fillId="9" borderId="116" xfId="4" applyBorder="1" applyAlignment="1" applyProtection="1">
      <alignment horizontal="left" vertical="center"/>
    </xf>
    <xf numFmtId="0" fontId="53" fillId="0" borderId="76" xfId="0" applyFont="1" applyBorder="1" applyAlignment="1" applyProtection="1">
      <alignment horizontal="center"/>
      <protection locked="0"/>
    </xf>
    <xf numFmtId="0" fontId="53" fillId="0" borderId="79" xfId="0" applyFont="1" applyBorder="1" applyAlignment="1" applyProtection="1">
      <alignment horizontal="center"/>
      <protection locked="0"/>
    </xf>
    <xf numFmtId="0" fontId="0" fillId="0" borderId="58" xfId="0" applyBorder="1" applyAlignment="1">
      <alignment horizontal="center"/>
    </xf>
    <xf numFmtId="0" fontId="0" fillId="0" borderId="76" xfId="0" applyBorder="1" applyAlignment="1">
      <alignment horizontal="center"/>
    </xf>
    <xf numFmtId="0" fontId="0" fillId="0" borderId="79" xfId="0" applyBorder="1" applyAlignment="1">
      <alignment horizontal="center"/>
    </xf>
    <xf numFmtId="0" fontId="16" fillId="21" borderId="18" xfId="0" applyFont="1" applyFill="1" applyBorder="1"/>
    <xf numFmtId="0" fontId="0" fillId="21" borderId="36" xfId="0" applyFill="1" applyBorder="1"/>
    <xf numFmtId="0" fontId="22" fillId="14" borderId="57" xfId="0" applyFont="1" applyFill="1" applyBorder="1" applyAlignment="1">
      <alignment horizontal="center" vertical="center"/>
    </xf>
    <xf numFmtId="0" fontId="0" fillId="21" borderId="19" xfId="0" applyFill="1" applyBorder="1"/>
    <xf numFmtId="0" fontId="9" fillId="21" borderId="20" xfId="0" applyFont="1" applyFill="1" applyBorder="1"/>
    <xf numFmtId="0" fontId="0" fillId="21" borderId="21" xfId="0" applyFill="1" applyBorder="1"/>
    <xf numFmtId="0" fontId="9" fillId="21" borderId="20" xfId="0" applyFont="1" applyFill="1" applyBorder="1" applyAlignment="1">
      <alignment wrapText="1"/>
    </xf>
    <xf numFmtId="0" fontId="10" fillId="21" borderId="0" xfId="0" applyFont="1" applyFill="1" applyAlignment="1">
      <alignment horizontal="center" wrapText="1"/>
    </xf>
    <xf numFmtId="0" fontId="9" fillId="21" borderId="0" xfId="0" applyFont="1" applyFill="1" applyAlignment="1">
      <alignment horizontal="center" wrapText="1"/>
    </xf>
    <xf numFmtId="0" fontId="45" fillId="21" borderId="21" xfId="0" applyFont="1" applyFill="1" applyBorder="1"/>
    <xf numFmtId="2" fontId="47" fillId="21" borderId="20" xfId="0" applyNumberFormat="1" applyFont="1" applyFill="1" applyBorder="1"/>
    <xf numFmtId="0" fontId="25" fillId="21" borderId="0" xfId="0" applyFont="1" applyFill="1"/>
    <xf numFmtId="0" fontId="46" fillId="21" borderId="21" xfId="0" applyFont="1" applyFill="1" applyBorder="1"/>
    <xf numFmtId="0" fontId="0" fillId="21" borderId="20" xfId="0" applyFill="1" applyBorder="1"/>
    <xf numFmtId="2" fontId="0" fillId="20" borderId="71" xfId="0" applyNumberFormat="1" applyFill="1" applyBorder="1" applyAlignment="1">
      <alignment horizontal="center"/>
    </xf>
    <xf numFmtId="0" fontId="9" fillId="21" borderId="20" xfId="0" applyFont="1" applyFill="1" applyBorder="1" applyAlignment="1">
      <alignment horizontal="center"/>
    </xf>
    <xf numFmtId="0" fontId="47" fillId="21" borderId="20" xfId="0" applyFont="1" applyFill="1" applyBorder="1"/>
    <xf numFmtId="0" fontId="9" fillId="21" borderId="72" xfId="0" applyFont="1" applyFill="1" applyBorder="1"/>
    <xf numFmtId="2" fontId="0" fillId="21" borderId="73" xfId="0" applyNumberFormat="1" applyFill="1" applyBorder="1" applyAlignment="1">
      <alignment horizontal="center"/>
    </xf>
    <xf numFmtId="0" fontId="9" fillId="21" borderId="75" xfId="0" applyFont="1" applyFill="1" applyBorder="1"/>
    <xf numFmtId="2" fontId="0" fillId="21" borderId="59" xfId="0" applyNumberFormat="1" applyFill="1" applyBorder="1" applyAlignment="1">
      <alignment horizontal="center"/>
    </xf>
    <xf numFmtId="2" fontId="0" fillId="21" borderId="78" xfId="0" applyNumberFormat="1" applyFill="1" applyBorder="1" applyAlignment="1">
      <alignment horizontal="center"/>
    </xf>
    <xf numFmtId="0" fontId="0" fillId="20" borderId="71" xfId="0" applyFill="1" applyBorder="1" applyAlignment="1">
      <alignment horizontal="center"/>
    </xf>
    <xf numFmtId="0" fontId="0" fillId="21" borderId="22" xfId="0" applyFill="1" applyBorder="1"/>
    <xf numFmtId="0" fontId="0" fillId="21" borderId="94" xfId="0" applyFill="1" applyBorder="1"/>
    <xf numFmtId="0" fontId="0" fillId="21" borderId="23" xfId="0" applyFill="1" applyBorder="1"/>
    <xf numFmtId="0" fontId="9" fillId="21" borderId="6" xfId="0" applyFont="1" applyFill="1" applyBorder="1" applyAlignment="1">
      <alignment horizontal="center"/>
    </xf>
    <xf numFmtId="0" fontId="19" fillId="0" borderId="16" xfId="0" applyFont="1" applyBorder="1" applyAlignment="1">
      <alignment horizontal="left"/>
    </xf>
    <xf numFmtId="0" fontId="0" fillId="0" borderId="10" xfId="0" applyBorder="1" applyAlignment="1">
      <alignment horizontal="center"/>
    </xf>
    <xf numFmtId="0" fontId="0" fillId="0" borderId="11" xfId="0" applyBorder="1"/>
    <xf numFmtId="0" fontId="19" fillId="0" borderId="34" xfId="0" applyFont="1" applyBorder="1" applyAlignment="1">
      <alignment horizontal="left"/>
    </xf>
    <xf numFmtId="0" fontId="0" fillId="0" borderId="12" xfId="0" applyBorder="1" applyAlignment="1">
      <alignment horizontal="center"/>
    </xf>
    <xf numFmtId="0" fontId="0" fillId="0" borderId="9" xfId="0" applyBorder="1"/>
    <xf numFmtId="0" fontId="8" fillId="0" borderId="9" xfId="0" applyFont="1" applyBorder="1"/>
    <xf numFmtId="0" fontId="19" fillId="0" borderId="35" xfId="0" applyFont="1" applyBorder="1" applyAlignment="1">
      <alignment horizontal="left"/>
    </xf>
    <xf numFmtId="0" fontId="0" fillId="0" borderId="15" xfId="0" applyBorder="1" applyAlignment="1">
      <alignment horizontal="center"/>
    </xf>
    <xf numFmtId="1" fontId="0" fillId="20" borderId="71" xfId="0" applyNumberFormat="1" applyFill="1" applyBorder="1" applyAlignment="1">
      <alignment horizontal="center"/>
    </xf>
    <xf numFmtId="166" fontId="9" fillId="0" borderId="0" xfId="5" applyNumberFormat="1" applyFont="1" applyAlignment="1">
      <alignment horizontal="center" vertical="center"/>
    </xf>
    <xf numFmtId="0" fontId="8" fillId="0" borderId="0" xfId="5" applyAlignment="1" applyProtection="1">
      <alignment horizontal="left" vertical="center"/>
      <protection hidden="1"/>
    </xf>
    <xf numFmtId="0" fontId="43" fillId="9" borderId="113" xfId="4" applyBorder="1" applyAlignment="1" applyProtection="1">
      <alignment horizontal="center" vertical="center"/>
    </xf>
    <xf numFmtId="0" fontId="43" fillId="9" borderId="116" xfId="4" applyBorder="1" applyAlignment="1" applyProtection="1">
      <alignment horizontal="center" vertical="center"/>
    </xf>
    <xf numFmtId="0" fontId="8" fillId="0" borderId="106" xfId="5" applyBorder="1" applyAlignment="1" applyProtection="1">
      <alignment horizontal="center" vertical="center"/>
      <protection locked="0"/>
    </xf>
    <xf numFmtId="0" fontId="8" fillId="0" borderId="117" xfId="5" applyBorder="1" applyAlignment="1" applyProtection="1">
      <alignment horizontal="center" vertical="center"/>
      <protection locked="0"/>
    </xf>
    <xf numFmtId="170" fontId="8" fillId="0" borderId="114" xfId="5" applyNumberFormat="1" applyBorder="1" applyAlignment="1" applyProtection="1">
      <alignment horizontal="center" vertical="center"/>
      <protection locked="0"/>
    </xf>
    <xf numFmtId="170" fontId="8" fillId="0" borderId="118" xfId="5" applyNumberFormat="1" applyBorder="1" applyAlignment="1" applyProtection="1">
      <alignment horizontal="center" vertical="center"/>
      <protection locked="0"/>
    </xf>
    <xf numFmtId="0" fontId="10" fillId="21" borderId="0" xfId="0" applyFont="1" applyFill="1" applyAlignment="1">
      <alignment horizontal="center"/>
    </xf>
    <xf numFmtId="0" fontId="15" fillId="0" borderId="87" xfId="0" applyFont="1" applyBorder="1" applyAlignment="1" applyProtection="1">
      <alignment horizontal="center"/>
      <protection locked="0"/>
    </xf>
    <xf numFmtId="1" fontId="15" fillId="0" borderId="83" xfId="0" applyNumberFormat="1" applyFont="1" applyBorder="1" applyAlignment="1" applyProtection="1">
      <alignment horizontal="center"/>
      <protection locked="0"/>
    </xf>
    <xf numFmtId="2" fontId="15" fillId="0" borderId="83" xfId="0" applyNumberFormat="1" applyFont="1" applyBorder="1" applyAlignment="1" applyProtection="1">
      <alignment horizontal="center"/>
      <protection locked="0"/>
    </xf>
    <xf numFmtId="0" fontId="15" fillId="0" borderId="83" xfId="0" applyFont="1" applyBorder="1" applyAlignment="1" applyProtection="1">
      <alignment horizontal="center"/>
      <protection locked="0"/>
    </xf>
    <xf numFmtId="0" fontId="8" fillId="0" borderId="83" xfId="0" applyFont="1" applyBorder="1" applyAlignment="1" applyProtection="1">
      <alignment horizontal="center"/>
      <protection locked="0"/>
    </xf>
    <xf numFmtId="1" fontId="9" fillId="19" borderId="1" xfId="0" applyNumberFormat="1" applyFont="1" applyFill="1" applyBorder="1" applyAlignment="1">
      <alignment horizontal="center"/>
    </xf>
    <xf numFmtId="0" fontId="15" fillId="0" borderId="18" xfId="0" applyFont="1" applyBorder="1"/>
    <xf numFmtId="0" fontId="15" fillId="0" borderId="36" xfId="0" applyFont="1" applyBorder="1"/>
    <xf numFmtId="0" fontId="15" fillId="0" borderId="37" xfId="0" applyFont="1" applyBorder="1"/>
    <xf numFmtId="167" fontId="15" fillId="0" borderId="19" xfId="0" applyNumberFormat="1" applyFont="1" applyBorder="1"/>
    <xf numFmtId="0" fontId="15" fillId="0" borderId="0" xfId="0" applyFont="1"/>
    <xf numFmtId="169" fontId="15" fillId="0" borderId="38" xfId="0" applyNumberFormat="1" applyFont="1" applyBorder="1" applyAlignment="1">
      <alignment horizontal="center"/>
    </xf>
    <xf numFmtId="169" fontId="15" fillId="0" borderId="39" xfId="0" applyNumberFormat="1" applyFont="1" applyBorder="1" applyAlignment="1">
      <alignment horizontal="center"/>
    </xf>
    <xf numFmtId="1" fontId="15" fillId="0" borderId="40" xfId="0" applyNumberFormat="1" applyFont="1" applyBorder="1" applyAlignment="1">
      <alignment horizontal="center"/>
    </xf>
    <xf numFmtId="1" fontId="15" fillId="0" borderId="41" xfId="0" applyNumberFormat="1" applyFont="1" applyBorder="1" applyAlignment="1">
      <alignment horizontal="center"/>
    </xf>
    <xf numFmtId="12" fontId="15" fillId="0" borderId="38" xfId="0" applyNumberFormat="1" applyFont="1" applyBorder="1" applyAlignment="1">
      <alignment horizontal="center"/>
    </xf>
    <xf numFmtId="1" fontId="15" fillId="0" borderId="39" xfId="0" applyNumberFormat="1" applyFont="1" applyBorder="1" applyAlignment="1">
      <alignment horizontal="center"/>
    </xf>
    <xf numFmtId="169" fontId="15" fillId="0" borderId="42" xfId="0" applyNumberFormat="1" applyFont="1" applyBorder="1" applyAlignment="1">
      <alignment horizontal="center"/>
    </xf>
    <xf numFmtId="169" fontId="15" fillId="0" borderId="43" xfId="0" applyNumberFormat="1" applyFont="1" applyBorder="1" applyAlignment="1">
      <alignment horizontal="center"/>
    </xf>
    <xf numFmtId="1" fontId="15" fillId="0" borderId="44" xfId="0" applyNumberFormat="1" applyFont="1" applyBorder="1" applyAlignment="1">
      <alignment horizontal="center"/>
    </xf>
    <xf numFmtId="12" fontId="15" fillId="0" borderId="42" xfId="0" applyNumberFormat="1" applyFont="1" applyBorder="1" applyAlignment="1">
      <alignment horizontal="center"/>
    </xf>
    <xf numFmtId="1" fontId="15" fillId="0" borderId="43" xfId="0" applyNumberFormat="1" applyFont="1" applyBorder="1" applyAlignment="1">
      <alignment horizontal="center"/>
    </xf>
    <xf numFmtId="0" fontId="15" fillId="0" borderId="0" xfId="0" applyFont="1" applyAlignment="1">
      <alignment horizontal="center"/>
    </xf>
    <xf numFmtId="1" fontId="15" fillId="0" borderId="45" xfId="0" applyNumberFormat="1" applyFont="1" applyBorder="1" applyAlignment="1">
      <alignment horizontal="center"/>
    </xf>
    <xf numFmtId="1" fontId="15" fillId="0" borderId="46" xfId="0" applyNumberFormat="1" applyFont="1" applyBorder="1" applyAlignment="1">
      <alignment horizontal="center"/>
    </xf>
    <xf numFmtId="167" fontId="15" fillId="0" borderId="0" xfId="0" applyNumberFormat="1" applyFont="1"/>
    <xf numFmtId="165" fontId="15" fillId="0" borderId="0" xfId="0" applyNumberFormat="1" applyFont="1"/>
    <xf numFmtId="0" fontId="42" fillId="8" borderId="1" xfId="2" applyNumberFormat="1" applyBorder="1" applyAlignment="1" applyProtection="1">
      <alignment horizontal="center" vertical="center"/>
    </xf>
    <xf numFmtId="0" fontId="8" fillId="0" borderId="64" xfId="5" applyBorder="1" applyAlignment="1" applyProtection="1">
      <alignment horizontal="center" vertical="center"/>
      <protection locked="0"/>
    </xf>
    <xf numFmtId="0" fontId="60" fillId="0" borderId="0" xfId="0" applyFont="1"/>
    <xf numFmtId="2" fontId="60" fillId="0" borderId="0" xfId="0" applyNumberFormat="1" applyFont="1"/>
    <xf numFmtId="0" fontId="8" fillId="0" borderId="74" xfId="0" applyFont="1" applyBorder="1" applyAlignment="1" applyProtection="1">
      <alignment horizontal="center"/>
      <protection locked="0"/>
    </xf>
    <xf numFmtId="0" fontId="8" fillId="0" borderId="76" xfId="0" applyFont="1" applyBorder="1" applyAlignment="1" applyProtection="1">
      <alignment horizontal="center"/>
      <protection locked="0"/>
    </xf>
    <xf numFmtId="166" fontId="0" fillId="19" borderId="3" xfId="0" applyNumberFormat="1" applyFill="1" applyBorder="1" applyAlignment="1">
      <alignment horizontal="center"/>
    </xf>
    <xf numFmtId="166" fontId="9" fillId="21" borderId="0" xfId="0" applyNumberFormat="1" applyFont="1" applyFill="1" applyAlignment="1">
      <alignment horizontal="center"/>
    </xf>
    <xf numFmtId="166" fontId="0" fillId="0" borderId="1" xfId="0" applyNumberFormat="1" applyBorder="1" applyAlignment="1" applyProtection="1">
      <alignment horizontal="center"/>
      <protection locked="0"/>
    </xf>
    <xf numFmtId="166" fontId="0" fillId="21" borderId="0" xfId="0" applyNumberFormat="1" applyFill="1"/>
    <xf numFmtId="166" fontId="9" fillId="21" borderId="0" xfId="0" applyNumberFormat="1" applyFont="1" applyFill="1" applyAlignment="1" applyProtection="1">
      <alignment horizontal="center"/>
      <protection locked="0"/>
    </xf>
    <xf numFmtId="166" fontId="0" fillId="21" borderId="0" xfId="0" applyNumberFormat="1" applyFill="1" applyProtection="1">
      <protection locked="0"/>
    </xf>
    <xf numFmtId="166" fontId="42" fillId="8" borderId="115" xfId="2" applyNumberFormat="1" applyBorder="1" applyAlignment="1" applyProtection="1">
      <alignment horizontal="center" vertical="center"/>
    </xf>
    <xf numFmtId="166" fontId="42" fillId="8" borderId="114" xfId="2" applyNumberFormat="1" applyBorder="1" applyAlignment="1" applyProtection="1">
      <alignment horizontal="center" vertical="center"/>
    </xf>
    <xf numFmtId="166" fontId="42" fillId="8" borderId="118" xfId="2" applyNumberFormat="1" applyBorder="1" applyAlignment="1" applyProtection="1">
      <alignment horizontal="center" vertical="center"/>
    </xf>
    <xf numFmtId="0" fontId="8" fillId="19" borderId="51" xfId="0" applyFont="1" applyFill="1" applyBorder="1" applyAlignment="1" applyProtection="1">
      <alignment vertical="center"/>
      <protection locked="0"/>
    </xf>
    <xf numFmtId="167" fontId="0" fillId="14" borderId="58" xfId="0" applyNumberFormat="1" applyFill="1" applyBorder="1" applyAlignment="1">
      <alignment vertical="center"/>
    </xf>
    <xf numFmtId="0" fontId="8" fillId="0" borderId="81" xfId="0" applyFont="1" applyBorder="1" applyAlignment="1" applyProtection="1">
      <alignment vertical="center"/>
      <protection locked="0"/>
    </xf>
    <xf numFmtId="167" fontId="0" fillId="14" borderId="61" xfId="0" applyNumberFormat="1" applyFill="1" applyBorder="1" applyAlignment="1">
      <alignment vertical="center"/>
    </xf>
    <xf numFmtId="0" fontId="8" fillId="26" borderId="18" xfId="0" applyFont="1" applyFill="1" applyBorder="1" applyAlignment="1" applyProtection="1">
      <alignment vertical="center"/>
      <protection locked="0"/>
    </xf>
    <xf numFmtId="1" fontId="0" fillId="26" borderId="36" xfId="0" applyNumberFormat="1" applyFill="1" applyBorder="1" applyAlignment="1" applyProtection="1">
      <alignment vertical="center"/>
      <protection locked="0"/>
    </xf>
    <xf numFmtId="0" fontId="33" fillId="26" borderId="36" xfId="0" applyFont="1" applyFill="1" applyBorder="1" applyAlignment="1" applyProtection="1">
      <alignment horizontal="center" vertical="center"/>
      <protection locked="0"/>
    </xf>
    <xf numFmtId="1" fontId="0" fillId="20" borderId="36" xfId="0" applyNumberFormat="1" applyFill="1" applyBorder="1" applyAlignment="1">
      <alignment vertical="center"/>
    </xf>
    <xf numFmtId="0" fontId="33" fillId="21" borderId="36" xfId="0" applyFont="1" applyFill="1" applyBorder="1" applyAlignment="1" applyProtection="1">
      <alignment horizontal="center" vertical="center"/>
      <protection locked="0"/>
    </xf>
    <xf numFmtId="167" fontId="0" fillId="18" borderId="19" xfId="0" applyNumberFormat="1" applyFill="1" applyBorder="1" applyAlignment="1">
      <alignment vertical="center"/>
    </xf>
    <xf numFmtId="0" fontId="8" fillId="26" borderId="52" xfId="0" applyFont="1" applyFill="1" applyBorder="1" applyAlignment="1" applyProtection="1">
      <alignment vertical="center"/>
      <protection locked="0"/>
    </xf>
    <xf numFmtId="0" fontId="0" fillId="26" borderId="50" xfId="0" applyFill="1" applyBorder="1" applyAlignment="1" applyProtection="1">
      <alignment vertical="center"/>
      <protection locked="0"/>
    </xf>
    <xf numFmtId="0" fontId="33" fillId="26" borderId="50" xfId="0" applyFont="1" applyFill="1" applyBorder="1" applyAlignment="1" applyProtection="1">
      <alignment horizontal="center" vertical="center"/>
      <protection locked="0"/>
    </xf>
    <xf numFmtId="1" fontId="0" fillId="26" borderId="50" xfId="0" applyNumberFormat="1" applyFill="1" applyBorder="1" applyAlignment="1" applyProtection="1">
      <alignment vertical="center"/>
      <protection locked="0"/>
    </xf>
    <xf numFmtId="167" fontId="0" fillId="18" borderId="56" xfId="0" applyNumberFormat="1" applyFill="1" applyBorder="1" applyAlignment="1">
      <alignment vertical="center"/>
    </xf>
    <xf numFmtId="0" fontId="8" fillId="19" borderId="127" xfId="0" applyFont="1" applyFill="1" applyBorder="1" applyAlignment="1" applyProtection="1">
      <alignment vertical="center"/>
      <protection locked="0"/>
    </xf>
    <xf numFmtId="0" fontId="0" fillId="19" borderId="88" xfId="0" applyFill="1" applyBorder="1" applyAlignment="1" applyProtection="1">
      <alignment vertical="center"/>
      <protection locked="0"/>
    </xf>
    <xf numFmtId="0" fontId="33" fillId="21" borderId="88" xfId="0" applyFont="1" applyFill="1" applyBorder="1" applyAlignment="1" applyProtection="1">
      <alignment horizontal="center" vertical="center"/>
      <protection locked="0"/>
    </xf>
    <xf numFmtId="1" fontId="0" fillId="19" borderId="88" xfId="0" applyNumberFormat="1" applyFill="1" applyBorder="1" applyAlignment="1">
      <alignment vertical="center"/>
    </xf>
    <xf numFmtId="1" fontId="0" fillId="19" borderId="88" xfId="0" applyNumberFormat="1" applyFill="1" applyBorder="1" applyAlignment="1" applyProtection="1">
      <alignment vertical="center"/>
      <protection locked="0"/>
    </xf>
    <xf numFmtId="1" fontId="0" fillId="20" borderId="88" xfId="0" applyNumberFormat="1" applyFill="1" applyBorder="1" applyAlignment="1">
      <alignment vertical="center"/>
    </xf>
    <xf numFmtId="167" fontId="0" fillId="23" borderId="54" xfId="0" applyNumberFormat="1" applyFill="1" applyBorder="1" applyAlignment="1">
      <alignment vertical="center"/>
    </xf>
    <xf numFmtId="167" fontId="0" fillId="23" borderId="56" xfId="0" applyNumberFormat="1" applyFill="1" applyBorder="1" applyAlignment="1">
      <alignment vertical="center"/>
    </xf>
    <xf numFmtId="0" fontId="8" fillId="0" borderId="51" xfId="0" applyFont="1" applyBorder="1" applyAlignment="1" applyProtection="1">
      <alignment vertical="center"/>
      <protection locked="0"/>
    </xf>
    <xf numFmtId="0" fontId="8" fillId="0" borderId="52" xfId="0" applyFont="1" applyBorder="1" applyAlignment="1" applyProtection="1">
      <alignment vertical="center"/>
      <protection locked="0"/>
    </xf>
    <xf numFmtId="167" fontId="8" fillId="0" borderId="17" xfId="5" applyNumberFormat="1" applyBorder="1" applyAlignment="1" applyProtection="1">
      <alignment horizontal="center" vertical="center"/>
      <protection locked="0"/>
    </xf>
    <xf numFmtId="2" fontId="0" fillId="21" borderId="0" xfId="0" applyNumberFormat="1" applyFill="1" applyAlignment="1">
      <alignment horizontal="center" vertical="center"/>
    </xf>
    <xf numFmtId="2" fontId="0" fillId="19" borderId="17" xfId="0" applyNumberFormat="1" applyFill="1" applyBorder="1" applyAlignment="1">
      <alignment horizontal="center" vertical="center"/>
    </xf>
    <xf numFmtId="2" fontId="0" fillId="20" borderId="17" xfId="0" applyNumberFormat="1" applyFill="1" applyBorder="1" applyAlignment="1">
      <alignment horizontal="center" vertical="center"/>
    </xf>
    <xf numFmtId="2" fontId="9" fillId="0" borderId="17" xfId="0" applyNumberFormat="1" applyFont="1" applyBorder="1" applyAlignment="1" applyProtection="1">
      <alignment horizontal="center" vertical="center"/>
      <protection locked="0"/>
    </xf>
    <xf numFmtId="2" fontId="8" fillId="20" borderId="17" xfId="0" applyNumberFormat="1" applyFont="1" applyFill="1" applyBorder="1" applyAlignment="1">
      <alignment horizontal="center" vertical="center"/>
    </xf>
    <xf numFmtId="2" fontId="0" fillId="0" borderId="17" xfId="0" applyNumberFormat="1" applyBorder="1" applyAlignment="1" applyProtection="1">
      <alignment horizontal="center" vertical="center"/>
      <protection locked="0"/>
    </xf>
    <xf numFmtId="2" fontId="9" fillId="18" borderId="17" xfId="0" applyNumberFormat="1" applyFont="1" applyFill="1" applyBorder="1" applyAlignment="1">
      <alignment horizontal="center" vertical="center"/>
    </xf>
    <xf numFmtId="2" fontId="0" fillId="5" borderId="17" xfId="0" applyNumberFormat="1" applyFill="1" applyBorder="1" applyAlignment="1" applyProtection="1">
      <alignment horizontal="center" vertical="center"/>
      <protection locked="0"/>
    </xf>
    <xf numFmtId="2" fontId="8" fillId="21" borderId="0" xfId="0" applyNumberFormat="1" applyFont="1" applyFill="1" applyAlignment="1" applyProtection="1">
      <alignment horizontal="center" vertical="center"/>
      <protection locked="0"/>
    </xf>
    <xf numFmtId="2" fontId="8" fillId="18" borderId="6" xfId="0" applyNumberFormat="1" applyFont="1" applyFill="1" applyBorder="1" applyAlignment="1">
      <alignment horizontal="center" vertical="center"/>
    </xf>
    <xf numFmtId="1" fontId="8" fillId="19" borderId="17" xfId="0" applyNumberFormat="1" applyFont="1" applyFill="1" applyBorder="1" applyAlignment="1">
      <alignment horizontal="center" vertical="center"/>
    </xf>
    <xf numFmtId="0" fontId="8" fillId="0" borderId="17" xfId="5" applyBorder="1" applyAlignment="1">
      <alignment horizontal="center" vertical="center"/>
    </xf>
    <xf numFmtId="0" fontId="0" fillId="24" borderId="0" xfId="0" applyFill="1" applyAlignment="1">
      <alignment horizontal="center" vertical="center"/>
    </xf>
    <xf numFmtId="4" fontId="8" fillId="24" borderId="0" xfId="0" applyNumberFormat="1" applyFont="1" applyFill="1" applyAlignment="1">
      <alignment horizontal="center" vertical="center"/>
    </xf>
    <xf numFmtId="4" fontId="8" fillId="28" borderId="0" xfId="0" applyNumberFormat="1" applyFont="1" applyFill="1" applyAlignment="1">
      <alignment horizontal="center" vertical="center"/>
    </xf>
    <xf numFmtId="4" fontId="8" fillId="0" borderId="0" xfId="0" applyNumberFormat="1" applyFont="1" applyAlignment="1">
      <alignment horizontal="center" vertical="center"/>
    </xf>
    <xf numFmtId="4" fontId="0" fillId="24" borderId="0" xfId="0" applyNumberFormat="1" applyFill="1"/>
    <xf numFmtId="4" fontId="0" fillId="24" borderId="0" xfId="0" applyNumberFormat="1" applyFill="1" applyAlignment="1">
      <alignment horizontal="center"/>
    </xf>
    <xf numFmtId="0" fontId="0" fillId="24" borderId="18" xfId="0" applyFill="1" applyBorder="1"/>
    <xf numFmtId="0" fontId="9" fillId="24" borderId="36" xfId="0" applyFont="1" applyFill="1" applyBorder="1"/>
    <xf numFmtId="0" fontId="9" fillId="24" borderId="19" xfId="0" applyFont="1" applyFill="1" applyBorder="1"/>
    <xf numFmtId="0" fontId="0" fillId="24" borderId="20" xfId="0" applyFill="1" applyBorder="1"/>
    <xf numFmtId="0" fontId="0" fillId="24" borderId="21" xfId="0" applyFill="1" applyBorder="1" applyAlignment="1">
      <alignment horizontal="center" vertical="center"/>
    </xf>
    <xf numFmtId="4" fontId="8" fillId="28" borderId="21" xfId="0" applyNumberFormat="1" applyFont="1" applyFill="1" applyBorder="1" applyAlignment="1">
      <alignment horizontal="center" vertical="center"/>
    </xf>
    <xf numFmtId="0" fontId="8" fillId="24" borderId="20" xfId="0" applyFont="1" applyFill="1" applyBorder="1"/>
    <xf numFmtId="0" fontId="8" fillId="24" borderId="22" xfId="0" applyFont="1" applyFill="1" applyBorder="1"/>
    <xf numFmtId="4" fontId="0" fillId="24" borderId="94" xfId="0" applyNumberFormat="1" applyFill="1" applyBorder="1"/>
    <xf numFmtId="4" fontId="8" fillId="24" borderId="21" xfId="0" applyNumberFormat="1" applyFont="1" applyFill="1" applyBorder="1" applyAlignment="1">
      <alignment horizontal="center" vertical="center"/>
    </xf>
    <xf numFmtId="4" fontId="8" fillId="0" borderId="21" xfId="0" applyNumberFormat="1" applyFont="1" applyBorder="1" applyAlignment="1">
      <alignment horizontal="center" vertical="center"/>
    </xf>
    <xf numFmtId="4" fontId="0" fillId="24" borderId="21" xfId="0" applyNumberFormat="1" applyFill="1" applyBorder="1"/>
    <xf numFmtId="4" fontId="0" fillId="24" borderId="23" xfId="0" applyNumberFormat="1" applyFill="1" applyBorder="1"/>
    <xf numFmtId="0" fontId="9" fillId="24" borderId="57" xfId="0" applyFont="1" applyFill="1" applyBorder="1"/>
    <xf numFmtId="0" fontId="0" fillId="24" borderId="33" xfId="0" applyFill="1" applyBorder="1" applyAlignment="1">
      <alignment horizontal="center" vertical="center"/>
    </xf>
    <xf numFmtId="4" fontId="8" fillId="28" borderId="33" xfId="0" applyNumberFormat="1" applyFont="1" applyFill="1" applyBorder="1" applyAlignment="1">
      <alignment horizontal="center" vertical="center"/>
    </xf>
    <xf numFmtId="4" fontId="21" fillId="28" borderId="33" xfId="0" applyNumberFormat="1" applyFont="1" applyFill="1" applyBorder="1" applyAlignment="1">
      <alignment horizontal="center" vertical="center"/>
    </xf>
    <xf numFmtId="0" fontId="9" fillId="24" borderId="18" xfId="0" applyFont="1" applyFill="1" applyBorder="1"/>
    <xf numFmtId="0" fontId="0" fillId="24" borderId="20" xfId="0" applyFill="1" applyBorder="1" applyAlignment="1">
      <alignment horizontal="center" vertical="center"/>
    </xf>
    <xf numFmtId="4" fontId="8" fillId="28" borderId="20" xfId="0" applyNumberFormat="1" applyFont="1" applyFill="1" applyBorder="1" applyAlignment="1">
      <alignment horizontal="center" vertical="center"/>
    </xf>
    <xf numFmtId="4" fontId="0" fillId="24" borderId="20" xfId="0" applyNumberFormat="1" applyFill="1" applyBorder="1"/>
    <xf numFmtId="4" fontId="0" fillId="24" borderId="22" xfId="0" applyNumberFormat="1" applyFill="1" applyBorder="1"/>
    <xf numFmtId="4" fontId="0" fillId="24" borderId="33" xfId="0" applyNumberFormat="1" applyFill="1" applyBorder="1"/>
    <xf numFmtId="4" fontId="0" fillId="24" borderId="71" xfId="0" applyNumberFormat="1" applyFill="1" applyBorder="1"/>
    <xf numFmtId="0" fontId="43" fillId="9" borderId="113" xfId="4" applyBorder="1" applyAlignment="1">
      <alignment horizontal="center"/>
    </xf>
    <xf numFmtId="0" fontId="43" fillId="9" borderId="106" xfId="4" applyBorder="1" applyAlignment="1">
      <alignment horizontal="center"/>
    </xf>
    <xf numFmtId="0" fontId="43" fillId="9" borderId="114" xfId="4" applyBorder="1" applyAlignment="1">
      <alignment horizontal="center"/>
    </xf>
    <xf numFmtId="0" fontId="43" fillId="9" borderId="62" xfId="4" applyBorder="1" applyAlignment="1">
      <alignment horizontal="center"/>
    </xf>
    <xf numFmtId="170" fontId="42" fillId="8" borderId="17" xfId="2" applyNumberFormat="1" applyBorder="1" applyAlignment="1">
      <alignment horizontal="center"/>
    </xf>
    <xf numFmtId="170" fontId="42" fillId="8" borderId="115" xfId="2" applyNumberFormat="1" applyBorder="1" applyAlignment="1">
      <alignment horizontal="center"/>
    </xf>
    <xf numFmtId="0" fontId="43" fillId="9" borderId="116" xfId="4" applyBorder="1" applyAlignment="1">
      <alignment horizontal="center"/>
    </xf>
    <xf numFmtId="170" fontId="42" fillId="8" borderId="117" xfId="2" applyNumberFormat="1" applyBorder="1" applyAlignment="1">
      <alignment horizontal="center"/>
    </xf>
    <xf numFmtId="170" fontId="42" fillId="8" borderId="118" xfId="2" applyNumberFormat="1" applyBorder="1" applyAlignment="1">
      <alignment horizontal="center"/>
    </xf>
    <xf numFmtId="2" fontId="0" fillId="0" borderId="0" xfId="0" applyNumberFormat="1"/>
    <xf numFmtId="0" fontId="0" fillId="2" borderId="0" xfId="0" applyFill="1" applyAlignment="1">
      <alignment horizontal="center"/>
    </xf>
    <xf numFmtId="167" fontId="0" fillId="19" borderId="17" xfId="0" applyNumberFormat="1" applyFill="1" applyBorder="1" applyAlignment="1">
      <alignment horizontal="center" vertical="center"/>
    </xf>
    <xf numFmtId="0" fontId="10" fillId="0" borderId="0" xfId="0" applyFont="1" applyAlignment="1" applyProtection="1">
      <alignment horizontal="center" wrapText="1"/>
      <protection locked="0"/>
    </xf>
    <xf numFmtId="2" fontId="8" fillId="19" borderId="80" xfId="0" applyNumberFormat="1" applyFont="1" applyFill="1" applyBorder="1" applyAlignment="1">
      <alignment horizontal="center" vertical="center"/>
    </xf>
    <xf numFmtId="2" fontId="48" fillId="25" borderId="112" xfId="0" applyNumberFormat="1" applyFont="1" applyFill="1" applyBorder="1" applyAlignment="1" applyProtection="1">
      <alignment horizontal="left" vertical="center"/>
      <protection locked="0"/>
    </xf>
    <xf numFmtId="2" fontId="9" fillId="21" borderId="7" xfId="0" applyNumberFormat="1" applyFont="1" applyFill="1" applyBorder="1" applyAlignment="1" applyProtection="1">
      <alignment horizontal="center" vertical="center"/>
      <protection locked="0"/>
    </xf>
    <xf numFmtId="2" fontId="8" fillId="21" borderId="20" xfId="0" applyNumberFormat="1" applyFont="1" applyFill="1" applyBorder="1" applyAlignment="1" applyProtection="1">
      <alignment horizontal="left" vertical="center"/>
      <protection locked="0"/>
    </xf>
    <xf numFmtId="2" fontId="8" fillId="19" borderId="17" xfId="0" applyNumberFormat="1" applyFont="1" applyFill="1" applyBorder="1" applyAlignment="1">
      <alignment horizontal="center" vertical="center"/>
    </xf>
    <xf numFmtId="2" fontId="0" fillId="21" borderId="21" xfId="0" applyNumberFormat="1" applyFill="1" applyBorder="1" applyAlignment="1" applyProtection="1">
      <alignment horizontal="center" vertical="center"/>
      <protection locked="0"/>
    </xf>
    <xf numFmtId="2" fontId="8" fillId="0" borderId="17" xfId="0" applyNumberFormat="1" applyFont="1" applyBorder="1" applyAlignment="1" applyProtection="1">
      <alignment horizontal="center" vertical="center"/>
      <protection locked="0"/>
    </xf>
    <xf numFmtId="2" fontId="9" fillId="21" borderId="20" xfId="0" applyNumberFormat="1" applyFont="1" applyFill="1" applyBorder="1" applyAlignment="1" applyProtection="1">
      <alignment horizontal="left" vertical="center"/>
      <protection locked="0"/>
    </xf>
    <xf numFmtId="2" fontId="9" fillId="21" borderId="126" xfId="0" applyNumberFormat="1" applyFont="1" applyFill="1" applyBorder="1" applyAlignment="1" applyProtection="1">
      <alignment horizontal="left" vertical="center"/>
      <protection locked="0"/>
    </xf>
    <xf numFmtId="2" fontId="0" fillId="21" borderId="13" xfId="0" applyNumberFormat="1" applyFill="1" applyBorder="1" applyAlignment="1" applyProtection="1">
      <alignment horizontal="center" vertical="center"/>
      <protection locked="0"/>
    </xf>
    <xf numFmtId="2" fontId="8" fillId="21" borderId="13" xfId="0" applyNumberFormat="1" applyFont="1" applyFill="1" applyBorder="1" applyAlignment="1" applyProtection="1">
      <alignment horizontal="center" vertical="center"/>
      <protection locked="0"/>
    </xf>
    <xf numFmtId="2" fontId="0" fillId="21" borderId="108" xfId="0" applyNumberFormat="1" applyFill="1" applyBorder="1" applyAlignment="1" applyProtection="1">
      <alignment horizontal="center" vertical="center"/>
      <protection locked="0"/>
    </xf>
    <xf numFmtId="2" fontId="8" fillId="21" borderId="112" xfId="0" applyNumberFormat="1" applyFont="1" applyFill="1" applyBorder="1" applyAlignment="1" applyProtection="1">
      <alignment horizontal="left" vertical="center"/>
      <protection locked="0"/>
    </xf>
    <xf numFmtId="2" fontId="9" fillId="21" borderId="111" xfId="0" applyNumberFormat="1" applyFont="1" applyFill="1" applyBorder="1" applyAlignment="1" applyProtection="1">
      <alignment horizontal="center" vertical="center"/>
      <protection locked="0"/>
    </xf>
    <xf numFmtId="2" fontId="0" fillId="20" borderId="115" xfId="0" applyNumberFormat="1" applyFill="1" applyBorder="1" applyAlignment="1">
      <alignment horizontal="center" vertical="center"/>
    </xf>
    <xf numFmtId="2" fontId="9" fillId="18" borderId="115" xfId="0" applyNumberFormat="1" applyFont="1" applyFill="1" applyBorder="1" applyAlignment="1">
      <alignment horizontal="center" vertical="center"/>
    </xf>
    <xf numFmtId="2" fontId="9" fillId="21" borderId="112" xfId="0" applyNumberFormat="1" applyFont="1" applyFill="1" applyBorder="1" applyAlignment="1" applyProtection="1">
      <alignment horizontal="left" vertical="center"/>
      <protection locked="0"/>
    </xf>
    <xf numFmtId="2" fontId="0" fillId="21" borderId="7" xfId="0" applyNumberFormat="1" applyFill="1" applyBorder="1" applyAlignment="1" applyProtection="1">
      <alignment horizontal="center" vertical="center"/>
      <protection locked="0"/>
    </xf>
    <xf numFmtId="2" fontId="9" fillId="21" borderId="17" xfId="0" applyNumberFormat="1" applyFont="1" applyFill="1" applyBorder="1" applyAlignment="1" applyProtection="1">
      <alignment horizontal="center" vertical="center"/>
      <protection locked="0"/>
    </xf>
    <xf numFmtId="2" fontId="9" fillId="21" borderId="115" xfId="0" applyNumberFormat="1" applyFont="1" applyFill="1" applyBorder="1" applyAlignment="1" applyProtection="1">
      <alignment horizontal="center" vertical="center"/>
      <protection locked="0"/>
    </xf>
    <xf numFmtId="2" fontId="9" fillId="21" borderId="21" xfId="0" applyNumberFormat="1" applyFont="1" applyFill="1" applyBorder="1" applyAlignment="1" applyProtection="1">
      <alignment horizontal="center" vertical="center"/>
      <protection locked="0"/>
    </xf>
    <xf numFmtId="2" fontId="9" fillId="21" borderId="13" xfId="0" applyNumberFormat="1" applyFont="1" applyFill="1" applyBorder="1" applyAlignment="1" applyProtection="1">
      <alignment horizontal="center" vertical="center"/>
      <protection locked="0"/>
    </xf>
    <xf numFmtId="2" fontId="9" fillId="21" borderId="94" xfId="0" applyNumberFormat="1" applyFont="1" applyFill="1" applyBorder="1" applyAlignment="1" applyProtection="1">
      <alignment horizontal="center" vertical="center"/>
      <protection locked="0"/>
    </xf>
    <xf numFmtId="1" fontId="24" fillId="21" borderId="36" xfId="0" applyNumberFormat="1" applyFont="1" applyFill="1" applyBorder="1" applyAlignment="1" applyProtection="1">
      <alignment horizontal="center" vertical="center"/>
      <protection locked="0"/>
    </xf>
    <xf numFmtId="1" fontId="9" fillId="21" borderId="7" xfId="0" applyNumberFormat="1" applyFont="1" applyFill="1" applyBorder="1" applyAlignment="1" applyProtection="1">
      <alignment horizontal="center" vertical="center"/>
      <protection locked="0"/>
    </xf>
    <xf numFmtId="1" fontId="0" fillId="21" borderId="0" xfId="0" applyNumberFormat="1" applyFill="1" applyAlignment="1" applyProtection="1">
      <alignment horizontal="center" vertical="center"/>
      <protection locked="0"/>
    </xf>
    <xf numFmtId="1" fontId="9" fillId="21" borderId="0" xfId="0" applyNumberFormat="1" applyFont="1" applyFill="1" applyAlignment="1" applyProtection="1">
      <alignment horizontal="center" vertical="center"/>
      <protection locked="0"/>
    </xf>
    <xf numFmtId="1" fontId="0" fillId="19" borderId="17" xfId="0" applyNumberFormat="1" applyFill="1" applyBorder="1" applyAlignment="1">
      <alignment horizontal="center" vertical="center"/>
    </xf>
    <xf numFmtId="1" fontId="0" fillId="0" borderId="17" xfId="0" applyNumberFormat="1" applyBorder="1" applyAlignment="1" applyProtection="1">
      <alignment horizontal="center" vertical="center"/>
      <protection locked="0"/>
    </xf>
    <xf numFmtId="1" fontId="0" fillId="21" borderId="13" xfId="0" applyNumberFormat="1" applyFill="1" applyBorder="1" applyAlignment="1" applyProtection="1">
      <alignment horizontal="center" vertical="center"/>
      <protection locked="0"/>
    </xf>
    <xf numFmtId="1" fontId="0" fillId="19" borderId="17" xfId="0" applyNumberFormat="1" applyFill="1" applyBorder="1" applyAlignment="1" applyProtection="1">
      <alignment horizontal="center" vertical="center"/>
      <protection locked="0"/>
    </xf>
    <xf numFmtId="1" fontId="9" fillId="0" borderId="17" xfId="0" applyNumberFormat="1" applyFont="1" applyBorder="1" applyAlignment="1" applyProtection="1">
      <alignment horizontal="center" vertical="center"/>
      <protection locked="0"/>
    </xf>
    <xf numFmtId="1" fontId="8" fillId="18" borderId="17" xfId="0" applyNumberFormat="1" applyFont="1" applyFill="1" applyBorder="1" applyAlignment="1">
      <alignment horizontal="center" vertical="center"/>
    </xf>
    <xf numFmtId="1" fontId="8" fillId="0" borderId="17" xfId="0" applyNumberFormat="1" applyFont="1" applyBorder="1" applyAlignment="1" applyProtection="1">
      <alignment horizontal="center" vertical="center"/>
      <protection locked="0"/>
    </xf>
    <xf numFmtId="2" fontId="16" fillId="21" borderId="36" xfId="0" applyNumberFormat="1" applyFont="1" applyFill="1" applyBorder="1" applyAlignment="1" applyProtection="1">
      <alignment horizontal="center" vertical="center"/>
      <protection locked="0"/>
    </xf>
    <xf numFmtId="2" fontId="0" fillId="21" borderId="36" xfId="0" applyNumberFormat="1" applyFill="1" applyBorder="1" applyAlignment="1" applyProtection="1">
      <alignment horizontal="center" vertical="center"/>
      <protection locked="0"/>
    </xf>
    <xf numFmtId="2" fontId="62" fillId="21" borderId="19" xfId="0" applyNumberFormat="1" applyFont="1" applyFill="1" applyBorder="1" applyAlignment="1" applyProtection="1">
      <alignment horizontal="center" vertical="center"/>
      <protection locked="0"/>
    </xf>
    <xf numFmtId="2" fontId="0" fillId="0" borderId="0" xfId="0" applyNumberFormat="1" applyAlignment="1" applyProtection="1">
      <alignment horizontal="center" vertical="center"/>
      <protection locked="0"/>
    </xf>
    <xf numFmtId="2" fontId="0" fillId="21" borderId="111" xfId="0" applyNumberFormat="1" applyFill="1" applyBorder="1" applyAlignment="1" applyProtection="1">
      <alignment horizontal="center" vertical="center"/>
      <protection locked="0"/>
    </xf>
    <xf numFmtId="1" fontId="0" fillId="21" borderId="7" xfId="0" applyNumberFormat="1" applyFill="1" applyBorder="1" applyAlignment="1" applyProtection="1">
      <alignment horizontal="center" vertical="center"/>
      <protection locked="0"/>
    </xf>
    <xf numFmtId="2" fontId="8" fillId="21" borderId="7" xfId="0" applyNumberFormat="1" applyFont="1" applyFill="1" applyBorder="1" applyAlignment="1" applyProtection="1">
      <alignment horizontal="center" vertical="center"/>
      <protection locked="0"/>
    </xf>
    <xf numFmtId="2" fontId="0" fillId="21" borderId="94" xfId="0" applyNumberFormat="1" applyFill="1" applyBorder="1" applyAlignment="1" applyProtection="1">
      <alignment horizontal="center" vertical="center"/>
      <protection locked="0"/>
    </xf>
    <xf numFmtId="2" fontId="0" fillId="21" borderId="23" xfId="0" applyNumberFormat="1" applyFill="1" applyBorder="1" applyAlignment="1" applyProtection="1">
      <alignment horizontal="center" vertical="center"/>
      <protection locked="0"/>
    </xf>
    <xf numFmtId="2" fontId="16" fillId="21" borderId="18" xfId="0" applyNumberFormat="1" applyFont="1" applyFill="1" applyBorder="1" applyAlignment="1" applyProtection="1">
      <alignment horizontal="left" vertical="center"/>
      <protection locked="0"/>
    </xf>
    <xf numFmtId="2" fontId="8" fillId="21" borderId="22" xfId="0" applyNumberFormat="1" applyFont="1" applyFill="1" applyBorder="1" applyAlignment="1" applyProtection="1">
      <alignment horizontal="left" vertical="center"/>
      <protection locked="0"/>
    </xf>
    <xf numFmtId="2" fontId="0" fillId="0" borderId="0" xfId="0" applyNumberFormat="1" applyAlignment="1" applyProtection="1">
      <alignment horizontal="left" vertical="center"/>
      <protection locked="0"/>
    </xf>
    <xf numFmtId="2" fontId="9" fillId="20" borderId="1" xfId="5" applyNumberFormat="1" applyFont="1" applyFill="1" applyBorder="1" applyAlignment="1">
      <alignment horizontal="center" vertical="center" wrapText="1"/>
    </xf>
    <xf numFmtId="170" fontId="8" fillId="0" borderId="17" xfId="5" applyNumberFormat="1" applyBorder="1" applyAlignment="1" applyProtection="1">
      <alignment horizontal="center" vertical="center"/>
      <protection locked="0"/>
    </xf>
    <xf numFmtId="1" fontId="0" fillId="0" borderId="0" xfId="0" applyNumberFormat="1" applyAlignment="1" applyProtection="1">
      <alignment horizontal="center" vertical="center"/>
      <protection locked="0"/>
    </xf>
    <xf numFmtId="0" fontId="9" fillId="0" borderId="10" xfId="0" applyFont="1" applyBorder="1" applyAlignment="1" applyProtection="1">
      <alignment horizontal="center" vertical="center"/>
      <protection locked="0"/>
    </xf>
    <xf numFmtId="0" fontId="33" fillId="0" borderId="15" xfId="0" applyFont="1" applyBorder="1" applyAlignment="1" applyProtection="1">
      <alignment horizontal="center" vertical="center"/>
      <protection locked="0"/>
    </xf>
    <xf numFmtId="0" fontId="9" fillId="0" borderId="17" xfId="0" applyFont="1" applyBorder="1" applyAlignment="1" applyProtection="1">
      <alignment horizontal="center" vertical="center"/>
      <protection locked="0"/>
    </xf>
    <xf numFmtId="0" fontId="15" fillId="21" borderId="6" xfId="0" applyFont="1" applyFill="1" applyBorder="1" applyAlignment="1" applyProtection="1">
      <alignment horizontal="center" vertical="center"/>
      <protection locked="0"/>
    </xf>
    <xf numFmtId="0" fontId="0" fillId="0" borderId="17" xfId="0" applyBorder="1" applyAlignment="1" applyProtection="1">
      <alignment horizontal="center" vertical="center"/>
      <protection locked="0"/>
    </xf>
    <xf numFmtId="0" fontId="0" fillId="0" borderId="0" xfId="0" applyAlignment="1" applyProtection="1">
      <alignment horizontal="center" vertical="center"/>
      <protection locked="0"/>
    </xf>
    <xf numFmtId="0" fontId="37" fillId="0" borderId="0" xfId="0" applyFont="1" applyAlignment="1" applyProtection="1">
      <alignment horizontal="left" vertical="center"/>
      <protection locked="0"/>
    </xf>
    <xf numFmtId="0" fontId="8" fillId="21" borderId="10" xfId="0" applyFont="1" applyFill="1" applyBorder="1" applyAlignment="1" applyProtection="1">
      <alignment horizontal="left" vertical="center"/>
      <protection locked="0"/>
    </xf>
    <xf numFmtId="0" fontId="9" fillId="0" borderId="17" xfId="0" applyFont="1" applyBorder="1" applyAlignment="1" applyProtection="1">
      <alignment horizontal="left" vertical="center"/>
      <protection locked="0"/>
    </xf>
    <xf numFmtId="0" fontId="8" fillId="21" borderId="4" xfId="0" applyFont="1" applyFill="1" applyBorder="1" applyAlignment="1" applyProtection="1">
      <alignment horizontal="left" vertical="center"/>
      <protection locked="0"/>
    </xf>
    <xf numFmtId="0" fontId="8" fillId="0" borderId="4" xfId="0" applyFont="1" applyBorder="1" applyAlignment="1" applyProtection="1">
      <alignment horizontal="left" vertical="center"/>
      <protection locked="0"/>
    </xf>
    <xf numFmtId="0" fontId="63" fillId="0" borderId="0" xfId="0" applyFont="1" applyAlignment="1">
      <alignment vertical="center"/>
    </xf>
    <xf numFmtId="0" fontId="58" fillId="0" borderId="57" xfId="4" applyFont="1" applyFill="1" applyBorder="1" applyAlignment="1" applyProtection="1">
      <alignment horizontal="center" vertical="center"/>
      <protection locked="0"/>
    </xf>
    <xf numFmtId="2" fontId="8" fillId="0" borderId="71" xfId="5" applyNumberFormat="1" applyBorder="1" applyAlignment="1" applyProtection="1">
      <alignment horizontal="center" vertical="center"/>
      <protection locked="0"/>
    </xf>
    <xf numFmtId="2" fontId="8" fillId="0" borderId="1" xfId="5" applyNumberFormat="1" applyBorder="1" applyAlignment="1" applyProtection="1">
      <alignment horizontal="center" vertical="center"/>
      <protection locked="0"/>
    </xf>
    <xf numFmtId="0" fontId="43" fillId="9" borderId="11" xfId="4" applyBorder="1" applyAlignment="1" applyProtection="1">
      <alignment horizontal="center" vertical="center"/>
    </xf>
    <xf numFmtId="0" fontId="42" fillId="8" borderId="1" xfId="2" applyBorder="1" applyAlignment="1" applyProtection="1">
      <alignment horizontal="center" vertical="center"/>
    </xf>
    <xf numFmtId="0" fontId="43" fillId="9" borderId="126" xfId="4" applyBorder="1" applyAlignment="1" applyProtection="1">
      <alignment horizontal="center" vertical="center"/>
    </xf>
    <xf numFmtId="0" fontId="43" fillId="9" borderId="10" xfId="4" applyBorder="1" applyAlignment="1" applyProtection="1">
      <alignment horizontal="center" vertical="center"/>
    </xf>
    <xf numFmtId="2" fontId="42" fillId="8" borderId="17" xfId="2" applyNumberFormat="1" applyBorder="1" applyAlignment="1" applyProtection="1">
      <alignment horizontal="center" vertical="center"/>
    </xf>
    <xf numFmtId="0" fontId="0" fillId="21" borderId="0" xfId="0" applyFill="1" applyAlignment="1">
      <alignment horizontal="center" vertical="center"/>
    </xf>
    <xf numFmtId="0" fontId="16" fillId="21" borderId="0" xfId="0" applyFont="1" applyFill="1" applyAlignment="1">
      <alignment horizontal="center" vertical="center"/>
    </xf>
    <xf numFmtId="0" fontId="25" fillId="21" borderId="0" xfId="0" applyFont="1" applyFill="1" applyAlignment="1">
      <alignment horizontal="center" vertical="center"/>
    </xf>
    <xf numFmtId="0" fontId="10" fillId="21" borderId="0" xfId="0" applyFont="1" applyFill="1" applyAlignment="1">
      <alignment horizontal="center" vertical="center" wrapText="1"/>
    </xf>
    <xf numFmtId="0" fontId="24" fillId="14" borderId="1" xfId="0" applyFont="1" applyFill="1" applyBorder="1" applyAlignment="1">
      <alignment horizontal="center" vertical="center"/>
    </xf>
    <xf numFmtId="0" fontId="9" fillId="21" borderId="0" xfId="0" applyFont="1" applyFill="1" applyAlignment="1">
      <alignment horizontal="center" vertical="center"/>
    </xf>
    <xf numFmtId="0" fontId="15" fillId="21" borderId="0" xfId="0" applyFont="1" applyFill="1" applyAlignment="1">
      <alignment horizontal="center" vertical="center"/>
    </xf>
    <xf numFmtId="0" fontId="10" fillId="21" borderId="0" xfId="0" applyFont="1" applyFill="1" applyAlignment="1">
      <alignment horizontal="center" vertical="center"/>
    </xf>
    <xf numFmtId="0" fontId="64" fillId="21" borderId="0" xfId="0" applyFont="1" applyFill="1" applyAlignment="1">
      <alignment horizontal="center" vertical="center"/>
    </xf>
    <xf numFmtId="0" fontId="20" fillId="0" borderId="128" xfId="0" applyFont="1" applyBorder="1" applyAlignment="1">
      <alignment horizontal="center" vertical="center"/>
    </xf>
    <xf numFmtId="0" fontId="15" fillId="0" borderId="128" xfId="0" applyFont="1" applyBorder="1" applyAlignment="1" applyProtection="1">
      <alignment horizontal="center" vertical="center"/>
      <protection locked="0"/>
    </xf>
    <xf numFmtId="0" fontId="15" fillId="20" borderId="10" xfId="0" applyFont="1" applyFill="1" applyBorder="1" applyAlignment="1">
      <alignment horizontal="center" vertical="center"/>
    </xf>
    <xf numFmtId="0" fontId="15" fillId="0" borderId="70" xfId="0" applyFont="1" applyBorder="1" applyAlignment="1" applyProtection="1">
      <alignment horizontal="center" vertical="center"/>
      <protection locked="0"/>
    </xf>
    <xf numFmtId="0" fontId="15" fillId="0" borderId="66" xfId="0" applyFont="1" applyBorder="1" applyAlignment="1" applyProtection="1">
      <alignment horizontal="center" vertical="center"/>
      <protection locked="0"/>
    </xf>
    <xf numFmtId="2" fontId="15" fillId="20" borderId="10" xfId="0" applyNumberFormat="1" applyFont="1" applyFill="1" applyBorder="1" applyAlignment="1">
      <alignment horizontal="center" vertical="center"/>
    </xf>
    <xf numFmtId="0" fontId="65" fillId="21" borderId="0" xfId="0" applyFont="1" applyFill="1" applyAlignment="1">
      <alignment horizontal="center" vertical="center"/>
    </xf>
    <xf numFmtId="0" fontId="20" fillId="0" borderId="59" xfId="0" applyFont="1" applyBorder="1" applyAlignment="1">
      <alignment horizontal="center" vertical="center"/>
    </xf>
    <xf numFmtId="0" fontId="15" fillId="0" borderId="59" xfId="0" applyFont="1" applyBorder="1" applyAlignment="1" applyProtection="1">
      <alignment horizontal="center" vertical="center"/>
      <protection locked="0"/>
    </xf>
    <xf numFmtId="0" fontId="15" fillId="20" borderId="12" xfId="0" applyFont="1" applyFill="1" applyBorder="1" applyAlignment="1">
      <alignment horizontal="center" vertical="center"/>
    </xf>
    <xf numFmtId="0" fontId="15" fillId="0" borderId="90" xfId="0" applyFont="1" applyBorder="1" applyAlignment="1" applyProtection="1">
      <alignment horizontal="center" vertical="center"/>
      <protection locked="0"/>
    </xf>
    <xf numFmtId="0" fontId="15" fillId="0" borderId="67" xfId="0" applyFont="1" applyBorder="1" applyAlignment="1" applyProtection="1">
      <alignment horizontal="center" vertical="center"/>
      <protection locked="0"/>
    </xf>
    <xf numFmtId="2" fontId="15" fillId="20" borderId="12" xfId="0" applyNumberFormat="1" applyFont="1" applyFill="1" applyBorder="1" applyAlignment="1">
      <alignment horizontal="center" vertical="center"/>
    </xf>
    <xf numFmtId="0" fontId="20" fillId="0" borderId="129" xfId="0" applyFont="1" applyBorder="1" applyAlignment="1">
      <alignment horizontal="center" vertical="center"/>
    </xf>
    <xf numFmtId="0" fontId="15" fillId="0" borderId="129" xfId="0" applyFont="1" applyBorder="1" applyAlignment="1" applyProtection="1">
      <alignment horizontal="center" vertical="center"/>
      <protection locked="0"/>
    </xf>
    <xf numFmtId="0" fontId="15" fillId="0" borderId="83" xfId="0" applyFont="1" applyBorder="1" applyAlignment="1" applyProtection="1">
      <alignment horizontal="center" vertical="center"/>
      <protection locked="0"/>
    </xf>
    <xf numFmtId="0" fontId="15" fillId="20" borderId="15" xfId="0" applyFont="1" applyFill="1" applyBorder="1" applyAlignment="1">
      <alignment horizontal="center" vertical="center"/>
    </xf>
    <xf numFmtId="0" fontId="15" fillId="0" borderId="93" xfId="0" applyFont="1" applyBorder="1" applyAlignment="1" applyProtection="1">
      <alignment horizontal="center" vertical="center"/>
      <protection locked="0"/>
    </xf>
    <xf numFmtId="0" fontId="15" fillId="0" borderId="69" xfId="0" applyFont="1" applyBorder="1" applyAlignment="1" applyProtection="1">
      <alignment horizontal="center" vertical="center"/>
      <protection locked="0"/>
    </xf>
    <xf numFmtId="0" fontId="10" fillId="18" borderId="1" xfId="0" applyFont="1" applyFill="1" applyBorder="1" applyAlignment="1">
      <alignment horizontal="center" vertical="center"/>
    </xf>
    <xf numFmtId="2" fontId="30" fillId="0" borderId="35" xfId="5" applyNumberFormat="1" applyFont="1" applyBorder="1" applyAlignment="1" applyProtection="1">
      <alignment horizontal="center" vertical="center"/>
      <protection locked="0"/>
    </xf>
    <xf numFmtId="2" fontId="30" fillId="0" borderId="15" xfId="5" applyNumberFormat="1" applyFont="1" applyBorder="1" applyAlignment="1" applyProtection="1">
      <alignment horizontal="center" vertical="center"/>
      <protection locked="0"/>
    </xf>
    <xf numFmtId="2" fontId="30" fillId="0" borderId="105" xfId="5" applyNumberFormat="1" applyFont="1" applyBorder="1" applyAlignment="1" applyProtection="1">
      <alignment horizontal="center" vertical="center"/>
      <protection locked="0" hidden="1"/>
    </xf>
    <xf numFmtId="2" fontId="30" fillId="0" borderId="6" xfId="5" applyNumberFormat="1" applyFont="1" applyBorder="1" applyAlignment="1" applyProtection="1">
      <alignment horizontal="center" vertical="center"/>
      <protection locked="0" hidden="1"/>
    </xf>
    <xf numFmtId="2" fontId="30" fillId="0" borderId="16" xfId="5" applyNumberFormat="1" applyFont="1" applyBorder="1" applyAlignment="1" applyProtection="1">
      <alignment horizontal="center" vertical="center"/>
      <protection locked="0" hidden="1"/>
    </xf>
    <xf numFmtId="2" fontId="30" fillId="0" borderId="106" xfId="5" applyNumberFormat="1" applyFont="1" applyBorder="1" applyAlignment="1" applyProtection="1">
      <alignment horizontal="center" vertical="center"/>
      <protection locked="0" hidden="1"/>
    </xf>
    <xf numFmtId="2" fontId="30" fillId="0" borderId="17" xfId="5" applyNumberFormat="1" applyFont="1" applyBorder="1" applyAlignment="1" applyProtection="1">
      <alignment horizontal="center" vertical="center"/>
      <protection locked="0" hidden="1"/>
    </xf>
    <xf numFmtId="2" fontId="30" fillId="0" borderId="10" xfId="5" applyNumberFormat="1" applyFont="1" applyBorder="1" applyAlignment="1" applyProtection="1">
      <alignment horizontal="center" vertical="center"/>
      <protection locked="0" hidden="1"/>
    </xf>
    <xf numFmtId="0" fontId="9" fillId="0" borderId="0" xfId="5" applyFont="1" applyAlignment="1" applyProtection="1">
      <alignment horizontal="left" vertical="center"/>
      <protection hidden="1"/>
    </xf>
    <xf numFmtId="0" fontId="9" fillId="2" borderId="0" xfId="5" applyFont="1" applyFill="1" applyAlignment="1">
      <alignment horizontal="center"/>
    </xf>
    <xf numFmtId="0" fontId="15" fillId="0" borderId="0" xfId="5" applyFont="1" applyAlignment="1">
      <alignment horizontal="center"/>
    </xf>
    <xf numFmtId="0" fontId="8" fillId="2" borderId="0" xfId="5" applyFill="1" applyAlignment="1">
      <alignment horizontal="center"/>
    </xf>
    <xf numFmtId="2" fontId="8" fillId="21" borderId="0" xfId="0" applyNumberFormat="1" applyFont="1" applyFill="1" applyAlignment="1">
      <alignment horizontal="left"/>
    </xf>
    <xf numFmtId="0" fontId="9" fillId="0" borderId="75" xfId="0" applyFont="1" applyBorder="1" applyAlignment="1">
      <alignment horizontal="left"/>
    </xf>
    <xf numFmtId="0" fontId="9" fillId="0" borderId="77" xfId="0" applyFont="1" applyBorder="1" applyAlignment="1">
      <alignment horizontal="left"/>
    </xf>
    <xf numFmtId="0" fontId="0" fillId="8" borderId="71" xfId="2" applyFont="1" applyBorder="1" applyAlignment="1" applyProtection="1">
      <alignment horizontal="center" vertical="center"/>
    </xf>
    <xf numFmtId="0" fontId="0" fillId="21" borderId="74" xfId="0" applyFill="1" applyBorder="1" applyAlignment="1">
      <alignment horizontal="center"/>
    </xf>
    <xf numFmtId="0" fontId="0" fillId="21" borderId="76" xfId="0" applyFill="1" applyBorder="1" applyAlignment="1">
      <alignment horizontal="center"/>
    </xf>
    <xf numFmtId="0" fontId="0" fillId="21" borderId="79" xfId="0" applyFill="1" applyBorder="1" applyAlignment="1">
      <alignment horizontal="center"/>
    </xf>
    <xf numFmtId="0" fontId="43" fillId="9" borderId="3" xfId="4" applyBorder="1" applyAlignment="1" applyProtection="1">
      <alignment horizontal="center" vertical="center"/>
    </xf>
    <xf numFmtId="0" fontId="43" fillId="9" borderId="2" xfId="4" applyBorder="1" applyAlignment="1" applyProtection="1">
      <alignment horizontal="center" vertical="center"/>
    </xf>
    <xf numFmtId="0" fontId="43" fillId="9" borderId="3" xfId="4" applyBorder="1" applyAlignment="1" applyProtection="1">
      <alignment horizontal="center" vertical="center"/>
      <protection hidden="1"/>
    </xf>
    <xf numFmtId="0" fontId="66" fillId="0" borderId="0" xfId="5" applyFont="1" applyAlignment="1">
      <alignment horizontal="center" vertical="center"/>
    </xf>
    <xf numFmtId="0" fontId="66" fillId="0" borderId="0" xfId="5" applyFont="1" applyAlignment="1">
      <alignment horizontal="left" vertical="center"/>
    </xf>
    <xf numFmtId="0" fontId="8" fillId="0" borderId="17" xfId="5" applyBorder="1" applyAlignment="1" applyProtection="1">
      <alignment horizontal="center" vertical="center"/>
      <protection locked="0"/>
    </xf>
    <xf numFmtId="0" fontId="42" fillId="8" borderId="17" xfId="2" applyBorder="1" applyAlignment="1" applyProtection="1">
      <alignment horizontal="center" vertical="center"/>
    </xf>
    <xf numFmtId="0" fontId="0" fillId="0" borderId="1" xfId="0" applyBorder="1" applyAlignment="1" applyProtection="1">
      <alignment horizontal="center" vertical="center"/>
      <protection locked="0"/>
    </xf>
    <xf numFmtId="0" fontId="9" fillId="0" borderId="0" xfId="5" applyFont="1" applyProtection="1">
      <protection locked="0"/>
    </xf>
    <xf numFmtId="0" fontId="8" fillId="0" borderId="0" xfId="5" applyAlignment="1">
      <alignment vertical="center"/>
    </xf>
    <xf numFmtId="0" fontId="8" fillId="21" borderId="52" xfId="0" applyFont="1" applyFill="1" applyBorder="1" applyAlignment="1" applyProtection="1">
      <alignment vertical="center"/>
      <protection locked="0"/>
    </xf>
    <xf numFmtId="0" fontId="8" fillId="21" borderId="52" xfId="0" applyFont="1" applyFill="1" applyBorder="1" applyAlignment="1">
      <alignment vertical="center"/>
    </xf>
    <xf numFmtId="0" fontId="0" fillId="0" borderId="10" xfId="0" applyBorder="1" applyProtection="1">
      <protection locked="0"/>
    </xf>
    <xf numFmtId="0" fontId="8" fillId="0" borderId="12" xfId="0" applyFont="1" applyBorder="1" applyProtection="1">
      <protection locked="0"/>
    </xf>
    <xf numFmtId="0" fontId="0" fillId="0" borderId="0" xfId="0" applyAlignment="1">
      <alignment horizontal="left"/>
    </xf>
    <xf numFmtId="0" fontId="8" fillId="0" borderId="3" xfId="5" applyBorder="1" applyAlignment="1">
      <alignment horizontal="center" vertical="center"/>
    </xf>
    <xf numFmtId="0" fontId="8" fillId="0" borderId="8" xfId="5" applyBorder="1" applyAlignment="1">
      <alignment horizontal="center" vertical="center"/>
    </xf>
    <xf numFmtId="0" fontId="44" fillId="10" borderId="102" xfId="3" applyNumberFormat="1" applyAlignment="1">
      <alignment horizontal="center" vertical="center"/>
    </xf>
    <xf numFmtId="170" fontId="8" fillId="0" borderId="2" xfId="5" applyNumberFormat="1" applyBorder="1" applyAlignment="1">
      <alignment horizontal="center" vertical="center"/>
    </xf>
    <xf numFmtId="170" fontId="8" fillId="0" borderId="0" xfId="5" applyNumberFormat="1" applyAlignment="1">
      <alignment horizontal="center" vertical="center"/>
    </xf>
    <xf numFmtId="0" fontId="8" fillId="0" borderId="0" xfId="0" applyFont="1" applyAlignment="1">
      <alignment horizontal="center" vertical="center"/>
    </xf>
    <xf numFmtId="0" fontId="8" fillId="0" borderId="1" xfId="0" applyFont="1" applyBorder="1" applyAlignment="1" applyProtection="1">
      <alignment horizontal="center" vertical="center"/>
      <protection locked="0"/>
    </xf>
    <xf numFmtId="1" fontId="0" fillId="19" borderId="1" xfId="0" applyNumberFormat="1" applyFill="1" applyBorder="1" applyAlignment="1">
      <alignment horizontal="center"/>
    </xf>
    <xf numFmtId="1" fontId="42" fillId="8" borderId="115" xfId="2" applyNumberFormat="1" applyBorder="1" applyAlignment="1" applyProtection="1">
      <alignment horizontal="center" vertical="center"/>
    </xf>
    <xf numFmtId="0" fontId="9" fillId="20" borderId="2" xfId="0" applyFont="1" applyFill="1" applyBorder="1" applyAlignment="1">
      <alignment horizontal="center"/>
    </xf>
    <xf numFmtId="0" fontId="20" fillId="19" borderId="17" xfId="0" applyFont="1" applyFill="1" applyBorder="1" applyAlignment="1">
      <alignment horizontal="center" vertical="center"/>
    </xf>
    <xf numFmtId="0" fontId="28" fillId="21" borderId="9" xfId="0" applyFont="1" applyFill="1" applyBorder="1" applyAlignment="1">
      <alignment vertical="center" wrapText="1"/>
    </xf>
    <xf numFmtId="0" fontId="68" fillId="21" borderId="13" xfId="0" applyFont="1" applyFill="1" applyBorder="1" applyAlignment="1">
      <alignment vertical="center"/>
    </xf>
    <xf numFmtId="0" fontId="20" fillId="21" borderId="17" xfId="0" applyFont="1" applyFill="1" applyBorder="1" applyAlignment="1">
      <alignment horizontal="center" vertical="center"/>
    </xf>
    <xf numFmtId="0" fontId="20" fillId="21" borderId="9" xfId="0" applyFont="1" applyFill="1" applyBorder="1" applyAlignment="1">
      <alignment vertical="center"/>
    </xf>
    <xf numFmtId="0" fontId="12" fillId="21" borderId="9" xfId="0" applyFont="1" applyFill="1" applyBorder="1" applyAlignment="1">
      <alignment vertical="center"/>
    </xf>
    <xf numFmtId="0" fontId="12" fillId="0" borderId="17" xfId="0" applyFont="1" applyBorder="1" applyAlignment="1" applyProtection="1">
      <alignment horizontal="center" vertical="center"/>
      <protection locked="0"/>
    </xf>
    <xf numFmtId="0" fontId="12" fillId="19" borderId="17" xfId="0" applyFont="1" applyFill="1" applyBorder="1" applyAlignment="1">
      <alignment horizontal="center" vertical="center"/>
    </xf>
    <xf numFmtId="0" fontId="12" fillId="22" borderId="17" xfId="0" applyFont="1" applyFill="1" applyBorder="1" applyAlignment="1" applyProtection="1">
      <alignment horizontal="center" vertical="center"/>
      <protection locked="0"/>
    </xf>
    <xf numFmtId="0" fontId="12" fillId="21" borderId="17" xfId="0" applyFont="1" applyFill="1" applyBorder="1" applyAlignment="1">
      <alignment horizontal="center" vertical="center"/>
    </xf>
    <xf numFmtId="0" fontId="12" fillId="22" borderId="12" xfId="0" applyFont="1" applyFill="1" applyBorder="1" applyAlignment="1" applyProtection="1">
      <alignment horizontal="center" vertical="center"/>
      <protection locked="0"/>
    </xf>
    <xf numFmtId="0" fontId="12" fillId="19" borderId="12" xfId="0" applyFont="1" applyFill="1" applyBorder="1" applyAlignment="1">
      <alignment horizontal="center" vertical="center"/>
    </xf>
    <xf numFmtId="0" fontId="12" fillId="22" borderId="17" xfId="0" applyFont="1" applyFill="1" applyBorder="1" applyAlignment="1">
      <alignment horizontal="center" vertical="center"/>
    </xf>
    <xf numFmtId="0" fontId="12" fillId="19" borderId="17" xfId="0" applyFont="1" applyFill="1" applyBorder="1" applyAlignment="1" applyProtection="1">
      <alignment horizontal="center" vertical="center"/>
      <protection locked="0"/>
    </xf>
    <xf numFmtId="0" fontId="12" fillId="19" borderId="15" xfId="0" applyFont="1" applyFill="1" applyBorder="1" applyAlignment="1">
      <alignment horizontal="center" vertical="center"/>
    </xf>
    <xf numFmtId="0" fontId="12" fillId="22" borderId="15" xfId="0" applyFont="1" applyFill="1" applyBorder="1" applyAlignment="1">
      <alignment horizontal="center" vertical="center"/>
    </xf>
    <xf numFmtId="0" fontId="12" fillId="19" borderId="10" xfId="0" applyFont="1" applyFill="1" applyBorder="1" applyAlignment="1">
      <alignment horizontal="center" vertical="center"/>
    </xf>
    <xf numFmtId="0" fontId="12" fillId="22" borderId="10" xfId="0" applyFont="1" applyFill="1" applyBorder="1" applyAlignment="1">
      <alignment horizontal="center" vertical="center"/>
    </xf>
    <xf numFmtId="0" fontId="12" fillId="22" borderId="15" xfId="0" applyFont="1" applyFill="1" applyBorder="1" applyAlignment="1" applyProtection="1">
      <alignment horizontal="center" vertical="center"/>
      <protection locked="0"/>
    </xf>
    <xf numFmtId="0" fontId="12" fillId="19" borderId="15" xfId="0" applyFont="1" applyFill="1" applyBorder="1" applyAlignment="1" applyProtection="1">
      <alignment horizontal="center" vertical="center"/>
      <protection locked="0"/>
    </xf>
    <xf numFmtId="0" fontId="12" fillId="21" borderId="11" xfId="0" applyFont="1" applyFill="1" applyBorder="1" applyAlignment="1">
      <alignment vertical="center"/>
    </xf>
    <xf numFmtId="0" fontId="12" fillId="21" borderId="7" xfId="0" applyFont="1" applyFill="1" applyBorder="1" applyAlignment="1">
      <alignment vertical="center"/>
    </xf>
    <xf numFmtId="0" fontId="12" fillId="21" borderId="16" xfId="0" applyFont="1" applyFill="1" applyBorder="1" applyAlignment="1">
      <alignment vertical="center"/>
    </xf>
    <xf numFmtId="1" fontId="12" fillId="19" borderId="17" xfId="0" applyNumberFormat="1" applyFont="1" applyFill="1" applyBorder="1" applyAlignment="1">
      <alignment horizontal="center" vertical="center"/>
    </xf>
    <xf numFmtId="0" fontId="28" fillId="21" borderId="0" xfId="0" applyFont="1" applyFill="1" applyAlignment="1">
      <alignment vertical="center" wrapText="1"/>
    </xf>
    <xf numFmtId="0" fontId="16" fillId="21" borderId="11" xfId="0" applyFont="1" applyFill="1" applyBorder="1"/>
    <xf numFmtId="0" fontId="0" fillId="21" borderId="9" xfId="0" applyFill="1" applyBorder="1"/>
    <xf numFmtId="0" fontId="0" fillId="21" borderId="34" xfId="0" applyFill="1" applyBorder="1"/>
    <xf numFmtId="0" fontId="9" fillId="21" borderId="9" xfId="0" applyFont="1" applyFill="1" applyBorder="1"/>
    <xf numFmtId="0" fontId="8" fillId="21" borderId="9" xfId="0" applyFont="1" applyFill="1" applyBorder="1"/>
    <xf numFmtId="166" fontId="0" fillId="21" borderId="0" xfId="0" applyNumberFormat="1" applyFill="1" applyAlignment="1">
      <alignment horizontal="center"/>
    </xf>
    <xf numFmtId="0" fontId="11" fillId="21" borderId="9" xfId="0" applyFont="1" applyFill="1" applyBorder="1"/>
    <xf numFmtId="166" fontId="25" fillId="21" borderId="0" xfId="0" applyNumberFormat="1" applyFont="1" applyFill="1"/>
    <xf numFmtId="0" fontId="9" fillId="21" borderId="9" xfId="0" applyFont="1" applyFill="1" applyBorder="1" applyProtection="1">
      <protection locked="0"/>
    </xf>
    <xf numFmtId="166" fontId="9" fillId="21" borderId="0" xfId="0" applyNumberFormat="1" applyFont="1" applyFill="1"/>
    <xf numFmtId="0" fontId="0" fillId="21" borderId="14" xfId="0" applyFill="1" applyBorder="1"/>
    <xf numFmtId="0" fontId="0" fillId="21" borderId="13" xfId="0" applyFill="1" applyBorder="1"/>
    <xf numFmtId="0" fontId="0" fillId="21" borderId="35" xfId="0" applyFill="1" applyBorder="1"/>
    <xf numFmtId="0" fontId="16" fillId="21" borderId="11" xfId="0" applyFont="1" applyFill="1" applyBorder="1" applyProtection="1">
      <protection locked="0"/>
    </xf>
    <xf numFmtId="0" fontId="0" fillId="21" borderId="7" xfId="0" applyFill="1" applyBorder="1" applyProtection="1">
      <protection locked="0"/>
    </xf>
    <xf numFmtId="0" fontId="0" fillId="21" borderId="16" xfId="0" applyFill="1" applyBorder="1" applyProtection="1">
      <protection locked="0"/>
    </xf>
    <xf numFmtId="0" fontId="0" fillId="21" borderId="9" xfId="0" applyFill="1" applyBorder="1" applyProtection="1">
      <protection locked="0"/>
    </xf>
    <xf numFmtId="0" fontId="0" fillId="21" borderId="34" xfId="0" applyFill="1" applyBorder="1" applyProtection="1">
      <protection locked="0"/>
    </xf>
    <xf numFmtId="0" fontId="8" fillId="21" borderId="9" xfId="0" applyFont="1" applyFill="1" applyBorder="1" applyProtection="1">
      <protection locked="0"/>
    </xf>
    <xf numFmtId="166" fontId="0" fillId="21" borderId="0" xfId="0" applyNumberFormat="1" applyFill="1" applyAlignment="1" applyProtection="1">
      <alignment horizontal="center"/>
      <protection locked="0"/>
    </xf>
    <xf numFmtId="0" fontId="11" fillId="21" borderId="9" xfId="0" applyFont="1" applyFill="1" applyBorder="1" applyProtection="1">
      <protection locked="0"/>
    </xf>
    <xf numFmtId="166" fontId="25" fillId="21" borderId="0" xfId="0" applyNumberFormat="1" applyFont="1" applyFill="1" applyProtection="1">
      <protection locked="0"/>
    </xf>
    <xf numFmtId="166" fontId="9" fillId="21" borderId="0" xfId="0" applyNumberFormat="1" applyFont="1" applyFill="1" applyProtection="1">
      <protection locked="0"/>
    </xf>
    <xf numFmtId="0" fontId="0" fillId="21" borderId="14" xfId="0" applyFill="1" applyBorder="1" applyProtection="1">
      <protection locked="0"/>
    </xf>
    <xf numFmtId="0" fontId="0" fillId="21" borderId="13" xfId="0" applyFill="1" applyBorder="1" applyProtection="1">
      <protection locked="0"/>
    </xf>
    <xf numFmtId="0" fontId="0" fillId="21" borderId="35" xfId="0" applyFill="1" applyBorder="1" applyProtection="1">
      <protection locked="0"/>
    </xf>
    <xf numFmtId="0" fontId="8" fillId="2" borderId="0" xfId="0" applyFont="1" applyFill="1" applyAlignment="1">
      <alignment horizontal="left"/>
    </xf>
    <xf numFmtId="0" fontId="0" fillId="2" borderId="7" xfId="0" applyFill="1" applyBorder="1" applyAlignment="1" applyProtection="1">
      <alignment vertical="center"/>
      <protection locked="0"/>
    </xf>
    <xf numFmtId="0" fontId="0" fillId="2" borderId="16" xfId="0" applyFill="1" applyBorder="1" applyAlignment="1">
      <alignment vertical="center"/>
    </xf>
    <xf numFmtId="0" fontId="0" fillId="2" borderId="9" xfId="0" applyFill="1" applyBorder="1" applyAlignment="1" applyProtection="1">
      <alignment vertical="center"/>
      <protection locked="0"/>
    </xf>
    <xf numFmtId="0" fontId="0" fillId="2" borderId="0" xfId="0" applyFill="1" applyAlignment="1" applyProtection="1">
      <alignment vertical="center"/>
      <protection locked="0"/>
    </xf>
    <xf numFmtId="0" fontId="10" fillId="2" borderId="0" xfId="0" applyFont="1" applyFill="1" applyAlignment="1" applyProtection="1">
      <alignment horizontal="right" vertical="center"/>
      <protection locked="0"/>
    </xf>
    <xf numFmtId="0" fontId="0" fillId="2" borderId="34" xfId="0" applyFill="1" applyBorder="1" applyAlignment="1">
      <alignment vertical="center"/>
    </xf>
    <xf numFmtId="0" fontId="9" fillId="2" borderId="9" xfId="0" applyFont="1" applyFill="1" applyBorder="1" applyAlignment="1" applyProtection="1">
      <alignment horizontal="left" vertical="center"/>
      <protection locked="0"/>
    </xf>
    <xf numFmtId="0" fontId="0" fillId="0" borderId="12" xfId="0" applyBorder="1" applyAlignment="1" applyProtection="1">
      <alignment horizontal="center" vertical="center"/>
      <protection locked="0"/>
    </xf>
    <xf numFmtId="0" fontId="0" fillId="0" borderId="34" xfId="0" applyBorder="1" applyAlignment="1" applyProtection="1">
      <alignment vertical="center"/>
      <protection locked="0"/>
    </xf>
    <xf numFmtId="0" fontId="20" fillId="2" borderId="11" xfId="0" applyFont="1" applyFill="1" applyBorder="1" applyAlignment="1" applyProtection="1">
      <alignment vertical="center"/>
      <protection locked="0"/>
    </xf>
    <xf numFmtId="0" fontId="10" fillId="2" borderId="11" xfId="0" applyFont="1" applyFill="1" applyBorder="1" applyAlignment="1" applyProtection="1">
      <alignment vertical="center"/>
      <protection locked="0"/>
    </xf>
    <xf numFmtId="0" fontId="10" fillId="2" borderId="10" xfId="0" applyFont="1" applyFill="1" applyBorder="1" applyAlignment="1" applyProtection="1">
      <alignment vertical="center"/>
      <protection locked="0"/>
    </xf>
    <xf numFmtId="0" fontId="10" fillId="2" borderId="34" xfId="0" applyFont="1" applyFill="1" applyBorder="1" applyAlignment="1">
      <alignment vertical="center"/>
    </xf>
    <xf numFmtId="0" fontId="20" fillId="2" borderId="9" xfId="0" applyFont="1" applyFill="1" applyBorder="1" applyAlignment="1" applyProtection="1">
      <alignment vertical="center"/>
      <protection locked="0"/>
    </xf>
    <xf numFmtId="0" fontId="10" fillId="2" borderId="9" xfId="0" applyFont="1" applyFill="1" applyBorder="1" applyAlignment="1" applyProtection="1">
      <alignment vertical="center"/>
      <protection locked="0"/>
    </xf>
    <xf numFmtId="0" fontId="10" fillId="2" borderId="12" xfId="0" applyFont="1" applyFill="1" applyBorder="1" applyAlignment="1" applyProtection="1">
      <alignment vertical="center"/>
      <protection locked="0"/>
    </xf>
    <xf numFmtId="0" fontId="10" fillId="2" borderId="14" xfId="0" applyFont="1" applyFill="1" applyBorder="1" applyAlignment="1" applyProtection="1">
      <alignment horizontal="center" vertical="center"/>
      <protection locked="0"/>
    </xf>
    <xf numFmtId="0" fontId="10" fillId="2" borderId="13" xfId="0" applyFont="1" applyFill="1" applyBorder="1" applyAlignment="1" applyProtection="1">
      <alignment horizontal="center" vertical="center"/>
      <protection locked="0"/>
    </xf>
    <xf numFmtId="0" fontId="10" fillId="2" borderId="14" xfId="0" applyFont="1" applyFill="1" applyBorder="1" applyAlignment="1" applyProtection="1">
      <alignment vertical="center"/>
      <protection locked="0"/>
    </xf>
    <xf numFmtId="0" fontId="10" fillId="2" borderId="13" xfId="0" applyFont="1" applyFill="1" applyBorder="1" applyAlignment="1" applyProtection="1">
      <alignment vertical="center"/>
      <protection locked="0"/>
    </xf>
    <xf numFmtId="0" fontId="10" fillId="2" borderId="15" xfId="0" applyFont="1" applyFill="1" applyBorder="1" applyAlignment="1" applyProtection="1">
      <alignment vertical="center"/>
      <protection locked="0"/>
    </xf>
    <xf numFmtId="0" fontId="9" fillId="2" borderId="17" xfId="0" applyFont="1" applyFill="1" applyBorder="1" applyAlignment="1" applyProtection="1">
      <alignment vertical="center"/>
      <protection locked="0"/>
    </xf>
    <xf numFmtId="0" fontId="12" fillId="2" borderId="17" xfId="0" applyFont="1" applyFill="1" applyBorder="1" applyAlignment="1" applyProtection="1">
      <alignment vertical="center"/>
      <protection locked="0"/>
    </xf>
    <xf numFmtId="0" fontId="12" fillId="2" borderId="17" xfId="0" applyFont="1" applyFill="1" applyBorder="1" applyAlignment="1" applyProtection="1">
      <alignment horizontal="center" vertical="center"/>
      <protection locked="0"/>
    </xf>
    <xf numFmtId="0" fontId="20" fillId="2" borderId="34" xfId="0" applyFont="1" applyFill="1" applyBorder="1" applyAlignment="1">
      <alignment vertical="center"/>
    </xf>
    <xf numFmtId="0" fontId="15" fillId="0" borderId="96" xfId="0" applyFont="1" applyBorder="1" applyAlignment="1" applyProtection="1">
      <alignment vertical="center"/>
      <protection locked="0"/>
    </xf>
    <xf numFmtId="0" fontId="15" fillId="0" borderId="24" xfId="0" applyFont="1" applyBorder="1" applyAlignment="1" applyProtection="1">
      <alignment horizontal="center" vertical="center"/>
      <protection locked="0"/>
    </xf>
    <xf numFmtId="166" fontId="15" fillId="0" borderId="25" xfId="0" applyNumberFormat="1" applyFont="1" applyBorder="1" applyAlignment="1" applyProtection="1">
      <alignment horizontal="center" vertical="center"/>
      <protection locked="0"/>
    </xf>
    <xf numFmtId="0" fontId="15" fillId="0" borderId="26" xfId="0" applyFont="1" applyBorder="1" applyAlignment="1" applyProtection="1">
      <alignment horizontal="center" vertical="center"/>
      <protection locked="0"/>
    </xf>
    <xf numFmtId="1" fontId="15" fillId="0" borderId="101" xfId="0" applyNumberFormat="1" applyFont="1" applyBorder="1" applyAlignment="1" applyProtection="1">
      <alignment horizontal="center" vertical="center"/>
      <protection locked="0"/>
    </xf>
    <xf numFmtId="0" fontId="15" fillId="0" borderId="0" xfId="0" applyFont="1" applyAlignment="1" applyProtection="1">
      <alignment horizontal="center" vertical="center"/>
      <protection locked="0"/>
    </xf>
    <xf numFmtId="2" fontId="15" fillId="0" borderId="26" xfId="0" applyNumberFormat="1" applyFont="1" applyBorder="1" applyAlignment="1" applyProtection="1">
      <alignment horizontal="center" vertical="center"/>
      <protection locked="0"/>
    </xf>
    <xf numFmtId="1" fontId="15" fillId="0" borderId="26" xfId="0" applyNumberFormat="1" applyFont="1" applyBorder="1" applyAlignment="1" applyProtection="1">
      <alignment horizontal="center" vertical="center"/>
      <protection locked="0"/>
    </xf>
    <xf numFmtId="1" fontId="15" fillId="0" borderId="27" xfId="0" applyNumberFormat="1" applyFont="1" applyBorder="1" applyAlignment="1" applyProtection="1">
      <alignment horizontal="center" vertical="center"/>
      <protection locked="0"/>
    </xf>
    <xf numFmtId="166" fontId="15" fillId="0" borderId="28" xfId="0" applyNumberFormat="1" applyFont="1" applyBorder="1" applyAlignment="1" applyProtection="1">
      <alignment horizontal="center" vertical="center"/>
      <protection locked="0"/>
    </xf>
    <xf numFmtId="0" fontId="15" fillId="0" borderId="27" xfId="0" applyFont="1" applyBorder="1" applyAlignment="1" applyProtection="1">
      <alignment horizontal="center" vertical="center"/>
      <protection locked="0"/>
    </xf>
    <xf numFmtId="0" fontId="15" fillId="0" borderId="29" xfId="0" applyFont="1" applyBorder="1" applyAlignment="1" applyProtection="1">
      <alignment horizontal="center" vertical="center"/>
      <protection locked="0"/>
    </xf>
    <xf numFmtId="1" fontId="15" fillId="0" borderId="29" xfId="0" applyNumberFormat="1" applyFont="1" applyBorder="1" applyAlignment="1" applyProtection="1">
      <alignment horizontal="center" vertical="center"/>
      <protection locked="0"/>
    </xf>
    <xf numFmtId="166" fontId="15" fillId="0" borderId="28" xfId="0" applyNumberFormat="1" applyFont="1" applyBorder="1" applyAlignment="1">
      <alignment horizontal="center" vertical="center"/>
    </xf>
    <xf numFmtId="2" fontId="15" fillId="0" borderId="29" xfId="0" applyNumberFormat="1" applyFont="1" applyBorder="1" applyAlignment="1" applyProtection="1">
      <alignment horizontal="center" vertical="center"/>
      <protection locked="0"/>
    </xf>
    <xf numFmtId="1" fontId="15" fillId="0" borderId="27" xfId="0" applyNumberFormat="1" applyFont="1" applyBorder="1" applyAlignment="1">
      <alignment horizontal="center" vertical="center"/>
    </xf>
    <xf numFmtId="0" fontId="15" fillId="0" borderId="31" xfId="0" applyFont="1" applyBorder="1" applyAlignment="1" applyProtection="1">
      <alignment horizontal="center" vertical="center"/>
      <protection locked="0"/>
    </xf>
    <xf numFmtId="166" fontId="15" fillId="0" borderId="30" xfId="0" applyNumberFormat="1" applyFont="1" applyBorder="1" applyAlignment="1" applyProtection="1">
      <alignment horizontal="center" vertical="center"/>
      <protection locked="0"/>
    </xf>
    <xf numFmtId="0" fontId="15" fillId="0" borderId="32" xfId="0" applyFont="1" applyBorder="1" applyAlignment="1" applyProtection="1">
      <alignment horizontal="center" vertical="center"/>
      <protection locked="0"/>
    </xf>
    <xf numFmtId="1" fontId="15" fillId="0" borderId="32" xfId="0" applyNumberFormat="1" applyFont="1" applyBorder="1" applyAlignment="1" applyProtection="1">
      <alignment horizontal="center" vertical="center"/>
      <protection locked="0"/>
    </xf>
    <xf numFmtId="0" fontId="15" fillId="0" borderId="13" xfId="0" applyFont="1" applyBorder="1" applyAlignment="1" applyProtection="1">
      <alignment horizontal="center" vertical="center"/>
      <protection locked="0"/>
    </xf>
    <xf numFmtId="2" fontId="15" fillId="0" borderId="32" xfId="0" applyNumberFormat="1" applyFont="1" applyBorder="1" applyAlignment="1" applyProtection="1">
      <alignment horizontal="center" vertical="center"/>
      <protection locked="0"/>
    </xf>
    <xf numFmtId="0" fontId="9" fillId="2" borderId="4" xfId="0" applyFont="1" applyFill="1" applyBorder="1" applyAlignment="1">
      <alignment vertical="center"/>
    </xf>
    <xf numFmtId="0" fontId="0" fillId="2" borderId="7" xfId="0" applyFill="1" applyBorder="1" applyAlignment="1">
      <alignment vertical="center"/>
    </xf>
    <xf numFmtId="166" fontId="0" fillId="2" borderId="0" xfId="0" applyNumberFormat="1" applyFill="1" applyAlignment="1">
      <alignment vertical="center"/>
    </xf>
    <xf numFmtId="0" fontId="0" fillId="2" borderId="0" xfId="0" applyFill="1" applyAlignment="1">
      <alignment vertical="center"/>
    </xf>
    <xf numFmtId="168" fontId="9" fillId="2" borderId="97" xfId="0" applyNumberFormat="1" applyFont="1" applyFill="1" applyBorder="1" applyAlignment="1">
      <alignment horizontal="center" vertical="center"/>
    </xf>
    <xf numFmtId="0" fontId="0" fillId="3" borderId="5" xfId="0" applyFill="1" applyBorder="1" applyAlignment="1">
      <alignment horizontal="right" vertical="center"/>
    </xf>
    <xf numFmtId="166" fontId="0" fillId="3" borderId="6" xfId="0" applyNumberFormat="1" applyFill="1" applyBorder="1" applyAlignment="1">
      <alignment horizontal="left" vertical="center"/>
    </xf>
    <xf numFmtId="0" fontId="0" fillId="3" borderId="4" xfId="0" applyFill="1" applyBorder="1" applyAlignment="1">
      <alignment horizontal="right" vertical="center"/>
    </xf>
    <xf numFmtId="0" fontId="0" fillId="2" borderId="9" xfId="0" applyFill="1" applyBorder="1" applyAlignment="1">
      <alignment vertical="center"/>
    </xf>
    <xf numFmtId="168" fontId="9" fillId="2" borderId="98" xfId="0" applyNumberFormat="1" applyFont="1" applyFill="1" applyBorder="1" applyAlignment="1">
      <alignment horizontal="center" vertical="center"/>
    </xf>
    <xf numFmtId="0" fontId="10" fillId="4" borderId="18" xfId="0" applyFont="1" applyFill="1" applyBorder="1" applyAlignment="1">
      <alignment vertical="center"/>
    </xf>
    <xf numFmtId="0" fontId="10" fillId="4" borderId="19" xfId="0" applyFont="1" applyFill="1" applyBorder="1" applyAlignment="1">
      <alignment vertical="center"/>
    </xf>
    <xf numFmtId="0" fontId="10" fillId="2" borderId="0" xfId="0" applyFont="1" applyFill="1" applyAlignment="1">
      <alignment vertical="center"/>
    </xf>
    <xf numFmtId="0" fontId="10" fillId="4" borderId="8" xfId="0" applyFont="1" applyFill="1" applyBorder="1" applyAlignment="1">
      <alignment horizontal="left" vertical="center"/>
    </xf>
    <xf numFmtId="2" fontId="9" fillId="4" borderId="2" xfId="0" applyNumberFormat="1" applyFont="1" applyFill="1" applyBorder="1" applyAlignment="1">
      <alignment horizontal="center" vertical="center"/>
    </xf>
    <xf numFmtId="0" fontId="10" fillId="4" borderId="20" xfId="0" applyFont="1" applyFill="1" applyBorder="1" applyAlignment="1">
      <alignment vertical="center"/>
    </xf>
    <xf numFmtId="0" fontId="10" fillId="4" borderId="21" xfId="0" applyFont="1" applyFill="1" applyBorder="1" applyAlignment="1">
      <alignment vertical="center"/>
    </xf>
    <xf numFmtId="1" fontId="9" fillId="4" borderId="2" xfId="0" applyNumberFormat="1" applyFont="1" applyFill="1" applyBorder="1" applyAlignment="1">
      <alignment horizontal="center" vertical="center"/>
    </xf>
    <xf numFmtId="1" fontId="10" fillId="4" borderId="20" xfId="0" applyNumberFormat="1" applyFont="1" applyFill="1" applyBorder="1" applyAlignment="1">
      <alignment vertical="center"/>
    </xf>
    <xf numFmtId="0" fontId="0" fillId="2" borderId="7" xfId="0" applyFill="1" applyBorder="1" applyAlignment="1">
      <alignment horizontal="left" vertical="center"/>
    </xf>
    <xf numFmtId="1" fontId="10" fillId="4" borderId="22" xfId="0" applyNumberFormat="1" applyFont="1" applyFill="1" applyBorder="1" applyAlignment="1">
      <alignment vertical="center"/>
    </xf>
    <xf numFmtId="0" fontId="10" fillId="4" borderId="23" xfId="0" applyFont="1" applyFill="1" applyBorder="1" applyAlignment="1">
      <alignment vertical="center"/>
    </xf>
    <xf numFmtId="0" fontId="10" fillId="2" borderId="33" xfId="0" applyFont="1" applyFill="1" applyBorder="1" applyAlignment="1">
      <alignment vertical="center"/>
    </xf>
    <xf numFmtId="0" fontId="10" fillId="4" borderId="22" xfId="0" applyFont="1" applyFill="1" applyBorder="1" applyAlignment="1">
      <alignment vertical="center"/>
    </xf>
    <xf numFmtId="0" fontId="0" fillId="4" borderId="8" xfId="0" applyFill="1" applyBorder="1" applyAlignment="1">
      <alignment horizontal="center" vertical="center"/>
    </xf>
    <xf numFmtId="0" fontId="9" fillId="4" borderId="8" xfId="0" applyFont="1" applyFill="1" applyBorder="1" applyAlignment="1">
      <alignment horizontal="center" vertical="center"/>
    </xf>
    <xf numFmtId="0" fontId="9" fillId="4" borderId="2" xfId="0" applyFont="1" applyFill="1" applyBorder="1" applyAlignment="1">
      <alignment vertical="center"/>
    </xf>
    <xf numFmtId="168" fontId="9" fillId="2" borderId="99" xfId="0" applyNumberFormat="1" applyFont="1" applyFill="1" applyBorder="1" applyAlignment="1">
      <alignment horizontal="center" vertical="center"/>
    </xf>
    <xf numFmtId="0" fontId="0" fillId="3" borderId="11" xfId="0" applyFill="1" applyBorder="1" applyAlignment="1">
      <alignment horizontal="right" vertical="center"/>
    </xf>
    <xf numFmtId="166" fontId="0" fillId="3" borderId="16" xfId="0" applyNumberFormat="1" applyFill="1" applyBorder="1" applyAlignment="1">
      <alignment horizontal="left" vertical="center"/>
    </xf>
    <xf numFmtId="0" fontId="0" fillId="3" borderId="7" xfId="0" applyFill="1" applyBorder="1" applyAlignment="1">
      <alignment horizontal="right" vertical="center"/>
    </xf>
    <xf numFmtId="0" fontId="9" fillId="2" borderId="100" xfId="0" applyFont="1" applyFill="1" applyBorder="1" applyAlignment="1">
      <alignment vertical="center"/>
    </xf>
    <xf numFmtId="0" fontId="9" fillId="4" borderId="3" xfId="0" applyFont="1" applyFill="1" applyBorder="1" applyAlignment="1">
      <alignment vertical="center"/>
    </xf>
    <xf numFmtId="0" fontId="0" fillId="4" borderId="8" xfId="0" applyFill="1" applyBorder="1" applyAlignment="1">
      <alignment vertical="center"/>
    </xf>
    <xf numFmtId="0" fontId="9" fillId="20" borderId="2" xfId="0" applyFont="1" applyFill="1" applyBorder="1" applyAlignment="1">
      <alignment horizontal="center" vertical="center"/>
    </xf>
    <xf numFmtId="0" fontId="0" fillId="2" borderId="14" xfId="0" applyFill="1" applyBorder="1" applyAlignment="1">
      <alignment vertical="center"/>
    </xf>
    <xf numFmtId="0" fontId="0" fillId="2" borderId="13" xfId="0" applyFill="1" applyBorder="1" applyAlignment="1">
      <alignment vertical="center"/>
    </xf>
    <xf numFmtId="0" fontId="0" fillId="2" borderId="35" xfId="0" applyFill="1" applyBorder="1" applyAlignment="1">
      <alignment vertical="center"/>
    </xf>
    <xf numFmtId="1" fontId="17" fillId="0" borderId="27" xfId="0" applyNumberFormat="1" applyFont="1" applyBorder="1" applyAlignment="1" applyProtection="1">
      <alignment horizontal="center" vertical="center"/>
      <protection locked="0"/>
    </xf>
    <xf numFmtId="0" fontId="44" fillId="10" borderId="102" xfId="3" quotePrefix="1" applyNumberFormat="1" applyAlignment="1">
      <alignment horizontal="center" vertical="center"/>
    </xf>
    <xf numFmtId="1" fontId="44" fillId="10" borderId="102" xfId="3" applyNumberFormat="1" applyAlignment="1">
      <alignment horizontal="center" vertical="center"/>
    </xf>
    <xf numFmtId="1" fontId="9" fillId="18" borderId="115" xfId="0" applyNumberFormat="1" applyFont="1" applyFill="1" applyBorder="1" applyAlignment="1">
      <alignment horizontal="center" vertical="center"/>
    </xf>
    <xf numFmtId="0" fontId="16" fillId="2" borderId="11" xfId="0" applyFont="1" applyFill="1" applyBorder="1"/>
    <xf numFmtId="0" fontId="0" fillId="2" borderId="7" xfId="0" applyFill="1" applyBorder="1"/>
    <xf numFmtId="0" fontId="0" fillId="2" borderId="16" xfId="0" applyFill="1" applyBorder="1"/>
    <xf numFmtId="0" fontId="0" fillId="2" borderId="9" xfId="0" applyFill="1" applyBorder="1"/>
    <xf numFmtId="0" fontId="0" fillId="2" borderId="34" xfId="0" applyFill="1" applyBorder="1"/>
    <xf numFmtId="0" fontId="9" fillId="2" borderId="9" xfId="0" applyFont="1" applyFill="1" applyBorder="1"/>
    <xf numFmtId="0" fontId="8" fillId="2" borderId="9" xfId="0" applyFont="1" applyFill="1" applyBorder="1"/>
    <xf numFmtId="0" fontId="8" fillId="0" borderId="64" xfId="0" applyFont="1" applyBorder="1" applyProtection="1">
      <protection locked="0"/>
    </xf>
    <xf numFmtId="0" fontId="9" fillId="2" borderId="14" xfId="0" applyFont="1" applyFill="1" applyBorder="1"/>
    <xf numFmtId="0" fontId="0" fillId="2" borderId="13" xfId="0" applyFill="1" applyBorder="1" applyAlignment="1">
      <alignment horizontal="center"/>
    </xf>
    <xf numFmtId="0" fontId="0" fillId="2" borderId="13" xfId="0" applyFill="1" applyBorder="1"/>
    <xf numFmtId="0" fontId="0" fillId="2" borderId="35" xfId="0" applyFill="1" applyBorder="1"/>
    <xf numFmtId="166" fontId="9" fillId="3" borderId="1" xfId="0" applyNumberFormat="1" applyFont="1" applyFill="1" applyBorder="1" applyAlignment="1">
      <alignment horizontal="center"/>
    </xf>
    <xf numFmtId="0" fontId="9" fillId="2" borderId="0" xfId="0" applyFont="1" applyFill="1" applyAlignment="1">
      <alignment horizontal="left"/>
    </xf>
    <xf numFmtId="0" fontId="9" fillId="2" borderId="0" xfId="0" applyFont="1" applyFill="1" applyAlignment="1">
      <alignment horizontal="left" wrapText="1"/>
    </xf>
    <xf numFmtId="166" fontId="0" fillId="3" borderId="1" xfId="0" applyNumberFormat="1" applyFill="1" applyBorder="1" applyAlignment="1">
      <alignment horizontal="center"/>
    </xf>
    <xf numFmtId="166" fontId="8" fillId="3" borderId="1" xfId="0" applyNumberFormat="1" applyFont="1" applyFill="1" applyBorder="1" applyAlignment="1">
      <alignment horizontal="center"/>
    </xf>
    <xf numFmtId="0" fontId="16" fillId="2" borderId="9" xfId="0" applyFont="1" applyFill="1" applyBorder="1"/>
    <xf numFmtId="0" fontId="8" fillId="2" borderId="0" xfId="0" applyFont="1" applyFill="1" applyAlignment="1">
      <alignment horizontal="left" wrapText="1"/>
    </xf>
    <xf numFmtId="0" fontId="16" fillId="2" borderId="9" xfId="0" applyFont="1" applyFill="1" applyBorder="1" applyAlignment="1">
      <alignment vertical="center"/>
    </xf>
    <xf numFmtId="0" fontId="9" fillId="2" borderId="0" xfId="0" applyFont="1" applyFill="1" applyAlignment="1">
      <alignment horizontal="center" vertical="center" wrapText="1"/>
    </xf>
    <xf numFmtId="0" fontId="29" fillId="0" borderId="12" xfId="0" applyFont="1" applyBorder="1" applyAlignment="1" applyProtection="1">
      <alignment horizontal="left" vertical="center"/>
      <protection locked="0"/>
    </xf>
    <xf numFmtId="0" fontId="0" fillId="0" borderId="9" xfId="0" applyBorder="1" applyAlignment="1" applyProtection="1">
      <alignment vertical="center"/>
      <protection locked="0"/>
    </xf>
    <xf numFmtId="0" fontId="28" fillId="21" borderId="34" xfId="0" applyFont="1" applyFill="1" applyBorder="1" applyAlignment="1">
      <alignment vertical="center"/>
    </xf>
    <xf numFmtId="0" fontId="20" fillId="21" borderId="0" xfId="0" applyFont="1" applyFill="1" applyAlignment="1">
      <alignment vertical="center"/>
    </xf>
    <xf numFmtId="0" fontId="20" fillId="21" borderId="34" xfId="0" applyFont="1" applyFill="1" applyBorder="1" applyAlignment="1">
      <alignment horizontal="center" vertical="center"/>
    </xf>
    <xf numFmtId="0" fontId="12" fillId="21" borderId="0" xfId="0" applyFont="1" applyFill="1" applyAlignment="1">
      <alignment vertical="center"/>
    </xf>
    <xf numFmtId="0" fontId="12" fillId="21" borderId="34" xfId="0" applyFont="1" applyFill="1" applyBorder="1" applyAlignment="1">
      <alignment vertical="center"/>
    </xf>
    <xf numFmtId="0" fontId="12" fillId="21" borderId="0" xfId="0" applyFont="1" applyFill="1" applyAlignment="1" applyProtection="1">
      <alignment horizontal="center" vertical="center"/>
      <protection locked="0"/>
    </xf>
    <xf numFmtId="0" fontId="12" fillId="21" borderId="34" xfId="0" applyFont="1" applyFill="1" applyBorder="1" applyAlignment="1">
      <alignment horizontal="center" vertical="center"/>
    </xf>
    <xf numFmtId="0" fontId="12" fillId="21" borderId="14" xfId="0" applyFont="1" applyFill="1" applyBorder="1" applyAlignment="1">
      <alignment vertical="center"/>
    </xf>
    <xf numFmtId="0" fontId="20" fillId="21" borderId="13" xfId="0" applyFont="1" applyFill="1" applyBorder="1" applyAlignment="1">
      <alignment vertical="center"/>
    </xf>
    <xf numFmtId="0" fontId="26" fillId="0" borderId="15" xfId="0" applyFont="1" applyBorder="1" applyAlignment="1" applyProtection="1">
      <alignment horizontal="left"/>
      <protection locked="0"/>
    </xf>
    <xf numFmtId="0" fontId="0" fillId="0" borderId="15" xfId="0" applyBorder="1" applyProtection="1">
      <protection locked="0"/>
    </xf>
    <xf numFmtId="0" fontId="28" fillId="21" borderId="0" xfId="0" applyFont="1" applyFill="1" applyAlignment="1">
      <alignment vertical="center"/>
    </xf>
    <xf numFmtId="0" fontId="20" fillId="21" borderId="0" xfId="0" applyFont="1" applyFill="1" applyAlignment="1">
      <alignment horizontal="center" vertical="center"/>
    </xf>
    <xf numFmtId="0" fontId="12" fillId="21" borderId="0" xfId="0" applyFont="1" applyFill="1" applyAlignment="1">
      <alignment horizontal="center" vertical="center"/>
    </xf>
    <xf numFmtId="0" fontId="8" fillId="21" borderId="11" xfId="5" applyFill="1" applyBorder="1"/>
    <xf numFmtId="0" fontId="16" fillId="21" borderId="7" xfId="5" applyFont="1" applyFill="1" applyBorder="1"/>
    <xf numFmtId="0" fontId="9" fillId="21" borderId="7" xfId="5" applyFont="1" applyFill="1" applyBorder="1"/>
    <xf numFmtId="0" fontId="8" fillId="21" borderId="7" xfId="5" applyFill="1" applyBorder="1" applyAlignment="1">
      <alignment horizontal="center"/>
    </xf>
    <xf numFmtId="0" fontId="8" fillId="21" borderId="9" xfId="5" applyFill="1" applyBorder="1"/>
    <xf numFmtId="0" fontId="8" fillId="21" borderId="14" xfId="5" applyFill="1" applyBorder="1"/>
    <xf numFmtId="0" fontId="8" fillId="21" borderId="13" xfId="5" applyFill="1" applyBorder="1"/>
    <xf numFmtId="0" fontId="8" fillId="21" borderId="13" xfId="5" applyFill="1" applyBorder="1" applyAlignment="1">
      <alignment horizontal="center"/>
    </xf>
    <xf numFmtId="1" fontId="8" fillId="21" borderId="13" xfId="5" applyNumberFormat="1" applyFill="1" applyBorder="1" applyAlignment="1">
      <alignment horizontal="center"/>
    </xf>
    <xf numFmtId="0" fontId="19" fillId="21" borderId="35" xfId="5" applyFont="1" applyFill="1" applyBorder="1" applyAlignment="1" applyProtection="1">
      <alignment horizontal="left"/>
      <protection locked="0"/>
    </xf>
    <xf numFmtId="0" fontId="8" fillId="0" borderId="15" xfId="5" applyBorder="1" applyProtection="1">
      <protection locked="0"/>
    </xf>
    <xf numFmtId="0" fontId="69" fillId="21" borderId="0" xfId="0" applyFont="1" applyFill="1" applyAlignment="1">
      <alignment horizontal="center" vertical="center" wrapText="1"/>
    </xf>
    <xf numFmtId="0" fontId="0" fillId="21" borderId="7" xfId="0" applyFill="1" applyBorder="1" applyAlignment="1" applyProtection="1">
      <alignment vertical="center"/>
      <protection locked="0"/>
    </xf>
    <xf numFmtId="0" fontId="16" fillId="21" borderId="7" xfId="0" applyFont="1" applyFill="1" applyBorder="1" applyProtection="1">
      <protection locked="0"/>
    </xf>
    <xf numFmtId="0" fontId="10" fillId="21" borderId="9" xfId="0" applyFont="1" applyFill="1" applyBorder="1" applyAlignment="1" applyProtection="1">
      <alignment vertical="center"/>
      <protection locked="0"/>
    </xf>
    <xf numFmtId="0" fontId="0" fillId="21" borderId="9" xfId="0" applyFill="1" applyBorder="1" applyAlignment="1" applyProtection="1">
      <alignment vertical="center"/>
      <protection locked="0"/>
    </xf>
    <xf numFmtId="0" fontId="15" fillId="21" borderId="9" xfId="0" applyFont="1" applyFill="1" applyBorder="1" applyAlignment="1" applyProtection="1">
      <alignment vertical="center"/>
      <protection locked="0"/>
    </xf>
    <xf numFmtId="0" fontId="9" fillId="21" borderId="9" xfId="0" applyFont="1" applyFill="1" applyBorder="1" applyAlignment="1" applyProtection="1">
      <alignment vertical="center"/>
      <protection locked="0"/>
    </xf>
    <xf numFmtId="0" fontId="18" fillId="21" borderId="14" xfId="0" applyFont="1" applyFill="1" applyBorder="1" applyProtection="1">
      <protection locked="0"/>
    </xf>
    <xf numFmtId="0" fontId="0" fillId="21" borderId="13" xfId="0" applyFill="1" applyBorder="1" applyAlignment="1" applyProtection="1">
      <alignment vertical="center"/>
      <protection locked="0"/>
    </xf>
    <xf numFmtId="0" fontId="23" fillId="0" borderId="15" xfId="0" applyFont="1" applyBorder="1" applyAlignment="1" applyProtection="1">
      <alignment horizontal="left"/>
      <protection locked="0"/>
    </xf>
    <xf numFmtId="0" fontId="15" fillId="0" borderId="14" xfId="0" applyFont="1" applyBorder="1" applyAlignment="1" applyProtection="1">
      <alignment horizontal="center"/>
      <protection locked="0"/>
    </xf>
    <xf numFmtId="0" fontId="15" fillId="0" borderId="14" xfId="0" applyFont="1" applyBorder="1" applyAlignment="1" applyProtection="1">
      <alignment horizontal="left"/>
      <protection locked="0"/>
    </xf>
    <xf numFmtId="0" fontId="15" fillId="0" borderId="13" xfId="0" applyFont="1" applyBorder="1" applyAlignment="1" applyProtection="1">
      <alignment horizontal="left"/>
      <protection locked="0"/>
    </xf>
    <xf numFmtId="0" fontId="15" fillId="0" borderId="35" xfId="0" applyFont="1" applyBorder="1" applyAlignment="1" applyProtection="1">
      <alignment horizontal="left"/>
      <protection locked="0"/>
    </xf>
    <xf numFmtId="0" fontId="16" fillId="21" borderId="16" xfId="0" applyFont="1" applyFill="1" applyBorder="1" applyProtection="1">
      <protection locked="0"/>
    </xf>
    <xf numFmtId="0" fontId="0" fillId="21" borderId="34" xfId="0" applyFill="1" applyBorder="1" applyAlignment="1" applyProtection="1">
      <alignment horizontal="center"/>
      <protection locked="0"/>
    </xf>
    <xf numFmtId="0" fontId="8" fillId="21" borderId="70" xfId="0" applyFont="1" applyFill="1" applyBorder="1" applyAlignment="1" applyProtection="1">
      <alignment horizontal="left" vertical="center"/>
      <protection locked="0"/>
    </xf>
    <xf numFmtId="0" fontId="8" fillId="21" borderId="65" xfId="0" applyFont="1" applyFill="1" applyBorder="1" applyAlignment="1" applyProtection="1">
      <alignment horizontal="center" vertical="center"/>
      <protection locked="0"/>
    </xf>
    <xf numFmtId="0" fontId="33" fillId="21" borderId="65" xfId="0" applyFont="1" applyFill="1" applyBorder="1" applyAlignment="1" applyProtection="1">
      <alignment horizontal="center" vertical="center"/>
      <protection locked="0"/>
    </xf>
    <xf numFmtId="0" fontId="8" fillId="21" borderId="60" xfId="0" applyFont="1" applyFill="1" applyBorder="1" applyAlignment="1" applyProtection="1">
      <alignment horizontal="center" vertical="center"/>
      <protection locked="0"/>
    </xf>
    <xf numFmtId="166" fontId="8" fillId="19" borderId="47" xfId="0" applyNumberFormat="1" applyFont="1" applyFill="1" applyBorder="1" applyAlignment="1">
      <alignment horizontal="center" vertical="center"/>
    </xf>
    <xf numFmtId="1" fontId="8" fillId="19" borderId="47" xfId="0" applyNumberFormat="1" applyFont="1" applyFill="1" applyBorder="1" applyAlignment="1">
      <alignment horizontal="center" vertical="center"/>
    </xf>
    <xf numFmtId="0" fontId="8" fillId="21" borderId="47" xfId="0" applyFont="1" applyFill="1" applyBorder="1" applyAlignment="1" applyProtection="1">
      <alignment horizontal="center" vertical="center"/>
      <protection locked="0"/>
    </xf>
    <xf numFmtId="0" fontId="0" fillId="20" borderId="47" xfId="0" applyFill="1" applyBorder="1" applyAlignment="1">
      <alignment horizontal="center" vertical="center"/>
    </xf>
    <xf numFmtId="166" fontId="8" fillId="19" borderId="67" xfId="0" applyNumberFormat="1" applyFont="1" applyFill="1" applyBorder="1" applyAlignment="1">
      <alignment horizontal="center" vertical="center"/>
    </xf>
    <xf numFmtId="0" fontId="8" fillId="21" borderId="90" xfId="0" applyFont="1" applyFill="1" applyBorder="1" applyAlignment="1" applyProtection="1">
      <alignment horizontal="left" vertical="center"/>
      <protection locked="0"/>
    </xf>
    <xf numFmtId="166" fontId="8" fillId="0" borderId="47" xfId="0" applyNumberFormat="1" applyFont="1" applyBorder="1" applyAlignment="1" applyProtection="1">
      <alignment horizontal="center" vertical="center"/>
      <protection locked="0"/>
    </xf>
    <xf numFmtId="0" fontId="8" fillId="0" borderId="90" xfId="0" applyFont="1" applyBorder="1" applyAlignment="1" applyProtection="1">
      <alignment horizontal="left" vertical="center"/>
      <protection locked="0"/>
    </xf>
    <xf numFmtId="0" fontId="8" fillId="0" borderId="47" xfId="0" applyFont="1" applyBorder="1" applyAlignment="1" applyProtection="1">
      <alignment horizontal="center" vertical="center"/>
      <protection locked="0"/>
    </xf>
    <xf numFmtId="0" fontId="0" fillId="21" borderId="60" xfId="0" applyFill="1" applyBorder="1" applyAlignment="1" applyProtection="1">
      <alignment horizontal="center" vertical="center"/>
      <protection locked="0"/>
    </xf>
    <xf numFmtId="0" fontId="0" fillId="21" borderId="90" xfId="0" applyFill="1" applyBorder="1" applyAlignment="1" applyProtection="1">
      <alignment horizontal="left" vertical="center"/>
      <protection locked="0"/>
    </xf>
    <xf numFmtId="0" fontId="0" fillId="21" borderId="130" xfId="0" applyFill="1" applyBorder="1" applyAlignment="1" applyProtection="1">
      <alignment horizontal="left" vertical="center"/>
      <protection locked="0"/>
    </xf>
    <xf numFmtId="0" fontId="0" fillId="21" borderId="130" xfId="0" applyFill="1" applyBorder="1" applyProtection="1">
      <protection locked="0"/>
    </xf>
    <xf numFmtId="0" fontId="0" fillId="21" borderId="93" xfId="0" applyFill="1" applyBorder="1" applyProtection="1">
      <protection locked="0"/>
    </xf>
    <xf numFmtId="0" fontId="0" fillId="21" borderId="68" xfId="0" applyFill="1" applyBorder="1" applyAlignment="1" applyProtection="1">
      <alignment horizontal="center" vertical="center"/>
      <protection locked="0"/>
    </xf>
    <xf numFmtId="0" fontId="33" fillId="21" borderId="68" xfId="0" applyFont="1" applyFill="1" applyBorder="1" applyAlignment="1" applyProtection="1">
      <alignment horizontal="center" vertical="center"/>
      <protection locked="0"/>
    </xf>
    <xf numFmtId="0" fontId="8" fillId="21" borderId="68" xfId="0" applyFont="1" applyFill="1" applyBorder="1" applyAlignment="1" applyProtection="1">
      <alignment horizontal="center" vertical="center"/>
      <protection locked="0"/>
    </xf>
    <xf numFmtId="166" fontId="8" fillId="19" borderId="69" xfId="0" applyNumberFormat="1" applyFont="1" applyFill="1" applyBorder="1" applyAlignment="1">
      <alignment horizontal="center" vertical="center"/>
    </xf>
    <xf numFmtId="0" fontId="9" fillId="21" borderId="11" xfId="0" applyFont="1" applyFill="1" applyBorder="1" applyProtection="1">
      <protection locked="0"/>
    </xf>
    <xf numFmtId="0" fontId="9" fillId="21" borderId="17" xfId="0" applyFont="1" applyFill="1" applyBorder="1" applyProtection="1">
      <protection locked="0"/>
    </xf>
    <xf numFmtId="0" fontId="33" fillId="26" borderId="17" xfId="0" applyFont="1" applyFill="1" applyBorder="1" applyAlignment="1" applyProtection="1">
      <alignment horizontal="center"/>
      <protection locked="0"/>
    </xf>
    <xf numFmtId="0" fontId="9" fillId="21" borderId="7" xfId="0" applyFont="1" applyFill="1" applyBorder="1" applyAlignment="1" applyProtection="1">
      <alignment horizontal="center"/>
      <protection locked="0"/>
    </xf>
    <xf numFmtId="0" fontId="33" fillId="21" borderId="7" xfId="0" applyFont="1" applyFill="1" applyBorder="1" applyAlignment="1" applyProtection="1">
      <alignment horizontal="center"/>
      <protection locked="0"/>
    </xf>
    <xf numFmtId="0" fontId="8" fillId="21" borderId="7" xfId="0" applyFont="1" applyFill="1" applyBorder="1" applyAlignment="1" applyProtection="1">
      <alignment horizontal="center"/>
      <protection locked="0"/>
    </xf>
    <xf numFmtId="166" fontId="9" fillId="18" borderId="17" xfId="0" applyNumberFormat="1" applyFont="1" applyFill="1" applyBorder="1" applyAlignment="1">
      <alignment horizontal="center"/>
    </xf>
    <xf numFmtId="0" fontId="33" fillId="21" borderId="13" xfId="0" applyFont="1" applyFill="1" applyBorder="1" applyAlignment="1" applyProtection="1">
      <alignment horizontal="center"/>
      <protection locked="0"/>
    </xf>
    <xf numFmtId="0" fontId="0" fillId="21" borderId="13" xfId="0" applyFill="1" applyBorder="1" applyAlignment="1" applyProtection="1">
      <alignment horizontal="center"/>
      <protection locked="0"/>
    </xf>
    <xf numFmtId="0" fontId="9" fillId="21" borderId="15" xfId="0" applyFont="1" applyFill="1" applyBorder="1" applyProtection="1">
      <protection locked="0"/>
    </xf>
    <xf numFmtId="0" fontId="33" fillId="26" borderId="15" xfId="0" applyFont="1" applyFill="1" applyBorder="1" applyAlignment="1" applyProtection="1">
      <alignment horizontal="center"/>
      <protection locked="0"/>
    </xf>
    <xf numFmtId="166" fontId="9" fillId="18" borderId="10" xfId="0" applyNumberFormat="1" applyFont="1" applyFill="1" applyBorder="1" applyAlignment="1">
      <alignment horizontal="center"/>
    </xf>
    <xf numFmtId="0" fontId="9" fillId="21" borderId="7" xfId="0" applyFont="1" applyFill="1" applyBorder="1" applyProtection="1">
      <protection locked="0"/>
    </xf>
    <xf numFmtId="0" fontId="0" fillId="21" borderId="7" xfId="0" applyFill="1" applyBorder="1" applyAlignment="1" applyProtection="1">
      <alignment horizontal="center"/>
      <protection locked="0"/>
    </xf>
    <xf numFmtId="0" fontId="0" fillId="21" borderId="16" xfId="0" applyFill="1" applyBorder="1" applyAlignment="1" applyProtection="1">
      <alignment horizontal="center"/>
      <protection locked="0"/>
    </xf>
    <xf numFmtId="166" fontId="8" fillId="19" borderId="128" xfId="0" applyNumberFormat="1" applyFont="1" applyFill="1" applyBorder="1" applyAlignment="1">
      <alignment horizontal="center"/>
    </xf>
    <xf numFmtId="166" fontId="8" fillId="19" borderId="59" xfId="0" applyNumberFormat="1" applyFont="1" applyFill="1" applyBorder="1" applyAlignment="1">
      <alignment horizontal="center"/>
    </xf>
    <xf numFmtId="0" fontId="8" fillId="21" borderId="14" xfId="0" applyFont="1" applyFill="1" applyBorder="1" applyProtection="1">
      <protection locked="0"/>
    </xf>
    <xf numFmtId="166" fontId="8" fillId="19" borderId="129" xfId="0" applyNumberFormat="1" applyFont="1" applyFill="1" applyBorder="1" applyAlignment="1">
      <alignment horizontal="center"/>
    </xf>
    <xf numFmtId="166" fontId="0" fillId="19" borderId="82" xfId="0" applyNumberFormat="1" applyFill="1" applyBorder="1" applyAlignment="1">
      <alignment horizontal="center"/>
    </xf>
    <xf numFmtId="166" fontId="0" fillId="19" borderId="83" xfId="0" applyNumberFormat="1" applyFill="1" applyBorder="1" applyAlignment="1">
      <alignment horizontal="center"/>
    </xf>
    <xf numFmtId="166" fontId="0" fillId="19" borderId="15" xfId="0" applyNumberFormat="1" applyFill="1" applyBorder="1" applyAlignment="1">
      <alignment horizontal="center"/>
    </xf>
    <xf numFmtId="2" fontId="0" fillId="3" borderId="1" xfId="0" applyNumberFormat="1" applyFill="1" applyBorder="1" applyAlignment="1">
      <alignment horizontal="center"/>
    </xf>
    <xf numFmtId="0" fontId="0" fillId="21" borderId="0" xfId="0" applyFill="1" applyAlignment="1" applyProtection="1">
      <alignment vertical="center"/>
      <protection locked="0"/>
    </xf>
    <xf numFmtId="0" fontId="47" fillId="21" borderId="0" xfId="0" applyFont="1" applyFill="1" applyProtection="1">
      <protection locked="0"/>
    </xf>
    <xf numFmtId="0" fontId="0" fillId="21" borderId="34" xfId="0" applyFill="1" applyBorder="1" applyAlignment="1" applyProtection="1">
      <alignment vertical="center"/>
      <protection locked="0"/>
    </xf>
    <xf numFmtId="0" fontId="9" fillId="21" borderId="0" xfId="0" applyFont="1" applyFill="1" applyAlignment="1" applyProtection="1">
      <alignment horizontal="center" vertical="center"/>
      <protection locked="0"/>
    </xf>
    <xf numFmtId="2" fontId="9" fillId="19" borderId="1" xfId="0" applyNumberFormat="1" applyFont="1" applyFill="1" applyBorder="1" applyAlignment="1">
      <alignment horizontal="center" vertical="center"/>
    </xf>
    <xf numFmtId="0" fontId="9" fillId="21" borderId="34" xfId="0" applyFont="1" applyFill="1" applyBorder="1" applyAlignment="1" applyProtection="1">
      <alignment vertical="center"/>
      <protection locked="0"/>
    </xf>
    <xf numFmtId="0" fontId="9" fillId="21" borderId="0" xfId="0" applyFont="1" applyFill="1" applyAlignment="1" applyProtection="1">
      <alignment vertical="center"/>
      <protection locked="0"/>
    </xf>
    <xf numFmtId="0" fontId="10" fillId="21" borderId="0" xfId="0" applyFont="1" applyFill="1" applyAlignment="1" applyProtection="1">
      <alignment vertical="center"/>
      <protection locked="0"/>
    </xf>
    <xf numFmtId="0" fontId="15" fillId="21" borderId="0" xfId="0" applyFont="1" applyFill="1" applyProtection="1">
      <protection locked="0"/>
    </xf>
    <xf numFmtId="0" fontId="15" fillId="21" borderId="34" xfId="0" applyFont="1" applyFill="1" applyBorder="1" applyAlignment="1" applyProtection="1">
      <alignment horizontal="left"/>
      <protection locked="0"/>
    </xf>
    <xf numFmtId="171" fontId="0" fillId="0" borderId="1" xfId="0" applyNumberFormat="1" applyBorder="1" applyAlignment="1" applyProtection="1">
      <alignment horizontal="center" vertical="center"/>
      <protection locked="0"/>
    </xf>
    <xf numFmtId="0" fontId="15" fillId="21" borderId="35" xfId="0" applyFont="1" applyFill="1" applyBorder="1" applyAlignment="1" applyProtection="1">
      <alignment horizontal="left"/>
      <protection locked="0"/>
    </xf>
    <xf numFmtId="0" fontId="43" fillId="9" borderId="4" xfId="4" applyBorder="1" applyAlignment="1">
      <alignment horizontal="center"/>
    </xf>
    <xf numFmtId="0" fontId="43" fillId="9" borderId="5" xfId="4" applyBorder="1" applyAlignment="1">
      <alignment horizontal="center"/>
    </xf>
    <xf numFmtId="0" fontId="43" fillId="9" borderId="6" xfId="4" applyBorder="1" applyAlignment="1">
      <alignment horizontal="center"/>
    </xf>
    <xf numFmtId="1" fontId="8" fillId="19" borderId="10" xfId="0" applyNumberFormat="1" applyFont="1" applyFill="1" applyBorder="1" applyAlignment="1">
      <alignment horizontal="center" vertical="center"/>
    </xf>
    <xf numFmtId="2" fontId="9" fillId="19" borderId="17" xfId="0" applyNumberFormat="1" applyFont="1" applyFill="1" applyBorder="1" applyAlignment="1">
      <alignment horizontal="center" vertical="center"/>
    </xf>
    <xf numFmtId="2" fontId="9" fillId="19" borderId="117" xfId="0" applyNumberFormat="1" applyFont="1" applyFill="1" applyBorder="1" applyAlignment="1">
      <alignment horizontal="center" vertical="center"/>
    </xf>
    <xf numFmtId="0" fontId="21" fillId="0" borderId="0" xfId="5" applyFont="1" applyAlignment="1">
      <alignment horizontal="center" vertical="center"/>
    </xf>
    <xf numFmtId="0" fontId="70" fillId="10" borderId="102" xfId="3" applyNumberFormat="1" applyFont="1" applyAlignment="1">
      <alignment horizontal="center" vertical="center"/>
    </xf>
    <xf numFmtId="170" fontId="21" fillId="0" borderId="0" xfId="5" applyNumberFormat="1" applyFont="1" applyAlignment="1">
      <alignment horizontal="center" vertical="center"/>
    </xf>
    <xf numFmtId="0" fontId="70" fillId="10" borderId="102" xfId="3" quotePrefix="1" applyNumberFormat="1" applyFont="1" applyAlignment="1">
      <alignment horizontal="center" vertical="center"/>
    </xf>
    <xf numFmtId="0" fontId="21" fillId="0" borderId="0" xfId="0" applyFont="1" applyAlignment="1">
      <alignment horizontal="center" vertical="center"/>
    </xf>
    <xf numFmtId="0" fontId="8" fillId="0" borderId="0" xfId="5" quotePrefix="1" applyAlignment="1">
      <alignment horizontal="center" vertical="center"/>
    </xf>
    <xf numFmtId="0" fontId="8" fillId="0" borderId="94" xfId="5" applyBorder="1" applyAlignment="1">
      <alignment horizontal="left" vertical="center"/>
    </xf>
    <xf numFmtId="0" fontId="8" fillId="0" borderId="0" xfId="0" applyFont="1" applyAlignment="1">
      <alignment horizontal="left" vertical="center"/>
    </xf>
    <xf numFmtId="0" fontId="21" fillId="0" borderId="0" xfId="5" applyFont="1" applyAlignment="1">
      <alignment horizontal="left" vertical="center"/>
    </xf>
    <xf numFmtId="0" fontId="21" fillId="0" borderId="0" xfId="0" applyFont="1" applyAlignment="1">
      <alignment horizontal="left" vertical="center"/>
    </xf>
    <xf numFmtId="0" fontId="8" fillId="0" borderId="0" xfId="0" applyFont="1" applyAlignment="1" applyProtection="1">
      <alignment vertical="center"/>
      <protection locked="0"/>
    </xf>
    <xf numFmtId="0" fontId="9" fillId="0" borderId="0" xfId="0" applyFont="1" applyAlignment="1" applyProtection="1">
      <alignment horizontal="center" vertical="center"/>
      <protection locked="0"/>
    </xf>
    <xf numFmtId="170" fontId="0" fillId="0" borderId="0" xfId="0" applyNumberFormat="1" applyAlignment="1">
      <alignment horizontal="center" vertical="center"/>
    </xf>
    <xf numFmtId="170" fontId="8" fillId="0" borderId="0" xfId="0" applyNumberFormat="1" applyFont="1" applyAlignment="1">
      <alignment horizontal="center" vertical="center"/>
    </xf>
    <xf numFmtId="0" fontId="8" fillId="0" borderId="0" xfId="5" applyAlignment="1">
      <alignment horizontal="left" vertical="center" wrapText="1"/>
    </xf>
    <xf numFmtId="0" fontId="43" fillId="9" borderId="15" xfId="4" applyBorder="1" applyAlignment="1">
      <alignment horizontal="center" vertical="center"/>
    </xf>
    <xf numFmtId="0" fontId="43" fillId="9" borderId="34" xfId="4" applyBorder="1" applyAlignment="1">
      <alignment horizontal="center" vertical="center"/>
    </xf>
    <xf numFmtId="0" fontId="43" fillId="9" borderId="12" xfId="4" applyBorder="1" applyAlignment="1">
      <alignment horizontal="center" vertical="center" wrapText="1"/>
    </xf>
    <xf numFmtId="0" fontId="43" fillId="9" borderId="17" xfId="4" applyBorder="1" applyAlignment="1">
      <alignment horizontal="center" vertical="center" wrapText="1"/>
    </xf>
    <xf numFmtId="0" fontId="8" fillId="23" borderId="0" xfId="0" applyFont="1" applyFill="1" applyAlignment="1" applyProtection="1">
      <alignment vertical="center"/>
      <protection locked="0"/>
    </xf>
    <xf numFmtId="0" fontId="8" fillId="14" borderId="0" xfId="0" applyFont="1" applyFill="1" applyAlignment="1" applyProtection="1">
      <alignment vertical="center"/>
      <protection locked="0"/>
    </xf>
    <xf numFmtId="0" fontId="8" fillId="16" borderId="0" xfId="0" applyFont="1" applyFill="1" applyAlignment="1" applyProtection="1">
      <alignment vertical="center"/>
      <protection locked="0"/>
    </xf>
    <xf numFmtId="4" fontId="8" fillId="0" borderId="0" xfId="5" applyNumberFormat="1" applyAlignment="1">
      <alignment horizontal="center" vertical="center"/>
    </xf>
    <xf numFmtId="0" fontId="8" fillId="0" borderId="0" xfId="5" applyAlignment="1" applyProtection="1">
      <alignment horizontal="left" vertical="center"/>
      <protection locked="0"/>
    </xf>
    <xf numFmtId="0" fontId="0" fillId="0" borderId="0" xfId="0" applyAlignment="1">
      <alignment horizontal="left" vertical="center"/>
    </xf>
    <xf numFmtId="0" fontId="44" fillId="29" borderId="102" xfId="3" applyNumberFormat="1" applyFill="1" applyAlignment="1">
      <alignment horizontal="center" vertical="center"/>
    </xf>
    <xf numFmtId="0" fontId="0" fillId="3" borderId="64" xfId="0" applyFill="1" applyBorder="1" applyAlignment="1">
      <alignment horizontal="left"/>
    </xf>
    <xf numFmtId="2" fontId="44" fillId="10" borderId="102" xfId="3" applyNumberFormat="1" applyAlignment="1">
      <alignment horizontal="center" vertical="center"/>
    </xf>
    <xf numFmtId="0" fontId="70" fillId="29" borderId="102" xfId="3" applyNumberFormat="1" applyFont="1" applyFill="1" applyAlignment="1">
      <alignment horizontal="center" vertical="center"/>
    </xf>
    <xf numFmtId="0" fontId="44" fillId="30" borderId="102" xfId="3" applyNumberFormat="1" applyFill="1" applyAlignment="1">
      <alignment horizontal="center" vertical="center"/>
    </xf>
    <xf numFmtId="2" fontId="8" fillId="0" borderId="0" xfId="0" applyNumberFormat="1" applyFont="1" applyAlignment="1">
      <alignment horizontal="center" vertical="center"/>
    </xf>
    <xf numFmtId="2" fontId="0" fillId="0" borderId="0" xfId="0" applyNumberFormat="1" applyAlignment="1">
      <alignment horizontal="center" vertical="center"/>
    </xf>
    <xf numFmtId="2" fontId="8" fillId="0" borderId="0" xfId="0" applyNumberFormat="1" applyFont="1" applyAlignment="1">
      <alignment horizontal="left" vertical="center"/>
    </xf>
    <xf numFmtId="170" fontId="44" fillId="10" borderId="102" xfId="3" applyNumberFormat="1" applyAlignment="1">
      <alignment horizontal="center" vertical="center"/>
    </xf>
    <xf numFmtId="0" fontId="8" fillId="21" borderId="65" xfId="0" applyFont="1" applyFill="1" applyBorder="1" applyAlignment="1" applyProtection="1">
      <alignment vertical="center"/>
      <protection locked="0"/>
    </xf>
    <xf numFmtId="0" fontId="61" fillId="21" borderId="0" xfId="0" applyFont="1" applyFill="1" applyProtection="1">
      <protection locked="0"/>
    </xf>
    <xf numFmtId="0" fontId="33" fillId="21" borderId="0" xfId="0" applyFont="1" applyFill="1" applyAlignment="1" applyProtection="1">
      <alignment horizontal="center" vertical="center"/>
      <protection locked="0"/>
    </xf>
    <xf numFmtId="0" fontId="9" fillId="21" borderId="34" xfId="0" applyFont="1" applyFill="1" applyBorder="1" applyAlignment="1" applyProtection="1">
      <alignment horizontal="center" vertical="center"/>
      <protection locked="0"/>
    </xf>
    <xf numFmtId="0" fontId="0" fillId="21" borderId="0" xfId="0" applyFill="1" applyAlignment="1" applyProtection="1">
      <alignment horizontal="center" vertical="center"/>
      <protection locked="0"/>
    </xf>
    <xf numFmtId="2" fontId="9" fillId="0" borderId="17" xfId="0" applyNumberFormat="1" applyFont="1" applyBorder="1" applyAlignment="1">
      <alignment horizontal="center" vertical="center"/>
    </xf>
    <xf numFmtId="2" fontId="0" fillId="0" borderId="17" xfId="0" applyNumberFormat="1" applyBorder="1" applyAlignment="1">
      <alignment horizontal="center" vertical="center"/>
    </xf>
    <xf numFmtId="0" fontId="8" fillId="31" borderId="0" xfId="5" applyFill="1" applyAlignment="1">
      <alignment horizontal="center" vertical="center"/>
    </xf>
    <xf numFmtId="0" fontId="8" fillId="20" borderId="131" xfId="5" applyFill="1" applyBorder="1" applyAlignment="1">
      <alignment horizontal="center" vertical="center"/>
    </xf>
    <xf numFmtId="0" fontId="8" fillId="0" borderId="131" xfId="5" applyBorder="1" applyAlignment="1" applyProtection="1">
      <alignment horizontal="center" vertical="center"/>
      <protection locked="0"/>
    </xf>
    <xf numFmtId="0" fontId="8" fillId="20" borderId="132" xfId="5" applyFill="1" applyBorder="1" applyAlignment="1">
      <alignment horizontal="center" vertical="center"/>
    </xf>
    <xf numFmtId="0" fontId="8" fillId="20" borderId="134" xfId="5" applyFill="1" applyBorder="1" applyAlignment="1">
      <alignment horizontal="center" vertical="center"/>
    </xf>
    <xf numFmtId="0" fontId="8" fillId="0" borderId="133" xfId="5" applyBorder="1" applyAlignment="1" applyProtection="1">
      <alignment horizontal="left" vertical="center"/>
      <protection locked="0"/>
    </xf>
    <xf numFmtId="0" fontId="8" fillId="0" borderId="135" xfId="5" applyBorder="1" applyAlignment="1" applyProtection="1">
      <alignment horizontal="left" vertical="center"/>
      <protection locked="0"/>
    </xf>
    <xf numFmtId="0" fontId="8" fillId="0" borderId="136" xfId="5" applyBorder="1" applyAlignment="1" applyProtection="1">
      <alignment horizontal="center" vertical="center"/>
      <protection locked="0"/>
    </xf>
    <xf numFmtId="0" fontId="8" fillId="20" borderId="136" xfId="5" applyFill="1" applyBorder="1" applyAlignment="1">
      <alignment horizontal="center" vertical="center"/>
    </xf>
    <xf numFmtId="0" fontId="8" fillId="20" borderId="137" xfId="5" applyFill="1" applyBorder="1" applyAlignment="1">
      <alignment horizontal="center" vertical="center"/>
    </xf>
    <xf numFmtId="0" fontId="43" fillId="9" borderId="17" xfId="4" applyBorder="1" applyAlignment="1" applyProtection="1">
      <alignment horizontal="left" vertical="center"/>
    </xf>
    <xf numFmtId="1" fontId="9" fillId="18" borderId="17" xfId="0" applyNumberFormat="1" applyFont="1" applyFill="1" applyBorder="1" applyAlignment="1">
      <alignment horizontal="center"/>
    </xf>
    <xf numFmtId="0" fontId="8" fillId="21" borderId="95" xfId="0" applyFont="1" applyFill="1" applyBorder="1" applyAlignment="1" applyProtection="1">
      <alignment horizontal="left" vertical="center"/>
      <protection locked="0"/>
    </xf>
    <xf numFmtId="0" fontId="8" fillId="21" borderId="88" xfId="0" applyFont="1" applyFill="1" applyBorder="1" applyAlignment="1" applyProtection="1">
      <alignment vertical="center"/>
      <protection locked="0"/>
    </xf>
    <xf numFmtId="166" fontId="8" fillId="19" borderId="138" xfId="0" applyNumberFormat="1" applyFont="1" applyFill="1" applyBorder="1" applyAlignment="1">
      <alignment horizontal="center" vertical="center"/>
    </xf>
    <xf numFmtId="0" fontId="72" fillId="10" borderId="102" xfId="3" applyNumberFormat="1" applyFont="1" applyAlignment="1">
      <alignment horizontal="center" vertical="center"/>
    </xf>
    <xf numFmtId="170" fontId="9" fillId="0" borderId="0" xfId="5" applyNumberFormat="1" applyFont="1" applyAlignment="1">
      <alignment horizontal="center" vertical="center"/>
    </xf>
    <xf numFmtId="0" fontId="21" fillId="0" borderId="0" xfId="0" applyFont="1"/>
    <xf numFmtId="0" fontId="44" fillId="29" borderId="102" xfId="3" quotePrefix="1" applyNumberFormat="1" applyFill="1" applyAlignment="1">
      <alignment horizontal="center" vertical="center"/>
    </xf>
    <xf numFmtId="1" fontId="9" fillId="19" borderId="57" xfId="0" applyNumberFormat="1" applyFont="1" applyFill="1" applyBorder="1" applyAlignment="1">
      <alignment horizontal="center" vertical="center"/>
    </xf>
    <xf numFmtId="2" fontId="9" fillId="19" borderId="3" xfId="0" applyNumberFormat="1" applyFont="1" applyFill="1" applyBorder="1" applyAlignment="1">
      <alignment horizontal="left" vertical="center"/>
    </xf>
    <xf numFmtId="2" fontId="9" fillId="19" borderId="8" xfId="0" applyNumberFormat="1" applyFont="1" applyFill="1" applyBorder="1" applyAlignment="1">
      <alignment horizontal="center" vertical="center"/>
    </xf>
    <xf numFmtId="2" fontId="9" fillId="19" borderId="2" xfId="0" applyNumberFormat="1" applyFont="1" applyFill="1" applyBorder="1" applyAlignment="1">
      <alignment horizontal="center" vertical="center"/>
    </xf>
    <xf numFmtId="166" fontId="9" fillId="19" borderId="1" xfId="0" applyNumberFormat="1" applyFont="1" applyFill="1" applyBorder="1" applyAlignment="1">
      <alignment horizontal="center" vertical="center"/>
    </xf>
    <xf numFmtId="0" fontId="37" fillId="0" borderId="0" xfId="0" applyFont="1" applyAlignment="1" applyProtection="1">
      <alignment horizontal="center" vertical="center"/>
      <protection locked="0"/>
    </xf>
    <xf numFmtId="166" fontId="8" fillId="19" borderId="66" xfId="0" applyNumberFormat="1" applyFont="1" applyFill="1" applyBorder="1" applyAlignment="1">
      <alignment horizontal="center" vertical="center"/>
    </xf>
    <xf numFmtId="0" fontId="44" fillId="30" borderId="102" xfId="3" quotePrefix="1" applyNumberFormat="1" applyFill="1" applyAlignment="1">
      <alignment horizontal="center" vertical="center"/>
    </xf>
    <xf numFmtId="1" fontId="0" fillId="30" borderId="47" xfId="0" applyNumberFormat="1" applyFill="1" applyBorder="1" applyAlignment="1">
      <alignment vertical="center"/>
    </xf>
    <xf numFmtId="1" fontId="0" fillId="30" borderId="47" xfId="0" applyNumberFormat="1" applyFill="1" applyBorder="1" applyAlignment="1" applyProtection="1">
      <alignment vertical="center"/>
      <protection locked="0"/>
    </xf>
    <xf numFmtId="167" fontId="8" fillId="20" borderId="56" xfId="5" applyNumberFormat="1" applyFill="1" applyBorder="1" applyAlignment="1">
      <alignment vertical="center"/>
    </xf>
    <xf numFmtId="0" fontId="8" fillId="20" borderId="133" xfId="5" applyFill="1" applyBorder="1" applyAlignment="1">
      <alignment horizontal="left" vertical="center"/>
    </xf>
    <xf numFmtId="170" fontId="0" fillId="0" borderId="0" xfId="0" applyNumberFormat="1"/>
    <xf numFmtId="170" fontId="9" fillId="0" borderId="0" xfId="0" applyNumberFormat="1" applyFont="1" applyAlignment="1">
      <alignment horizontal="center"/>
    </xf>
    <xf numFmtId="170" fontId="0" fillId="0" borderId="0" xfId="0" applyNumberFormat="1" applyAlignment="1">
      <alignment horizontal="center"/>
    </xf>
    <xf numFmtId="170" fontId="73" fillId="32" borderId="102" xfId="22" applyNumberFormat="1" applyAlignment="1">
      <alignment horizontal="center"/>
    </xf>
    <xf numFmtId="170" fontId="73" fillId="28" borderId="139" xfId="0" applyNumberFormat="1" applyFont="1" applyFill="1" applyBorder="1" applyAlignment="1">
      <alignment horizontal="center"/>
    </xf>
    <xf numFmtId="170" fontId="8" fillId="0" borderId="0" xfId="0" applyNumberFormat="1" applyFont="1" applyAlignment="1">
      <alignment horizontal="center"/>
    </xf>
    <xf numFmtId="4" fontId="44" fillId="10" borderId="102" xfId="3" applyNumberFormat="1" applyAlignment="1">
      <alignment horizontal="center" vertical="center"/>
    </xf>
    <xf numFmtId="0" fontId="0" fillId="0" borderId="0" xfId="0" applyAlignment="1">
      <alignment horizontal="center" vertical="center"/>
    </xf>
    <xf numFmtId="4" fontId="0" fillId="0" borderId="0" xfId="0" applyNumberFormat="1" applyAlignment="1">
      <alignment horizontal="center" vertical="center"/>
    </xf>
    <xf numFmtId="14" fontId="8" fillId="0" borderId="0" xfId="0" applyNumberFormat="1" applyFont="1" applyAlignment="1">
      <alignment horizontal="center" vertical="center"/>
    </xf>
    <xf numFmtId="0" fontId="72" fillId="10" borderId="102" xfId="3" quotePrefix="1" applyNumberFormat="1" applyFont="1" applyAlignment="1">
      <alignment horizontal="center" vertical="center"/>
    </xf>
    <xf numFmtId="1" fontId="8" fillId="3" borderId="1" xfId="0" applyNumberFormat="1" applyFont="1" applyFill="1" applyBorder="1" applyAlignment="1">
      <alignment horizontal="center"/>
    </xf>
    <xf numFmtId="1" fontId="9" fillId="3" borderId="1" xfId="0" applyNumberFormat="1" applyFont="1" applyFill="1" applyBorder="1" applyAlignment="1">
      <alignment horizontal="center"/>
    </xf>
    <xf numFmtId="1" fontId="0" fillId="33" borderId="48" xfId="0" applyNumberFormat="1" applyFill="1" applyBorder="1" applyAlignment="1" applyProtection="1">
      <alignment vertical="center"/>
      <protection locked="0"/>
    </xf>
    <xf numFmtId="166" fontId="44" fillId="10" borderId="102" xfId="3" applyNumberFormat="1" applyAlignment="1">
      <alignment horizontal="center" vertical="center"/>
    </xf>
    <xf numFmtId="0" fontId="74" fillId="0" borderId="0" xfId="5" applyFont="1" applyAlignment="1">
      <alignment horizontal="center" vertical="center"/>
    </xf>
    <xf numFmtId="0" fontId="75" fillId="10" borderId="102" xfId="3" applyNumberFormat="1" applyFont="1" applyAlignment="1">
      <alignment horizontal="center" vertical="center"/>
    </xf>
    <xf numFmtId="170" fontId="74" fillId="0" borderId="0" xfId="5" applyNumberFormat="1" applyFont="1" applyAlignment="1">
      <alignment horizontal="center" vertical="center"/>
    </xf>
    <xf numFmtId="0" fontId="74" fillId="0" borderId="0" xfId="5" applyFont="1" applyAlignment="1">
      <alignment horizontal="left" vertical="center"/>
    </xf>
    <xf numFmtId="0" fontId="76" fillId="0" borderId="0" xfId="5" applyFont="1" applyAlignment="1">
      <alignment horizontal="center" vertical="center"/>
    </xf>
    <xf numFmtId="170" fontId="76" fillId="0" borderId="0" xfId="5" applyNumberFormat="1" applyFont="1" applyAlignment="1">
      <alignment horizontal="center" vertical="center"/>
    </xf>
    <xf numFmtId="0" fontId="76" fillId="0" borderId="0" xfId="5" applyFont="1" applyAlignment="1">
      <alignment horizontal="left" vertical="center"/>
    </xf>
    <xf numFmtId="0" fontId="75" fillId="10" borderId="102" xfId="3" quotePrefix="1" applyNumberFormat="1" applyFont="1" applyAlignment="1">
      <alignment horizontal="center" vertical="center"/>
    </xf>
    <xf numFmtId="0" fontId="74" fillId="0" borderId="0" xfId="0" applyFont="1"/>
    <xf numFmtId="1" fontId="75" fillId="10" borderId="102" xfId="3" applyNumberFormat="1" applyFont="1" applyAlignment="1">
      <alignment horizontal="center" vertical="center"/>
    </xf>
    <xf numFmtId="0" fontId="77" fillId="0" borderId="0" xfId="5" applyFont="1" applyAlignment="1">
      <alignment horizontal="center" vertical="center"/>
    </xf>
    <xf numFmtId="170" fontId="77" fillId="0" borderId="0" xfId="5" applyNumberFormat="1" applyFont="1" applyAlignment="1">
      <alignment horizontal="center" vertical="center"/>
    </xf>
    <xf numFmtId="0" fontId="77" fillId="0" borderId="0" xfId="5" applyFont="1" applyAlignment="1">
      <alignment horizontal="left" vertical="center"/>
    </xf>
    <xf numFmtId="2" fontId="9" fillId="0" borderId="0" xfId="0" applyNumberFormat="1" applyFont="1" applyAlignment="1">
      <alignment horizontal="center" vertical="center"/>
    </xf>
    <xf numFmtId="0" fontId="8" fillId="0" borderId="94" xfId="5" applyBorder="1" applyAlignment="1">
      <alignment horizontal="center" vertical="center"/>
    </xf>
    <xf numFmtId="2" fontId="21" fillId="0" borderId="0" xfId="5" applyNumberFormat="1" applyFont="1" applyAlignment="1">
      <alignment horizontal="center" vertical="center"/>
    </xf>
    <xf numFmtId="2" fontId="21" fillId="0" borderId="0" xfId="0" applyNumberFormat="1" applyFont="1" applyAlignment="1">
      <alignment horizontal="center" vertical="center"/>
    </xf>
    <xf numFmtId="2" fontId="9" fillId="0" borderId="0" xfId="5" applyNumberFormat="1" applyFont="1" applyAlignment="1">
      <alignment horizontal="center" vertical="center"/>
    </xf>
    <xf numFmtId="0" fontId="8" fillId="20" borderId="141" xfId="5" applyFill="1" applyBorder="1" applyAlignment="1">
      <alignment horizontal="center" vertical="center"/>
    </xf>
    <xf numFmtId="0" fontId="8" fillId="20" borderId="76" xfId="5" applyFill="1" applyBorder="1" applyAlignment="1">
      <alignment horizontal="center" vertical="center"/>
    </xf>
    <xf numFmtId="0" fontId="8" fillId="20" borderId="79" xfId="5" applyFill="1" applyBorder="1" applyAlignment="1">
      <alignment horizontal="center" vertical="center"/>
    </xf>
    <xf numFmtId="0" fontId="9" fillId="0" borderId="0" xfId="0" applyFont="1" applyAlignment="1">
      <alignment horizontal="left"/>
    </xf>
    <xf numFmtId="16" fontId="8" fillId="0" borderId="0" xfId="0" applyNumberFormat="1" applyFont="1" applyAlignment="1">
      <alignment horizontal="left"/>
    </xf>
    <xf numFmtId="3" fontId="44" fillId="10" borderId="102" xfId="3" applyNumberFormat="1" applyAlignment="1">
      <alignment horizontal="center" vertical="center"/>
    </xf>
    <xf numFmtId="0" fontId="9" fillId="21" borderId="10" xfId="5" applyFont="1" applyFill="1" applyBorder="1" applyAlignment="1">
      <alignment horizontal="left"/>
    </xf>
    <xf numFmtId="0" fontId="8" fillId="0" borderId="12" xfId="5" applyBorder="1" applyAlignment="1" applyProtection="1">
      <alignment horizontal="left"/>
      <protection locked="0"/>
    </xf>
    <xf numFmtId="0" fontId="41" fillId="0" borderId="12" xfId="5" applyFont="1" applyBorder="1" applyAlignment="1">
      <alignment horizontal="left" vertical="center"/>
    </xf>
    <xf numFmtId="0" fontId="8" fillId="0" borderId="15" xfId="5" applyBorder="1" applyAlignment="1" applyProtection="1">
      <alignment horizontal="left"/>
      <protection locked="0"/>
    </xf>
    <xf numFmtId="0" fontId="78" fillId="0" borderId="0" xfId="23" applyAlignment="1">
      <alignment horizontal="left" vertical="center"/>
    </xf>
    <xf numFmtId="49" fontId="8" fillId="0" borderId="0" xfId="0" applyNumberFormat="1" applyFont="1" applyAlignment="1">
      <alignment horizontal="left"/>
    </xf>
    <xf numFmtId="170" fontId="73" fillId="32" borderId="139" xfId="22" applyNumberFormat="1" applyBorder="1" applyAlignment="1">
      <alignment horizontal="center"/>
    </xf>
    <xf numFmtId="170" fontId="49" fillId="0" borderId="0" xfId="5" applyNumberFormat="1" applyFont="1" applyAlignment="1">
      <alignment horizontal="center" vertical="center"/>
    </xf>
    <xf numFmtId="170" fontId="18" fillId="0" borderId="0" xfId="5" applyNumberFormat="1" applyFont="1" applyAlignment="1">
      <alignment horizontal="center" vertical="center"/>
    </xf>
    <xf numFmtId="11" fontId="0" fillId="0" borderId="0" xfId="0" applyNumberFormat="1" applyAlignment="1">
      <alignment horizontal="left" vertical="center"/>
    </xf>
    <xf numFmtId="166" fontId="0" fillId="0" borderId="1" xfId="0" applyNumberFormat="1" applyBorder="1" applyAlignment="1" applyProtection="1">
      <alignment horizontal="center" vertical="center"/>
      <protection locked="0"/>
    </xf>
    <xf numFmtId="170" fontId="0" fillId="0" borderId="1" xfId="0" applyNumberFormat="1" applyBorder="1" applyAlignment="1">
      <alignment horizontal="center" vertical="center"/>
    </xf>
    <xf numFmtId="2" fontId="18" fillId="0" borderId="0" xfId="5" applyNumberFormat="1" applyFont="1" applyAlignment="1">
      <alignment horizontal="center" vertical="center"/>
    </xf>
    <xf numFmtId="2" fontId="15" fillId="19" borderId="10" xfId="0" applyNumberFormat="1" applyFont="1" applyFill="1" applyBorder="1" applyAlignment="1" applyProtection="1">
      <alignment horizontal="center" vertical="center"/>
      <protection locked="0"/>
    </xf>
    <xf numFmtId="1" fontId="0" fillId="33" borderId="48" xfId="0" applyNumberFormat="1" applyFill="1" applyBorder="1" applyAlignment="1" applyProtection="1">
      <alignment horizontal="right" vertical="center"/>
      <protection locked="0"/>
    </xf>
    <xf numFmtId="170" fontId="0" fillId="0" borderId="0" xfId="0" applyNumberFormat="1" applyAlignment="1">
      <alignment horizontal="left"/>
    </xf>
    <xf numFmtId="170" fontId="73" fillId="32" borderId="102" xfId="22" applyNumberFormat="1" applyAlignment="1">
      <alignment horizontal="left"/>
    </xf>
    <xf numFmtId="0" fontId="44" fillId="10" borderId="102" xfId="3" applyAlignment="1">
      <alignment horizontal="left"/>
    </xf>
    <xf numFmtId="4" fontId="44" fillId="10" borderId="102" xfId="3" applyNumberFormat="1" applyAlignment="1">
      <alignment horizontal="left" vertical="center"/>
    </xf>
    <xf numFmtId="0" fontId="44" fillId="10" borderId="102" xfId="3" applyAlignment="1">
      <alignment horizontal="left" vertical="center"/>
    </xf>
    <xf numFmtId="0" fontId="9" fillId="27" borderId="119" xfId="7" applyFont="1" applyAlignment="1">
      <alignment horizontal="left"/>
    </xf>
    <xf numFmtId="0" fontId="8" fillId="27" borderId="119" xfId="7" applyFont="1" applyAlignment="1">
      <alignment horizontal="left"/>
    </xf>
    <xf numFmtId="0" fontId="0" fillId="27" borderId="119" xfId="7" applyFont="1" applyAlignment="1">
      <alignment horizontal="left" vertical="center"/>
    </xf>
    <xf numFmtId="170" fontId="0" fillId="27" borderId="119" xfId="7" applyNumberFormat="1" applyFont="1" applyAlignment="1">
      <alignment horizontal="left"/>
    </xf>
    <xf numFmtId="4" fontId="0" fillId="27" borderId="119" xfId="7" applyNumberFormat="1" applyFont="1" applyAlignment="1">
      <alignment horizontal="left" vertical="center"/>
    </xf>
    <xf numFmtId="0" fontId="44" fillId="10" borderId="102" xfId="3" applyProtection="1">
      <protection locked="0"/>
    </xf>
    <xf numFmtId="0" fontId="44" fillId="10" borderId="102" xfId="3" applyAlignment="1" applyProtection="1">
      <alignment horizontal="left"/>
      <protection locked="0"/>
    </xf>
    <xf numFmtId="166" fontId="44" fillId="10" borderId="102" xfId="3" applyNumberFormat="1" applyAlignment="1" applyProtection="1">
      <alignment horizontal="right"/>
      <protection locked="0"/>
    </xf>
    <xf numFmtId="4" fontId="8" fillId="27" borderId="119" xfId="7" applyNumberFormat="1" applyFont="1" applyAlignment="1">
      <alignment horizontal="left" vertical="center"/>
    </xf>
    <xf numFmtId="170" fontId="0" fillId="27" borderId="119" xfId="7" applyNumberFormat="1" applyFont="1" applyAlignment="1">
      <alignment horizontal="left" vertical="center"/>
    </xf>
    <xf numFmtId="0" fontId="44" fillId="10" borderId="102" xfId="3" applyAlignment="1">
      <alignment vertical="top" wrapText="1"/>
    </xf>
    <xf numFmtId="0" fontId="44" fillId="10" borderId="102" xfId="3" applyAlignment="1">
      <alignment horizontal="left" vertical="top" wrapText="1"/>
    </xf>
    <xf numFmtId="166" fontId="44" fillId="10" borderId="102" xfId="3" applyNumberFormat="1" applyAlignment="1">
      <alignment horizontal="right" vertical="top" wrapText="1"/>
    </xf>
    <xf numFmtId="170" fontId="8" fillId="27" borderId="119" xfId="7" applyNumberFormat="1" applyFont="1" applyAlignment="1">
      <alignment horizontal="left" vertical="center"/>
    </xf>
    <xf numFmtId="0" fontId="0" fillId="27" borderId="119" xfId="7" applyFont="1"/>
    <xf numFmtId="0" fontId="8" fillId="27" borderId="119" xfId="7" applyFont="1"/>
    <xf numFmtId="0" fontId="44" fillId="10" borderId="102" xfId="3" applyAlignment="1">
      <alignment horizontal="center" vertical="center"/>
    </xf>
    <xf numFmtId="0" fontId="44" fillId="10" borderId="102" xfId="3"/>
    <xf numFmtId="0" fontId="9" fillId="0" borderId="0" xfId="0" applyFont="1" applyAlignment="1">
      <alignment horizontal="left" vertical="top"/>
    </xf>
    <xf numFmtId="0" fontId="9" fillId="0" borderId="17" xfId="5" applyFont="1" applyBorder="1" applyAlignment="1" applyProtection="1">
      <alignment horizontal="left"/>
      <protection locked="0"/>
    </xf>
    <xf numFmtId="0" fontId="8" fillId="0" borderId="17" xfId="5" applyBorder="1" applyAlignment="1" applyProtection="1">
      <alignment horizontal="left"/>
      <protection locked="0"/>
    </xf>
    <xf numFmtId="0" fontId="0" fillId="0" borderId="0" xfId="0" quotePrefix="1" applyAlignment="1">
      <alignment horizontal="left" vertical="center"/>
    </xf>
    <xf numFmtId="2" fontId="8" fillId="0" borderId="0" xfId="0" applyNumberFormat="1" applyFont="1" applyAlignment="1">
      <alignment horizontal="center"/>
    </xf>
    <xf numFmtId="2" fontId="8" fillId="0" borderId="94" xfId="5" applyNumberFormat="1" applyBorder="1" applyAlignment="1">
      <alignment horizontal="center" vertical="center"/>
    </xf>
    <xf numFmtId="2" fontId="8" fillId="0" borderId="0" xfId="5" applyNumberFormat="1" applyAlignment="1">
      <alignment horizontal="center" vertical="center"/>
    </xf>
    <xf numFmtId="2" fontId="8" fillId="0" borderId="0" xfId="5" applyNumberFormat="1" applyAlignment="1">
      <alignment horizontal="center" vertical="center" wrapText="1"/>
    </xf>
    <xf numFmtId="17" fontId="0" fillId="0" borderId="0" xfId="0" applyNumberFormat="1" applyAlignment="1">
      <alignment horizontal="left" vertical="center"/>
    </xf>
    <xf numFmtId="3" fontId="0" fillId="0" borderId="0" xfId="0" applyNumberFormat="1" applyAlignment="1">
      <alignment horizontal="left" vertical="center"/>
    </xf>
    <xf numFmtId="0" fontId="8" fillId="27" borderId="119" xfId="7" applyFont="1" applyAlignment="1">
      <alignment horizontal="left" vertical="center"/>
    </xf>
    <xf numFmtId="1" fontId="15" fillId="0" borderId="25" xfId="0" applyNumberFormat="1" applyFont="1" applyBorder="1" applyAlignment="1" applyProtection="1">
      <alignment horizontal="center" vertical="center"/>
      <protection locked="0"/>
    </xf>
    <xf numFmtId="0" fontId="80" fillId="0" borderId="0" xfId="5" applyFont="1" applyAlignment="1" applyProtection="1">
      <alignment horizontal="left"/>
      <protection locked="0"/>
    </xf>
    <xf numFmtId="1" fontId="15" fillId="0" borderId="31" xfId="0" applyNumberFormat="1" applyFont="1" applyBorder="1" applyAlignment="1" applyProtection="1">
      <alignment horizontal="center" vertical="center"/>
      <protection locked="0"/>
    </xf>
    <xf numFmtId="0" fontId="22" fillId="0" borderId="0" xfId="5" applyFont="1" applyAlignment="1">
      <alignment horizontal="center" vertical="center"/>
    </xf>
    <xf numFmtId="0" fontId="79" fillId="0" borderId="0" xfId="5" applyFont="1" applyAlignment="1">
      <alignment horizontal="center" vertical="center"/>
    </xf>
    <xf numFmtId="0" fontId="9" fillId="27" borderId="119" xfId="7" applyFont="1" applyAlignment="1">
      <alignment horizontal="center"/>
    </xf>
    <xf numFmtId="0" fontId="9" fillId="0" borderId="4" xfId="0" applyFont="1" applyBorder="1" applyAlignment="1">
      <alignment horizontal="center"/>
    </xf>
    <xf numFmtId="0" fontId="9" fillId="0" borderId="5" xfId="0" applyFont="1" applyBorder="1" applyAlignment="1">
      <alignment horizontal="center"/>
    </xf>
    <xf numFmtId="0" fontId="9" fillId="0" borderId="6" xfId="0" applyFont="1" applyBorder="1" applyAlignment="1">
      <alignment horizontal="center"/>
    </xf>
    <xf numFmtId="0" fontId="9" fillId="0" borderId="0" xfId="0" applyFont="1" applyAlignment="1">
      <alignment horizontal="center"/>
    </xf>
    <xf numFmtId="0" fontId="9" fillId="0" borderId="142" xfId="0" applyFont="1" applyBorder="1" applyAlignment="1">
      <alignment horizontal="center"/>
    </xf>
    <xf numFmtId="2" fontId="9" fillId="21" borderId="4" xfId="0" applyNumberFormat="1" applyFont="1" applyFill="1" applyBorder="1" applyAlignment="1" applyProtection="1">
      <alignment horizontal="center" vertical="center"/>
      <protection locked="0"/>
    </xf>
    <xf numFmtId="2" fontId="9" fillId="21" borderId="110" xfId="0" applyNumberFormat="1" applyFont="1" applyFill="1" applyBorder="1" applyAlignment="1" applyProtection="1">
      <alignment horizontal="center" vertical="center"/>
      <protection locked="0"/>
    </xf>
    <xf numFmtId="2" fontId="9" fillId="0" borderId="0" xfId="0" applyNumberFormat="1" applyFont="1" applyAlignment="1">
      <alignment horizontal="center" vertical="center"/>
    </xf>
    <xf numFmtId="0" fontId="9" fillId="19" borderId="3" xfId="0" applyFont="1" applyFill="1" applyBorder="1" applyAlignment="1">
      <alignment horizontal="center" vertical="center"/>
    </xf>
    <xf numFmtId="0" fontId="9" fillId="19" borderId="8" xfId="0" applyFont="1" applyFill="1" applyBorder="1" applyAlignment="1">
      <alignment horizontal="center" vertical="center"/>
    </xf>
    <xf numFmtId="0" fontId="9" fillId="19" borderId="2" xfId="0" applyFont="1" applyFill="1" applyBorder="1" applyAlignment="1">
      <alignment horizontal="center" vertical="center"/>
    </xf>
    <xf numFmtId="0" fontId="9" fillId="20" borderId="3" xfId="0" applyFont="1" applyFill="1" applyBorder="1" applyAlignment="1">
      <alignment horizontal="center" vertical="center"/>
    </xf>
    <xf numFmtId="0" fontId="9" fillId="20" borderId="8" xfId="0" applyFont="1" applyFill="1" applyBorder="1" applyAlignment="1">
      <alignment horizontal="center" vertical="center"/>
    </xf>
    <xf numFmtId="0" fontId="9" fillId="20" borderId="2" xfId="0" applyFont="1" applyFill="1" applyBorder="1" applyAlignment="1">
      <alignment horizontal="center" vertical="center"/>
    </xf>
    <xf numFmtId="0" fontId="0" fillId="0" borderId="47" xfId="0" applyBorder="1" applyAlignment="1" applyProtection="1">
      <alignment horizontal="center" vertical="center"/>
      <protection locked="0"/>
    </xf>
    <xf numFmtId="0" fontId="9" fillId="0" borderId="0" xfId="0" applyFont="1" applyAlignment="1" applyProtection="1">
      <alignment horizontal="center" vertical="center"/>
      <protection locked="0"/>
    </xf>
    <xf numFmtId="0" fontId="9" fillId="0" borderId="36" xfId="0" applyFont="1" applyBorder="1" applyAlignment="1" applyProtection="1">
      <alignment horizontal="right" vertical="center"/>
      <protection locked="0"/>
    </xf>
    <xf numFmtId="0" fontId="9" fillId="0" borderId="0" xfId="0" applyFont="1" applyAlignment="1" applyProtection="1">
      <alignment horizontal="right" vertical="center"/>
      <protection locked="0"/>
    </xf>
    <xf numFmtId="0" fontId="9" fillId="0" borderId="13" xfId="0" applyFont="1" applyBorder="1" applyAlignment="1" applyProtection="1">
      <alignment horizontal="center" vertical="center"/>
      <protection locked="0"/>
    </xf>
    <xf numFmtId="0" fontId="51" fillId="25" borderId="0" xfId="0" applyFont="1" applyFill="1" applyAlignment="1" applyProtection="1">
      <alignment horizontal="center" vertical="center"/>
      <protection locked="0"/>
    </xf>
    <xf numFmtId="0" fontId="52" fillId="25" borderId="21" xfId="0" applyFont="1" applyFill="1" applyBorder="1" applyAlignment="1" applyProtection="1">
      <alignment horizontal="center" vertical="center" textRotation="90"/>
      <protection locked="0"/>
    </xf>
    <xf numFmtId="0" fontId="10" fillId="0" borderId="0" xfId="0" applyFont="1" applyAlignment="1" applyProtection="1">
      <alignment horizontal="center" vertical="center"/>
      <protection locked="0"/>
    </xf>
    <xf numFmtId="0" fontId="9" fillId="0" borderId="1" xfId="0" applyFont="1" applyBorder="1" applyAlignment="1" applyProtection="1">
      <alignment horizontal="center" vertical="center" textRotation="90"/>
      <protection locked="0"/>
    </xf>
    <xf numFmtId="0" fontId="9" fillId="0" borderId="3" xfId="0" applyFont="1" applyBorder="1" applyAlignment="1" applyProtection="1">
      <alignment horizontal="center" vertical="center" textRotation="90"/>
      <protection locked="0"/>
    </xf>
    <xf numFmtId="0" fontId="10" fillId="0" borderId="0" xfId="0" applyFont="1" applyAlignment="1">
      <alignment horizontal="center" vertical="center"/>
    </xf>
    <xf numFmtId="0" fontId="9" fillId="0" borderId="36" xfId="0" applyFont="1" applyBorder="1" applyAlignment="1">
      <alignment horizontal="right" vertical="center"/>
    </xf>
    <xf numFmtId="0" fontId="51" fillId="25" borderId="0" xfId="0" applyFont="1" applyFill="1" applyAlignment="1">
      <alignment horizontal="center" vertical="center"/>
    </xf>
    <xf numFmtId="0" fontId="52" fillId="25" borderId="21" xfId="0" applyFont="1" applyFill="1" applyBorder="1" applyAlignment="1">
      <alignment horizontal="center" vertical="center" textRotation="90"/>
    </xf>
    <xf numFmtId="0" fontId="9" fillId="0" borderId="1" xfId="0" applyFont="1" applyBorder="1" applyAlignment="1">
      <alignment horizontal="center" vertical="center" textRotation="90"/>
    </xf>
    <xf numFmtId="0" fontId="8" fillId="21" borderId="0" xfId="5" applyFill="1" applyAlignment="1">
      <alignment horizontal="center"/>
    </xf>
    <xf numFmtId="0" fontId="9" fillId="21" borderId="4" xfId="0" applyFont="1" applyFill="1" applyBorder="1" applyAlignment="1" applyProtection="1">
      <alignment horizontal="center"/>
      <protection locked="0"/>
    </xf>
    <xf numFmtId="0" fontId="9" fillId="21" borderId="6" xfId="0" applyFont="1" applyFill="1" applyBorder="1" applyAlignment="1" applyProtection="1">
      <alignment horizontal="center"/>
      <protection locked="0"/>
    </xf>
    <xf numFmtId="0" fontId="9" fillId="21" borderId="11" xfId="0" applyFont="1" applyFill="1" applyBorder="1" applyAlignment="1" applyProtection="1">
      <alignment horizontal="center"/>
      <protection locked="0"/>
    </xf>
    <xf numFmtId="0" fontId="9" fillId="21" borderId="16" xfId="0" applyFont="1" applyFill="1" applyBorder="1" applyAlignment="1" applyProtection="1">
      <alignment horizontal="center"/>
      <protection locked="0"/>
    </xf>
    <xf numFmtId="0" fontId="9" fillId="21" borderId="0" xfId="0" applyFont="1" applyFill="1" applyAlignment="1">
      <alignment horizontal="right"/>
    </xf>
    <xf numFmtId="0" fontId="9" fillId="0" borderId="0" xfId="0" applyFont="1" applyAlignment="1">
      <alignment horizontal="right"/>
    </xf>
    <xf numFmtId="0" fontId="8" fillId="0" borderId="9" xfId="5" applyBorder="1" applyAlignment="1" applyProtection="1">
      <alignment horizontal="center"/>
      <protection locked="0"/>
    </xf>
    <xf numFmtId="0" fontId="8" fillId="0" borderId="0" xfId="5" applyAlignment="1" applyProtection="1">
      <alignment horizontal="center"/>
      <protection locked="0"/>
    </xf>
    <xf numFmtId="0" fontId="8" fillId="0" borderId="34" xfId="5" applyBorder="1" applyAlignment="1" applyProtection="1">
      <alignment horizontal="center"/>
      <protection locked="0"/>
    </xf>
    <xf numFmtId="0" fontId="8" fillId="0" borderId="14" xfId="5" applyBorder="1" applyProtection="1">
      <protection locked="0"/>
    </xf>
    <xf numFmtId="0" fontId="8" fillId="0" borderId="13" xfId="5" applyBorder="1" applyProtection="1">
      <protection locked="0"/>
    </xf>
    <xf numFmtId="0" fontId="8" fillId="0" borderId="35" xfId="5" applyBorder="1" applyProtection="1">
      <protection locked="0"/>
    </xf>
    <xf numFmtId="0" fontId="8" fillId="20" borderId="51" xfId="5" applyFill="1" applyBorder="1" applyAlignment="1">
      <alignment horizontal="left" vertical="center"/>
    </xf>
    <xf numFmtId="0" fontId="8" fillId="20" borderId="48" xfId="5" applyFill="1" applyBorder="1" applyAlignment="1">
      <alignment horizontal="left" vertical="center"/>
    </xf>
    <xf numFmtId="0" fontId="8" fillId="20" borderId="89" xfId="5" applyFill="1" applyBorder="1" applyAlignment="1">
      <alignment horizontal="left" vertical="center"/>
    </xf>
    <xf numFmtId="0" fontId="8" fillId="0" borderId="9" xfId="5" applyBorder="1" applyProtection="1">
      <protection locked="0"/>
    </xf>
    <xf numFmtId="0" fontId="8" fillId="0" borderId="0" xfId="5" applyProtection="1">
      <protection locked="0"/>
    </xf>
    <xf numFmtId="0" fontId="8" fillId="0" borderId="34" xfId="5" applyBorder="1" applyProtection="1">
      <protection locked="0"/>
    </xf>
    <xf numFmtId="0" fontId="9" fillId="20" borderId="3" xfId="5" applyFont="1" applyFill="1" applyBorder="1" applyAlignment="1">
      <alignment horizontal="center" vertical="center" wrapText="1"/>
    </xf>
    <xf numFmtId="0" fontId="9" fillId="20" borderId="2" xfId="5" applyFont="1" applyFill="1" applyBorder="1" applyAlignment="1">
      <alignment horizontal="center" vertical="center" wrapText="1"/>
    </xf>
    <xf numFmtId="0" fontId="8" fillId="20" borderId="140" xfId="5" applyFill="1" applyBorder="1" applyAlignment="1">
      <alignment horizontal="left" vertical="center"/>
    </xf>
    <xf numFmtId="0" fontId="22" fillId="21" borderId="11" xfId="0" applyFont="1" applyFill="1" applyBorder="1" applyAlignment="1">
      <alignment horizontal="center" vertical="center"/>
    </xf>
    <xf numFmtId="0" fontId="22" fillId="21" borderId="7" xfId="0" applyFont="1" applyFill="1" applyBorder="1" applyAlignment="1">
      <alignment horizontal="center" vertical="center"/>
    </xf>
    <xf numFmtId="0" fontId="68" fillId="21" borderId="0" xfId="0" applyFont="1" applyFill="1" applyAlignment="1">
      <alignment horizontal="center" vertical="center"/>
    </xf>
    <xf numFmtId="0" fontId="22" fillId="21" borderId="16" xfId="0" applyFont="1" applyFill="1" applyBorder="1" applyAlignment="1">
      <alignment horizontal="center" vertical="center"/>
    </xf>
    <xf numFmtId="0" fontId="68" fillId="21" borderId="34" xfId="0" applyFont="1" applyFill="1" applyBorder="1" applyAlignment="1">
      <alignment horizontal="center" vertical="center"/>
    </xf>
    <xf numFmtId="0" fontId="0" fillId="2" borderId="13" xfId="0" applyFill="1" applyBorder="1" applyAlignment="1">
      <alignment horizontal="center" vertical="center"/>
    </xf>
    <xf numFmtId="0" fontId="0" fillId="2" borderId="0" xfId="0" applyFill="1" applyAlignment="1">
      <alignment horizontal="center" vertical="center"/>
    </xf>
    <xf numFmtId="0" fontId="0" fillId="2" borderId="34" xfId="0" applyFill="1" applyBorder="1" applyAlignment="1">
      <alignment horizontal="center" vertical="center"/>
    </xf>
    <xf numFmtId="0" fontId="0" fillId="2" borderId="35" xfId="0" applyFill="1" applyBorder="1" applyAlignment="1">
      <alignment horizontal="center" vertical="center"/>
    </xf>
    <xf numFmtId="0" fontId="0" fillId="3" borderId="103" xfId="0" applyFill="1" applyBorder="1" applyAlignment="1">
      <alignment horizontal="center" vertical="center"/>
    </xf>
    <xf numFmtId="0" fontId="0" fillId="3" borderId="122" xfId="0" applyFill="1" applyBorder="1" applyAlignment="1">
      <alignment horizontal="center" vertical="center"/>
    </xf>
    <xf numFmtId="0" fontId="0" fillId="3" borderId="4" xfId="0" applyFill="1" applyBorder="1" applyAlignment="1">
      <alignment horizontal="center" vertical="center"/>
    </xf>
    <xf numFmtId="0" fontId="0" fillId="3" borderId="6" xfId="0" applyFill="1" applyBorder="1" applyAlignment="1">
      <alignment horizontal="center" vertical="center"/>
    </xf>
    <xf numFmtId="0" fontId="0" fillId="2" borderId="9" xfId="0" applyFill="1" applyBorder="1" applyAlignment="1">
      <alignment horizontal="center" vertical="center"/>
    </xf>
    <xf numFmtId="0" fontId="9" fillId="3" borderId="3" xfId="0" applyFont="1" applyFill="1" applyBorder="1" applyAlignment="1">
      <alignment horizontal="center" vertical="center"/>
    </xf>
    <xf numFmtId="0" fontId="9" fillId="3" borderId="8" xfId="0" applyFont="1" applyFill="1" applyBorder="1" applyAlignment="1">
      <alignment horizontal="center" vertical="center"/>
    </xf>
    <xf numFmtId="0" fontId="9" fillId="3" borderId="2" xfId="0" applyFont="1" applyFill="1" applyBorder="1" applyAlignment="1">
      <alignment horizontal="center" vertical="center"/>
    </xf>
    <xf numFmtId="0" fontId="16" fillId="2" borderId="11" xfId="0" applyFont="1" applyFill="1" applyBorder="1" applyAlignment="1" applyProtection="1">
      <alignment horizontal="center" vertical="center"/>
      <protection locked="0"/>
    </xf>
    <xf numFmtId="0" fontId="16" fillId="2" borderId="7" xfId="0" applyFont="1" applyFill="1" applyBorder="1" applyAlignment="1" applyProtection="1">
      <alignment horizontal="center" vertical="center"/>
      <protection locked="0"/>
    </xf>
    <xf numFmtId="0" fontId="10" fillId="2" borderId="14" xfId="0" applyFont="1" applyFill="1" applyBorder="1" applyAlignment="1" applyProtection="1">
      <alignment horizontal="center" vertical="center"/>
      <protection locked="0"/>
    </xf>
    <xf numFmtId="0" fontId="10" fillId="2" borderId="35" xfId="0" applyFont="1" applyFill="1" applyBorder="1" applyAlignment="1" applyProtection="1">
      <alignment horizontal="center" vertical="center"/>
      <protection locked="0"/>
    </xf>
    <xf numFmtId="0" fontId="0" fillId="2" borderId="0" xfId="0" applyFill="1" applyAlignment="1" applyProtection="1">
      <alignment vertical="center"/>
      <protection locked="0"/>
    </xf>
    <xf numFmtId="0" fontId="10" fillId="2" borderId="11" xfId="0" applyFont="1" applyFill="1" applyBorder="1" applyAlignment="1" applyProtection="1">
      <alignment horizontal="center" vertical="center"/>
      <protection locked="0"/>
    </xf>
    <xf numFmtId="0" fontId="10" fillId="2" borderId="16" xfId="0" applyFont="1" applyFill="1" applyBorder="1" applyAlignment="1" applyProtection="1">
      <alignment horizontal="center" vertical="center"/>
      <protection locked="0"/>
    </xf>
    <xf numFmtId="0" fontId="20" fillId="2" borderId="14" xfId="0" applyFont="1" applyFill="1" applyBorder="1" applyAlignment="1" applyProtection="1">
      <alignment horizontal="center" vertical="center"/>
      <protection locked="0"/>
    </xf>
    <xf numFmtId="0" fontId="20" fillId="2" borderId="35" xfId="0" applyFont="1" applyFill="1" applyBorder="1" applyAlignment="1" applyProtection="1">
      <alignment horizontal="center" vertical="center"/>
      <protection locked="0"/>
    </xf>
    <xf numFmtId="1" fontId="9" fillId="3" borderId="3" xfId="0" applyNumberFormat="1" applyFont="1" applyFill="1" applyBorder="1" applyAlignment="1">
      <alignment horizontal="center" vertical="center"/>
    </xf>
    <xf numFmtId="0" fontId="0" fillId="3" borderId="2" xfId="0" applyFill="1" applyBorder="1" applyAlignment="1">
      <alignment horizontal="center" vertical="center"/>
    </xf>
    <xf numFmtId="0" fontId="9" fillId="2" borderId="0" xfId="0" applyFont="1" applyFill="1" applyAlignment="1" applyProtection="1">
      <alignment horizontal="center" vertical="center"/>
      <protection locked="0"/>
    </xf>
    <xf numFmtId="0" fontId="0" fillId="2" borderId="21" xfId="0" applyFill="1" applyBorder="1" applyAlignment="1" applyProtection="1">
      <alignment horizontal="center" vertical="center"/>
      <protection locked="0"/>
    </xf>
    <xf numFmtId="0" fontId="9" fillId="2" borderId="0" xfId="0" applyFont="1" applyFill="1" applyAlignment="1">
      <alignment horizontal="center" vertical="center"/>
    </xf>
    <xf numFmtId="0" fontId="10" fillId="2" borderId="9" xfId="0" applyFont="1" applyFill="1" applyBorder="1" applyAlignment="1" applyProtection="1">
      <alignment vertical="center"/>
      <protection locked="0"/>
    </xf>
    <xf numFmtId="0" fontId="10" fillId="2" borderId="0" xfId="0" applyFont="1" applyFill="1" applyAlignment="1" applyProtection="1">
      <alignment vertical="center"/>
      <protection locked="0"/>
    </xf>
    <xf numFmtId="0" fontId="10" fillId="2" borderId="7" xfId="0" applyFont="1" applyFill="1" applyBorder="1" applyAlignment="1" applyProtection="1">
      <alignment horizontal="center" vertical="center"/>
      <protection locked="0"/>
    </xf>
    <xf numFmtId="0" fontId="10" fillId="7" borderId="17" xfId="0" applyFont="1" applyFill="1" applyBorder="1" applyAlignment="1" applyProtection="1">
      <alignment horizontal="center" vertical="center"/>
      <protection locked="0"/>
    </xf>
    <xf numFmtId="0" fontId="0" fillId="7" borderId="17" xfId="0" applyFill="1" applyBorder="1" applyAlignment="1" applyProtection="1">
      <alignment horizontal="center" vertical="center"/>
      <protection locked="0"/>
    </xf>
    <xf numFmtId="0" fontId="20" fillId="2" borderId="13" xfId="0" applyFont="1" applyFill="1" applyBorder="1" applyAlignment="1" applyProtection="1">
      <alignment horizontal="center" vertical="center"/>
      <protection locked="0"/>
    </xf>
    <xf numFmtId="0" fontId="0" fillId="0" borderId="0" xfId="0" applyAlignment="1">
      <alignment horizontal="center" vertical="center"/>
    </xf>
    <xf numFmtId="0" fontId="0" fillId="4" borderId="8" xfId="0" applyFill="1" applyBorder="1" applyAlignment="1">
      <alignment horizontal="center" vertical="center"/>
    </xf>
    <xf numFmtId="0" fontId="0" fillId="0" borderId="2" xfId="0" applyBorder="1" applyAlignment="1">
      <alignment horizontal="center" vertical="center"/>
    </xf>
    <xf numFmtId="0" fontId="0" fillId="0" borderId="0" xfId="0" applyAlignment="1">
      <alignment vertical="center"/>
    </xf>
    <xf numFmtId="0" fontId="0" fillId="7" borderId="4" xfId="0" applyFill="1" applyBorder="1" applyAlignment="1" applyProtection="1">
      <alignment horizontal="center" vertical="center"/>
      <protection locked="0"/>
    </xf>
    <xf numFmtId="0" fontId="10" fillId="2" borderId="9" xfId="0" applyFont="1" applyFill="1" applyBorder="1" applyAlignment="1" applyProtection="1">
      <alignment horizontal="center" vertical="center"/>
      <protection locked="0"/>
    </xf>
    <xf numFmtId="0" fontId="10" fillId="2" borderId="0" xfId="0" applyFont="1" applyFill="1" applyAlignment="1" applyProtection="1">
      <alignment horizontal="center" vertical="center"/>
      <protection locked="0"/>
    </xf>
    <xf numFmtId="0" fontId="10" fillId="7" borderId="11" xfId="0" applyFont="1" applyFill="1" applyBorder="1" applyAlignment="1" applyProtection="1">
      <alignment horizontal="center" vertical="center"/>
      <protection locked="0"/>
    </xf>
    <xf numFmtId="0" fontId="0" fillId="7" borderId="16" xfId="0" applyFill="1" applyBorder="1" applyAlignment="1" applyProtection="1">
      <alignment horizontal="center" vertical="center"/>
      <protection locked="0"/>
    </xf>
    <xf numFmtId="0" fontId="15" fillId="7" borderId="17" xfId="0" applyFont="1" applyFill="1" applyBorder="1" applyAlignment="1" applyProtection="1">
      <alignment horizontal="center" vertical="center"/>
      <protection locked="0"/>
    </xf>
    <xf numFmtId="0" fontId="42" fillId="8" borderId="17" xfId="2" applyBorder="1" applyAlignment="1" applyProtection="1">
      <alignment horizontal="center" vertical="center"/>
    </xf>
    <xf numFmtId="0" fontId="9" fillId="0" borderId="0" xfId="5" applyFont="1" applyAlignment="1">
      <alignment horizontal="center" vertical="center"/>
    </xf>
    <xf numFmtId="0" fontId="57" fillId="26" borderId="3" xfId="4" applyFont="1" applyFill="1" applyBorder="1" applyAlignment="1" applyProtection="1">
      <alignment horizontal="center" vertical="center"/>
      <protection locked="0"/>
    </xf>
    <xf numFmtId="0" fontId="57" fillId="26" borderId="8" xfId="4" applyFont="1" applyFill="1" applyBorder="1" applyAlignment="1" applyProtection="1">
      <alignment horizontal="center" vertical="center"/>
      <protection locked="0"/>
    </xf>
    <xf numFmtId="0" fontId="57" fillId="26" borderId="2" xfId="4" applyFont="1" applyFill="1" applyBorder="1" applyAlignment="1" applyProtection="1">
      <alignment horizontal="center" vertical="center"/>
      <protection locked="0"/>
    </xf>
    <xf numFmtId="0" fontId="43" fillId="9" borderId="3" xfId="4" applyBorder="1" applyAlignment="1" applyProtection="1">
      <alignment horizontal="center" vertical="center"/>
      <protection hidden="1"/>
    </xf>
    <xf numFmtId="0" fontId="43" fillId="9" borderId="2" xfId="4" applyBorder="1" applyAlignment="1" applyProtection="1">
      <alignment horizontal="center" vertical="center"/>
      <protection hidden="1"/>
    </xf>
    <xf numFmtId="0" fontId="43" fillId="9" borderId="57" xfId="4" applyBorder="1" applyAlignment="1" applyProtection="1">
      <alignment horizontal="center" vertical="center"/>
      <protection hidden="1"/>
    </xf>
    <xf numFmtId="0" fontId="43" fillId="9" borderId="71" xfId="4" applyBorder="1" applyAlignment="1" applyProtection="1">
      <alignment horizontal="center" vertical="center"/>
      <protection hidden="1"/>
    </xf>
    <xf numFmtId="0" fontId="43" fillId="9" borderId="33" xfId="4" applyBorder="1" applyAlignment="1" applyProtection="1">
      <alignment horizontal="center" vertical="center"/>
      <protection hidden="1"/>
    </xf>
    <xf numFmtId="0" fontId="54" fillId="0" borderId="3" xfId="2" applyFont="1" applyFill="1" applyBorder="1" applyAlignment="1" applyProtection="1">
      <alignment horizontal="center" vertical="center"/>
      <protection locked="0" hidden="1"/>
    </xf>
    <xf numFmtId="0" fontId="54" fillId="0" borderId="2" xfId="2" applyFont="1" applyFill="1" applyBorder="1" applyAlignment="1" applyProtection="1">
      <alignment horizontal="center" vertical="center"/>
      <protection locked="0" hidden="1"/>
    </xf>
    <xf numFmtId="0" fontId="54" fillId="0" borderId="18" xfId="2" applyFont="1" applyFill="1" applyBorder="1" applyAlignment="1" applyProtection="1">
      <alignment horizontal="center" vertical="center"/>
      <protection locked="0" hidden="1"/>
    </xf>
    <xf numFmtId="0" fontId="54" fillId="0" borderId="19" xfId="2" applyFont="1" applyFill="1" applyBorder="1" applyAlignment="1" applyProtection="1">
      <alignment horizontal="center" vertical="center"/>
      <protection locked="0" hidden="1"/>
    </xf>
    <xf numFmtId="0" fontId="43" fillId="9" borderId="3" xfId="4" applyBorder="1" applyAlignment="1" applyProtection="1">
      <alignment horizontal="center" vertical="center"/>
    </xf>
    <xf numFmtId="0" fontId="43" fillId="9" borderId="2" xfId="4" applyBorder="1" applyAlignment="1" applyProtection="1">
      <alignment horizontal="center" vertical="center"/>
    </xf>
    <xf numFmtId="0" fontId="43" fillId="9" borderId="57" xfId="4" applyBorder="1" applyAlignment="1" applyProtection="1">
      <alignment horizontal="center" vertical="center"/>
    </xf>
    <xf numFmtId="0" fontId="43" fillId="9" borderId="71" xfId="4" applyBorder="1" applyAlignment="1" applyProtection="1">
      <alignment horizontal="center" vertical="center"/>
    </xf>
    <xf numFmtId="0" fontId="43" fillId="9" borderId="33" xfId="4" applyBorder="1" applyAlignment="1" applyProtection="1">
      <alignment horizontal="center" vertical="center"/>
    </xf>
    <xf numFmtId="0" fontId="54" fillId="0" borderId="3" xfId="2" applyFont="1" applyFill="1" applyBorder="1" applyAlignment="1" applyProtection="1">
      <alignment horizontal="center" vertical="center"/>
      <protection locked="0"/>
    </xf>
    <xf numFmtId="0" fontId="54" fillId="0" borderId="19" xfId="2" applyFont="1" applyFill="1" applyBorder="1" applyAlignment="1" applyProtection="1">
      <alignment horizontal="center" vertical="center"/>
      <protection locked="0"/>
    </xf>
    <xf numFmtId="0" fontId="54" fillId="0" borderId="18" xfId="2" applyFont="1" applyFill="1" applyBorder="1" applyAlignment="1" applyProtection="1">
      <alignment horizontal="center" vertical="center"/>
      <protection locked="0"/>
    </xf>
    <xf numFmtId="0" fontId="56" fillId="0" borderId="3" xfId="5" applyFont="1" applyBorder="1" applyAlignment="1" applyProtection="1">
      <alignment horizontal="center" vertical="center"/>
      <protection locked="0"/>
    </xf>
    <xf numFmtId="0" fontId="56" fillId="0" borderId="8" xfId="5" applyFont="1" applyBorder="1" applyAlignment="1" applyProtection="1">
      <alignment horizontal="center" vertical="center"/>
      <protection locked="0"/>
    </xf>
    <xf numFmtId="0" fontId="56" fillId="0" borderId="2" xfId="5" applyFont="1" applyBorder="1" applyAlignment="1" applyProtection="1">
      <alignment horizontal="center" vertical="center"/>
      <protection locked="0"/>
    </xf>
    <xf numFmtId="0" fontId="54" fillId="0" borderId="2" xfId="2" applyFont="1" applyFill="1" applyBorder="1" applyAlignment="1" applyProtection="1">
      <alignment horizontal="center" vertical="center"/>
      <protection locked="0"/>
    </xf>
    <xf numFmtId="0" fontId="9" fillId="2" borderId="0" xfId="0" applyFont="1" applyFill="1" applyAlignment="1">
      <alignment horizontal="center"/>
    </xf>
    <xf numFmtId="0" fontId="43" fillId="9" borderId="4" xfId="4" applyBorder="1" applyAlignment="1">
      <alignment horizontal="center"/>
    </xf>
    <xf numFmtId="0" fontId="43" fillId="9" borderId="5" xfId="4" applyBorder="1" applyAlignment="1">
      <alignment horizontal="center"/>
    </xf>
    <xf numFmtId="0" fontId="43" fillId="9" borderId="6" xfId="4" applyBorder="1" applyAlignment="1">
      <alignment horizontal="center"/>
    </xf>
    <xf numFmtId="0" fontId="43" fillId="9" borderId="3" xfId="4" applyBorder="1" applyAlignment="1">
      <alignment horizontal="center"/>
    </xf>
    <xf numFmtId="0" fontId="43" fillId="9" borderId="8" xfId="4" applyBorder="1" applyAlignment="1">
      <alignment horizontal="center"/>
    </xf>
    <xf numFmtId="0" fontId="43" fillId="9" borderId="2" xfId="4" applyBorder="1" applyAlignment="1">
      <alignment horizontal="center"/>
    </xf>
    <xf numFmtId="0" fontId="43" fillId="9" borderId="57" xfId="4" applyBorder="1" applyAlignment="1">
      <alignment horizontal="center" vertical="center" textRotation="255" shrinkToFit="1"/>
    </xf>
    <xf numFmtId="0" fontId="43" fillId="9" borderId="33" xfId="4" applyBorder="1" applyAlignment="1">
      <alignment horizontal="center" vertical="center" textRotation="255" shrinkToFit="1"/>
    </xf>
    <xf numFmtId="0" fontId="43" fillId="9" borderId="71" xfId="4" applyBorder="1" applyAlignment="1">
      <alignment horizontal="center" vertical="center" textRotation="255" shrinkToFit="1"/>
    </xf>
    <xf numFmtId="0" fontId="8" fillId="2" borderId="0" xfId="0" applyFont="1" applyFill="1" applyAlignment="1">
      <alignment horizontal="center"/>
    </xf>
    <xf numFmtId="0" fontId="0" fillId="2" borderId="0" xfId="0" applyFill="1" applyAlignment="1">
      <alignment horizontal="center"/>
    </xf>
  </cellXfs>
  <cellStyles count="38">
    <cellStyle name="Calculation" xfId="22" builtinId="22"/>
    <cellStyle name="Currency" xfId="1" builtinId="4"/>
    <cellStyle name="Currency 2" xfId="9" xr:uid="{00000000-0005-0000-0000-000033000000}"/>
    <cellStyle name="Currency 2 2" xfId="18" xr:uid="{3AC60ED2-3E11-4ED2-850F-09DD3CA73A44}"/>
    <cellStyle name="Currency 2 2 2" xfId="34" xr:uid="{4585B7C0-CE51-47AC-9949-239BA6B5C3DE}"/>
    <cellStyle name="Currency 2 3" xfId="27" xr:uid="{DB607A25-FBCE-471E-9574-FAEC9636BB6B}"/>
    <cellStyle name="Currency 3" xfId="15" xr:uid="{89718063-410C-4B4A-8F54-5E17A7188305}"/>
    <cellStyle name="Currency 3 2" xfId="31" xr:uid="{B039CAD6-3CDE-4527-AE72-A6777587B91C}"/>
    <cellStyle name="Currency 4" xfId="24" xr:uid="{87242991-534E-46CF-B2AD-C04BFCA829ED}"/>
    <cellStyle name="Good" xfId="2" builtinId="26"/>
    <cellStyle name="Hyperlink" xfId="23" builtinId="8"/>
    <cellStyle name="Input" xfId="3" builtinId="20"/>
    <cellStyle name="Neutral" xfId="4" builtinId="28"/>
    <cellStyle name="Normal" xfId="0" builtinId="0"/>
    <cellStyle name="Normal 2" xfId="5" xr:uid="{00000000-0005-0000-0000-000005000000}"/>
    <cellStyle name="Normal 3" xfId="6" xr:uid="{00000000-0005-0000-0000-000006000000}"/>
    <cellStyle name="Normal 3 2" xfId="8" xr:uid="{00000000-0005-0000-0000-000007000000}"/>
    <cellStyle name="Normal 3 2 2" xfId="11" xr:uid="{00000000-0005-0000-0000-000007000000}"/>
    <cellStyle name="Normal 3 2 2 2" xfId="20" xr:uid="{5A2F4F60-AC03-49F8-B128-01ECFF123C02}"/>
    <cellStyle name="Normal 3 2 2 2 2" xfId="36" xr:uid="{71C7EEA2-1029-4D5F-9B31-BAFC62D46442}"/>
    <cellStyle name="Normal 3 2 2 3" xfId="29" xr:uid="{FC06BFFB-AA17-4987-89C3-65CD31FF962C}"/>
    <cellStyle name="Normal 3 2 3" xfId="17" xr:uid="{5C9C1F9D-D90E-4889-9D66-AE04CFBB8D8F}"/>
    <cellStyle name="Normal 3 2 3 2" xfId="33" xr:uid="{FC0F17AA-1E9B-4F1C-AD34-C4F5AC370FD6}"/>
    <cellStyle name="Normal 3 2 4" xfId="26" xr:uid="{A6C1F21C-785C-4195-B90F-ED5EF9A9CBE6}"/>
    <cellStyle name="Normal 3 2_Bill" xfId="13" xr:uid="{24A80AFE-1C36-4B0E-BF6B-DEE90EDCD653}"/>
    <cellStyle name="Normal 3 3" xfId="10" xr:uid="{00000000-0005-0000-0000-000006000000}"/>
    <cellStyle name="Normal 3 3 2" xfId="19" xr:uid="{F9E31565-36EC-4A1A-B40D-B3CED62A0862}"/>
    <cellStyle name="Normal 3 3 2 2" xfId="35" xr:uid="{422BA5CE-62FC-4647-857B-2DE13AEF22B5}"/>
    <cellStyle name="Normal 3 3 3" xfId="28" xr:uid="{0CC9641B-0093-4355-833F-84D2698901FD}"/>
    <cellStyle name="Normal 3 4" xfId="16" xr:uid="{2A138743-B5E5-4283-BC3A-91CD2BBC8008}"/>
    <cellStyle name="Normal 3 4 2" xfId="32" xr:uid="{4965DDE1-61AA-447E-B242-442497F741F9}"/>
    <cellStyle name="Normal 3 5" xfId="25" xr:uid="{E1CBF83A-2B04-455A-8B38-6F6D2839BA43}"/>
    <cellStyle name="Normal 3_Bill" xfId="12" xr:uid="{DC9CC749-360C-4631-94D4-2E1335C6A714}"/>
    <cellStyle name="Normal 4" xfId="14" xr:uid="{A673CCF7-025B-4CC9-909B-8C98160C587E}"/>
    <cellStyle name="Normal 4 2" xfId="21" xr:uid="{236BBD30-CCDE-4CAF-913F-E3520C58E409}"/>
    <cellStyle name="Normal 4 2 2" xfId="37" xr:uid="{62D550F1-C637-4D41-BCA8-A1752CC6FB3C}"/>
    <cellStyle name="Normal 4 3" xfId="30" xr:uid="{3D0D704D-B57F-4599-9936-CB9B2D7BB5A0}"/>
    <cellStyle name="Note 2" xfId="7" xr:uid="{00000000-0005-0000-0000-000009000000}"/>
  </cellStyles>
  <dxfs count="287">
    <dxf>
      <alignment horizontal="center" vertical="center" textRotation="0" wrapText="0" indent="0" justifyLastLine="0" shrinkToFit="0" readingOrder="0"/>
      <border diagonalUp="0" diagonalDown="0" outline="0">
        <left style="medium">
          <color indexed="64"/>
        </left>
        <right/>
        <top style="thin">
          <color indexed="64"/>
        </top>
        <bottom style="thin">
          <color indexed="64"/>
        </bottom>
      </border>
      <protection locked="1" hidden="1"/>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1"/>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0" hidden="1"/>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1"/>
    </dxf>
    <dxf>
      <numFmt numFmtId="2" formatCode="0.00"/>
      <alignment horizontal="center" vertical="center" textRotation="0" wrapText="0" indent="0" justifyLastLine="0" shrinkToFit="0" readingOrder="0"/>
      <border diagonalUp="0" diagonalDown="0" outline="0">
        <left/>
        <right style="thin">
          <color indexed="64"/>
        </right>
        <top style="thin">
          <color indexed="64"/>
        </top>
        <bottom/>
      </border>
      <protection locked="0" hidden="1"/>
    </dxf>
    <dxf>
      <font>
        <b/>
        <i val="0"/>
        <strike val="0"/>
        <condense val="0"/>
        <extend val="0"/>
        <outline val="0"/>
        <shadow val="0"/>
        <u val="none"/>
        <vertAlign val="baseline"/>
        <sz val="10"/>
        <color auto="1"/>
        <name val="Arial"/>
        <scheme val="none"/>
      </font>
      <alignment horizontal="center" vertical="center" textRotation="0" wrapText="0" indent="0" justifyLastLine="0" shrinkToFit="0" readingOrder="0"/>
      <border diagonalUp="0" diagonalDown="0" outline="0">
        <left/>
        <right style="medium">
          <color indexed="64"/>
        </right>
        <top style="thin">
          <color indexed="64"/>
        </top>
        <bottom/>
      </border>
      <protection locked="0" hidden="1"/>
    </dxf>
    <dxf>
      <border outline="0">
        <left style="medium">
          <color indexed="64"/>
        </left>
        <right style="medium">
          <color indexed="64"/>
        </right>
        <top style="medium">
          <color indexed="64"/>
        </top>
        <bottom style="medium">
          <color indexed="64"/>
        </bottom>
      </border>
    </dxf>
    <dxf>
      <alignment horizontal="center" vertical="center" textRotation="0" wrapText="0" indent="0" justifyLastLine="0" shrinkToFit="0" readingOrder="0"/>
    </dxf>
    <dxf>
      <border outline="0">
        <bottom style="thin">
          <color indexed="64"/>
        </bottom>
      </border>
    </dxf>
    <dxf>
      <alignment horizontal="center" vertical="center" textRotation="0" wrapText="0" indent="0" justifyLastLine="0" shrinkToFit="0" readingOrder="0"/>
    </dxf>
    <dxf>
      <alignment horizontal="center" vertical="center" textRotation="0" wrapText="0" indent="0" justifyLastLine="0" shrinkToFit="0" readingOrder="0"/>
      <border diagonalUp="0" diagonalDown="0" outline="0">
        <left style="medium">
          <color indexed="64"/>
        </left>
        <right/>
        <top style="thin">
          <color indexed="64"/>
        </top>
        <bottom style="thin">
          <color indexed="64"/>
        </bottom>
      </border>
      <protection locked="1" hidden="1"/>
    </dxf>
    <dxf>
      <alignment horizontal="center" vertical="center" textRotation="0" wrapText="0" indent="0" justifyLastLine="0" shrinkToFit="0" readingOrder="0"/>
      <border diagonalUp="0" diagonalDown="0" outline="0">
        <left style="thin">
          <color indexed="64"/>
        </left>
        <right/>
        <top style="thin">
          <color indexed="64"/>
        </top>
        <bottom style="thin">
          <color indexed="64"/>
        </bottom>
      </border>
      <protection locked="1" hidden="1"/>
    </dxf>
    <dxf>
      <font>
        <strike val="0"/>
        <outline val="0"/>
        <shadow val="0"/>
        <u val="none"/>
        <vertAlign val="baseline"/>
        <sz val="11"/>
        <color auto="1"/>
        <name val="Arial"/>
        <family val="2"/>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0" hidden="1"/>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1"/>
    </dxf>
    <dxf>
      <font>
        <strike val="0"/>
        <outline val="0"/>
        <shadow val="0"/>
        <u val="none"/>
        <vertAlign val="baseline"/>
        <sz val="11"/>
        <color auto="1"/>
        <name val="Arial"/>
        <family val="2"/>
        <scheme val="none"/>
      </font>
      <numFmt numFmtId="2" formatCode="0.00"/>
      <alignment horizontal="center" vertical="center" textRotation="0" wrapText="0" indent="0" justifyLastLine="0" shrinkToFit="0" readingOrder="0"/>
      <border diagonalUp="0" diagonalDown="0" outline="0">
        <left/>
        <right style="thin">
          <color indexed="64"/>
        </right>
        <top style="thin">
          <color indexed="64"/>
        </top>
        <bottom/>
      </border>
      <protection locked="0" hidden="1"/>
    </dxf>
    <dxf>
      <font>
        <b/>
        <i val="0"/>
        <strike val="0"/>
        <condense val="0"/>
        <extend val="0"/>
        <outline val="0"/>
        <shadow val="0"/>
        <u val="none"/>
        <vertAlign val="baseline"/>
        <sz val="10"/>
        <color auto="1"/>
        <name val="Arial"/>
        <scheme val="none"/>
      </font>
      <alignment horizontal="center" vertical="center" textRotation="0" wrapText="0" indent="0" justifyLastLine="0" shrinkToFit="0" readingOrder="0"/>
      <border diagonalUp="0" diagonalDown="0" outline="0">
        <left/>
        <right/>
        <top style="thin">
          <color indexed="64"/>
        </top>
        <bottom/>
      </border>
      <protection locked="0" hidden="1"/>
    </dxf>
    <dxf>
      <border outline="0">
        <left style="medium">
          <color indexed="64"/>
        </left>
        <right style="medium">
          <color indexed="64"/>
        </right>
        <bottom style="medium">
          <color indexed="64"/>
        </bottom>
      </border>
    </dxf>
    <dxf>
      <alignment horizontal="center" vertical="center" textRotation="0" wrapText="0" indent="0" justifyLastLine="0" shrinkToFit="0" readingOrder="0"/>
    </dxf>
    <dxf>
      <border outline="0">
        <bottom style="thin">
          <color indexed="64"/>
        </bottom>
      </border>
    </dxf>
    <dxf>
      <alignment horizontal="center" vertical="center" textRotation="0" wrapText="0" indent="0" justifyLastLine="0" shrinkToFit="0" readingOrder="0"/>
    </dxf>
    <dxf>
      <font>
        <strike val="0"/>
        <outline val="0"/>
        <shadow val="0"/>
        <u val="none"/>
        <vertAlign val="baseline"/>
        <sz val="11"/>
      </font>
      <numFmt numFmtId="2" formatCode="0.00"/>
      <alignment horizontal="center" vertical="center" textRotation="0" wrapText="0" indent="0" justifyLastLine="0" shrinkToFit="0" readingOrder="0"/>
      <border diagonalUp="0" diagonalDown="0">
        <left style="medium">
          <color indexed="64"/>
        </left>
        <right/>
        <top style="thin">
          <color indexed="64"/>
        </top>
        <bottom style="thin">
          <color indexed="64"/>
        </bottom>
      </border>
      <protection locked="1" hidden="0"/>
    </dxf>
    <dxf>
      <font>
        <strike val="0"/>
        <outline val="0"/>
        <shadow val="0"/>
        <u val="none"/>
        <vertAlign val="baseline"/>
        <sz val="11"/>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strike val="0"/>
        <outline val="0"/>
        <shadow val="0"/>
        <u val="none"/>
        <vertAlign val="baseline"/>
        <sz val="11"/>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0" hidden="0"/>
    </dxf>
    <dxf>
      <font>
        <strike val="0"/>
        <outline val="0"/>
        <shadow val="0"/>
        <u val="none"/>
        <vertAlign val="baseline"/>
        <sz val="11"/>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strike val="0"/>
        <outline val="0"/>
        <shadow val="0"/>
        <u val="none"/>
        <vertAlign val="baseline"/>
        <sz val="11"/>
      </font>
      <numFmt numFmtId="2" formatCode="0.00"/>
      <alignment horizontal="center" vertical="center" textRotation="0" wrapText="0" indent="0" justifyLastLine="0" shrinkToFit="0" readingOrder="0"/>
      <border diagonalUp="0" diagonalDown="0" outline="0">
        <left/>
        <right style="thin">
          <color indexed="64"/>
        </right>
        <top style="thin">
          <color indexed="64"/>
        </top>
        <bottom/>
      </border>
      <protection locked="0" hidden="0"/>
    </dxf>
    <dxf>
      <font>
        <b/>
        <i val="0"/>
        <strike val="0"/>
        <condense val="0"/>
        <extend val="0"/>
        <outline val="0"/>
        <shadow val="0"/>
        <u val="none"/>
        <vertAlign val="baseline"/>
        <sz val="11"/>
        <color auto="1"/>
        <name val="Arial"/>
        <scheme val="none"/>
      </font>
      <alignment horizontal="center" vertical="center" textRotation="0" wrapText="0" indent="0" justifyLastLine="0" shrinkToFit="0" readingOrder="0"/>
      <border diagonalUp="0" diagonalDown="0" outline="0">
        <left/>
        <right style="medium">
          <color indexed="64"/>
        </right>
        <top style="thin">
          <color indexed="64"/>
        </top>
        <bottom/>
      </border>
      <protection locked="0" hidden="0"/>
    </dxf>
    <dxf>
      <border outline="0">
        <left style="medium">
          <color indexed="64"/>
        </left>
        <right style="medium">
          <color indexed="64"/>
        </right>
        <top style="medium">
          <color indexed="64"/>
        </top>
        <bottom style="medium">
          <color indexed="64"/>
        </bottom>
      </border>
    </dxf>
    <dxf>
      <font>
        <strike val="0"/>
        <outline val="0"/>
        <shadow val="0"/>
        <u val="none"/>
        <vertAlign val="baseline"/>
        <sz val="11"/>
      </font>
      <alignment horizontal="center" vertical="center" textRotation="0" wrapText="0" indent="0" justifyLastLine="0" shrinkToFit="0" readingOrder="0"/>
    </dxf>
    <dxf>
      <border outline="0">
        <bottom style="thin">
          <color indexed="64"/>
        </bottom>
      </border>
    </dxf>
    <dxf>
      <font>
        <strike val="0"/>
        <outline val="0"/>
        <shadow val="0"/>
        <u val="none"/>
        <vertAlign val="baseline"/>
        <sz val="11"/>
      </font>
      <alignment horizontal="center" vertical="center" textRotation="0" wrapText="0" indent="0" justifyLastLine="0" shrinkToFit="0" readingOrder="0"/>
    </dxf>
    <dxf>
      <font>
        <strike val="0"/>
        <outline val="0"/>
        <shadow val="0"/>
        <u val="none"/>
        <vertAlign val="baseline"/>
        <sz val="11"/>
      </font>
      <alignment horizontal="center" vertical="center" textRotation="0" wrapText="0" indent="0" justifyLastLine="0" shrinkToFit="0" readingOrder="0"/>
      <border diagonalUp="0" diagonalDown="0" outline="0">
        <left style="medium">
          <color indexed="64"/>
        </left>
        <right/>
        <top style="thin">
          <color indexed="64"/>
        </top>
        <bottom style="thin">
          <color indexed="64"/>
        </bottom>
      </border>
      <protection locked="1" hidden="0"/>
    </dxf>
    <dxf>
      <font>
        <strike val="0"/>
        <outline val="0"/>
        <shadow val="0"/>
        <u val="none"/>
        <vertAlign val="baseline"/>
        <sz val="11"/>
      </font>
      <alignment horizontal="center" vertical="center" textRotation="0" wrapText="0" indent="0" justifyLastLine="0" shrinkToFit="0" readingOrder="0"/>
      <border diagonalUp="0" diagonalDown="0" outline="0">
        <left style="thin">
          <color indexed="64"/>
        </left>
        <right/>
        <top style="thin">
          <color indexed="64"/>
        </top>
        <bottom style="thin">
          <color indexed="64"/>
        </bottom>
      </border>
      <protection locked="1" hidden="0"/>
    </dxf>
    <dxf>
      <font>
        <strike val="0"/>
        <outline val="0"/>
        <shadow val="0"/>
        <u val="none"/>
        <vertAlign val="baseline"/>
        <sz val="11"/>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0" hidden="0"/>
    </dxf>
    <dxf>
      <font>
        <strike val="0"/>
        <outline val="0"/>
        <shadow val="0"/>
        <u val="none"/>
        <vertAlign val="baseline"/>
        <sz val="11"/>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strike val="0"/>
        <outline val="0"/>
        <shadow val="0"/>
        <u val="none"/>
        <vertAlign val="baseline"/>
        <sz val="11"/>
      </font>
      <numFmt numFmtId="2" formatCode="0.00"/>
      <alignment horizontal="center" vertical="center" textRotation="0" wrapText="0" indent="0" justifyLastLine="0" shrinkToFit="0" readingOrder="0"/>
      <border diagonalUp="0" diagonalDown="0" outline="0">
        <left/>
        <right style="thin">
          <color indexed="64"/>
        </right>
        <top style="thin">
          <color indexed="64"/>
        </top>
        <bottom/>
      </border>
      <protection locked="0" hidden="0"/>
    </dxf>
    <dxf>
      <font>
        <b/>
        <i val="0"/>
        <strike val="0"/>
        <condense val="0"/>
        <extend val="0"/>
        <outline val="0"/>
        <shadow val="0"/>
        <u val="none"/>
        <vertAlign val="baseline"/>
        <sz val="11"/>
        <color auto="1"/>
        <name val="Arial"/>
        <scheme val="none"/>
      </font>
      <alignment horizontal="center" vertical="center" textRotation="0" wrapText="0" indent="0" justifyLastLine="0" shrinkToFit="0" readingOrder="0"/>
      <border diagonalUp="0" diagonalDown="0">
        <left/>
        <right style="medium">
          <color indexed="64"/>
        </right>
        <top style="thin">
          <color indexed="64"/>
        </top>
        <bottom style="thin">
          <color indexed="64"/>
        </bottom>
        <vertical/>
        <horizontal/>
      </border>
      <protection locked="0" hidden="0"/>
    </dxf>
    <dxf>
      <border outline="0">
        <left style="medium">
          <color indexed="64"/>
        </left>
        <right style="medium">
          <color indexed="64"/>
        </right>
        <bottom style="medium">
          <color indexed="64"/>
        </bottom>
      </border>
    </dxf>
    <dxf>
      <font>
        <strike val="0"/>
        <outline val="0"/>
        <shadow val="0"/>
        <u val="none"/>
        <vertAlign val="baseline"/>
        <sz val="11"/>
      </font>
      <alignment horizontal="center" vertical="center" textRotation="0" wrapText="0" indent="0" justifyLastLine="0" shrinkToFit="0" readingOrder="0"/>
    </dxf>
    <dxf>
      <border outline="0">
        <bottom style="thin">
          <color indexed="64"/>
        </bottom>
      </border>
    </dxf>
    <dxf>
      <font>
        <strike val="0"/>
        <outline val="0"/>
        <shadow val="0"/>
        <u val="none"/>
        <vertAlign val="baseline"/>
        <sz val="11"/>
      </font>
      <alignment horizontal="center" vertical="center" textRotation="0" wrapText="0" indent="0" justifyLastLine="0" shrinkToFit="0" readingOrder="0"/>
    </dxf>
    <dxf>
      <font>
        <strike val="0"/>
        <outline val="0"/>
        <shadow val="0"/>
        <u val="none"/>
        <vertAlign val="baseline"/>
        <sz val="11"/>
      </font>
      <numFmt numFmtId="2" formatCode="0.00"/>
      <alignment horizontal="center" vertical="center" textRotation="0" wrapText="0" indent="0" justifyLastLine="0" shrinkToFit="0" readingOrder="0"/>
      <border diagonalUp="0" diagonalDown="0">
        <left style="medium">
          <color indexed="64"/>
        </left>
        <right/>
        <top style="thin">
          <color indexed="64"/>
        </top>
        <bottom style="thin">
          <color indexed="64"/>
        </bottom>
      </border>
      <protection locked="1" hidden="0"/>
    </dxf>
    <dxf>
      <font>
        <strike val="0"/>
        <outline val="0"/>
        <shadow val="0"/>
        <u val="none"/>
        <vertAlign val="baseline"/>
        <sz val="11"/>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strike val="0"/>
        <outline val="0"/>
        <shadow val="0"/>
        <u val="none"/>
        <vertAlign val="baseline"/>
        <sz val="11"/>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0" hidden="0"/>
    </dxf>
    <dxf>
      <font>
        <strike val="0"/>
        <outline val="0"/>
        <shadow val="0"/>
        <u val="none"/>
        <vertAlign val="baseline"/>
        <sz val="11"/>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strike val="0"/>
        <outline val="0"/>
        <shadow val="0"/>
        <u val="none"/>
        <vertAlign val="baseline"/>
        <sz val="11"/>
      </font>
      <numFmt numFmtId="2" formatCode="0.00"/>
      <alignment horizontal="center" vertical="center" textRotation="0" wrapText="0" indent="0" justifyLastLine="0" shrinkToFit="0" readingOrder="0"/>
      <border diagonalUp="0" diagonalDown="0" outline="0">
        <left/>
        <right style="thin">
          <color indexed="64"/>
        </right>
        <top style="thin">
          <color indexed="64"/>
        </top>
        <bottom/>
      </border>
      <protection locked="0" hidden="0"/>
    </dxf>
    <dxf>
      <font>
        <b/>
        <i val="0"/>
        <strike val="0"/>
        <condense val="0"/>
        <extend val="0"/>
        <outline val="0"/>
        <shadow val="0"/>
        <u val="none"/>
        <vertAlign val="baseline"/>
        <sz val="11"/>
        <color auto="1"/>
        <name val="Arial"/>
        <scheme val="none"/>
      </font>
      <alignment horizontal="center" vertical="center" textRotation="0" wrapText="0" indent="0" justifyLastLine="0" shrinkToFit="0" readingOrder="0"/>
      <border diagonalUp="0" diagonalDown="0" outline="0">
        <left/>
        <right style="medium">
          <color indexed="64"/>
        </right>
        <top style="thin">
          <color indexed="64"/>
        </top>
        <bottom/>
      </border>
      <protection locked="0" hidden="0"/>
    </dxf>
    <dxf>
      <border outline="0">
        <left style="medium">
          <color indexed="64"/>
        </left>
        <right style="medium">
          <color indexed="64"/>
        </right>
        <top style="medium">
          <color indexed="64"/>
        </top>
        <bottom style="medium">
          <color indexed="64"/>
        </bottom>
      </border>
    </dxf>
    <dxf>
      <font>
        <strike val="0"/>
        <outline val="0"/>
        <shadow val="0"/>
        <u val="none"/>
        <vertAlign val="baseline"/>
        <sz val="11"/>
      </font>
      <alignment horizontal="center" vertical="center" textRotation="0" wrapText="0" indent="0" justifyLastLine="0" shrinkToFit="0" readingOrder="0"/>
    </dxf>
    <dxf>
      <border outline="0">
        <bottom style="thin">
          <color indexed="64"/>
        </bottom>
      </border>
    </dxf>
    <dxf>
      <font>
        <strike val="0"/>
        <outline val="0"/>
        <shadow val="0"/>
        <u val="none"/>
        <vertAlign val="baseline"/>
        <sz val="11"/>
      </font>
      <alignment horizontal="center" vertical="center" textRotation="0" wrapText="0" indent="0" justifyLastLine="0" shrinkToFit="0" readingOrder="0"/>
    </dxf>
    <dxf>
      <font>
        <strike val="0"/>
        <outline val="0"/>
        <shadow val="0"/>
        <u val="none"/>
        <vertAlign val="baseline"/>
        <sz val="11"/>
      </font>
      <alignment horizontal="center" vertical="center" textRotation="0" wrapText="0" indent="0" justifyLastLine="0" shrinkToFit="0" readingOrder="0"/>
      <border diagonalUp="0" diagonalDown="0" outline="0">
        <left style="medium">
          <color indexed="64"/>
        </left>
        <right/>
        <top style="thin">
          <color indexed="64"/>
        </top>
        <bottom style="thin">
          <color indexed="64"/>
        </bottom>
      </border>
      <protection locked="1" hidden="0"/>
    </dxf>
    <dxf>
      <font>
        <strike val="0"/>
        <outline val="0"/>
        <shadow val="0"/>
        <u val="none"/>
        <vertAlign val="baseline"/>
        <sz val="11"/>
      </font>
      <alignment horizontal="center" vertical="center" textRotation="0" wrapText="0" indent="0" justifyLastLine="0" shrinkToFit="0" readingOrder="0"/>
      <border diagonalUp="0" diagonalDown="0" outline="0">
        <left style="thin">
          <color indexed="64"/>
        </left>
        <right/>
        <top style="thin">
          <color indexed="64"/>
        </top>
        <bottom style="thin">
          <color indexed="64"/>
        </bottom>
      </border>
      <protection locked="1" hidden="0"/>
    </dxf>
    <dxf>
      <font>
        <strike val="0"/>
        <outline val="0"/>
        <shadow val="0"/>
        <u val="none"/>
        <vertAlign val="baseline"/>
        <sz val="11"/>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0" hidden="0"/>
    </dxf>
    <dxf>
      <font>
        <strike val="0"/>
        <outline val="0"/>
        <shadow val="0"/>
        <u val="none"/>
        <vertAlign val="baseline"/>
        <sz val="11"/>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strike val="0"/>
        <outline val="0"/>
        <shadow val="0"/>
        <u val="none"/>
        <vertAlign val="baseline"/>
        <sz val="11"/>
      </font>
      <numFmt numFmtId="2" formatCode="0.00"/>
      <alignment horizontal="center" vertical="center" textRotation="0" wrapText="0" indent="0" justifyLastLine="0" shrinkToFit="0" readingOrder="0"/>
      <border diagonalUp="0" diagonalDown="0" outline="0">
        <left/>
        <right style="thin">
          <color indexed="64"/>
        </right>
        <top style="thin">
          <color indexed="64"/>
        </top>
        <bottom/>
      </border>
      <protection locked="0" hidden="0"/>
    </dxf>
    <dxf>
      <font>
        <b/>
        <i val="0"/>
        <strike val="0"/>
        <condense val="0"/>
        <extend val="0"/>
        <outline val="0"/>
        <shadow val="0"/>
        <u val="none"/>
        <vertAlign val="baseline"/>
        <sz val="11"/>
        <color auto="1"/>
        <name val="Arial"/>
        <scheme val="none"/>
      </font>
      <alignment horizontal="center" vertical="center" textRotation="0" wrapText="0" indent="0" justifyLastLine="0" shrinkToFit="0" readingOrder="0"/>
      <border diagonalUp="0" diagonalDown="0">
        <left/>
        <right style="medium">
          <color indexed="64"/>
        </right>
        <top style="thin">
          <color indexed="64"/>
        </top>
        <bottom style="thin">
          <color indexed="64"/>
        </bottom>
        <vertical/>
        <horizontal/>
      </border>
      <protection locked="0" hidden="0"/>
    </dxf>
    <dxf>
      <border outline="0">
        <left style="medium">
          <color indexed="64"/>
        </left>
        <right style="medium">
          <color indexed="64"/>
        </right>
        <bottom style="medium">
          <color indexed="64"/>
        </bottom>
      </border>
    </dxf>
    <dxf>
      <font>
        <strike val="0"/>
        <outline val="0"/>
        <shadow val="0"/>
        <u val="none"/>
        <vertAlign val="baseline"/>
        <sz val="11"/>
      </font>
      <alignment horizontal="center" vertical="center" textRotation="0" wrapText="0" indent="0" justifyLastLine="0" shrinkToFit="0" readingOrder="0"/>
    </dxf>
    <dxf>
      <border outline="0">
        <bottom style="thin">
          <color indexed="64"/>
        </bottom>
      </border>
    </dxf>
    <dxf>
      <font>
        <strike val="0"/>
        <outline val="0"/>
        <shadow val="0"/>
        <u val="none"/>
        <vertAlign val="baseline"/>
        <sz val="11"/>
      </font>
      <alignment horizontal="center" vertical="center" textRotation="0" wrapText="0" indent="0" justifyLastLine="0" shrinkToFit="0" readingOrder="0"/>
    </dxf>
    <dxf>
      <alignment horizontal="center" vertical="center" textRotation="0" wrapText="0" indent="0" justifyLastLine="0" shrinkToFit="0" readingOrder="0"/>
      <border diagonalUp="0" diagonalDown="0" outline="0">
        <left style="medium">
          <color indexed="64"/>
        </left>
        <right/>
        <top style="thin">
          <color indexed="64"/>
        </top>
        <bottom style="thin">
          <color indexed="64"/>
        </bottom>
      </border>
      <protection locked="1" hidden="1"/>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1"/>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0" hidden="1"/>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1"/>
    </dxf>
    <dxf>
      <numFmt numFmtId="2" formatCode="0.00"/>
      <alignment horizontal="center" vertical="center" textRotation="0" wrapText="0" indent="0" justifyLastLine="0" shrinkToFit="0" readingOrder="0"/>
      <border diagonalUp="0" diagonalDown="0" outline="0">
        <left/>
        <right style="thin">
          <color indexed="64"/>
        </right>
        <top style="thin">
          <color indexed="64"/>
        </top>
        <bottom/>
      </border>
      <protection locked="0" hidden="1"/>
    </dxf>
    <dxf>
      <font>
        <b/>
        <i val="0"/>
        <strike val="0"/>
        <condense val="0"/>
        <extend val="0"/>
        <outline val="0"/>
        <shadow val="0"/>
        <u val="none"/>
        <vertAlign val="baseline"/>
        <sz val="10"/>
        <color auto="1"/>
        <name val="Arial"/>
        <scheme val="none"/>
      </font>
      <alignment horizontal="center" vertical="center" textRotation="0" wrapText="0" indent="0" justifyLastLine="0" shrinkToFit="0" readingOrder="0"/>
      <border diagonalUp="0" diagonalDown="0" outline="0">
        <left/>
        <right style="medium">
          <color indexed="64"/>
        </right>
        <top style="thin">
          <color indexed="64"/>
        </top>
        <bottom/>
      </border>
      <protection locked="0" hidden="1"/>
    </dxf>
    <dxf>
      <border outline="0">
        <left style="medium">
          <color indexed="64"/>
        </left>
        <right style="medium">
          <color indexed="64"/>
        </right>
        <top style="medium">
          <color indexed="64"/>
        </top>
        <bottom style="medium">
          <color indexed="64"/>
        </bottom>
      </border>
    </dxf>
    <dxf>
      <alignment horizontal="center" vertical="center" textRotation="0" wrapText="0" indent="0" justifyLastLine="0" shrinkToFit="0" readingOrder="0"/>
    </dxf>
    <dxf>
      <border outline="0">
        <bottom style="thin">
          <color indexed="64"/>
        </bottom>
      </border>
    </dxf>
    <dxf>
      <alignment horizontal="center" vertical="center" textRotation="0" wrapText="0" indent="0" justifyLastLine="0" shrinkToFit="0" readingOrder="0"/>
    </dxf>
    <dxf>
      <alignment horizontal="center" vertical="center" textRotation="0" wrapText="0" indent="0" justifyLastLine="0" shrinkToFit="0" readingOrder="0"/>
      <border diagonalUp="0" diagonalDown="0" outline="0">
        <left style="medium">
          <color indexed="64"/>
        </left>
        <right/>
        <top style="thin">
          <color indexed="64"/>
        </top>
        <bottom style="thin">
          <color indexed="64"/>
        </bottom>
      </border>
      <protection locked="1" hidden="1"/>
    </dxf>
    <dxf>
      <alignment horizontal="center" vertical="center" textRotation="0" wrapText="0" indent="0" justifyLastLine="0" shrinkToFit="0" readingOrder="0"/>
      <border diagonalUp="0" diagonalDown="0" outline="0">
        <left style="thin">
          <color indexed="64"/>
        </left>
        <right/>
        <top style="thin">
          <color indexed="64"/>
        </top>
        <bottom style="thin">
          <color indexed="64"/>
        </bottom>
      </border>
      <protection locked="1" hidden="1"/>
    </dxf>
    <dxf>
      <font>
        <strike val="0"/>
        <outline val="0"/>
        <shadow val="0"/>
        <u val="none"/>
        <vertAlign val="baseline"/>
        <sz val="11"/>
        <color auto="1"/>
        <name val="Arial"/>
        <family val="2"/>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0" hidden="1"/>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1"/>
    </dxf>
    <dxf>
      <font>
        <strike val="0"/>
        <outline val="0"/>
        <shadow val="0"/>
        <u val="none"/>
        <vertAlign val="baseline"/>
        <sz val="11"/>
        <color auto="1"/>
        <name val="Arial"/>
        <family val="2"/>
        <scheme val="none"/>
      </font>
      <numFmt numFmtId="2" formatCode="0.00"/>
      <alignment horizontal="center" vertical="center" textRotation="0" wrapText="0" indent="0" justifyLastLine="0" shrinkToFit="0" readingOrder="0"/>
      <border diagonalUp="0" diagonalDown="0" outline="0">
        <left/>
        <right style="thin">
          <color indexed="64"/>
        </right>
        <top style="thin">
          <color indexed="64"/>
        </top>
        <bottom/>
      </border>
      <protection locked="0" hidden="1"/>
    </dxf>
    <dxf>
      <font>
        <b/>
        <i val="0"/>
        <strike val="0"/>
        <condense val="0"/>
        <extend val="0"/>
        <outline val="0"/>
        <shadow val="0"/>
        <u val="none"/>
        <vertAlign val="baseline"/>
        <sz val="10"/>
        <color auto="1"/>
        <name val="Arial"/>
        <scheme val="none"/>
      </font>
      <alignment horizontal="center" vertical="center" textRotation="0" wrapText="0" indent="0" justifyLastLine="0" shrinkToFit="0" readingOrder="0"/>
      <border diagonalUp="0" diagonalDown="0" outline="0">
        <left/>
        <right/>
        <top style="thin">
          <color indexed="64"/>
        </top>
        <bottom/>
      </border>
      <protection locked="0" hidden="1"/>
    </dxf>
    <dxf>
      <border outline="0">
        <left style="medium">
          <color indexed="64"/>
        </left>
        <right style="medium">
          <color indexed="64"/>
        </right>
        <bottom style="medium">
          <color indexed="64"/>
        </bottom>
      </border>
    </dxf>
    <dxf>
      <alignment horizontal="center" vertical="center" textRotation="0" wrapText="0" indent="0" justifyLastLine="0" shrinkToFit="0" readingOrder="0"/>
    </dxf>
    <dxf>
      <border outline="0">
        <bottom style="thin">
          <color indexed="64"/>
        </bottom>
      </border>
    </dxf>
    <dxf>
      <alignment horizontal="center" vertical="center" textRotation="0" wrapText="0" indent="0" justifyLastLine="0" shrinkToFit="0" readingOrder="0"/>
    </dxf>
    <dxf>
      <alignment horizontal="center" vertical="center" textRotation="0" wrapText="0" indent="0" justifyLastLine="0" shrinkToFit="0" readingOrder="0"/>
      <border diagonalUp="0" diagonalDown="0" outline="0">
        <left style="medium">
          <color indexed="64"/>
        </left>
        <right/>
        <top style="thin">
          <color indexed="64"/>
        </top>
        <bottom style="thin">
          <color indexed="64"/>
        </bottom>
      </border>
      <protection locked="1" hidden="0"/>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0" hidden="0"/>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2" formatCode="0.00"/>
      <alignment horizontal="center" vertical="center" textRotation="0" wrapText="0" indent="0" justifyLastLine="0" shrinkToFit="0" readingOrder="0"/>
      <border diagonalUp="0" diagonalDown="0" outline="0">
        <left/>
        <right style="thin">
          <color indexed="64"/>
        </right>
        <top style="thin">
          <color indexed="64"/>
        </top>
        <bottom/>
      </border>
      <protection locked="0" hidden="0"/>
    </dxf>
    <dxf>
      <font>
        <b/>
        <i val="0"/>
        <strike val="0"/>
        <condense val="0"/>
        <extend val="0"/>
        <outline val="0"/>
        <shadow val="0"/>
        <u val="none"/>
        <vertAlign val="baseline"/>
        <sz val="10"/>
        <color auto="1"/>
        <name val="Arial"/>
        <scheme val="none"/>
      </font>
      <alignment horizontal="center" vertical="center" textRotation="0" wrapText="0" indent="0" justifyLastLine="0" shrinkToFit="0" readingOrder="0"/>
      <border diagonalUp="0" diagonalDown="0" outline="0">
        <left/>
        <right style="medium">
          <color indexed="64"/>
        </right>
        <top style="thin">
          <color indexed="64"/>
        </top>
        <bottom/>
      </border>
      <protection locked="0" hidden="0"/>
    </dxf>
    <dxf>
      <border outline="0">
        <left style="medium">
          <color indexed="64"/>
        </left>
        <right style="medium">
          <color indexed="64"/>
        </right>
        <top style="medium">
          <color indexed="64"/>
        </top>
        <bottom style="medium">
          <color indexed="64"/>
        </bottom>
      </border>
    </dxf>
    <dxf>
      <alignment horizontal="center" vertical="center" textRotation="0" wrapText="0" indent="0" justifyLastLine="0" shrinkToFit="0" readingOrder="0"/>
    </dxf>
    <dxf>
      <border outline="0">
        <bottom style="thin">
          <color indexed="64"/>
        </bottom>
      </border>
    </dxf>
    <dxf>
      <alignment horizontal="center" vertical="center" textRotation="0" wrapText="0" indent="0" justifyLastLine="0" shrinkToFit="0" readingOrder="0"/>
    </dxf>
    <dxf>
      <alignment horizontal="center" vertical="center" textRotation="0" wrapText="0" indent="0" justifyLastLine="0" shrinkToFit="0" readingOrder="0"/>
      <border diagonalUp="0" diagonalDown="0" outline="0">
        <left style="medium">
          <color indexed="64"/>
        </left>
        <right/>
        <top style="thin">
          <color indexed="64"/>
        </top>
        <bottom style="thin">
          <color indexed="64"/>
        </bottom>
      </border>
      <protection locked="1" hidden="0"/>
    </dxf>
    <dxf>
      <alignment horizontal="center" vertical="center" textRotation="0" wrapText="0" indent="0" justifyLastLine="0" shrinkToFit="0" readingOrder="0"/>
      <border diagonalUp="0" diagonalDown="0" outline="0">
        <left style="thin">
          <color indexed="64"/>
        </left>
        <right/>
        <top style="thin">
          <color indexed="64"/>
        </top>
        <bottom style="thin">
          <color indexed="64"/>
        </bottom>
      </border>
      <protection locked="1" hidden="0"/>
    </dxf>
    <dxf>
      <font>
        <strike val="0"/>
        <outline val="0"/>
        <shadow val="0"/>
        <u val="none"/>
        <vertAlign val="baseline"/>
        <sz val="11"/>
        <color auto="1"/>
        <name val="Arial"/>
        <family val="2"/>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0" hidden="0"/>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strike val="0"/>
        <outline val="0"/>
        <shadow val="0"/>
        <u val="none"/>
        <vertAlign val="baseline"/>
        <sz val="11"/>
        <color auto="1"/>
        <name val="Arial"/>
        <family val="2"/>
        <scheme val="none"/>
      </font>
      <numFmt numFmtId="2" formatCode="0.00"/>
      <alignment horizontal="center" vertical="center" textRotation="0" wrapText="0" indent="0" justifyLastLine="0" shrinkToFit="0" readingOrder="0"/>
      <border diagonalUp="0" diagonalDown="0" outline="0">
        <left/>
        <right style="thin">
          <color indexed="64"/>
        </right>
        <top style="thin">
          <color indexed="64"/>
        </top>
        <bottom/>
      </border>
      <protection locked="0" hidden="0"/>
    </dxf>
    <dxf>
      <font>
        <b/>
        <i val="0"/>
        <strike val="0"/>
        <condense val="0"/>
        <extend val="0"/>
        <outline val="0"/>
        <shadow val="0"/>
        <u val="none"/>
        <vertAlign val="baseline"/>
        <sz val="10"/>
        <color auto="1"/>
        <name val="Arial"/>
        <scheme val="none"/>
      </font>
      <alignment horizontal="center" vertical="center" textRotation="0" wrapText="0" indent="0" justifyLastLine="0" shrinkToFit="0" readingOrder="0"/>
      <border diagonalUp="0" diagonalDown="0" outline="0">
        <left/>
        <right/>
        <top style="thin">
          <color indexed="64"/>
        </top>
        <bottom/>
      </border>
      <protection locked="0" hidden="0"/>
    </dxf>
    <dxf>
      <border outline="0">
        <left style="medium">
          <color indexed="64"/>
        </left>
        <right style="medium">
          <color indexed="64"/>
        </right>
        <bottom style="medium">
          <color indexed="64"/>
        </bottom>
      </border>
    </dxf>
    <dxf>
      <alignment horizontal="center" vertical="center" textRotation="0" wrapText="0" indent="0" justifyLastLine="0" shrinkToFit="0" readingOrder="0"/>
    </dxf>
    <dxf>
      <border>
        <bottom style="thin">
          <color indexed="64"/>
        </bottom>
      </border>
    </dxf>
    <dxf>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ont>
        <strike val="0"/>
        <outline val="0"/>
        <shadow val="0"/>
        <u val="none"/>
        <vertAlign val="baseline"/>
        <sz val="11"/>
      </font>
      <alignment horizontal="center" vertical="center" textRotation="0" wrapText="0" indent="0" justifyLastLine="0" shrinkToFit="0" readingOrder="0"/>
      <border diagonalUp="0" diagonalDown="0" outline="0">
        <left style="medium">
          <color indexed="64"/>
        </left>
        <right/>
        <top style="thin">
          <color indexed="64"/>
        </top>
        <bottom style="thin">
          <color indexed="64"/>
        </bottom>
      </border>
      <protection locked="1" hidden="0"/>
    </dxf>
    <dxf>
      <font>
        <strike val="0"/>
        <outline val="0"/>
        <shadow val="0"/>
        <u val="none"/>
        <vertAlign val="baseline"/>
        <sz val="11"/>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strike val="0"/>
        <outline val="0"/>
        <shadow val="0"/>
        <u val="none"/>
        <vertAlign val="baseline"/>
        <sz val="11"/>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0" hidden="0"/>
    </dxf>
    <dxf>
      <font>
        <strike val="0"/>
        <outline val="0"/>
        <shadow val="0"/>
        <u val="none"/>
        <vertAlign val="baseline"/>
        <sz val="11"/>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strike val="0"/>
        <outline val="0"/>
        <shadow val="0"/>
        <u val="none"/>
        <vertAlign val="baseline"/>
        <sz val="11"/>
      </font>
      <numFmt numFmtId="2" formatCode="0.00"/>
      <alignment horizontal="center" vertical="center" textRotation="0" wrapText="0" indent="0" justifyLastLine="0" shrinkToFit="0" readingOrder="0"/>
      <border diagonalUp="0" diagonalDown="0" outline="0">
        <left/>
        <right style="thin">
          <color indexed="64"/>
        </right>
        <top style="thin">
          <color indexed="64"/>
        </top>
        <bottom/>
      </border>
      <protection locked="0" hidden="0"/>
    </dxf>
    <dxf>
      <font>
        <b/>
        <i val="0"/>
        <strike val="0"/>
        <condense val="0"/>
        <extend val="0"/>
        <outline val="0"/>
        <shadow val="0"/>
        <u val="none"/>
        <vertAlign val="baseline"/>
        <sz val="11"/>
        <color auto="1"/>
        <name val="Arial"/>
        <scheme val="none"/>
      </font>
      <alignment horizontal="center" vertical="center" textRotation="0" wrapText="0" indent="0" justifyLastLine="0" shrinkToFit="0" readingOrder="0"/>
      <border diagonalUp="0" diagonalDown="0" outline="0">
        <left/>
        <right style="medium">
          <color indexed="64"/>
        </right>
        <top style="thin">
          <color indexed="64"/>
        </top>
        <bottom/>
      </border>
      <protection locked="0" hidden="0"/>
    </dxf>
    <dxf>
      <border outline="0">
        <left style="medium">
          <color indexed="64"/>
        </left>
        <right style="medium">
          <color indexed="64"/>
        </right>
        <top style="medium">
          <color indexed="64"/>
        </top>
        <bottom style="medium">
          <color indexed="64"/>
        </bottom>
      </border>
    </dxf>
    <dxf>
      <font>
        <strike val="0"/>
        <outline val="0"/>
        <shadow val="0"/>
        <u val="none"/>
        <vertAlign val="baseline"/>
        <sz val="11"/>
      </font>
      <alignment horizontal="center" vertical="center" textRotation="0" wrapText="0" indent="0" justifyLastLine="0" shrinkToFit="0" readingOrder="0"/>
    </dxf>
    <dxf>
      <border outline="0">
        <bottom style="thin">
          <color indexed="64"/>
        </bottom>
      </border>
    </dxf>
    <dxf>
      <font>
        <strike val="0"/>
        <outline val="0"/>
        <shadow val="0"/>
        <u val="none"/>
        <vertAlign val="baseline"/>
        <sz val="11"/>
      </font>
      <alignment horizontal="center" vertical="center" textRotation="0" wrapText="0" indent="0" justifyLastLine="0" shrinkToFit="0" readingOrder="0"/>
    </dxf>
    <dxf>
      <font>
        <strike val="0"/>
        <outline val="0"/>
        <shadow val="0"/>
        <u val="none"/>
        <vertAlign val="baseline"/>
        <sz val="11"/>
      </font>
      <alignment horizontal="center" vertical="center" textRotation="0" wrapText="0" indent="0" justifyLastLine="0" shrinkToFit="0" readingOrder="0"/>
      <border diagonalUp="0" diagonalDown="0" outline="0">
        <left style="medium">
          <color indexed="64"/>
        </left>
        <right/>
        <top style="thin">
          <color indexed="64"/>
        </top>
        <bottom style="thin">
          <color indexed="64"/>
        </bottom>
      </border>
      <protection locked="1" hidden="0"/>
    </dxf>
    <dxf>
      <font>
        <strike val="0"/>
        <outline val="0"/>
        <shadow val="0"/>
        <u val="none"/>
        <vertAlign val="baseline"/>
        <sz val="11"/>
      </font>
      <alignment horizontal="center" vertical="center" textRotation="0" wrapText="0" indent="0" justifyLastLine="0" shrinkToFit="0" readingOrder="0"/>
      <border diagonalUp="0" diagonalDown="0" outline="0">
        <left style="thin">
          <color indexed="64"/>
        </left>
        <right/>
        <top style="thin">
          <color indexed="64"/>
        </top>
        <bottom style="thin">
          <color indexed="64"/>
        </bottom>
      </border>
      <protection locked="1" hidden="0"/>
    </dxf>
    <dxf>
      <font>
        <strike val="0"/>
        <outline val="0"/>
        <shadow val="0"/>
        <u val="none"/>
        <vertAlign val="baseline"/>
        <sz val="11"/>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0" hidden="0"/>
    </dxf>
    <dxf>
      <font>
        <strike val="0"/>
        <outline val="0"/>
        <shadow val="0"/>
        <u val="none"/>
        <vertAlign val="baseline"/>
        <sz val="11"/>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strike val="0"/>
        <outline val="0"/>
        <shadow val="0"/>
        <u val="none"/>
        <vertAlign val="baseline"/>
        <sz val="11"/>
      </font>
      <numFmt numFmtId="2" formatCode="0.00"/>
      <alignment horizontal="center" vertical="center" textRotation="0" wrapText="0" indent="0" justifyLastLine="0" shrinkToFit="0" readingOrder="0"/>
      <border diagonalUp="0" diagonalDown="0" outline="0">
        <left/>
        <right style="thin">
          <color indexed="64"/>
        </right>
        <top style="thin">
          <color indexed="64"/>
        </top>
        <bottom/>
      </border>
      <protection locked="0" hidden="0"/>
    </dxf>
    <dxf>
      <font>
        <b/>
        <i val="0"/>
        <strike val="0"/>
        <condense val="0"/>
        <extend val="0"/>
        <outline val="0"/>
        <shadow val="0"/>
        <u val="none"/>
        <vertAlign val="baseline"/>
        <sz val="11"/>
        <color auto="1"/>
        <name val="Arial"/>
        <scheme val="none"/>
      </font>
      <alignment horizontal="center" vertical="center" textRotation="0" wrapText="0" indent="0" justifyLastLine="0" shrinkToFit="0" readingOrder="0"/>
      <border diagonalUp="0" diagonalDown="0" outline="0">
        <left/>
        <right style="medium">
          <color indexed="64"/>
        </right>
        <top style="thin">
          <color indexed="64"/>
        </top>
        <bottom/>
      </border>
      <protection locked="0" hidden="0"/>
    </dxf>
    <dxf>
      <border outline="0">
        <left style="medium">
          <color indexed="64"/>
        </left>
        <right style="medium">
          <color indexed="64"/>
        </right>
        <bottom style="medium">
          <color indexed="64"/>
        </bottom>
      </border>
    </dxf>
    <dxf>
      <font>
        <strike val="0"/>
        <outline val="0"/>
        <shadow val="0"/>
        <u val="none"/>
        <vertAlign val="baseline"/>
        <sz val="11"/>
      </font>
      <alignment horizontal="center" vertical="center" textRotation="0" wrapText="0" indent="0" justifyLastLine="0" shrinkToFit="0" readingOrder="0"/>
    </dxf>
    <dxf>
      <border outline="0">
        <bottom style="thin">
          <color indexed="64"/>
        </bottom>
      </border>
    </dxf>
    <dxf>
      <font>
        <strike val="0"/>
        <outline val="0"/>
        <shadow val="0"/>
        <u val="none"/>
        <vertAlign val="baseline"/>
        <sz val="11"/>
      </font>
      <alignment horizontal="center" vertical="center" textRotation="0" wrapText="0" indent="0" justifyLastLine="0" shrinkToFit="0" readingOrder="0"/>
    </dxf>
    <dxf>
      <font>
        <strike val="0"/>
        <outline val="0"/>
        <shadow val="0"/>
        <u val="none"/>
        <vertAlign val="baseline"/>
        <sz val="11"/>
      </font>
      <alignment horizontal="center" vertical="center" textRotation="0" wrapText="0" indent="0" justifyLastLine="0" shrinkToFit="0" readingOrder="0"/>
      <border diagonalUp="0" diagonalDown="0" outline="0">
        <left style="medium">
          <color indexed="64"/>
        </left>
        <right/>
        <top style="thin">
          <color indexed="64"/>
        </top>
        <bottom style="thin">
          <color indexed="64"/>
        </bottom>
      </border>
      <protection locked="1" hidden="0"/>
    </dxf>
    <dxf>
      <font>
        <strike val="0"/>
        <outline val="0"/>
        <shadow val="0"/>
        <u val="none"/>
        <vertAlign val="baseline"/>
        <sz val="11"/>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strike val="0"/>
        <outline val="0"/>
        <shadow val="0"/>
        <u val="none"/>
        <vertAlign val="baseline"/>
        <sz val="11"/>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0" hidden="0"/>
    </dxf>
    <dxf>
      <font>
        <strike val="0"/>
        <outline val="0"/>
        <shadow val="0"/>
        <u val="none"/>
        <vertAlign val="baseline"/>
        <sz val="11"/>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strike val="0"/>
        <outline val="0"/>
        <shadow val="0"/>
        <u val="none"/>
        <vertAlign val="baseline"/>
        <sz val="11"/>
      </font>
      <numFmt numFmtId="2" formatCode="0.00"/>
      <alignment horizontal="center" vertical="center" textRotation="0" wrapText="0" indent="0" justifyLastLine="0" shrinkToFit="0" readingOrder="0"/>
      <border diagonalUp="0" diagonalDown="0" outline="0">
        <left/>
        <right style="thin">
          <color indexed="64"/>
        </right>
        <top style="thin">
          <color indexed="64"/>
        </top>
        <bottom/>
      </border>
      <protection locked="0" hidden="0"/>
    </dxf>
    <dxf>
      <font>
        <b/>
        <i val="0"/>
        <strike val="0"/>
        <condense val="0"/>
        <extend val="0"/>
        <outline val="0"/>
        <shadow val="0"/>
        <u val="none"/>
        <vertAlign val="baseline"/>
        <sz val="11"/>
        <color auto="1"/>
        <name val="Arial"/>
        <scheme val="none"/>
      </font>
      <alignment horizontal="center" vertical="center" textRotation="0" wrapText="0" indent="0" justifyLastLine="0" shrinkToFit="0" readingOrder="0"/>
      <border diagonalUp="0" diagonalDown="0" outline="0">
        <left/>
        <right style="medium">
          <color indexed="64"/>
        </right>
        <top style="thin">
          <color indexed="64"/>
        </top>
        <bottom/>
      </border>
      <protection locked="0" hidden="0"/>
    </dxf>
    <dxf>
      <border outline="0">
        <left style="medium">
          <color indexed="64"/>
        </left>
        <right style="medium">
          <color indexed="64"/>
        </right>
        <top style="medium">
          <color indexed="64"/>
        </top>
        <bottom style="medium">
          <color indexed="64"/>
        </bottom>
      </border>
    </dxf>
    <dxf>
      <font>
        <strike val="0"/>
        <outline val="0"/>
        <shadow val="0"/>
        <u val="none"/>
        <vertAlign val="baseline"/>
        <sz val="11"/>
      </font>
      <alignment horizontal="center" vertical="center" textRotation="0" wrapText="0" indent="0" justifyLastLine="0" shrinkToFit="0" readingOrder="0"/>
    </dxf>
    <dxf>
      <border outline="0">
        <bottom style="thin">
          <color indexed="64"/>
        </bottom>
      </border>
    </dxf>
    <dxf>
      <font>
        <strike val="0"/>
        <outline val="0"/>
        <shadow val="0"/>
        <u val="none"/>
        <vertAlign val="baseline"/>
        <sz val="11"/>
      </font>
      <alignment horizontal="center" vertical="center" textRotation="0" wrapText="0" indent="0" justifyLastLine="0" shrinkToFit="0" readingOrder="0"/>
    </dxf>
    <dxf>
      <font>
        <strike val="0"/>
        <outline val="0"/>
        <shadow val="0"/>
        <u val="none"/>
        <vertAlign val="baseline"/>
        <sz val="11"/>
      </font>
      <numFmt numFmtId="0" formatCode="General"/>
      <alignment horizontal="center" vertical="center" textRotation="0" wrapText="0" indent="0" justifyLastLine="0" shrinkToFit="0" readingOrder="0"/>
      <border diagonalUp="0" diagonalDown="0">
        <left style="medium">
          <color indexed="64"/>
        </left>
        <right/>
        <top style="thin">
          <color indexed="64"/>
        </top>
        <bottom style="thin">
          <color indexed="64"/>
        </bottom>
      </border>
      <protection locked="1" hidden="0"/>
    </dxf>
    <dxf>
      <font>
        <strike val="0"/>
        <outline val="0"/>
        <shadow val="0"/>
        <u val="none"/>
        <vertAlign val="baseline"/>
        <sz val="11"/>
      </font>
      <alignment horizontal="center" vertical="center" textRotation="0" wrapText="0" indent="0" justifyLastLine="0" shrinkToFit="0" readingOrder="0"/>
      <border diagonalUp="0" diagonalDown="0" outline="0">
        <left style="thin">
          <color indexed="64"/>
        </left>
        <right/>
        <top style="thin">
          <color indexed="64"/>
        </top>
        <bottom style="thin">
          <color indexed="64"/>
        </bottom>
      </border>
      <protection locked="1" hidden="0"/>
    </dxf>
    <dxf>
      <font>
        <strike val="0"/>
        <outline val="0"/>
        <shadow val="0"/>
        <u val="none"/>
        <vertAlign val="baseline"/>
        <sz val="11"/>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0" hidden="0"/>
    </dxf>
    <dxf>
      <font>
        <strike val="0"/>
        <outline val="0"/>
        <shadow val="0"/>
        <u val="none"/>
        <vertAlign val="baseline"/>
        <sz val="11"/>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strike val="0"/>
        <outline val="0"/>
        <shadow val="0"/>
        <u val="none"/>
        <vertAlign val="baseline"/>
        <sz val="11"/>
      </font>
      <numFmt numFmtId="2" formatCode="0.00"/>
      <alignment horizontal="center" vertical="center" textRotation="0" wrapText="0" indent="0" justifyLastLine="0" shrinkToFit="0" readingOrder="0"/>
      <border diagonalUp="0" diagonalDown="0" outline="0">
        <left/>
        <right style="thin">
          <color indexed="64"/>
        </right>
        <top style="thin">
          <color indexed="64"/>
        </top>
        <bottom/>
      </border>
      <protection locked="0" hidden="0"/>
    </dxf>
    <dxf>
      <font>
        <b/>
        <i val="0"/>
        <strike val="0"/>
        <condense val="0"/>
        <extend val="0"/>
        <outline val="0"/>
        <shadow val="0"/>
        <u val="none"/>
        <vertAlign val="baseline"/>
        <sz val="11"/>
        <color auto="1"/>
        <name val="Arial"/>
        <scheme val="none"/>
      </font>
      <alignment horizontal="center" vertical="center" textRotation="0" wrapText="0" indent="0" justifyLastLine="0" shrinkToFit="0" readingOrder="0"/>
      <border diagonalUp="0" diagonalDown="0">
        <left style="medium">
          <color indexed="64"/>
        </left>
        <right style="medium">
          <color indexed="64"/>
        </right>
        <top style="thin">
          <color auto="1"/>
        </top>
        <bottom style="thin">
          <color auto="1"/>
        </bottom>
        <vertical/>
        <horizontal style="thin">
          <color auto="1"/>
        </horizontal>
      </border>
      <protection locked="0" hidden="0"/>
    </dxf>
    <dxf>
      <border outline="0">
        <left style="medium">
          <color indexed="64"/>
        </left>
        <right style="medium">
          <color indexed="64"/>
        </right>
        <bottom style="medium">
          <color indexed="64"/>
        </bottom>
      </border>
    </dxf>
    <dxf>
      <font>
        <strike val="0"/>
        <outline val="0"/>
        <shadow val="0"/>
        <u val="none"/>
        <vertAlign val="baseline"/>
        <sz val="11"/>
      </font>
      <alignment horizontal="center" vertical="center" textRotation="0" wrapText="0" indent="0" justifyLastLine="0" shrinkToFit="0" readingOrder="0"/>
    </dxf>
    <dxf>
      <border outline="0">
        <bottom style="medium">
          <color indexed="64"/>
        </bottom>
      </border>
    </dxf>
    <dxf>
      <alignment horizontal="center" vertical="center" textRotation="0" wrapText="0" indent="0" justifyLastLine="0" shrinkToFit="0" readingOrder="0"/>
      <border diagonalUp="0" diagonalDown="0" outline="0">
        <left style="medium">
          <color indexed="64"/>
        </left>
        <right style="medium">
          <color indexed="64"/>
        </right>
        <top/>
        <bottom/>
      </border>
      <protection locked="1" hidden="0"/>
    </dxf>
    <dxf>
      <font>
        <strike val="0"/>
        <outline val="0"/>
        <shadow val="0"/>
        <u val="none"/>
        <vertAlign val="baseline"/>
        <sz val="11"/>
      </font>
      <numFmt numFmtId="2" formatCode="0.00"/>
      <alignment horizontal="center" vertical="center" textRotation="0" wrapText="0" indent="0" justifyLastLine="0" shrinkToFit="0" readingOrder="0"/>
      <border diagonalUp="0" diagonalDown="0">
        <left style="medium">
          <color indexed="64"/>
        </left>
        <right/>
        <top style="thin">
          <color indexed="64"/>
        </top>
        <bottom style="thin">
          <color indexed="64"/>
        </bottom>
      </border>
      <protection locked="1" hidden="0"/>
    </dxf>
    <dxf>
      <font>
        <strike val="0"/>
        <outline val="0"/>
        <shadow val="0"/>
        <u val="none"/>
        <vertAlign val="baseline"/>
        <sz val="11"/>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strike val="0"/>
        <outline val="0"/>
        <shadow val="0"/>
        <u val="none"/>
        <vertAlign val="baseline"/>
        <sz val="11"/>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0" hidden="0"/>
    </dxf>
    <dxf>
      <font>
        <strike val="0"/>
        <outline val="0"/>
        <shadow val="0"/>
        <u val="none"/>
        <vertAlign val="baseline"/>
        <sz val="11"/>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strike val="0"/>
        <outline val="0"/>
        <shadow val="0"/>
        <u val="none"/>
        <vertAlign val="baseline"/>
        <sz val="11"/>
      </font>
      <numFmt numFmtId="2" formatCode="0.00"/>
      <alignment horizontal="center" vertical="center" textRotation="0" wrapText="0" indent="0" justifyLastLine="0" shrinkToFit="0" readingOrder="0"/>
      <border diagonalUp="0" diagonalDown="0" outline="0">
        <left/>
        <right style="thin">
          <color indexed="64"/>
        </right>
        <top style="thin">
          <color indexed="64"/>
        </top>
        <bottom/>
      </border>
      <protection locked="0" hidden="0"/>
    </dxf>
    <dxf>
      <font>
        <b/>
        <i val="0"/>
        <strike val="0"/>
        <condense val="0"/>
        <extend val="0"/>
        <outline val="0"/>
        <shadow val="0"/>
        <u val="none"/>
        <vertAlign val="baseline"/>
        <sz val="11"/>
        <color auto="1"/>
        <name val="Arial"/>
        <scheme val="none"/>
      </font>
      <alignment horizontal="center" vertical="center" textRotation="0" wrapText="0" indent="0" justifyLastLine="0" shrinkToFit="0" readingOrder="0"/>
      <border diagonalUp="0" diagonalDown="0" outline="0">
        <left/>
        <right style="medium">
          <color indexed="64"/>
        </right>
        <top style="thin">
          <color indexed="64"/>
        </top>
        <bottom/>
      </border>
      <protection locked="0" hidden="0"/>
    </dxf>
    <dxf>
      <border outline="0">
        <left style="medium">
          <color indexed="64"/>
        </left>
        <right style="medium">
          <color indexed="64"/>
        </right>
        <top style="medium">
          <color indexed="64"/>
        </top>
        <bottom style="medium">
          <color indexed="64"/>
        </bottom>
      </border>
    </dxf>
    <dxf>
      <font>
        <strike val="0"/>
        <outline val="0"/>
        <shadow val="0"/>
        <u val="none"/>
        <vertAlign val="baseline"/>
        <sz val="11"/>
      </font>
      <alignment horizontal="center" vertical="center" textRotation="0" wrapText="0" indent="0" justifyLastLine="0" shrinkToFit="0" readingOrder="0"/>
    </dxf>
    <dxf>
      <border outline="0">
        <bottom style="thin">
          <color indexed="64"/>
        </bottom>
      </border>
    </dxf>
    <dxf>
      <font>
        <strike val="0"/>
        <outline val="0"/>
        <shadow val="0"/>
        <u val="none"/>
        <vertAlign val="baseline"/>
        <sz val="11"/>
      </font>
      <alignment horizontal="center" vertical="center" textRotation="0" wrapText="0" indent="0" justifyLastLine="0" shrinkToFit="0" readingOrder="0"/>
    </dxf>
    <dxf>
      <font>
        <strike val="0"/>
        <outline val="0"/>
        <shadow val="0"/>
        <u val="none"/>
        <vertAlign val="baseline"/>
        <sz val="11"/>
      </font>
      <alignment horizontal="center" vertical="center" textRotation="0" wrapText="0" indent="0" justifyLastLine="0" shrinkToFit="0" readingOrder="0"/>
      <border diagonalUp="0" diagonalDown="0" outline="0">
        <left style="medium">
          <color indexed="64"/>
        </left>
        <right/>
        <top style="thin">
          <color indexed="64"/>
        </top>
        <bottom style="thin">
          <color indexed="64"/>
        </bottom>
      </border>
      <protection locked="1" hidden="0"/>
    </dxf>
    <dxf>
      <font>
        <strike val="0"/>
        <outline val="0"/>
        <shadow val="0"/>
        <u val="none"/>
        <vertAlign val="baseline"/>
        <sz val="11"/>
      </font>
      <alignment horizontal="center" vertical="center" textRotation="0" wrapText="0" indent="0" justifyLastLine="0" shrinkToFit="0" readingOrder="0"/>
      <border diagonalUp="0" diagonalDown="0" outline="0">
        <left style="thin">
          <color indexed="64"/>
        </left>
        <right/>
        <top style="thin">
          <color indexed="64"/>
        </top>
        <bottom style="thin">
          <color indexed="64"/>
        </bottom>
      </border>
      <protection locked="1" hidden="0"/>
    </dxf>
    <dxf>
      <font>
        <strike val="0"/>
        <outline val="0"/>
        <shadow val="0"/>
        <u val="none"/>
        <vertAlign val="baseline"/>
        <sz val="11"/>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0" hidden="0"/>
    </dxf>
    <dxf>
      <font>
        <strike val="0"/>
        <outline val="0"/>
        <shadow val="0"/>
        <u val="none"/>
        <vertAlign val="baseline"/>
        <sz val="11"/>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strike val="0"/>
        <outline val="0"/>
        <shadow val="0"/>
        <u val="none"/>
        <vertAlign val="baseline"/>
        <sz val="11"/>
      </font>
      <numFmt numFmtId="2" formatCode="0.00"/>
      <alignment horizontal="center" vertical="center" textRotation="0" wrapText="0" indent="0" justifyLastLine="0" shrinkToFit="0" readingOrder="0"/>
      <border diagonalUp="0" diagonalDown="0" outline="0">
        <left/>
        <right style="thin">
          <color indexed="64"/>
        </right>
        <top style="thin">
          <color indexed="64"/>
        </top>
        <bottom/>
      </border>
      <protection locked="0" hidden="0"/>
    </dxf>
    <dxf>
      <font>
        <b/>
        <i val="0"/>
        <strike val="0"/>
        <condense val="0"/>
        <extend val="0"/>
        <outline val="0"/>
        <shadow val="0"/>
        <u val="none"/>
        <vertAlign val="baseline"/>
        <sz val="11"/>
        <color auto="1"/>
        <name val="Arial"/>
        <scheme val="none"/>
      </font>
      <alignment horizontal="center" vertical="center" textRotation="0" wrapText="0" indent="0" justifyLastLine="0" shrinkToFit="0" readingOrder="0"/>
      <border diagonalUp="0" diagonalDown="0">
        <left/>
        <right style="medium">
          <color indexed="64"/>
        </right>
        <top style="thin">
          <color indexed="64"/>
        </top>
        <bottom style="thin">
          <color indexed="64"/>
        </bottom>
        <vertical/>
        <horizontal/>
      </border>
      <protection locked="0" hidden="0"/>
    </dxf>
    <dxf>
      <border outline="0">
        <left style="medium">
          <color indexed="64"/>
        </left>
        <right style="medium">
          <color indexed="64"/>
        </right>
        <bottom style="medium">
          <color indexed="64"/>
        </bottom>
      </border>
    </dxf>
    <dxf>
      <font>
        <strike val="0"/>
        <outline val="0"/>
        <shadow val="0"/>
        <u val="none"/>
        <vertAlign val="baseline"/>
        <sz val="11"/>
      </font>
      <alignment horizontal="center" vertical="center" textRotation="0" wrapText="0" indent="0" justifyLastLine="0" shrinkToFit="0" readingOrder="0"/>
    </dxf>
    <dxf>
      <border outline="0">
        <bottom style="thin">
          <color indexed="64"/>
        </bottom>
      </border>
    </dxf>
    <dxf>
      <font>
        <strike val="0"/>
        <outline val="0"/>
        <shadow val="0"/>
        <u val="none"/>
        <vertAlign val="baseline"/>
        <sz val="11"/>
      </font>
      <alignment horizontal="center" vertical="center" textRotation="0" wrapText="0" indent="0" justifyLastLine="0" shrinkToFit="0" readingOrder="0"/>
    </dxf>
    <dxf>
      <font>
        <strike val="0"/>
        <outline val="0"/>
        <shadow val="0"/>
        <u val="none"/>
        <vertAlign val="baseline"/>
        <sz val="11"/>
      </font>
      <numFmt numFmtId="2" formatCode="0.00"/>
      <alignment horizontal="center" vertical="center" textRotation="0" wrapText="0" indent="0" justifyLastLine="0" shrinkToFit="0" readingOrder="0"/>
      <border diagonalUp="0" diagonalDown="0">
        <left style="medium">
          <color indexed="64"/>
        </left>
        <right/>
        <top style="thin">
          <color indexed="64"/>
        </top>
        <bottom style="thin">
          <color indexed="64"/>
        </bottom>
      </border>
      <protection locked="1" hidden="0"/>
    </dxf>
    <dxf>
      <font>
        <strike val="0"/>
        <outline val="0"/>
        <shadow val="0"/>
        <u val="none"/>
        <vertAlign val="baseline"/>
        <sz val="11"/>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strike val="0"/>
        <outline val="0"/>
        <shadow val="0"/>
        <u val="none"/>
        <vertAlign val="baseline"/>
        <sz val="11"/>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0" hidden="0"/>
    </dxf>
    <dxf>
      <font>
        <strike val="0"/>
        <outline val="0"/>
        <shadow val="0"/>
        <u val="none"/>
        <vertAlign val="baseline"/>
        <sz val="11"/>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strike val="0"/>
        <outline val="0"/>
        <shadow val="0"/>
        <u val="none"/>
        <vertAlign val="baseline"/>
        <sz val="11"/>
      </font>
      <numFmt numFmtId="2" formatCode="0.00"/>
      <alignment horizontal="center" vertical="center" textRotation="0" wrapText="0" indent="0" justifyLastLine="0" shrinkToFit="0" readingOrder="0"/>
      <border diagonalUp="0" diagonalDown="0" outline="0">
        <left/>
        <right style="thin">
          <color indexed="64"/>
        </right>
        <top style="thin">
          <color indexed="64"/>
        </top>
        <bottom/>
      </border>
      <protection locked="0" hidden="0"/>
    </dxf>
    <dxf>
      <font>
        <b/>
        <i val="0"/>
        <strike val="0"/>
        <condense val="0"/>
        <extend val="0"/>
        <outline val="0"/>
        <shadow val="0"/>
        <u val="none"/>
        <vertAlign val="baseline"/>
        <sz val="11"/>
        <color auto="1"/>
        <name val="Arial"/>
        <scheme val="none"/>
      </font>
      <alignment horizontal="center" vertical="center" textRotation="0" wrapText="0" indent="0" justifyLastLine="0" shrinkToFit="0" readingOrder="0"/>
      <border diagonalUp="0" diagonalDown="0" outline="0">
        <left/>
        <right style="medium">
          <color indexed="64"/>
        </right>
        <top style="thin">
          <color indexed="64"/>
        </top>
        <bottom/>
      </border>
      <protection locked="0" hidden="0"/>
    </dxf>
    <dxf>
      <border outline="0">
        <left style="medium">
          <color indexed="64"/>
        </left>
        <right style="medium">
          <color indexed="64"/>
        </right>
        <top style="medium">
          <color indexed="64"/>
        </top>
        <bottom style="medium">
          <color indexed="64"/>
        </bottom>
      </border>
    </dxf>
    <dxf>
      <font>
        <strike val="0"/>
        <outline val="0"/>
        <shadow val="0"/>
        <u val="none"/>
        <vertAlign val="baseline"/>
        <sz val="11"/>
      </font>
      <alignment horizontal="center" vertical="center" textRotation="0" wrapText="0" indent="0" justifyLastLine="0" shrinkToFit="0" readingOrder="0"/>
    </dxf>
    <dxf>
      <border outline="0">
        <bottom style="thin">
          <color indexed="64"/>
        </bottom>
      </border>
    </dxf>
    <dxf>
      <font>
        <strike val="0"/>
        <outline val="0"/>
        <shadow val="0"/>
        <u val="none"/>
        <vertAlign val="baseline"/>
        <sz val="11"/>
      </font>
      <alignment horizontal="center" vertical="center" textRotation="0" wrapText="0" indent="0" justifyLastLine="0" shrinkToFit="0" readingOrder="0"/>
    </dxf>
    <dxf>
      <font>
        <strike val="0"/>
        <outline val="0"/>
        <shadow val="0"/>
        <u val="none"/>
        <vertAlign val="baseline"/>
        <sz val="11"/>
      </font>
      <alignment horizontal="center" vertical="center" textRotation="0" wrapText="0" indent="0" justifyLastLine="0" shrinkToFit="0" readingOrder="0"/>
      <border diagonalUp="0" diagonalDown="0" outline="0">
        <left style="medium">
          <color indexed="64"/>
        </left>
        <right/>
        <top style="thin">
          <color indexed="64"/>
        </top>
        <bottom style="thin">
          <color indexed="64"/>
        </bottom>
      </border>
      <protection locked="1" hidden="0"/>
    </dxf>
    <dxf>
      <font>
        <strike val="0"/>
        <outline val="0"/>
        <shadow val="0"/>
        <u val="none"/>
        <vertAlign val="baseline"/>
        <sz val="11"/>
      </font>
      <alignment horizontal="center" vertical="center" textRotation="0" wrapText="0" indent="0" justifyLastLine="0" shrinkToFit="0" readingOrder="0"/>
      <border diagonalUp="0" diagonalDown="0" outline="0">
        <left style="thin">
          <color indexed="64"/>
        </left>
        <right/>
        <top style="thin">
          <color indexed="64"/>
        </top>
        <bottom style="thin">
          <color indexed="64"/>
        </bottom>
      </border>
      <protection locked="1" hidden="0"/>
    </dxf>
    <dxf>
      <font>
        <strike val="0"/>
        <outline val="0"/>
        <shadow val="0"/>
        <u val="none"/>
        <vertAlign val="baseline"/>
        <sz val="11"/>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0" hidden="0"/>
    </dxf>
    <dxf>
      <font>
        <strike val="0"/>
        <outline val="0"/>
        <shadow val="0"/>
        <u val="none"/>
        <vertAlign val="baseline"/>
        <sz val="11"/>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strike val="0"/>
        <outline val="0"/>
        <shadow val="0"/>
        <u val="none"/>
        <vertAlign val="baseline"/>
        <sz val="11"/>
      </font>
      <numFmt numFmtId="2" formatCode="0.00"/>
      <alignment horizontal="center" vertical="center" textRotation="0" wrapText="0" indent="0" justifyLastLine="0" shrinkToFit="0" readingOrder="0"/>
      <border diagonalUp="0" diagonalDown="0" outline="0">
        <left/>
        <right style="thin">
          <color indexed="64"/>
        </right>
        <top style="thin">
          <color indexed="64"/>
        </top>
        <bottom/>
      </border>
      <protection locked="0" hidden="0"/>
    </dxf>
    <dxf>
      <font>
        <b/>
        <i val="0"/>
        <strike val="0"/>
        <condense val="0"/>
        <extend val="0"/>
        <outline val="0"/>
        <shadow val="0"/>
        <u val="none"/>
        <vertAlign val="baseline"/>
        <sz val="11"/>
        <color auto="1"/>
        <name val="Arial"/>
        <scheme val="none"/>
      </font>
      <alignment horizontal="center" vertical="center" textRotation="0" wrapText="0" indent="0" justifyLastLine="0" shrinkToFit="0" readingOrder="0"/>
      <border diagonalUp="0" diagonalDown="0">
        <left/>
        <right style="medium">
          <color indexed="64"/>
        </right>
        <top style="thin">
          <color indexed="64"/>
        </top>
        <bottom style="thin">
          <color indexed="64"/>
        </bottom>
        <vertical/>
        <horizontal/>
      </border>
      <protection locked="0" hidden="0"/>
    </dxf>
    <dxf>
      <border outline="0">
        <left style="medium">
          <color indexed="64"/>
        </left>
        <right style="medium">
          <color indexed="64"/>
        </right>
        <bottom style="medium">
          <color indexed="64"/>
        </bottom>
      </border>
    </dxf>
    <dxf>
      <font>
        <strike val="0"/>
        <outline val="0"/>
        <shadow val="0"/>
        <u val="none"/>
        <vertAlign val="baseline"/>
        <sz val="11"/>
      </font>
      <alignment horizontal="center" vertical="center" textRotation="0" wrapText="0" indent="0" justifyLastLine="0" shrinkToFit="0" readingOrder="0"/>
    </dxf>
    <dxf>
      <border outline="0">
        <bottom style="thin">
          <color indexed="64"/>
        </bottom>
      </border>
    </dxf>
    <dxf>
      <font>
        <strike val="0"/>
        <outline val="0"/>
        <shadow val="0"/>
        <u val="none"/>
        <vertAlign val="baseline"/>
        <sz val="11"/>
      </font>
      <alignment horizontal="center" vertical="center" textRotation="0" wrapText="0" indent="0" justifyLastLine="0" shrinkToFit="0"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numFmt numFmtId="0" formatCode="General"/>
    </dxf>
    <dxf>
      <numFmt numFmtId="2" formatCode="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2" formatCode="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2" formatCode="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2" formatCode="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2" formatCode="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color theme="8" tint="-0.24994659260841701"/>
      </font>
    </dxf>
    <dxf>
      <font>
        <b/>
        <i val="0"/>
        <color theme="8" tint="-0.24994659260841701"/>
      </font>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val="0"/>
        <i val="0"/>
        <strike val="0"/>
        <condense val="0"/>
        <extend val="0"/>
        <outline val="0"/>
        <shadow val="0"/>
        <u val="none"/>
        <vertAlign val="baseline"/>
        <sz val="10"/>
        <color auto="1"/>
        <name val="Arial"/>
        <family val="2"/>
        <scheme val="none"/>
      </font>
      <numFmt numFmtId="174" formatCode="m/d/yyyy"/>
      <alignment horizontal="center" vertical="center" textRotation="0" wrapText="0" indent="0" justifyLastLine="0" shrinkToFit="0" readingOrder="0"/>
    </dxf>
    <dxf>
      <alignment horizontal="center" vertical="center" textRotation="0" wrapText="0" indent="0" justifyLastLine="0" shrinkToFit="0" readingOrder="0"/>
    </dxf>
    <dxf>
      <numFmt numFmtId="170" formatCode="&quot;$&quot;#,##0.00"/>
      <alignment horizontal="center" vertical="center" textRotation="0" wrapText="0" indent="0" justifyLastLine="0" shrinkToFit="0" readingOrder="0"/>
    </dxf>
    <dxf>
      <alignment horizontal="left" vertical="center" textRotation="0" wrapText="0" indent="0" justifyLastLine="0" shrinkToFit="0" readingOrder="0"/>
    </dxf>
    <dxf>
      <fill>
        <patternFill>
          <bgColor rgb="FFFF0000"/>
        </patternFill>
      </fill>
    </dxf>
    <dxf>
      <alignment horizontal="lef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numFmt numFmtId="170" formatCode="&quot;$&quot;#,##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0" formatCode="&quot;$&quot;#,##0.00"/>
      <alignment horizontal="center"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i val="0"/>
        <strike val="0"/>
        <condense val="0"/>
        <extend val="0"/>
        <outline val="0"/>
        <shadow val="0"/>
        <u val="none"/>
        <vertAlign val="baseline"/>
        <sz val="11"/>
        <color rgb="FFFA7D00"/>
        <name val="Calibri"/>
        <family val="2"/>
        <scheme val="minor"/>
      </font>
      <numFmt numFmtId="170" formatCode="&quot;$&quot;#,##0.00"/>
      <fill>
        <patternFill patternType="solid">
          <fgColor indexed="64"/>
          <bgColor rgb="FFF2F2F2"/>
        </patternFill>
      </fill>
      <alignment horizontal="center" vertical="bottom" textRotation="0" wrapText="0" indent="0" justifyLastLine="0" shrinkToFit="0" readingOrder="0"/>
      <border diagonalUp="0" diagonalDown="0" outline="0">
        <left style="thin">
          <color rgb="FF7F7F7F"/>
        </left>
        <right style="thin">
          <color rgb="FF7F7F7F"/>
        </right>
        <top style="thin">
          <color rgb="FF7F7F7F"/>
        </top>
        <bottom/>
      </border>
    </dxf>
    <dxf>
      <numFmt numFmtId="170" formatCode="&quot;$&quot;#,##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0" formatCode="&quot;$&quot;#,##0.00"/>
      <alignment horizontal="center" vertical="bottom" textRotation="0" wrapText="0" indent="0" justifyLastLine="0" shrinkToFit="0" readingOrder="0"/>
    </dxf>
    <dxf>
      <numFmt numFmtId="170" formatCode="&quot;$&quot;#,##0.00"/>
      <alignment horizontal="center" vertical="bottom" textRotation="0" wrapText="0" indent="0" justifyLastLine="0" shrinkToFit="0" readingOrder="0"/>
    </dxf>
    <dxf>
      <fill>
        <patternFill>
          <bgColor rgb="FFFF0000"/>
        </patternFill>
      </fill>
    </dxf>
    <dxf>
      <fill>
        <patternFill>
          <bgColor rgb="FFFF0000"/>
        </patternFill>
      </fill>
    </dxf>
    <dxf>
      <font>
        <b val="0"/>
        <i val="0"/>
      </font>
      <numFmt numFmtId="0" formatCode="General"/>
      <alignment horizontal="center" textRotation="0" wrapText="0" indent="0" justifyLastLine="0" shrinkToFit="0" readingOrder="0"/>
    </dxf>
    <dxf>
      <font>
        <b/>
        <i val="0"/>
        <strike val="0"/>
        <condense val="0"/>
        <extend val="0"/>
        <outline val="0"/>
        <shadow val="0"/>
        <u val="none"/>
        <vertAlign val="baseline"/>
        <sz val="10"/>
        <color auto="1"/>
        <name val="Arial"/>
        <family val="2"/>
        <scheme val="none"/>
      </font>
      <numFmt numFmtId="2" formatCode="0.00"/>
      <alignment horizontal="center" vertical="center" textRotation="0" wrapText="0" indent="0" justifyLastLine="0" shrinkToFit="0" readingOrder="0"/>
    </dxf>
    <dxf>
      <font>
        <b val="0"/>
        <i val="0"/>
      </font>
      <numFmt numFmtId="0" formatCode="General"/>
      <fill>
        <patternFill patternType="none">
          <fgColor indexed="64"/>
          <bgColor indexed="65"/>
        </patternFill>
      </fill>
      <alignment horizontal="left" vertical="center" textRotation="0" wrapText="0" indent="0" justifyLastLine="0" shrinkToFit="0" readingOrder="0"/>
    </dxf>
    <dxf>
      <font>
        <b val="0"/>
        <i val="0"/>
      </font>
      <numFmt numFmtId="170" formatCode="&quot;$&quot;#,##0.00"/>
      <fill>
        <patternFill patternType="none">
          <fgColor indexed="64"/>
          <bgColor indexed="65"/>
        </patternFill>
      </fil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font>
        <b val="0"/>
        <i val="0"/>
      </font>
      <numFmt numFmtId="0" formatCode="General"/>
      <fill>
        <patternFill patternType="none">
          <fgColor indexed="64"/>
          <bgColor indexed="65"/>
        </patternFill>
      </fill>
      <alignment horizontal="center" vertical="center" textRotation="0" wrapText="0" indent="0" justifyLastLine="0" shrinkToFit="0" readingOrder="0"/>
    </dxf>
    <dxf>
      <font>
        <b val="0"/>
        <i val="0"/>
      </font>
      <numFmt numFmtId="0" formatCode="General"/>
      <fill>
        <patternFill patternType="none">
          <fgColor indexed="64"/>
          <bgColor indexed="65"/>
        </patternFill>
      </fill>
      <alignment horizontal="center" vertical="center" textRotation="0" wrapText="0" indent="0" justifyLastLine="0" shrinkToFit="0" readingOrder="0"/>
    </dxf>
    <dxf>
      <font>
        <b val="0"/>
        <i val="0"/>
      </font>
      <numFmt numFmtId="0" formatCode="General"/>
      <fill>
        <patternFill patternType="none">
          <fgColor indexed="64"/>
          <bgColor indexed="65"/>
        </patternFill>
      </fill>
      <alignment horizontal="center" vertical="center" textRotation="0" wrapText="0" indent="0" justifyLastLine="0" shrinkToFit="0" readingOrder="0"/>
    </dxf>
    <dxf>
      <font>
        <b val="0"/>
        <i val="0"/>
      </font>
      <numFmt numFmtId="0" formatCode="General"/>
      <fill>
        <patternFill patternType="none">
          <fgColor indexed="64"/>
          <bgColor indexed="65"/>
        </patternFill>
      </fill>
      <alignment horizontal="center" vertical="center" textRotation="0" wrapText="0" indent="0" justifyLastLine="0" shrinkToFit="0" readingOrder="0"/>
    </dxf>
    <dxf>
      <font>
        <b val="0"/>
        <i val="0"/>
      </font>
      <numFmt numFmtId="0" formatCode="General"/>
      <fill>
        <patternFill patternType="none">
          <fgColor indexed="64"/>
          <bgColor indexed="65"/>
        </patternFill>
      </fill>
      <alignment horizontal="center" vertical="center" textRotation="0" wrapText="0" indent="0" justifyLastLine="0" shrinkToFit="0" readingOrder="0"/>
    </dxf>
    <dxf>
      <font>
        <b val="0"/>
        <i val="0"/>
      </font>
      <numFmt numFmtId="0" formatCode="General"/>
    </dxf>
    <dxf>
      <border>
        <bottom style="medium">
          <color indexed="64"/>
        </bottom>
      </border>
    </dxf>
    <dxf>
      <font>
        <b val="0"/>
      </font>
      <numFmt numFmtId="0" formatCode="General"/>
      <alignment horizontal="center" vertical="center" textRotation="0" wrapText="0" indent="0" justifyLastLine="0" shrinkToFit="0" readingOrder="0"/>
      <border diagonalUp="0" diagonalDown="0" outline="0">
        <left/>
        <right/>
        <top/>
        <bottom/>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1" defaultTableStyle="TableStyleMedium2" defaultPivotStyle="PivotStyleLight16">
    <tableStyle name="Table Style 1" pivot="0" count="0" xr9:uid="{810C39A3-96AF-44CB-8AE4-4918ED0CB7FF}"/>
  </tableStyles>
  <colors>
    <mruColors>
      <color rgb="FFFFFF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4.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eetMetadata" Target="metadata.xml"/><Relationship Id="rId38"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37" Type="http://schemas.openxmlformats.org/officeDocument/2006/relationships/customXml" Target="../customXml/item2.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connections" Target="connections.xml"/><Relationship Id="rId35"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drawings/_rels/drawing5.xml.rels><?xml version="1.0" encoding="UTF-8" standalone="yes"?>
<Relationships xmlns="http://schemas.openxmlformats.org/package/2006/relationships"><Relationship Id="rId1" Type="http://schemas.openxmlformats.org/officeDocument/2006/relationships/image" Target="../media/image1.emf"/></Relationships>
</file>

<file path=xl/drawings/_rels/drawing8.xml.rels><?xml version="1.0" encoding="UTF-8" standalone="yes"?>
<Relationships xmlns="http://schemas.openxmlformats.org/package/2006/relationships"><Relationship Id="rId3" Type="http://schemas.openxmlformats.org/officeDocument/2006/relationships/image" Target="../media/image7.wmf"/><Relationship Id="rId2" Type="http://schemas.openxmlformats.org/officeDocument/2006/relationships/image" Target="../media/image6.wmf"/><Relationship Id="rId1" Type="http://schemas.openxmlformats.org/officeDocument/2006/relationships/image" Target="../media/image5.emf"/><Relationship Id="rId4" Type="http://schemas.openxmlformats.org/officeDocument/2006/relationships/image" Target="../media/image8.png"/></Relationships>
</file>

<file path=xl/drawings/_rels/vmlDrawing9.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514350</xdr:colOff>
          <xdr:row>0</xdr:row>
          <xdr:rowOff>228600</xdr:rowOff>
        </xdr:to>
        <xdr:sp macro="" textlink="">
          <xdr:nvSpPr>
            <xdr:cNvPr id="147493" name="Button 37" hidden="1">
              <a:extLst>
                <a:ext uri="{63B3BB69-23CF-44E3-9099-C40C66FF867C}">
                  <a14:compatExt spid="_x0000_s147493"/>
                </a:ext>
                <a:ext uri="{FF2B5EF4-FFF2-40B4-BE49-F238E27FC236}">
                  <a16:creationId xmlns:a16="http://schemas.microsoft.com/office/drawing/2014/main" id="{00000000-0008-0000-0000-0000254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0</xdr:row>
          <xdr:rowOff>0</xdr:rowOff>
        </xdr:from>
        <xdr:to>
          <xdr:col>1</xdr:col>
          <xdr:colOff>1152525</xdr:colOff>
          <xdr:row>0</xdr:row>
          <xdr:rowOff>228600</xdr:rowOff>
        </xdr:to>
        <xdr:sp macro="" textlink="">
          <xdr:nvSpPr>
            <xdr:cNvPr id="147494" name="Button 38" hidden="1">
              <a:extLst>
                <a:ext uri="{63B3BB69-23CF-44E3-9099-C40C66FF867C}">
                  <a14:compatExt spid="_x0000_s147494"/>
                </a:ext>
                <a:ext uri="{FF2B5EF4-FFF2-40B4-BE49-F238E27FC236}">
                  <a16:creationId xmlns:a16="http://schemas.microsoft.com/office/drawing/2014/main" id="{00000000-0008-0000-0000-0000264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Slab Filter</a:t>
              </a:r>
            </a:p>
            <a:p>
              <a:pPr algn="ctr" rtl="0">
                <a:defRPr sz="1000"/>
              </a:pPr>
              <a:endParaRPr lang="en-AU" sz="1000" b="0" i="0" u="none" strike="noStrike" baseline="0">
                <a:solidFill>
                  <a:srgbClr val="000000"/>
                </a:solidFill>
                <a:latin typeface="Arial"/>
                <a:cs typeface="Arial"/>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0</xdr:row>
          <xdr:rowOff>0</xdr:rowOff>
        </xdr:from>
        <xdr:to>
          <xdr:col>3</xdr:col>
          <xdr:colOff>0</xdr:colOff>
          <xdr:row>0</xdr:row>
          <xdr:rowOff>228600</xdr:rowOff>
        </xdr:to>
        <xdr:sp macro="" textlink="">
          <xdr:nvSpPr>
            <xdr:cNvPr id="147499" name="Button 43" hidden="1">
              <a:extLst>
                <a:ext uri="{63B3BB69-23CF-44E3-9099-C40C66FF867C}">
                  <a14:compatExt spid="_x0000_s147499"/>
                </a:ext>
                <a:ext uri="{FF2B5EF4-FFF2-40B4-BE49-F238E27FC236}">
                  <a16:creationId xmlns:a16="http://schemas.microsoft.com/office/drawing/2014/main" id="{00000000-0008-0000-0000-00002B4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Plate Filter</a:t>
              </a:r>
            </a:p>
            <a:p>
              <a:pPr algn="ctr" rtl="0">
                <a:defRPr sz="1000"/>
              </a:pPr>
              <a:endParaRPr lang="en-AU" sz="1000" b="0" i="0" u="none" strike="noStrike" baseline="0">
                <a:solidFill>
                  <a:srgbClr val="000000"/>
                </a:solidFill>
                <a:latin typeface="Arial"/>
                <a:cs typeface="Arial"/>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171450</xdr:colOff>
          <xdr:row>0</xdr:row>
          <xdr:rowOff>0</xdr:rowOff>
        </xdr:from>
        <xdr:to>
          <xdr:col>4</xdr:col>
          <xdr:colOff>0</xdr:colOff>
          <xdr:row>0</xdr:row>
          <xdr:rowOff>228600</xdr:rowOff>
        </xdr:to>
        <xdr:sp macro="" textlink="">
          <xdr:nvSpPr>
            <xdr:cNvPr id="147500" name="Button 44" hidden="1">
              <a:extLst>
                <a:ext uri="{63B3BB69-23CF-44E3-9099-C40C66FF867C}">
                  <a14:compatExt spid="_x0000_s147500"/>
                </a:ext>
                <a:ext uri="{FF2B5EF4-FFF2-40B4-BE49-F238E27FC236}">
                  <a16:creationId xmlns:a16="http://schemas.microsoft.com/office/drawing/2014/main" id="{00000000-0008-0000-0000-00002C4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Clear Filter</a:t>
              </a:r>
            </a:p>
            <a:p>
              <a:pPr algn="ctr" rtl="0">
                <a:defRPr sz="1000"/>
              </a:pPr>
              <a:endParaRPr lang="en-AU" sz="1000" b="0" i="0" u="none" strike="noStrike" baseline="0">
                <a:solidFill>
                  <a:srgbClr val="000000"/>
                </a:solidFill>
                <a:latin typeface="Arial"/>
                <a:cs typeface="Arial"/>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552450</xdr:colOff>
          <xdr:row>0</xdr:row>
          <xdr:rowOff>0</xdr:rowOff>
        </xdr:from>
        <xdr:to>
          <xdr:col>0</xdr:col>
          <xdr:colOff>1152525</xdr:colOff>
          <xdr:row>0</xdr:row>
          <xdr:rowOff>228600</xdr:rowOff>
        </xdr:to>
        <xdr:sp macro="" textlink="">
          <xdr:nvSpPr>
            <xdr:cNvPr id="147502" name="Button 46" hidden="1">
              <a:extLst>
                <a:ext uri="{63B3BB69-23CF-44E3-9099-C40C66FF867C}">
                  <a14:compatExt spid="_x0000_s147502"/>
                </a:ext>
                <a:ext uri="{FF2B5EF4-FFF2-40B4-BE49-F238E27FC236}">
                  <a16:creationId xmlns:a16="http://schemas.microsoft.com/office/drawing/2014/main" id="{00000000-0008-0000-0000-00002E4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8982075</xdr:colOff>
          <xdr:row>0</xdr:row>
          <xdr:rowOff>0</xdr:rowOff>
        </xdr:from>
        <xdr:to>
          <xdr:col>8</xdr:col>
          <xdr:colOff>952500</xdr:colOff>
          <xdr:row>0</xdr:row>
          <xdr:rowOff>228600</xdr:rowOff>
        </xdr:to>
        <xdr:sp macro="" textlink="">
          <xdr:nvSpPr>
            <xdr:cNvPr id="147533" name="Button 77" hidden="1">
              <a:extLst>
                <a:ext uri="{63B3BB69-23CF-44E3-9099-C40C66FF867C}">
                  <a14:compatExt spid="_x0000_s147533"/>
                </a:ext>
                <a:ext uri="{FF2B5EF4-FFF2-40B4-BE49-F238E27FC236}">
                  <a16:creationId xmlns:a16="http://schemas.microsoft.com/office/drawing/2014/main" id="{00000000-0008-0000-0000-00004D4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Upload Bill</a:t>
              </a:r>
            </a:p>
            <a:p>
              <a:pPr algn="ctr" rtl="0">
                <a:defRPr sz="1000"/>
              </a:pPr>
              <a:endParaRPr lang="en-AU" sz="1000" b="0" i="0" u="none" strike="noStrike" baseline="0">
                <a:solidFill>
                  <a:srgbClr val="000000"/>
                </a:solidFill>
                <a:latin typeface="Arial"/>
                <a:cs typeface="Arial"/>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85725</xdr:colOff>
          <xdr:row>0</xdr:row>
          <xdr:rowOff>0</xdr:rowOff>
        </xdr:from>
        <xdr:to>
          <xdr:col>9</xdr:col>
          <xdr:colOff>1095375</xdr:colOff>
          <xdr:row>0</xdr:row>
          <xdr:rowOff>228600</xdr:rowOff>
        </xdr:to>
        <xdr:sp macro="" textlink="">
          <xdr:nvSpPr>
            <xdr:cNvPr id="252829" name="Button 1949" hidden="1">
              <a:extLst>
                <a:ext uri="{63B3BB69-23CF-44E3-9099-C40C66FF867C}">
                  <a14:compatExt spid="_x0000_s252829"/>
                </a:ext>
                <a:ext uri="{FF2B5EF4-FFF2-40B4-BE49-F238E27FC236}">
                  <a16:creationId xmlns:a16="http://schemas.microsoft.com/office/drawing/2014/main" id="{00000000-0008-0000-0000-00009DDB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Check</a:t>
              </a:r>
            </a:p>
            <a:p>
              <a:pPr algn="ctr" rtl="0">
                <a:defRPr sz="1000"/>
              </a:pPr>
              <a:endParaRPr lang="en-AU" sz="1000" b="0" i="0" u="none" strike="noStrike" baseline="0">
                <a:solidFill>
                  <a:srgbClr val="000000"/>
                </a:solidFill>
                <a:latin typeface="Arial"/>
                <a:cs typeface="Arial"/>
              </a:endParaRP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1</xdr:col>
      <xdr:colOff>0</xdr:colOff>
      <xdr:row>0</xdr:row>
      <xdr:rowOff>9525</xdr:rowOff>
    </xdr:from>
    <xdr:ext cx="1009650" cy="295275"/>
    <xdr:sp macro="" textlink="">
      <xdr:nvSpPr>
        <xdr:cNvPr id="57345" name="Button 1" hidden="1">
          <a:extLst>
            <a:ext uri="{63B3BB69-23CF-44E3-9099-C40C66FF867C}">
              <a14:compatExt xmlns:a14="http://schemas.microsoft.com/office/drawing/2010/main" spid="_x0000_s57345"/>
            </a:ext>
            <a:ext uri="{FF2B5EF4-FFF2-40B4-BE49-F238E27FC236}">
              <a16:creationId xmlns:a16="http://schemas.microsoft.com/office/drawing/2014/main" id="{00000000-0008-0000-0100-000001E000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Addenda</a:t>
          </a:r>
        </a:p>
      </xdr:txBody>
    </xdr:sp>
    <xdr:clientData fPrintsWithSheet="0"/>
  </xdr:oneCellAnchor>
  <xdr:oneCellAnchor>
    <xdr:from>
      <xdr:col>1</xdr:col>
      <xdr:colOff>0</xdr:colOff>
      <xdr:row>1</xdr:row>
      <xdr:rowOff>0</xdr:rowOff>
    </xdr:from>
    <xdr:ext cx="1009650" cy="295275"/>
    <xdr:sp macro="" textlink="">
      <xdr:nvSpPr>
        <xdr:cNvPr id="57346" name="Button 2" hidden="1">
          <a:extLst>
            <a:ext uri="{63B3BB69-23CF-44E3-9099-C40C66FF867C}">
              <a14:compatExt xmlns:a14="http://schemas.microsoft.com/office/drawing/2010/main" spid="_x0000_s57346"/>
            </a:ext>
            <a:ext uri="{FF2B5EF4-FFF2-40B4-BE49-F238E27FC236}">
              <a16:creationId xmlns:a16="http://schemas.microsoft.com/office/drawing/2014/main" id="{00000000-0008-0000-0100-000002E000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Clear</a:t>
          </a:r>
        </a:p>
      </xdr:txBody>
    </xdr:sp>
    <xdr:clientData fPrintsWithSheet="0"/>
  </xdr:oneCellAnchor>
  <xdr:oneCellAnchor>
    <xdr:from>
      <xdr:col>1</xdr:col>
      <xdr:colOff>0</xdr:colOff>
      <xdr:row>0</xdr:row>
      <xdr:rowOff>9525</xdr:rowOff>
    </xdr:from>
    <xdr:ext cx="1009650" cy="295275"/>
    <xdr:sp macro="" textlink="">
      <xdr:nvSpPr>
        <xdr:cNvPr id="2" name="Button 1" hidden="1">
          <a:extLst>
            <a:ext uri="{63B3BB69-23CF-44E3-9099-C40C66FF867C}">
              <a14:compatExt xmlns:a14="http://schemas.microsoft.com/office/drawing/2010/main" spid="_x0000_s57345"/>
            </a:ext>
            <a:ext uri="{FF2B5EF4-FFF2-40B4-BE49-F238E27FC236}">
              <a16:creationId xmlns:a16="http://schemas.microsoft.com/office/drawing/2014/main" id="{00000000-0008-0000-0100-0000020000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Addenda</a:t>
          </a:r>
        </a:p>
      </xdr:txBody>
    </xdr:sp>
    <xdr:clientData fPrintsWithSheet="0"/>
  </xdr:oneCellAnchor>
  <xdr:oneCellAnchor>
    <xdr:from>
      <xdr:col>1</xdr:col>
      <xdr:colOff>0</xdr:colOff>
      <xdr:row>1</xdr:row>
      <xdr:rowOff>0</xdr:rowOff>
    </xdr:from>
    <xdr:ext cx="1009650" cy="295275"/>
    <xdr:sp macro="" textlink="">
      <xdr:nvSpPr>
        <xdr:cNvPr id="3" name="Button 2" hidden="1">
          <a:extLst>
            <a:ext uri="{63B3BB69-23CF-44E3-9099-C40C66FF867C}">
              <a14:compatExt xmlns:a14="http://schemas.microsoft.com/office/drawing/2010/main" spid="_x0000_s57346"/>
            </a:ext>
            <a:ext uri="{FF2B5EF4-FFF2-40B4-BE49-F238E27FC236}">
              <a16:creationId xmlns:a16="http://schemas.microsoft.com/office/drawing/2014/main" id="{00000000-0008-0000-0100-0000030000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Clear</a:t>
          </a:r>
        </a:p>
      </xdr:txBody>
    </xdr:sp>
    <xdr:clientData fPrintsWithSheet="0"/>
  </xdr:oneCellAnchor>
  <mc:AlternateContent xmlns:mc="http://schemas.openxmlformats.org/markup-compatibility/2006">
    <mc:Choice xmlns:a14="http://schemas.microsoft.com/office/drawing/2010/main" Requires="a14">
      <xdr:twoCellAnchor editAs="oneCell">
        <xdr:from>
          <xdr:col>2</xdr:col>
          <xdr:colOff>666750</xdr:colOff>
          <xdr:row>10</xdr:row>
          <xdr:rowOff>28575</xdr:rowOff>
        </xdr:from>
        <xdr:to>
          <xdr:col>2</xdr:col>
          <xdr:colOff>2819400</xdr:colOff>
          <xdr:row>12</xdr:row>
          <xdr:rowOff>66675</xdr:rowOff>
        </xdr:to>
        <xdr:sp macro="" textlink="">
          <xdr:nvSpPr>
            <xdr:cNvPr id="57348" name="Button 4" hidden="1">
              <a:extLst>
                <a:ext uri="{63B3BB69-23CF-44E3-9099-C40C66FF867C}">
                  <a14:compatExt spid="_x0000_s57348"/>
                </a:ext>
                <a:ext uri="{FF2B5EF4-FFF2-40B4-BE49-F238E27FC236}">
                  <a16:creationId xmlns:a16="http://schemas.microsoft.com/office/drawing/2014/main" id="{00000000-0008-0000-0100-000004E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2) Calculate</a:t>
              </a:r>
            </a:p>
          </xdr:txBody>
        </xdr:sp>
        <xdr:clientData fPrintsWithSheet="0"/>
      </xdr:twoCellAnchor>
    </mc:Choice>
    <mc:Fallback/>
  </mc:AlternateContent>
  <xdr:twoCellAnchor editAs="oneCell">
    <xdr:from>
      <xdr:col>1</xdr:col>
      <xdr:colOff>0</xdr:colOff>
      <xdr:row>0</xdr:row>
      <xdr:rowOff>9525</xdr:rowOff>
    </xdr:from>
    <xdr:to>
      <xdr:col>1</xdr:col>
      <xdr:colOff>1009650</xdr:colOff>
      <xdr:row>1</xdr:row>
      <xdr:rowOff>149225</xdr:rowOff>
    </xdr:to>
    <xdr:sp macro="" textlink="">
      <xdr:nvSpPr>
        <xdr:cNvPr id="9" name="Button 1" hidden="1">
          <a:extLst>
            <a:ext uri="{63B3BB69-23CF-44E3-9099-C40C66FF867C}">
              <a14:compatExt xmlns:a14="http://schemas.microsoft.com/office/drawing/2010/main" spid="_x0000_s57345"/>
            </a:ext>
            <a:ext uri="{FF2B5EF4-FFF2-40B4-BE49-F238E27FC236}">
              <a16:creationId xmlns:a16="http://schemas.microsoft.com/office/drawing/2014/main" id="{00000000-0008-0000-0100-000009000000}"/>
            </a:ext>
          </a:extLst>
        </xdr:cNvPr>
        <xdr:cNvSpPr/>
      </xdr:nvSpPr>
      <xdr:spPr>
        <a:xfrm>
          <a:off x="5410200" y="9525"/>
          <a:ext cx="1009650" cy="295275"/>
        </a:xfrm>
        <a:prstGeom prst="rect">
          <a:avLst/>
        </a:prstGeom>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Addenda</a:t>
          </a:r>
        </a:p>
      </xdr:txBody>
    </xdr:sp>
    <xdr:clientData fPrintsWithSheet="0"/>
  </xdr:twoCellAnchor>
  <xdr:twoCellAnchor editAs="oneCell">
    <xdr:from>
      <xdr:col>1</xdr:col>
      <xdr:colOff>0</xdr:colOff>
      <xdr:row>1</xdr:row>
      <xdr:rowOff>0</xdr:rowOff>
    </xdr:from>
    <xdr:to>
      <xdr:col>1</xdr:col>
      <xdr:colOff>1009650</xdr:colOff>
      <xdr:row>2</xdr:row>
      <xdr:rowOff>133350</xdr:rowOff>
    </xdr:to>
    <xdr:sp macro="" textlink="">
      <xdr:nvSpPr>
        <xdr:cNvPr id="10" name="Button 2" hidden="1">
          <a:extLst>
            <a:ext uri="{63B3BB69-23CF-44E3-9099-C40C66FF867C}">
              <a14:compatExt xmlns:a14="http://schemas.microsoft.com/office/drawing/2010/main" spid="_x0000_s57346"/>
            </a:ext>
            <a:ext uri="{FF2B5EF4-FFF2-40B4-BE49-F238E27FC236}">
              <a16:creationId xmlns:a16="http://schemas.microsoft.com/office/drawing/2014/main" id="{00000000-0008-0000-0100-00000A000000}"/>
            </a:ext>
          </a:extLst>
        </xdr:cNvPr>
        <xdr:cNvSpPr/>
      </xdr:nvSpPr>
      <xdr:spPr>
        <a:xfrm>
          <a:off x="5410200" y="342900"/>
          <a:ext cx="1009650" cy="295275"/>
        </a:xfrm>
        <a:prstGeom prst="rect">
          <a:avLst/>
        </a:prstGeom>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Clear</a:t>
          </a:r>
        </a:p>
      </xdr:txBody>
    </xdr:sp>
    <xdr:clientData fPrintsWithSheet="0"/>
  </xdr:twoCellAnchor>
  <xdr:twoCellAnchor editAs="oneCell">
    <xdr:from>
      <xdr:col>1</xdr:col>
      <xdr:colOff>0</xdr:colOff>
      <xdr:row>0</xdr:row>
      <xdr:rowOff>9525</xdr:rowOff>
    </xdr:from>
    <xdr:to>
      <xdr:col>1</xdr:col>
      <xdr:colOff>1009650</xdr:colOff>
      <xdr:row>1</xdr:row>
      <xdr:rowOff>149225</xdr:rowOff>
    </xdr:to>
    <xdr:sp macro="" textlink="">
      <xdr:nvSpPr>
        <xdr:cNvPr id="11" name="Button 1" hidden="1">
          <a:extLst>
            <a:ext uri="{63B3BB69-23CF-44E3-9099-C40C66FF867C}">
              <a14:compatExt xmlns:a14="http://schemas.microsoft.com/office/drawing/2010/main" spid="_x0000_s57345"/>
            </a:ext>
            <a:ext uri="{FF2B5EF4-FFF2-40B4-BE49-F238E27FC236}">
              <a16:creationId xmlns:a16="http://schemas.microsoft.com/office/drawing/2014/main" id="{00000000-0008-0000-0100-00000B000000}"/>
            </a:ext>
          </a:extLst>
        </xdr:cNvPr>
        <xdr:cNvSpPr/>
      </xdr:nvSpPr>
      <xdr:spPr>
        <a:xfrm>
          <a:off x="5410200" y="9525"/>
          <a:ext cx="1009650" cy="295275"/>
        </a:xfrm>
        <a:prstGeom prst="rect">
          <a:avLst/>
        </a:prstGeom>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Addenda</a:t>
          </a:r>
        </a:p>
      </xdr:txBody>
    </xdr:sp>
    <xdr:clientData fPrintsWithSheet="0"/>
  </xdr:twoCellAnchor>
  <xdr:twoCellAnchor editAs="oneCell">
    <xdr:from>
      <xdr:col>1</xdr:col>
      <xdr:colOff>0</xdr:colOff>
      <xdr:row>1</xdr:row>
      <xdr:rowOff>0</xdr:rowOff>
    </xdr:from>
    <xdr:to>
      <xdr:col>1</xdr:col>
      <xdr:colOff>1009650</xdr:colOff>
      <xdr:row>2</xdr:row>
      <xdr:rowOff>133350</xdr:rowOff>
    </xdr:to>
    <xdr:sp macro="" textlink="">
      <xdr:nvSpPr>
        <xdr:cNvPr id="12" name="Button 2" hidden="1">
          <a:extLst>
            <a:ext uri="{63B3BB69-23CF-44E3-9099-C40C66FF867C}">
              <a14:compatExt xmlns:a14="http://schemas.microsoft.com/office/drawing/2010/main" spid="_x0000_s57346"/>
            </a:ext>
            <a:ext uri="{FF2B5EF4-FFF2-40B4-BE49-F238E27FC236}">
              <a16:creationId xmlns:a16="http://schemas.microsoft.com/office/drawing/2014/main" id="{00000000-0008-0000-0100-00000C000000}"/>
            </a:ext>
          </a:extLst>
        </xdr:cNvPr>
        <xdr:cNvSpPr/>
      </xdr:nvSpPr>
      <xdr:spPr>
        <a:xfrm>
          <a:off x="5410200" y="342900"/>
          <a:ext cx="1009650" cy="295275"/>
        </a:xfrm>
        <a:prstGeom prst="rect">
          <a:avLst/>
        </a:prstGeom>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Clear</a:t>
          </a:r>
        </a:p>
      </xdr:txBody>
    </xdr:sp>
    <xdr:clientData fPrintsWithSheet="0"/>
  </xdr:twoCellAnchor>
  <mc:AlternateContent xmlns:mc="http://schemas.openxmlformats.org/markup-compatibility/2006">
    <mc:Choice xmlns:a14="http://schemas.microsoft.com/office/drawing/2010/main" Requires="a14">
      <xdr:twoCellAnchor editAs="oneCell">
        <xdr:from>
          <xdr:col>2</xdr:col>
          <xdr:colOff>666750</xdr:colOff>
          <xdr:row>13</xdr:row>
          <xdr:rowOff>38100</xdr:rowOff>
        </xdr:from>
        <xdr:to>
          <xdr:col>2</xdr:col>
          <xdr:colOff>2819400</xdr:colOff>
          <xdr:row>14</xdr:row>
          <xdr:rowOff>228600</xdr:rowOff>
        </xdr:to>
        <xdr:sp macro="" textlink="">
          <xdr:nvSpPr>
            <xdr:cNvPr id="57351" name="Button 7" descr="Lintel Calculations" hidden="1">
              <a:extLst>
                <a:ext uri="{63B3BB69-23CF-44E3-9099-C40C66FF867C}">
                  <a14:compatExt spid="_x0000_s57351"/>
                </a:ext>
                <a:ext uri="{FF2B5EF4-FFF2-40B4-BE49-F238E27FC236}">
                  <a16:creationId xmlns:a16="http://schemas.microsoft.com/office/drawing/2014/main" id="{00000000-0008-0000-0100-000007E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3) Lintel Calculations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676275</xdr:colOff>
          <xdr:row>7</xdr:row>
          <xdr:rowOff>19050</xdr:rowOff>
        </xdr:from>
        <xdr:to>
          <xdr:col>2</xdr:col>
          <xdr:colOff>2819400</xdr:colOff>
          <xdr:row>9</xdr:row>
          <xdr:rowOff>47625</xdr:rowOff>
        </xdr:to>
        <xdr:sp macro="" textlink="">
          <xdr:nvSpPr>
            <xdr:cNvPr id="57353" name="Button 9" hidden="1">
              <a:extLst>
                <a:ext uri="{63B3BB69-23CF-44E3-9099-C40C66FF867C}">
                  <a14:compatExt spid="_x0000_s57353"/>
                </a:ext>
                <a:ext uri="{FF2B5EF4-FFF2-40B4-BE49-F238E27FC236}">
                  <a16:creationId xmlns:a16="http://schemas.microsoft.com/office/drawing/2014/main" id="{00000000-0008-0000-0100-000009E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Create Job Folder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9525</xdr:colOff>
          <xdr:row>7</xdr:row>
          <xdr:rowOff>9525</xdr:rowOff>
        </xdr:from>
        <xdr:to>
          <xdr:col>1</xdr:col>
          <xdr:colOff>552450</xdr:colOff>
          <xdr:row>8</xdr:row>
          <xdr:rowOff>85725</xdr:rowOff>
        </xdr:to>
        <xdr:sp macro="" textlink="">
          <xdr:nvSpPr>
            <xdr:cNvPr id="57357" name="Button 13" hidden="1">
              <a:extLst>
                <a:ext uri="{63B3BB69-23CF-44E3-9099-C40C66FF867C}">
                  <a14:compatExt spid="_x0000_s57357"/>
                </a:ext>
                <a:ext uri="{FF2B5EF4-FFF2-40B4-BE49-F238E27FC236}">
                  <a16:creationId xmlns:a16="http://schemas.microsoft.com/office/drawing/2014/main" id="{00000000-0008-0000-0100-00000DE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Import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676275</xdr:colOff>
          <xdr:row>15</xdr:row>
          <xdr:rowOff>28575</xdr:rowOff>
        </xdr:from>
        <xdr:to>
          <xdr:col>2</xdr:col>
          <xdr:colOff>2819400</xdr:colOff>
          <xdr:row>17</xdr:row>
          <xdr:rowOff>47625</xdr:rowOff>
        </xdr:to>
        <xdr:sp macro="" textlink="">
          <xdr:nvSpPr>
            <xdr:cNvPr id="57360" name="Button 16" hidden="1">
              <a:extLst>
                <a:ext uri="{63B3BB69-23CF-44E3-9099-C40C66FF867C}">
                  <a14:compatExt spid="_x0000_s57360"/>
                </a:ext>
                <a:ext uri="{FF2B5EF4-FFF2-40B4-BE49-F238E27FC236}">
                  <a16:creationId xmlns:a16="http://schemas.microsoft.com/office/drawing/2014/main" id="{00000000-0008-0000-0100-000010E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Clear Quants Pad</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5</xdr:col>
          <xdr:colOff>47625</xdr:colOff>
          <xdr:row>0</xdr:row>
          <xdr:rowOff>9525</xdr:rowOff>
        </xdr:from>
        <xdr:to>
          <xdr:col>6</xdr:col>
          <xdr:colOff>523875</xdr:colOff>
          <xdr:row>0</xdr:row>
          <xdr:rowOff>152400</xdr:rowOff>
        </xdr:to>
        <xdr:sp macro="" textlink="">
          <xdr:nvSpPr>
            <xdr:cNvPr id="117761" name="Button 1" hidden="1">
              <a:extLst>
                <a:ext uri="{63B3BB69-23CF-44E3-9099-C40C66FF867C}">
                  <a14:compatExt spid="_x0000_s117761"/>
                </a:ext>
                <a:ext uri="{FF2B5EF4-FFF2-40B4-BE49-F238E27FC236}">
                  <a16:creationId xmlns:a16="http://schemas.microsoft.com/office/drawing/2014/main" id="{00000000-0008-0000-0200-000001C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Import CSV</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0</xdr:colOff>
          <xdr:row>0</xdr:row>
          <xdr:rowOff>9525</xdr:rowOff>
        </xdr:from>
        <xdr:to>
          <xdr:col>7</xdr:col>
          <xdr:colOff>476250</xdr:colOff>
          <xdr:row>0</xdr:row>
          <xdr:rowOff>152400</xdr:rowOff>
        </xdr:to>
        <xdr:sp macro="" textlink="">
          <xdr:nvSpPr>
            <xdr:cNvPr id="133122" name="Button 2" hidden="1">
              <a:extLst>
                <a:ext uri="{63B3BB69-23CF-44E3-9099-C40C66FF867C}">
                  <a14:compatExt spid="_x0000_s133122"/>
                </a:ext>
                <a:ext uri="{FF2B5EF4-FFF2-40B4-BE49-F238E27FC236}">
                  <a16:creationId xmlns:a16="http://schemas.microsoft.com/office/drawing/2014/main" id="{00000000-0008-0000-0300-00000208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Import CSV</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3</xdr:col>
      <xdr:colOff>28575</xdr:colOff>
      <xdr:row>0</xdr:row>
      <xdr:rowOff>123825</xdr:rowOff>
    </xdr:from>
    <xdr:to>
      <xdr:col>3</xdr:col>
      <xdr:colOff>1104900</xdr:colOff>
      <xdr:row>1</xdr:row>
      <xdr:rowOff>127000</xdr:rowOff>
    </xdr:to>
    <xdr:sp macro="" textlink="">
      <xdr:nvSpPr>
        <xdr:cNvPr id="6155" name="CommandButton1" hidden="1">
          <a:extLst>
            <a:ext uri="{FF2B5EF4-FFF2-40B4-BE49-F238E27FC236}">
              <a16:creationId xmlns:a16="http://schemas.microsoft.com/office/drawing/2014/main" id="{00000000-0008-0000-0600-00000B180000}"/>
            </a:ext>
          </a:extLst>
        </xdr:cNvPr>
        <xdr:cNvSpPr>
          <a:spLocks noChangeArrowheads="1"/>
        </xdr:cNvSpPr>
      </xdr:nvSpPr>
      <xdr:spPr bwMode="auto">
        <a:xfrm>
          <a:off x="5962650" y="123825"/>
          <a:ext cx="1076325"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28575</xdr:colOff>
      <xdr:row>0</xdr:row>
      <xdr:rowOff>123825</xdr:rowOff>
    </xdr:from>
    <xdr:to>
      <xdr:col>3</xdr:col>
      <xdr:colOff>1104900</xdr:colOff>
      <xdr:row>1</xdr:row>
      <xdr:rowOff>127000</xdr:rowOff>
    </xdr:to>
    <xdr:pic>
      <xdr:nvPicPr>
        <xdr:cNvPr id="6156" name="CommandButton1">
          <a:extLst>
            <a:ext uri="{FF2B5EF4-FFF2-40B4-BE49-F238E27FC236}">
              <a16:creationId xmlns:a16="http://schemas.microsoft.com/office/drawing/2014/main" id="{00000000-0008-0000-0600-00000C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962650" y="123825"/>
          <a:ext cx="1076325"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28575</xdr:colOff>
      <xdr:row>0</xdr:row>
      <xdr:rowOff>123825</xdr:rowOff>
    </xdr:from>
    <xdr:to>
      <xdr:col>3</xdr:col>
      <xdr:colOff>1104900</xdr:colOff>
      <xdr:row>1</xdr:row>
      <xdr:rowOff>127000</xdr:rowOff>
    </xdr:to>
    <xdr:sp macro="" textlink="">
      <xdr:nvSpPr>
        <xdr:cNvPr id="6154" name="Object 10" hidden="1">
          <a:extLst>
            <a:ext uri="{63B3BB69-23CF-44E3-9099-C40C66FF867C}">
              <a14:compatExt xmlns:a14="http://schemas.microsoft.com/office/drawing/2010/main" spid="_x0000_s6154"/>
            </a:ext>
            <a:ext uri="{FF2B5EF4-FFF2-40B4-BE49-F238E27FC236}">
              <a16:creationId xmlns:a16="http://schemas.microsoft.com/office/drawing/2014/main" id="{00000000-0008-0000-0600-00000A180000}"/>
            </a:ext>
          </a:extLst>
        </xdr:cNvPr>
        <xdr:cNvSpPr/>
      </xdr:nvSpPr>
      <xdr:spPr>
        <a:xfrm>
          <a:off x="0" y="0"/>
          <a:ext cx="0" cy="0"/>
        </a:xfrm>
        <a:prstGeom prst="rect">
          <a:avLst/>
        </a:prstGeom>
      </xdr:spPr>
    </xdr:sp>
    <xdr:clientData/>
  </xdr:twoCellAnchor>
  <xdr:twoCellAnchor editAs="oneCell">
    <xdr:from>
      <xdr:col>3</xdr:col>
      <xdr:colOff>28575</xdr:colOff>
      <xdr:row>0</xdr:row>
      <xdr:rowOff>123825</xdr:rowOff>
    </xdr:from>
    <xdr:to>
      <xdr:col>3</xdr:col>
      <xdr:colOff>1104900</xdr:colOff>
      <xdr:row>1</xdr:row>
      <xdr:rowOff>127000</xdr:rowOff>
    </xdr:to>
    <xdr:pic>
      <xdr:nvPicPr>
        <xdr:cNvPr id="2" name="Picture 10">
          <a:extLst>
            <a:ext uri="{FF2B5EF4-FFF2-40B4-BE49-F238E27FC236}">
              <a16:creationId xmlns:a16="http://schemas.microsoft.com/office/drawing/2014/main" id="{00000000-0008-0000-06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962650" y="123825"/>
          <a:ext cx="1076325" cy="295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28575</xdr:colOff>
      <xdr:row>0</xdr:row>
      <xdr:rowOff>123825</xdr:rowOff>
    </xdr:from>
    <xdr:to>
      <xdr:col>3</xdr:col>
      <xdr:colOff>1104900</xdr:colOff>
      <xdr:row>1</xdr:row>
      <xdr:rowOff>127000</xdr:rowOff>
    </xdr:to>
    <xdr:sp macro="" textlink="">
      <xdr:nvSpPr>
        <xdr:cNvPr id="6" name="CommandButton1" hidden="1">
          <a:extLst>
            <a:ext uri="{FF2B5EF4-FFF2-40B4-BE49-F238E27FC236}">
              <a16:creationId xmlns:a16="http://schemas.microsoft.com/office/drawing/2014/main" id="{00000000-0008-0000-0600-000006000000}"/>
            </a:ext>
          </a:extLst>
        </xdr:cNvPr>
        <xdr:cNvSpPr>
          <a:spLocks noChangeArrowheads="1"/>
        </xdr:cNvSpPr>
      </xdr:nvSpPr>
      <xdr:spPr bwMode="auto">
        <a:xfrm>
          <a:off x="6962775" y="123825"/>
          <a:ext cx="1076325"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28575</xdr:colOff>
      <xdr:row>0</xdr:row>
      <xdr:rowOff>123825</xdr:rowOff>
    </xdr:from>
    <xdr:to>
      <xdr:col>3</xdr:col>
      <xdr:colOff>1104900</xdr:colOff>
      <xdr:row>1</xdr:row>
      <xdr:rowOff>127000</xdr:rowOff>
    </xdr:to>
    <xdr:pic>
      <xdr:nvPicPr>
        <xdr:cNvPr id="7" name="CommandButton1">
          <a:extLst>
            <a:ext uri="{FF2B5EF4-FFF2-40B4-BE49-F238E27FC236}">
              <a16:creationId xmlns:a16="http://schemas.microsoft.com/office/drawing/2014/main" id="{00000000-0008-0000-0600-000007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62775" y="123825"/>
          <a:ext cx="1076325"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28575</xdr:colOff>
      <xdr:row>0</xdr:row>
      <xdr:rowOff>123825</xdr:rowOff>
    </xdr:from>
    <xdr:to>
      <xdr:col>3</xdr:col>
      <xdr:colOff>1104900</xdr:colOff>
      <xdr:row>1</xdr:row>
      <xdr:rowOff>127000</xdr:rowOff>
    </xdr:to>
    <xdr:sp macro="" textlink="">
      <xdr:nvSpPr>
        <xdr:cNvPr id="8" name="Object 10" hidden="1">
          <a:extLst>
            <a:ext uri="{63B3BB69-23CF-44E3-9099-C40C66FF867C}">
              <a14:compatExt xmlns:a14="http://schemas.microsoft.com/office/drawing/2010/main" spid="_x0000_s6154"/>
            </a:ext>
            <a:ext uri="{FF2B5EF4-FFF2-40B4-BE49-F238E27FC236}">
              <a16:creationId xmlns:a16="http://schemas.microsoft.com/office/drawing/2014/main" id="{00000000-0008-0000-0600-000008000000}"/>
            </a:ext>
          </a:extLst>
        </xdr:cNvPr>
        <xdr:cNvSpPr/>
      </xdr:nvSpPr>
      <xdr:spPr>
        <a:xfrm>
          <a:off x="6962775" y="123825"/>
          <a:ext cx="1076325" cy="295275"/>
        </a:xfrm>
        <a:prstGeom prst="rect">
          <a:avLst/>
        </a:prstGeom>
      </xdr:spPr>
    </xdr:sp>
    <xdr:clientData/>
  </xdr:twoCellAnchor>
  <xdr:twoCellAnchor editAs="oneCell">
    <xdr:from>
      <xdr:col>3</xdr:col>
      <xdr:colOff>28575</xdr:colOff>
      <xdr:row>0</xdr:row>
      <xdr:rowOff>123825</xdr:rowOff>
    </xdr:from>
    <xdr:to>
      <xdr:col>3</xdr:col>
      <xdr:colOff>1104900</xdr:colOff>
      <xdr:row>1</xdr:row>
      <xdr:rowOff>127000</xdr:rowOff>
    </xdr:to>
    <xdr:pic>
      <xdr:nvPicPr>
        <xdr:cNvPr id="9" name="Picture 10">
          <a:extLst>
            <a:ext uri="{FF2B5EF4-FFF2-40B4-BE49-F238E27FC236}">
              <a16:creationId xmlns:a16="http://schemas.microsoft.com/office/drawing/2014/main" id="{00000000-0008-0000-06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62775" y="123825"/>
          <a:ext cx="1076325" cy="295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114300</xdr:colOff>
          <xdr:row>0</xdr:row>
          <xdr:rowOff>57150</xdr:rowOff>
        </xdr:from>
        <xdr:to>
          <xdr:col>7</xdr:col>
          <xdr:colOff>1066800</xdr:colOff>
          <xdr:row>0</xdr:row>
          <xdr:rowOff>200025</xdr:rowOff>
        </xdr:to>
        <xdr:sp macro="" textlink="">
          <xdr:nvSpPr>
            <xdr:cNvPr id="10321" name="Button 81" hidden="1">
              <a:extLst>
                <a:ext uri="{63B3BB69-23CF-44E3-9099-C40C66FF867C}">
                  <a14:compatExt spid="_x0000_s10321"/>
                </a:ext>
                <a:ext uri="{FF2B5EF4-FFF2-40B4-BE49-F238E27FC236}">
                  <a16:creationId xmlns:a16="http://schemas.microsoft.com/office/drawing/2014/main" id="{00000000-0008-0000-0700-000051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Format Sheet</a:t>
              </a:r>
            </a:p>
            <a:p>
              <a:pPr algn="ctr" rtl="0">
                <a:defRPr sz="1000"/>
              </a:pPr>
              <a:endParaRPr lang="en-AU" sz="1000" b="0" i="0" u="none" strike="noStrike" baseline="0">
                <a:solidFill>
                  <a:srgbClr val="000000"/>
                </a:solidFill>
                <a:latin typeface="Arial"/>
                <a:cs typeface="Arial"/>
              </a:endParaRP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5</xdr:col>
      <xdr:colOff>1200150</xdr:colOff>
      <xdr:row>0</xdr:row>
      <xdr:rowOff>123825</xdr:rowOff>
    </xdr:from>
    <xdr:to>
      <xdr:col>8</xdr:col>
      <xdr:colOff>76200</xdr:colOff>
      <xdr:row>0</xdr:row>
      <xdr:rowOff>295275</xdr:rowOff>
    </xdr:to>
    <xdr:sp macro="" textlink="">
      <xdr:nvSpPr>
        <xdr:cNvPr id="14337" name="Button 1" hidden="1">
          <a:extLst>
            <a:ext uri="{63B3BB69-23CF-44E3-9099-C40C66FF867C}">
              <a14:compatExt xmlns:a14="http://schemas.microsoft.com/office/drawing/2010/main" spid="_x0000_s14337"/>
            </a:ext>
            <a:ext uri="{FF2B5EF4-FFF2-40B4-BE49-F238E27FC236}">
              <a16:creationId xmlns:a16="http://schemas.microsoft.com/office/drawing/2014/main" id="{00000000-0008-0000-0900-0000013800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Sort Lintels</a:t>
          </a:r>
        </a:p>
      </xdr:txBody>
    </xdr:sp>
    <xdr:clientData fPrintsWithSheet="0"/>
  </xdr:twoCellAnchor>
  <xdr:twoCellAnchor>
    <xdr:from>
      <xdr:col>5</xdr:col>
      <xdr:colOff>1200150</xdr:colOff>
      <xdr:row>0</xdr:row>
      <xdr:rowOff>123825</xdr:rowOff>
    </xdr:from>
    <xdr:to>
      <xdr:col>8</xdr:col>
      <xdr:colOff>76200</xdr:colOff>
      <xdr:row>0</xdr:row>
      <xdr:rowOff>295275</xdr:rowOff>
    </xdr:to>
    <xdr:sp macro="" textlink="">
      <xdr:nvSpPr>
        <xdr:cNvPr id="2" name="Button 1" hidden="1">
          <a:extLst>
            <a:ext uri="{63B3BB69-23CF-44E3-9099-C40C66FF867C}">
              <a14:compatExt xmlns:a14="http://schemas.microsoft.com/office/drawing/2010/main" spid="_x0000_s14337"/>
            </a:ext>
            <a:ext uri="{FF2B5EF4-FFF2-40B4-BE49-F238E27FC236}">
              <a16:creationId xmlns:a16="http://schemas.microsoft.com/office/drawing/2014/main" id="{00000000-0008-0000-0900-0000020000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Button 1</a:t>
          </a:r>
        </a:p>
      </xdr:txBody>
    </xdr:sp>
    <xdr:clientData fPrintsWithSheet="0"/>
  </xdr:twoCellAnchor>
  <xdr:twoCellAnchor>
    <xdr:from>
      <xdr:col>1</xdr:col>
      <xdr:colOff>1200150</xdr:colOff>
      <xdr:row>0</xdr:row>
      <xdr:rowOff>123825</xdr:rowOff>
    </xdr:from>
    <xdr:to>
      <xdr:col>3</xdr:col>
      <xdr:colOff>76200</xdr:colOff>
      <xdr:row>0</xdr:row>
      <xdr:rowOff>295275</xdr:rowOff>
    </xdr:to>
    <xdr:sp macro="" textlink="">
      <xdr:nvSpPr>
        <xdr:cNvPr id="5" name="Button 1" hidden="1">
          <a:extLst>
            <a:ext uri="{63B3BB69-23CF-44E3-9099-C40C66FF867C}">
              <a14:compatExt xmlns:a14="http://schemas.microsoft.com/office/drawing/2010/main" spid="_x0000_s14337"/>
            </a:ext>
            <a:ext uri="{FF2B5EF4-FFF2-40B4-BE49-F238E27FC236}">
              <a16:creationId xmlns:a16="http://schemas.microsoft.com/office/drawing/2014/main" id="{00000000-0008-0000-0900-000005000000}"/>
            </a:ext>
          </a:extLst>
        </xdr:cNvPr>
        <xdr:cNvSpPr/>
      </xdr:nvSpPr>
      <xdr:spPr>
        <a:xfrm>
          <a:off x="1914525" y="123825"/>
          <a:ext cx="1638300" cy="38100"/>
        </a:xfrm>
        <a:prstGeom prst="rect">
          <a:avLst/>
        </a:prstGeom>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Sort Lintels</a:t>
          </a:r>
        </a:p>
      </xdr:txBody>
    </xdr:sp>
    <xdr:clientData fPrintsWithSheet="0"/>
  </xdr:twoCellAnchor>
  <xdr:twoCellAnchor>
    <xdr:from>
      <xdr:col>1</xdr:col>
      <xdr:colOff>1200150</xdr:colOff>
      <xdr:row>0</xdr:row>
      <xdr:rowOff>123825</xdr:rowOff>
    </xdr:from>
    <xdr:to>
      <xdr:col>3</xdr:col>
      <xdr:colOff>76200</xdr:colOff>
      <xdr:row>0</xdr:row>
      <xdr:rowOff>295275</xdr:rowOff>
    </xdr:to>
    <xdr:sp macro="" textlink="">
      <xdr:nvSpPr>
        <xdr:cNvPr id="6" name="Button 1" hidden="1">
          <a:extLst>
            <a:ext uri="{63B3BB69-23CF-44E3-9099-C40C66FF867C}">
              <a14:compatExt xmlns:a14="http://schemas.microsoft.com/office/drawing/2010/main" spid="_x0000_s14337"/>
            </a:ext>
            <a:ext uri="{FF2B5EF4-FFF2-40B4-BE49-F238E27FC236}">
              <a16:creationId xmlns:a16="http://schemas.microsoft.com/office/drawing/2014/main" id="{00000000-0008-0000-0900-000006000000}"/>
            </a:ext>
          </a:extLst>
        </xdr:cNvPr>
        <xdr:cNvSpPr/>
      </xdr:nvSpPr>
      <xdr:spPr>
        <a:xfrm>
          <a:off x="1914525" y="123825"/>
          <a:ext cx="1638300" cy="38100"/>
        </a:xfrm>
        <a:prstGeom prst="rect">
          <a:avLst/>
        </a:prstGeom>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Button 1</a:t>
          </a:r>
        </a:p>
      </xdr:txBody>
    </xdr:sp>
    <xdr:clientData fPrintsWithSheet="0"/>
  </xdr:twoCellAnchor>
  <mc:AlternateContent xmlns:mc="http://schemas.openxmlformats.org/markup-compatibility/2006">
    <mc:Choice xmlns:a14="http://schemas.microsoft.com/office/drawing/2010/main" Requires="a14">
      <xdr:twoCellAnchor>
        <xdr:from>
          <xdr:col>9</xdr:col>
          <xdr:colOff>0</xdr:colOff>
          <xdr:row>4</xdr:row>
          <xdr:rowOff>142875</xdr:rowOff>
        </xdr:from>
        <xdr:to>
          <xdr:col>9</xdr:col>
          <xdr:colOff>1800225</xdr:colOff>
          <xdr:row>5</xdr:row>
          <xdr:rowOff>152400</xdr:rowOff>
        </xdr:to>
        <xdr:sp macro="" textlink="">
          <xdr:nvSpPr>
            <xdr:cNvPr id="14341" name="Button 5" hidden="1">
              <a:extLst>
                <a:ext uri="{63B3BB69-23CF-44E3-9099-C40C66FF867C}">
                  <a14:compatExt spid="_x0000_s14341"/>
                </a:ext>
                <a:ext uri="{FF2B5EF4-FFF2-40B4-BE49-F238E27FC236}">
                  <a16:creationId xmlns:a16="http://schemas.microsoft.com/office/drawing/2014/main" id="{00000000-0008-0000-0900-0000053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7</xdr:row>
          <xdr:rowOff>0</xdr:rowOff>
        </xdr:from>
        <xdr:to>
          <xdr:col>9</xdr:col>
          <xdr:colOff>1800225</xdr:colOff>
          <xdr:row>8</xdr:row>
          <xdr:rowOff>19050</xdr:rowOff>
        </xdr:to>
        <xdr:sp macro="" textlink="">
          <xdr:nvSpPr>
            <xdr:cNvPr id="14342" name="Button 6" hidden="1">
              <a:extLst>
                <a:ext uri="{63B3BB69-23CF-44E3-9099-C40C66FF867C}">
                  <a14:compatExt spid="_x0000_s14342"/>
                </a:ext>
                <a:ext uri="{FF2B5EF4-FFF2-40B4-BE49-F238E27FC236}">
                  <a16:creationId xmlns:a16="http://schemas.microsoft.com/office/drawing/2014/main" id="{00000000-0008-0000-0900-0000063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Reset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6</xdr:col>
      <xdr:colOff>47625</xdr:colOff>
      <xdr:row>44</xdr:row>
      <xdr:rowOff>76200</xdr:rowOff>
    </xdr:from>
    <xdr:to>
      <xdr:col>8</xdr:col>
      <xdr:colOff>497542</xdr:colOff>
      <xdr:row>56</xdr:row>
      <xdr:rowOff>1360</xdr:rowOff>
    </xdr:to>
    <xdr:sp macro="" textlink="">
      <xdr:nvSpPr>
        <xdr:cNvPr id="9248" name="Object 28" hidden="1">
          <a:extLst>
            <a:ext uri="{FF2B5EF4-FFF2-40B4-BE49-F238E27FC236}">
              <a16:creationId xmlns:a16="http://schemas.microsoft.com/office/drawing/2014/main" id="{00000000-0008-0000-0A00-000020240000}"/>
            </a:ext>
          </a:extLst>
        </xdr:cNvPr>
        <xdr:cNvSpPr>
          <a:spLocks noChangeArrowheads="1"/>
        </xdr:cNvSpPr>
      </xdr:nvSpPr>
      <xdr:spPr bwMode="auto">
        <a:xfrm>
          <a:off x="5334000" y="7505700"/>
          <a:ext cx="2533650" cy="1895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8</xdr:col>
      <xdr:colOff>61636</xdr:colOff>
      <xdr:row>1</xdr:row>
      <xdr:rowOff>143437</xdr:rowOff>
    </xdr:from>
    <xdr:to>
      <xdr:col>9</xdr:col>
      <xdr:colOff>1201829</xdr:colOff>
      <xdr:row>13</xdr:row>
      <xdr:rowOff>42184</xdr:rowOff>
    </xdr:to>
    <xdr:pic>
      <xdr:nvPicPr>
        <xdr:cNvPr id="9249" name="Picture 28">
          <a:extLst>
            <a:ext uri="{FF2B5EF4-FFF2-40B4-BE49-F238E27FC236}">
              <a16:creationId xmlns:a16="http://schemas.microsoft.com/office/drawing/2014/main" id="{00000000-0008-0000-0A00-0000212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825011" y="448237"/>
          <a:ext cx="1949818" cy="1889472"/>
        </a:xfrm>
        <a:prstGeom prst="rect">
          <a:avLst/>
        </a:prstGeom>
        <a:noFill/>
        <a:ln w="9525">
          <a:no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pic>
    <xdr:clientData/>
  </xdr:twoCellAnchor>
  <xdr:twoCellAnchor editAs="oneCell">
    <xdr:from>
      <xdr:col>0</xdr:col>
      <xdr:colOff>731183</xdr:colOff>
      <xdr:row>33</xdr:row>
      <xdr:rowOff>88137</xdr:rowOff>
    </xdr:from>
    <xdr:to>
      <xdr:col>2</xdr:col>
      <xdr:colOff>24652</xdr:colOff>
      <xdr:row>44</xdr:row>
      <xdr:rowOff>163603</xdr:rowOff>
    </xdr:to>
    <xdr:pic>
      <xdr:nvPicPr>
        <xdr:cNvPr id="10" name="Picture 2" descr="Duragal Beams">
          <a:extLst>
            <a:ext uri="{FF2B5EF4-FFF2-40B4-BE49-F238E27FC236}">
              <a16:creationId xmlns:a16="http://schemas.microsoft.com/office/drawing/2014/main" id="{00000000-0008-0000-0A00-00000A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31183" y="5707887"/>
          <a:ext cx="1522319" cy="186616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91626</xdr:colOff>
      <xdr:row>34</xdr:row>
      <xdr:rowOff>51591</xdr:rowOff>
    </xdr:from>
    <xdr:to>
      <xdr:col>4</xdr:col>
      <xdr:colOff>2246517</xdr:colOff>
      <xdr:row>44</xdr:row>
      <xdr:rowOff>127058</xdr:rowOff>
    </xdr:to>
    <xdr:pic>
      <xdr:nvPicPr>
        <xdr:cNvPr id="11" name="Picture 4" descr="Duragal Posts">
          <a:extLst>
            <a:ext uri="{FF2B5EF4-FFF2-40B4-BE49-F238E27FC236}">
              <a16:creationId xmlns:a16="http://schemas.microsoft.com/office/drawing/2014/main" id="{00000000-0008-0000-0A00-00000B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3282501" y="5842791"/>
          <a:ext cx="2154891" cy="169471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47625</xdr:colOff>
      <xdr:row>47</xdr:row>
      <xdr:rowOff>76200</xdr:rowOff>
    </xdr:from>
    <xdr:to>
      <xdr:col>8</xdr:col>
      <xdr:colOff>497542</xdr:colOff>
      <xdr:row>59</xdr:row>
      <xdr:rowOff>28574</xdr:rowOff>
    </xdr:to>
    <xdr:sp macro="" textlink="">
      <xdr:nvSpPr>
        <xdr:cNvPr id="12" name="Object 28" hidden="1">
          <a:extLst>
            <a:ext uri="{FF2B5EF4-FFF2-40B4-BE49-F238E27FC236}">
              <a16:creationId xmlns:a16="http://schemas.microsoft.com/office/drawing/2014/main" id="{00000000-0008-0000-0A00-00000C000000}"/>
            </a:ext>
          </a:extLst>
        </xdr:cNvPr>
        <xdr:cNvSpPr>
          <a:spLocks noChangeArrowheads="1"/>
        </xdr:cNvSpPr>
      </xdr:nvSpPr>
      <xdr:spPr bwMode="auto">
        <a:xfrm>
          <a:off x="8458200" y="7981950"/>
          <a:ext cx="2545416" cy="18954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5</xdr:col>
          <xdr:colOff>1057275</xdr:colOff>
          <xdr:row>47</xdr:row>
          <xdr:rowOff>19050</xdr:rowOff>
        </xdr:from>
        <xdr:to>
          <xdr:col>5</xdr:col>
          <xdr:colOff>3438525</xdr:colOff>
          <xdr:row>63</xdr:row>
          <xdr:rowOff>38100</xdr:rowOff>
        </xdr:to>
        <xdr:sp macro="" textlink="">
          <xdr:nvSpPr>
            <xdr:cNvPr id="82959" name="Object 15" hidden="1">
              <a:extLst>
                <a:ext uri="{63B3BB69-23CF-44E3-9099-C40C66FF867C}">
                  <a14:compatExt spid="_x0000_s82959"/>
                </a:ext>
                <a:ext uri="{FF2B5EF4-FFF2-40B4-BE49-F238E27FC236}">
                  <a16:creationId xmlns:a16="http://schemas.microsoft.com/office/drawing/2014/main" id="{00000000-0008-0000-0A00-00000F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381000</xdr:colOff>
          <xdr:row>47</xdr:row>
          <xdr:rowOff>19050</xdr:rowOff>
        </xdr:from>
        <xdr:to>
          <xdr:col>3</xdr:col>
          <xdr:colOff>390525</xdr:colOff>
          <xdr:row>64</xdr:row>
          <xdr:rowOff>152400</xdr:rowOff>
        </xdr:to>
        <xdr:sp macro="" textlink="">
          <xdr:nvSpPr>
            <xdr:cNvPr id="82960" name="Object 16" hidden="1">
              <a:extLst>
                <a:ext uri="{63B3BB69-23CF-44E3-9099-C40C66FF867C}">
                  <a14:compatExt spid="_x0000_s82960"/>
                </a:ext>
                <a:ext uri="{FF2B5EF4-FFF2-40B4-BE49-F238E27FC236}">
                  <a16:creationId xmlns:a16="http://schemas.microsoft.com/office/drawing/2014/main" id="{00000000-0008-0000-0A00-000010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57150</xdr:colOff>
          <xdr:row>47</xdr:row>
          <xdr:rowOff>28575</xdr:rowOff>
        </xdr:from>
        <xdr:to>
          <xdr:col>5</xdr:col>
          <xdr:colOff>590550</xdr:colOff>
          <xdr:row>61</xdr:row>
          <xdr:rowOff>38100</xdr:rowOff>
        </xdr:to>
        <xdr:sp macro="" textlink="">
          <xdr:nvSpPr>
            <xdr:cNvPr id="82963" name="Object 19" hidden="1">
              <a:extLst>
                <a:ext uri="{63B3BB69-23CF-44E3-9099-C40C66FF867C}">
                  <a14:compatExt spid="_x0000_s82963"/>
                </a:ext>
                <a:ext uri="{FF2B5EF4-FFF2-40B4-BE49-F238E27FC236}">
                  <a16:creationId xmlns:a16="http://schemas.microsoft.com/office/drawing/2014/main" id="{00000000-0008-0000-0A00-000013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6</xdr:col>
      <xdr:colOff>302556</xdr:colOff>
      <xdr:row>47</xdr:row>
      <xdr:rowOff>36172</xdr:rowOff>
    </xdr:from>
    <xdr:to>
      <xdr:col>9</xdr:col>
      <xdr:colOff>517103</xdr:colOff>
      <xdr:row>59</xdr:row>
      <xdr:rowOff>147125</xdr:rowOff>
    </xdr:to>
    <xdr:pic>
      <xdr:nvPicPr>
        <xdr:cNvPr id="13" name="Picture 12">
          <a:extLst>
            <a:ext uri="{FF2B5EF4-FFF2-40B4-BE49-F238E27FC236}">
              <a16:creationId xmlns:a16="http://schemas.microsoft.com/office/drawing/2014/main" id="{00000000-0008-0000-0A00-00000D000000}"/>
            </a:ext>
          </a:extLst>
        </xdr:cNvPr>
        <xdr:cNvPicPr>
          <a:picLocks noChangeAspect="1"/>
        </xdr:cNvPicPr>
      </xdr:nvPicPr>
      <xdr:blipFill>
        <a:blip xmlns:r="http://schemas.openxmlformats.org/officeDocument/2006/relationships" r:embed="rId4"/>
        <a:stretch>
          <a:fillRect/>
        </a:stretch>
      </xdr:blipFill>
      <xdr:spPr>
        <a:xfrm>
          <a:off x="9962027" y="7745819"/>
          <a:ext cx="3128076" cy="1993541"/>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561975</xdr:colOff>
          <xdr:row>0</xdr:row>
          <xdr:rowOff>57150</xdr:rowOff>
        </xdr:from>
        <xdr:to>
          <xdr:col>9</xdr:col>
          <xdr:colOff>628650</xdr:colOff>
          <xdr:row>0</xdr:row>
          <xdr:rowOff>238125</xdr:rowOff>
        </xdr:to>
        <xdr:sp macro="" textlink="">
          <xdr:nvSpPr>
            <xdr:cNvPr id="12298" name="Button 10" hidden="1">
              <a:extLst>
                <a:ext uri="{63B3BB69-23CF-44E3-9099-C40C66FF867C}">
                  <a14:compatExt spid="_x0000_s12298"/>
                </a:ext>
                <a:ext uri="{FF2B5EF4-FFF2-40B4-BE49-F238E27FC236}">
                  <a16:creationId xmlns:a16="http://schemas.microsoft.com/office/drawing/2014/main" id="{00000000-0008-0000-0E00-00000A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Format Sheet</a:t>
              </a:r>
            </a:p>
            <a:p>
              <a:pPr algn="ctr" rtl="0">
                <a:defRPr sz="1000"/>
              </a:pPr>
              <a:endParaRPr lang="en-AU" sz="1000" b="0" i="0" u="none" strike="noStrike" baseline="0">
                <a:solidFill>
                  <a:srgbClr val="000000"/>
                </a:solidFill>
                <a:latin typeface="Arial"/>
                <a:cs typeface="Arial"/>
              </a:endParaRP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47625</xdr:rowOff>
        </xdr:from>
        <xdr:to>
          <xdr:col>1</xdr:col>
          <xdr:colOff>561975</xdr:colOff>
          <xdr:row>1</xdr:row>
          <xdr:rowOff>123825</xdr:rowOff>
        </xdr:to>
        <xdr:sp macro="" textlink="">
          <xdr:nvSpPr>
            <xdr:cNvPr id="222209" name="Button 1" hidden="1">
              <a:extLst>
                <a:ext uri="{63B3BB69-23CF-44E3-9099-C40C66FF867C}">
                  <a14:compatExt spid="_x0000_s222209"/>
                </a:ext>
                <a:ext uri="{FF2B5EF4-FFF2-40B4-BE49-F238E27FC236}">
                  <a16:creationId xmlns:a16="http://schemas.microsoft.com/office/drawing/2014/main" id="{00000000-0008-0000-1A00-00000164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Import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47625</xdr:rowOff>
        </xdr:from>
        <xdr:to>
          <xdr:col>1</xdr:col>
          <xdr:colOff>561975</xdr:colOff>
          <xdr:row>1</xdr:row>
          <xdr:rowOff>123825</xdr:rowOff>
        </xdr:to>
        <xdr:sp macro="" textlink="">
          <xdr:nvSpPr>
            <xdr:cNvPr id="221185" name="Button 1" hidden="1">
              <a:extLst>
                <a:ext uri="{63B3BB69-23CF-44E3-9099-C40C66FF867C}">
                  <a14:compatExt spid="_x0000_s221185"/>
                </a:ext>
                <a:ext uri="{FF2B5EF4-FFF2-40B4-BE49-F238E27FC236}">
                  <a16:creationId xmlns:a16="http://schemas.microsoft.com/office/drawing/2014/main" id="{00000000-0008-0000-1B00-00000160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Import</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Paul Newton" id="{C9DD2C74-F6B1-469D-9405-848494BCE314}" userId="S::newtonp@vhgroup.com.au::79afe1a6-a6ff-433f-987f-0cc8b931f176"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Addenda" connectionId="1" xr16:uid="{00000000-0016-0000-0100-000000000000}"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Roof FF" growShrinkType="overwriteClear" connectionId="9" xr16:uid="{00000000-0016-0000-0300-000002000000}" autoFormatId="16"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ng Site Report" connectionId="3" xr16:uid="{00000000-0016-0000-1B00-000004000000}" autoFormatId="16"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ng Site Report" connectionId="2" xr16:uid="{00000000-0016-0000-1A00-000003000000}" autoFormatId="16" applyNumberFormats="0" applyBorderFormats="0" applyFontFormats="1" applyPatternFormats="1" applyAlignmentFormats="0" applyWidthHeightFormats="0"/>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FF35E63-EB9C-4CAB-9E76-CD2ACB973B0E}" name="Table5" displayName="Table5" ref="A2:J2799" totalsRowShown="0" headerRowDxfId="271" dataDxfId="269" headerRowBorderDxfId="270">
  <autoFilter ref="A2:J2799" xr:uid="{96257C22-863A-4D8C-B39B-7D666DC10E75}"/>
  <tableColumns count="10">
    <tableColumn id="1" xr3:uid="{AEFDD6AB-708D-4F00-8833-B178F339BB3A}" name="Stage" dataDxfId="268"/>
    <tableColumn id="2" xr3:uid="{D6FBE353-6A6A-4B4C-B9C6-B4CFA9622904}" name="Trade" dataDxfId="267"/>
    <tableColumn id="3" xr3:uid="{81881DF8-2204-48C7-86D2-7ACA3A22171F}" name="Supplier" dataDxfId="266"/>
    <tableColumn id="4" xr3:uid="{B1026B7A-51FA-4C27-94D1-8079910E0C31}" name="Component" dataDxfId="265"/>
    <tableColumn id="7" xr3:uid="{87696C17-3636-41EA-8254-8D1126134B45}" name="Unit" dataDxfId="264"/>
    <tableColumn id="8" xr3:uid="{6A5B1046-0921-42F6-8C16-DF8436C92D69}" name="Quantity" dataDxfId="263" dataCellStyle="Input"/>
    <tableColumn id="9" xr3:uid="{07B23549-F198-42E8-8A78-0E8365A23813}" name="Price" dataDxfId="262"/>
    <tableColumn id="5" xr3:uid="{F00D9B29-BACC-43A6-8B88-E78B84D4A892}" name="Description" dataDxfId="261"/>
    <tableColumn id="10" xr3:uid="{9255380A-1EB1-47EF-8F7F-1E67EF42CCE4}" name="Entered" dataDxfId="260" dataCellStyle="Normal 2"/>
    <tableColumn id="6" xr3:uid="{1AF6A4C8-A807-4FF9-8C50-393A36508594}" name="Check" dataDxfId="259">
      <calculatedColumnFormula>IF(Table5[[#This Row],[Entered]]&lt;&gt;Table5[[#This Row],[Quantity]],"Check","")</calculatedColumnFormula>
    </tableColumn>
  </tableColumns>
  <tableStyleInfo name="TableStyleMedium16"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60C0F46-794E-4650-8AD8-783D36460060}" name="PS_Table" displayName="PS_Table" ref="A1:E14" totalsRowCount="1">
  <autoFilter ref="A1:E13" xr:uid="{E60C0F46-794E-4650-8AD8-783D36460060}"/>
  <tableColumns count="5">
    <tableColumn id="1" xr3:uid="{262A955A-1C87-48F0-954B-F358B8E265C6}" name="PS Amount" totalsRowLabel="Total" dataDxfId="256" totalsRowDxfId="255"/>
    <tableColumn id="2" xr3:uid="{B6C27132-398E-4ED5-BB3F-1EB75FDBD324}" name="BOQ Amount" totalsRowFunction="sum" dataDxfId="254" totalsRowDxfId="253" dataCellStyle="Calculation">
      <calculatedColumnFormula>ROUNDUP((A2-PS_Table[[#This Row],[Credit]])/1.1/1.28,2)</calculatedColumnFormula>
    </tableColumn>
    <tableColumn id="3" xr3:uid="{B052F2C0-3DA9-48C3-814F-3F417E73FD03}" name="Line item/description" dataDxfId="252" totalsRowDxfId="251"/>
    <tableColumn id="6" xr3:uid="{51533005-DFA3-49C9-A99C-963A2C2F3916}" name="Credit" dataDxfId="250" totalsRowDxfId="249"/>
    <tableColumn id="5" xr3:uid="{44FDA2FD-5460-43B5-8B59-FE0BFEAF0F0C}" name="Line item/description2" dataDxfId="248" totalsRowDxfId="247"/>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1ACA4C7-4D22-491D-AA6D-1EC726FE8D14}" name="Quotes_Table" displayName="Quotes_Table" ref="A1:D27" totalsRowShown="0">
  <autoFilter ref="A1:D27" xr:uid="{F1ACA4C7-4D22-491D-AA6D-1EC726FE8D14}">
    <filterColumn colId="0" hiddenButton="1"/>
    <filterColumn colId="1" hiddenButton="1"/>
    <filterColumn colId="2" hiddenButton="1"/>
    <filterColumn colId="3" hiddenButton="1"/>
  </autoFilter>
  <tableColumns count="4">
    <tableColumn id="1" xr3:uid="{DE4D6570-AEA9-4A55-9F33-9E87941A14DF}" name="Item" dataDxfId="245"/>
    <tableColumn id="2" xr3:uid="{39D41F37-2EB3-4488-8EF2-6D44FAA309D0}" name="Quote Value" dataDxfId="244"/>
    <tableColumn id="3" xr3:uid="{16496C19-5D2C-4DF7-86AC-901C265F2CD5}" name="Supplier" dataDxfId="243"/>
    <tableColumn id="4" xr3:uid="{D413BF09-CA7D-4EAF-87DF-EE4A8F066E1F}" name="Requested" dataDxfId="242"/>
  </tableColumns>
  <tableStyleInfo name="TableStyleLight9" showFirstColumn="0" showLastColumn="0" showRowStripes="1" showColumnStripes="1"/>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1000000}" name="LintelTable" displayName="LintelTable" ref="A3:H315" totalsRowShown="0">
  <autoFilter ref="A3:H315" xr:uid="{00000000-000C-0000-FFFF-FFFF01000000}"/>
  <sortState xmlns:xlrd2="http://schemas.microsoft.com/office/spreadsheetml/2017/richdata2" ref="A4:H24">
    <sortCondition descending="1" ref="A4:A82"/>
    <sortCondition ref="E4:E82"/>
    <sortCondition ref="C4:C82"/>
    <sortCondition ref="B4:B82"/>
    <sortCondition ref="D4:D82"/>
  </sortState>
  <tableColumns count="8">
    <tableColumn id="1" xr3:uid="{00000000-0010-0000-0100-000001000000}" name="Floor" dataDxfId="219">
      <calculatedColumnFormula>'Lintel Sheet'!B5</calculatedColumnFormula>
    </tableColumn>
    <tableColumn id="2" xr3:uid="{00000000-0010-0000-0100-000002000000}" name="Room" dataDxfId="218">
      <calculatedColumnFormula>'Lintel Sheet'!D5</calculatedColumnFormula>
    </tableColumn>
    <tableColumn id="3" xr3:uid="{00000000-0010-0000-0100-000003000000}" name="Lintel" dataDxfId="217">
      <calculatedColumnFormula>'Lintel Sheet'!H5</calculatedColumnFormula>
    </tableColumn>
    <tableColumn id="4" xr3:uid="{00000000-0010-0000-0100-000004000000}" name="Length" dataDxfId="216">
      <calculatedColumnFormula>IF(LintelTable[[#This Row],[Floor]]&gt;0,LintelTable[[#This Row],[Column1]]&amp;" / "&amp;'Lintel Sheet'!$I5,"")</calculatedColumnFormula>
    </tableColumn>
    <tableColumn id="5" xr3:uid="{00000000-0010-0000-0100-000005000000}" name="Treatment" dataDxfId="215">
      <calculatedColumnFormula>IF('Lintel Sheet'!$B5&lt;&gt;"",IF(Coastal="Yes","Duplex","Galvanised"),"")</calculatedColumnFormula>
    </tableColumn>
    <tableColumn id="6" xr3:uid="{00000000-0010-0000-0100-000006000000}" name="Column1">
      <calculatedColumnFormula>H4</calculatedColumnFormula>
    </tableColumn>
    <tableColumn id="7" xr3:uid="{00000000-0010-0000-0100-000007000000}" name="Column2" dataDxfId="214">
      <calculatedColumnFormula>IF(A4&gt;0,COUNTIFS($D$4:$D$315,LintelTable[[#This Row],[Length]],$C$4:$C$315,LintelTable[[#This Row],[Lintel]],$E$4:$E$315,LintelTable[[#This Row],[Treatment]],$A$4:$A$315,LintelTable[[#This Row],[Floor]],$B$4:$B$315,LintelTable[[#This Row],[Room]]),"")</calculatedColumnFormula>
    </tableColumn>
    <tableColumn id="8" xr3:uid="{00000000-0010-0000-0100-000008000000}" name="Column3"/>
  </tableColumns>
  <tableStyleInfo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A3A3F92-6967-403D-B5CF-DCDBBC4EFDC7}" name="BathWallTable" displayName="BathWallTable" ref="A7:F48" totalsRowShown="0" headerRowDxfId="179" dataDxfId="177" headerRowBorderDxfId="178" tableBorderDxfId="176">
  <tableColumns count="6">
    <tableColumn id="1" xr3:uid="{63B4EAFF-2D22-4C66-9106-23640B574464}" name="Location" dataDxfId="175"/>
    <tableColumn id="2" xr3:uid="{59ECFC4D-BC0F-4634-AC00-3E0C73E9157E}" name="Height" dataDxfId="174"/>
    <tableColumn id="3" xr3:uid="{4EE650AC-F4AA-4276-A056-667EB80BEF8F}" name="Tiles High" dataDxfId="173">
      <calculatedColumnFormula>IF($B$6&gt;0,IF(OR(B8&lt;0,D8&lt;0),ROUNDDOWN(B8/$B$6,0),(CEILING(B8/$B$6,1))),0)</calculatedColumnFormula>
    </tableColumn>
    <tableColumn id="4" xr3:uid="{A3BDE993-D975-4347-BF64-4D10C20E272A}" name="Width" dataDxfId="172"/>
    <tableColumn id="5" xr3:uid="{F96DF9E1-C101-4267-8EFB-FBF3F88B7952}" name="Tiles Wide" dataDxfId="171">
      <calculatedColumnFormula>IF($D$6&gt;0,IF(OR(B8&lt;0,D8&lt;0),ROUNDDOWN(D8/$D$6,0),CEILING(D8/$D$6,1)),0)</calculatedColumnFormula>
    </tableColumn>
    <tableColumn id="6" xr3:uid="{16DFC01B-3E98-4B77-8726-5FBC75ADE5E2}" name="Total" dataDxfId="170">
      <calculatedColumnFormula>C8*E8</calculatedColumnFormula>
    </tableColumn>
  </tableColumns>
  <tableStyleInfo name="TableStyleLight2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88CC683-4319-4394-AF8C-434905872DCD}" name="BathFloorTable" displayName="BathFloorTable" ref="H7:M48" totalsRowShown="0" headerRowDxfId="169" dataDxfId="167" headerRowBorderDxfId="168" tableBorderDxfId="166">
  <tableColumns count="6">
    <tableColumn id="1" xr3:uid="{1EDC26E2-400F-4C9F-9EA2-60E2F6E24BD6}" name="Location" dataDxfId="165"/>
    <tableColumn id="2" xr3:uid="{30026C19-0136-4A6F-A454-5AB513EA41D4}" name="Height" dataDxfId="164"/>
    <tableColumn id="3" xr3:uid="{D1AF1521-D832-42C9-ACD8-AAA1232D3F6F}" name="Tiles High" dataDxfId="163">
      <calculatedColumnFormula>IF($I$6&gt;0,IF(OR(I8&lt;0,K8&lt;0),ROUNDDOWN(I8/$I$6,0),CEILING(I8/$I$6,1)),0)</calculatedColumnFormula>
    </tableColumn>
    <tableColumn id="4" xr3:uid="{B7A9CAE9-5421-4FBE-918F-49229EA2801B}" name="Width" dataDxfId="162"/>
    <tableColumn id="5" xr3:uid="{1B4C305D-01BE-456F-B6C8-29B24EC7F3D2}" name="Tiles Wide" dataDxfId="161">
      <calculatedColumnFormula>IF($K$6&gt;0,IF(OR(I8&lt;0,K8&lt;0),ROUNDDOWN(K8/$K$6,0),CEILING(K8/$K$6,1)),0)</calculatedColumnFormula>
    </tableColumn>
    <tableColumn id="6" xr3:uid="{E050A98C-AD23-4560-81B0-01FD949FA12F}" name="Total" dataDxfId="160">
      <calculatedColumnFormula>BathFloorTable[[#This Row],[Tiles High]]*BathFloorTable[[#This Row],[Tiles Wide]]</calculatedColumnFormula>
    </tableColumn>
  </tableColumns>
  <tableStyleInfo name="TableStyleLight2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9430ECC-0184-4E9F-8301-991025DF290E}" name="EnsuiteWallTable" displayName="EnsuiteWallTable" ref="A55:F96" totalsRowShown="0" headerRowDxfId="159" dataDxfId="157" headerRowBorderDxfId="158" tableBorderDxfId="156">
  <tableColumns count="6">
    <tableColumn id="1" xr3:uid="{5C5852D6-6699-4DDC-8A2D-A2545759E70F}" name="Location" dataDxfId="155"/>
    <tableColumn id="2" xr3:uid="{7345DE61-737A-40CB-AD32-DE7EC8D4BA04}" name="Height" dataDxfId="154"/>
    <tableColumn id="3" xr3:uid="{BD2D6382-584B-472E-8599-BCF29338CF54}" name="Tiles High" dataDxfId="153">
      <calculatedColumnFormula>IF($B$54&gt;0,IF(OR(B56&lt;0,D56&lt;0),ROUNDDOWN(B56/$B$54,0),CEILING(B56/$B$54,1)),0)</calculatedColumnFormula>
    </tableColumn>
    <tableColumn id="4" xr3:uid="{8FD50888-EE38-422A-B06B-DC732B4A363F}" name="Width" dataDxfId="152"/>
    <tableColumn id="5" xr3:uid="{505D1607-061C-4979-A867-EBE3DD35F182}" name="Tiles Wide" dataDxfId="151">
      <calculatedColumnFormula>IF($D$54&gt;0,IF(OR(B56&lt;0,D56&lt;0),ROUNDDOWN(D56/$D$54,0),CEILING(D56/$D$54,1)),0)</calculatedColumnFormula>
    </tableColumn>
    <tableColumn id="6" xr3:uid="{A0BD59B5-5AAB-46EF-A391-00CEC69CBEF6}" name="Total" dataDxfId="150">
      <calculatedColumnFormula>C56*E56</calculatedColumnFormula>
    </tableColumn>
  </tableColumns>
  <tableStyleInfo name="TableStyleLight2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E2F314FD-9E96-4DA4-B65C-FD93C9D6915F}" name="EnsuiteFloorTable" displayName="EnsuiteFloorTable" ref="H55:M96" totalsRowShown="0" headerRowDxfId="149" dataDxfId="147" headerRowBorderDxfId="148" tableBorderDxfId="146">
  <tableColumns count="6">
    <tableColumn id="1" xr3:uid="{0B0F18EB-D6AF-4F82-8123-3BA7A8CE0FD8}" name="Location" dataDxfId="145"/>
    <tableColumn id="2" xr3:uid="{37B343D7-744C-434A-9A6E-AC83FF79EB8D}" name="Height" dataDxfId="144"/>
    <tableColumn id="3" xr3:uid="{1B1C2437-6C97-4C78-9BE4-6D75C3271BA2}" name="Tiles High" dataDxfId="143">
      <calculatedColumnFormula>IF($I$54&gt;0,IF(OR(I56&lt;0,I56&lt;0),ROUNDDOWN(I56/$I$54,0),CEILING(I56/$I$54,1)),0)</calculatedColumnFormula>
    </tableColumn>
    <tableColumn id="4" xr3:uid="{3A0AAF39-48A3-47ED-B806-2FBE01CC1852}" name="Width" dataDxfId="142"/>
    <tableColumn id="5" xr3:uid="{E9BAB882-DE9B-4701-A744-FBE8601C556A}" name="Tiles Wide" dataDxfId="141">
      <calculatedColumnFormula>IF($K$54&gt;0,IF(OR(I56&lt;0,K56&lt;0),ROUNDDOWN(K56/$K$54,0),CEILING(K56/$K$54,1)),0)</calculatedColumnFormula>
    </tableColumn>
    <tableColumn id="6" xr3:uid="{7F536C1F-6EF8-4E6D-977C-186C56F72F4B}" name="Total" dataDxfId="140">
      <calculatedColumnFormula>J56*L56</calculatedColumnFormula>
    </tableColumn>
  </tableColumns>
  <tableStyleInfo name="TableStyleLight2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CF85018B-824B-4918-B1A2-6744B125F40D}" name="Table1219720" displayName="Table1219720" ref="A103:F128" totalsRowShown="0" headerRowDxfId="139" dataDxfId="137" headerRowBorderDxfId="138" tableBorderDxfId="136">
  <tableColumns count="6">
    <tableColumn id="1" xr3:uid="{ADE9D5FF-B547-4666-A127-1BF44517EBD3}" name="Location" dataDxfId="135"/>
    <tableColumn id="2" xr3:uid="{F4BF0071-FABE-4E88-9F5D-FC9ECDCE60A0}" name="Height" dataDxfId="134"/>
    <tableColumn id="3" xr3:uid="{98A282F4-9854-42C9-B087-64E9D10F81A0}" name="Tiles High" dataDxfId="133">
      <calculatedColumnFormula>IF($B$102&gt;0,IF(OR(B104&lt;0,D104&lt;0),ROUNDDOWN(B104/$B$102,0),CEILING(B104/$B$102,1)),0)</calculatedColumnFormula>
    </tableColumn>
    <tableColumn id="4" xr3:uid="{AB3B79DF-F55C-4899-AB4E-2B4C90E4C194}" name="Width" dataDxfId="132"/>
    <tableColumn id="5" xr3:uid="{AF1DDEAD-885D-4EB2-8AD9-44D71BA9363A}" name="Tiles Wide" dataDxfId="131">
      <calculatedColumnFormula>IF($D$102&gt;0,IF(OR(B104&lt;0,D104&lt;0),ROUNDDOWN(D104/$D$102,0),CEILING(D104/$D$102,1)),0)</calculatedColumnFormula>
    </tableColumn>
    <tableColumn id="6" xr3:uid="{8014FB66-ED59-4E47-B2E1-BE561DE3BA55}" name="Total" dataDxfId="130">
      <calculatedColumnFormula>Table1219720[[#This Row],[Tiles Wide]]*Table1219720[[#This Row],[Tiles High]]</calculatedColumnFormula>
    </tableColumn>
  </tableColumns>
  <tableStyleInfo name="TableStyleLight2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8C61014A-6A8E-487F-8925-82C17CE5249F}" name="Table1320821" displayName="Table1320821" ref="H103:M128" totalsRowShown="0" headerRowDxfId="129" dataDxfId="127" headerRowBorderDxfId="128" tableBorderDxfId="126">
  <tableColumns count="6">
    <tableColumn id="1" xr3:uid="{229F6CA4-6C8F-45DE-968C-57235EEAED01}" name="Location" dataDxfId="125"/>
    <tableColumn id="2" xr3:uid="{5978E568-D939-4581-8D08-80899503384A}" name="Height" dataDxfId="124"/>
    <tableColumn id="3" xr3:uid="{AEE0C753-E2CE-4B80-8272-4199517542EB}" name="Tiles High" dataDxfId="123">
      <calculatedColumnFormula>IF($I$102&gt;0,IF(OR(I104&lt;0,I104&lt;0),ROUNDDOWN(I104/$I$102,0),CEILING(I104/$I$102,1)),0)</calculatedColumnFormula>
    </tableColumn>
    <tableColumn id="4" xr3:uid="{CED905AA-461C-41D2-AC07-241B51336488}" name="Width" dataDxfId="122"/>
    <tableColumn id="5" xr3:uid="{40E55560-CD46-4CC0-B921-BB2E64B67CB9}" name="Tiles Wide" dataDxfId="121">
      <calculatedColumnFormula>IF($K$102,IF(OR(I104&lt;0,K104&lt;0),ROUNDDOWN(K104/$K$102,0),CEILING(K104/$K$102,1)),0)</calculatedColumnFormula>
    </tableColumn>
    <tableColumn id="6" xr3:uid="{312AF1CA-3537-4139-94E4-A3B43960BE0A}" name="Total" dataDxfId="120">
      <calculatedColumnFormula>J104*L104</calculatedColumnFormula>
    </tableColumn>
  </tableColumns>
  <tableStyleInfo name="TableStyleLight2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9663E443-5F2C-4789-8FA3-9BA700616E05}" name="Table1421922" displayName="Table1421922" ref="A135:F160" totalsRowShown="0" headerRowDxfId="119" dataDxfId="117" headerRowBorderDxfId="118" tableBorderDxfId="116">
  <tableColumns count="6">
    <tableColumn id="1" xr3:uid="{1B3E6235-DEAB-4D8F-AAEE-2725C064B145}" name="Location" dataDxfId="115"/>
    <tableColumn id="2" xr3:uid="{322A9A3F-AFFA-4193-B33C-54DFD944C5B3}" name="Height" dataDxfId="114"/>
    <tableColumn id="3" xr3:uid="{CC24BC5E-957D-47F5-973E-E9702F7433EE}" name="Tiles High" dataDxfId="113">
      <calculatedColumnFormula>IF($B$134&gt;0,IF(OR(B136&lt;0,D136&lt;0),ROUNDDOWN(B136/$B$134,0),(CEILING(B136/$B$134,1))),0)</calculatedColumnFormula>
    </tableColumn>
    <tableColumn id="4" xr3:uid="{870B9CEA-A805-46C1-BB4D-36F1B7A84A28}" name="Width" dataDxfId="112"/>
    <tableColumn id="5" xr3:uid="{698FB3EB-C5A1-4794-B924-B1AB708B7E5D}" name="Tiles Wide" dataDxfId="111">
      <calculatedColumnFormula>IF($D$134&gt;0,IF(OR(B136&lt;0,D136&lt;0),ROUNDDOWN(D136/$D$134,0),CEILING(D136/$D$134,1)),0)</calculatedColumnFormula>
    </tableColumn>
    <tableColumn id="6" xr3:uid="{96075AAB-93D4-4A7D-B13D-22CB13AB2A3B}" name="Total" dataDxfId="110">
      <calculatedColumnFormula>C136*E136</calculatedColumnFormula>
    </tableColumn>
  </tableColumns>
  <tableStyleInfo name="TableStyleLight2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689F92EB-D196-49D9-9692-E1752656F6B6}" name="Table15221023" displayName="Table15221023" ref="H135:M160" totalsRowShown="0" headerRowDxfId="109" dataDxfId="107" headerRowBorderDxfId="108" tableBorderDxfId="106">
  <tableColumns count="6">
    <tableColumn id="1" xr3:uid="{48CE1E53-72AD-45B9-8419-14DF5BE06B0E}" name="Location" dataDxfId="105"/>
    <tableColumn id="2" xr3:uid="{2E3ADDD2-4CD8-4E9E-BD7B-FCC4A1A83375}" name="Height" dataDxfId="104"/>
    <tableColumn id="3" xr3:uid="{2980ABC7-CAEF-4D8F-8F85-000AEB517AF6}" name="Tiles High" dataDxfId="103">
      <calculatedColumnFormula>IF($I$134&gt;0,IF(OR(I136&lt;0,I136&lt;0),ROUNDDOWN(I136/$I$134,0),CEILING(I136/$I$134,1)),0)</calculatedColumnFormula>
    </tableColumn>
    <tableColumn id="4" xr3:uid="{CA2F617C-63A6-46D4-B9C5-0EAE5D664670}" name="Width" dataDxfId="102"/>
    <tableColumn id="5" xr3:uid="{A6D98942-6AD7-4CC8-9745-C187BE5F3DEF}" name="Tiles Wide" dataDxfId="101">
      <calculatedColumnFormula>IF($K$134,IF(OR(I136&lt;0,K136&lt;0),ROUNDDOWN(K136/$K$134,0),CEILING(K136/$K$134,1)),0)</calculatedColumnFormula>
    </tableColumn>
    <tableColumn id="6" xr3:uid="{E6D0F720-2617-4EAA-ABF0-369A56823765}" name="Total" dataDxfId="100">
      <calculatedColumnFormula>J136*L136</calculatedColumnFormula>
    </tableColumn>
  </tableColumns>
  <tableStyleInfo name="TableStyleLight2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E8A329B3-2C3C-4982-ABD1-7FA9C6043D30}" name="Table16231124" displayName="Table16231124" ref="A167:F192" totalsRowShown="0" headerRowDxfId="99" dataDxfId="97" headerRowBorderDxfId="98" tableBorderDxfId="96">
  <tableColumns count="6">
    <tableColumn id="1" xr3:uid="{D705A1DD-BA04-451B-A72F-C70CB9E6BF80}" name="Location" dataDxfId="95"/>
    <tableColumn id="2" xr3:uid="{BB28724D-86D3-419B-89F5-42F70FA89070}" name="Height" dataDxfId="94"/>
    <tableColumn id="3" xr3:uid="{5B14DCD1-E0AE-4375-B756-20793A532D1E}" name="Tiles High" dataDxfId="93">
      <calculatedColumnFormula>IF($B$166&gt;0,IF(OR(B168&lt;0,D168&lt;0),ROUNDDOWN(B168/$B$166,0),(CEILING(B168/$B$166,1))),0)</calculatedColumnFormula>
    </tableColumn>
    <tableColumn id="4" xr3:uid="{0F16B725-9FB6-49D2-BE83-699AE76AC11E}" name="Width" dataDxfId="92"/>
    <tableColumn id="5" xr3:uid="{66346BB4-96C8-44F7-AC28-8A987B2D68A8}" name="Tiles Wide" dataDxfId="91">
      <calculatedColumnFormula>IF($D$166&gt;0,IF(OR(B168&lt;0,D168&lt;0),ROUNDDOWN(D168/$D$166,0),CEILING(D168/$D$166,1)),0)</calculatedColumnFormula>
    </tableColumn>
    <tableColumn id="6" xr3:uid="{3298259C-A4B3-4D6E-B592-14747DFD9DB1}" name="Total" dataDxfId="90">
      <calculatedColumnFormula>C168*E168</calculatedColumnFormula>
    </tableColumn>
  </tableColumns>
  <tableStyleInfo name="TableStyleLight2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90734F2-06AF-41DB-8853-D9E07D8EFA0E}" name="Table17241225" displayName="Table17241225" ref="H167:M192" totalsRowShown="0" headerRowDxfId="89" dataDxfId="87" headerRowBorderDxfId="88" tableBorderDxfId="86">
  <tableColumns count="6">
    <tableColumn id="1" xr3:uid="{D90E78FD-5DD3-4CD2-A40C-E20B0BAD2478}" name="Location" dataDxfId="85"/>
    <tableColumn id="2" xr3:uid="{5A328630-45AA-4506-8889-A3A1B76FFBE0}" name="Height" dataDxfId="84"/>
    <tableColumn id="3" xr3:uid="{341596A2-29E0-48F7-ACA0-31B648657F8E}" name="Tiles High" dataDxfId="83">
      <calculatedColumnFormula>IF($I$166&gt;0,IF(OR(I168&lt;0,I168&lt;0),ROUNDDOWN(I168/$I$166,0),CEILING(I168/$I$166,1)),0)</calculatedColumnFormula>
    </tableColumn>
    <tableColumn id="4" xr3:uid="{CAC40E47-FC0A-4C5C-8879-0A89429F5466}" name="Width" dataDxfId="82"/>
    <tableColumn id="5" xr3:uid="{691D870A-21E2-4D0C-A6FE-F96C5A1C519B}" name="Tiles Wide" dataDxfId="81">
      <calculatedColumnFormula>IF($K$166&gt;0,IF(OR(I168&lt;0,K168&lt;0),ROUNDDOWN(K168/$K$166,0),CEILING(K168/K$166,1)),0)</calculatedColumnFormula>
    </tableColumn>
    <tableColumn id="6" xr3:uid="{A02ABFFE-4DB4-42B7-978C-B2D46317F6A5}" name="Total" dataDxfId="80">
      <calculatedColumnFormula>J168*L168</calculatedColumnFormula>
    </tableColumn>
  </tableColumns>
  <tableStyleInfo name="TableStyleLight2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E00EA829-8426-41D2-9B16-03FB1C47931B}" name="Table18251326" displayName="Table18251326" ref="A199:F224" totalsRowShown="0" headerRowDxfId="79" dataDxfId="77" headerRowBorderDxfId="78" tableBorderDxfId="76">
  <tableColumns count="6">
    <tableColumn id="1" xr3:uid="{0E51D0AD-B4F1-40BB-8C55-140D625F386D}" name="Location" dataDxfId="75"/>
    <tableColumn id="2" xr3:uid="{E438125D-9CF6-4753-80EC-A15D29E2989D}" name="Height" dataDxfId="74"/>
    <tableColumn id="3" xr3:uid="{519F3194-36A7-4D00-B7A1-67EDEA63B5D3}" name="Tiles High" dataDxfId="73">
      <calculatedColumnFormula>IF($B$198&gt;0,IF(OR(B200&lt;0,D200&lt;0),ROUNDDOWN(B200/$B$198,0),(CEILING(B200/$B$198,1))),0)</calculatedColumnFormula>
    </tableColumn>
    <tableColumn id="4" xr3:uid="{B1077EDC-88B7-4DE1-AAA3-8573043209E0}" name="Width" dataDxfId="72"/>
    <tableColumn id="5" xr3:uid="{CCE648E4-3BAB-43EE-8825-92C15E8C8EBF}" name="Tiles Wide" dataDxfId="71">
      <calculatedColumnFormula>IF($D$198&gt;0,IF(OR(B200&lt;0,D200&lt;0),ROUNDDOWN(D200/$D$198,0),CEILING(D200/$D$198,1)),0)</calculatedColumnFormula>
    </tableColumn>
    <tableColumn id="6" xr3:uid="{B9976853-8429-4807-83C7-B7CA3DDD6133}" name="Total" dataDxfId="70">
      <calculatedColumnFormula>C200*E200</calculatedColumnFormula>
    </tableColumn>
  </tableColumns>
  <tableStyleInfo name="TableStyleLight21"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E04C5B6C-533F-43A6-9759-89BA46E79D7F}" name="Table19261427" displayName="Table19261427" ref="H199:M224" totalsRowShown="0" headerRowDxfId="69" dataDxfId="67" headerRowBorderDxfId="68" tableBorderDxfId="66">
  <tableColumns count="6">
    <tableColumn id="1" xr3:uid="{02FAE25B-863C-44BF-AEDF-4BCF7F37F67A}" name="Location" dataDxfId="65"/>
    <tableColumn id="2" xr3:uid="{FF85F172-F043-49F6-8E02-4D78C7519F6B}" name="Height" dataDxfId="64"/>
    <tableColumn id="3" xr3:uid="{A06EACD7-49BB-45B6-9F08-C711ED6EE2D3}" name="Tiles High" dataDxfId="63">
      <calculatedColumnFormula>IF($I$198&gt;0,IF(OR(I200&lt;0,I200&lt;0),ROUNDDOWN(I200/$I$198,0),CEILING(I200/$I$198,1)),0)</calculatedColumnFormula>
    </tableColumn>
    <tableColumn id="4" xr3:uid="{2211346D-6DDC-4DB2-AF82-D7AA13C7EE27}" name="Width" dataDxfId="62"/>
    <tableColumn id="5" xr3:uid="{6647135B-2B99-40AD-8F53-7C97B714187C}" name="Tiles Wide" dataDxfId="61">
      <calculatedColumnFormula>IF($K$198&gt;0,IF(OR(I200&lt;0,K200&lt;0),ROUNDDOWN(K200/$K$198,0),CEILING(K200/K$198,1)),0)</calculatedColumnFormula>
    </tableColumn>
    <tableColumn id="6" xr3:uid="{11E9E2E3-6CCC-4FEF-8CCF-4B8670C3C3BF}" name="Total" dataDxfId="60">
      <calculatedColumnFormula>J200*L200</calculatedColumnFormula>
    </tableColumn>
  </tableColumns>
  <tableStyleInfo name="TableStyleLight21"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D4EB5821-0070-4503-A225-8841F13F1456}" name="Bath2WallTable" displayName="Bath2WallTable" ref="A231:F272" totalsRowShown="0" headerRowDxfId="59" dataDxfId="57" headerRowBorderDxfId="58" tableBorderDxfId="56">
  <tableColumns count="6">
    <tableColumn id="1" xr3:uid="{767D60AD-17EC-44A9-9ED8-5492EEC88ADD}" name="Location" dataDxfId="55"/>
    <tableColumn id="2" xr3:uid="{9732B0A6-AE96-46A4-B988-DCBDB3BA3C74}" name="Height" dataDxfId="54"/>
    <tableColumn id="3" xr3:uid="{5735F5BD-F152-44F1-B226-4B634703B8C7}" name="Tiles High" dataDxfId="53">
      <calculatedColumnFormula>IF($B$6&gt;0,IF(OR(B232&lt;0,D232&lt;0),ROUNDDOWN(B232/$B$6,0),(CEILING(B232/$B$6,1))),0)</calculatedColumnFormula>
    </tableColumn>
    <tableColumn id="4" xr3:uid="{940F6910-594E-47F2-9B9D-7719574EE9C3}" name="Width" dataDxfId="52"/>
    <tableColumn id="5" xr3:uid="{FF0F2E28-8B01-4C00-BC90-1AA402BF61E6}" name="Tiles Wide" dataDxfId="51">
      <calculatedColumnFormula>IF($D$6&gt;0,IF(OR(B232&lt;0,D232&lt;0),ROUNDDOWN(D232/$D$6,0),CEILING(D232/$D$6,1)),0)</calculatedColumnFormula>
    </tableColumn>
    <tableColumn id="6" xr3:uid="{0FEBD6E9-6659-4F35-BCE2-8C8594032BE0}" name="Total" dataDxfId="50">
      <calculatedColumnFormula>C232*E232</calculatedColumnFormula>
    </tableColumn>
  </tableColumns>
  <tableStyleInfo name="TableStyleLight21"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EA1708D2-D1CD-4ACA-9ED8-679D2650E570}" name="Bath2FloorTable" displayName="Bath2FloorTable" ref="H231:M272" totalsRowShown="0" headerRowDxfId="49" dataDxfId="47" headerRowBorderDxfId="48" tableBorderDxfId="46">
  <tableColumns count="6">
    <tableColumn id="1" xr3:uid="{699FCFB4-58BB-4DE6-8A84-5F46D8EDED17}" name="Location" dataDxfId="45"/>
    <tableColumn id="2" xr3:uid="{FEBE6D62-BB6D-466A-8130-BE4C52202512}" name="Height" dataDxfId="44"/>
    <tableColumn id="3" xr3:uid="{D94BD3A8-5EAB-412E-B1A5-C91ECE2FE2D1}" name="Tiles High" dataDxfId="43">
      <calculatedColumnFormula>IF($I$6&gt;0,IF(OR(I232&lt;0,K232&lt;0),ROUNDDOWN(I232/$I$6,0),CEILING(I232/$I$6,1)),0)</calculatedColumnFormula>
    </tableColumn>
    <tableColumn id="4" xr3:uid="{5BE9F8C9-AC1F-4E20-A55B-347D3C56AA60}" name="Width" dataDxfId="42"/>
    <tableColumn id="5" xr3:uid="{2C719F01-6094-4359-B589-CED511A6ED6E}" name="Tiles Wide" dataDxfId="41">
      <calculatedColumnFormula>IF($K$6&gt;0,IF(OR(I232&lt;0,K232&lt;0),ROUNDDOWN(K232/$K$6,0),CEILING(K232/$K$6,1)),0)</calculatedColumnFormula>
    </tableColumn>
    <tableColumn id="6" xr3:uid="{0B67F1AE-AE1B-4623-AE83-7565AD9D7D52}" name="Total" dataDxfId="40">
      <calculatedColumnFormula>Bath2FloorTable[[#This Row],[Tiles High]]*Bath2FloorTable[[#This Row],[Tiles Wide]]</calculatedColumnFormula>
    </tableColumn>
  </tableColumns>
  <tableStyleInfo name="TableStyleLight2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7597DC38-0F85-4F64-BA7C-17848E2AAA92}" name="Ensuite2WallTable" displayName="Ensuite2WallTable" ref="A279:F320" totalsRowShown="0" headerRowDxfId="39" dataDxfId="37" headerRowBorderDxfId="38" tableBorderDxfId="36">
  <tableColumns count="6">
    <tableColumn id="1" xr3:uid="{BDF1D0C7-97E4-49E4-AFFE-21BE73EB0ACA}" name="Location" dataDxfId="35"/>
    <tableColumn id="2" xr3:uid="{01E32E65-1FB4-4191-90F2-4D971EC29F6F}" name="Height" dataDxfId="34"/>
    <tableColumn id="3" xr3:uid="{A4F2E4BB-C08E-44C4-848A-5DDCCB1D0FC9}" name="Tiles High" dataDxfId="33">
      <calculatedColumnFormula>IF($B$54&gt;0,IF(OR(B280&lt;0,D280&lt;0),ROUNDDOWN(B280/$B$54,0),CEILING(B280/$B$54,1)),0)</calculatedColumnFormula>
    </tableColumn>
    <tableColumn id="4" xr3:uid="{4CC4A479-AC7F-4B79-B71C-F53529B32020}" name="Width" dataDxfId="32"/>
    <tableColumn id="5" xr3:uid="{17550C59-3F94-425E-BE08-32D3762C58BF}" name="Tiles Wide" dataDxfId="31">
      <calculatedColumnFormula>IF($D$54&gt;0,IF(OR(B280&lt;0,D280&lt;0),ROUNDDOWN(D280/$D$54,0),CEILING(D280/$D$54,1)),0)</calculatedColumnFormula>
    </tableColumn>
    <tableColumn id="6" xr3:uid="{BB44116A-93A0-432E-8A60-5FC9742574C7}" name="Total" dataDxfId="30">
      <calculatedColumnFormula>C280*E280</calculatedColumnFormula>
    </tableColumn>
  </tableColumns>
  <tableStyleInfo name="TableStyleLight2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AAADDBB9-C007-42EF-A25F-8234EA1C8069}" name="Ensuite2FloorTable" displayName="Ensuite2FloorTable" ref="H279:M320" totalsRowShown="0" headerRowDxfId="29" dataDxfId="27" headerRowBorderDxfId="28" tableBorderDxfId="26">
  <tableColumns count="6">
    <tableColumn id="1" xr3:uid="{A2BED1C2-A776-4297-BD1E-2C3FDEE83B73}" name="Location" dataDxfId="25"/>
    <tableColumn id="2" xr3:uid="{9C5AC986-CEE0-40D8-82C8-781BC908BA0A}" name="Height" dataDxfId="24"/>
    <tableColumn id="3" xr3:uid="{4C135065-7A54-4F01-A8F4-8DC06CD8C4D5}" name="Tiles High" dataDxfId="23">
      <calculatedColumnFormula>IF($I$54&gt;0,IF(OR(I280&lt;0,I280&lt;0),ROUNDDOWN(I280/$I$54,0),CEILING(I280/$I$54,1)),0)</calculatedColumnFormula>
    </tableColumn>
    <tableColumn id="4" xr3:uid="{60C85E28-489C-414D-B4A5-476823D317E3}" name="Width" dataDxfId="22"/>
    <tableColumn id="5" xr3:uid="{35095CA8-387A-4D2B-B313-587E65BCD4E3}" name="Tiles Wide" dataDxfId="21">
      <calculatedColumnFormula>IF($K$54&gt;0,IF(OR(I280&lt;0,K280&lt;0),ROUNDDOWN(K280/$K$54,0),CEILING(K280/$K$54,1)),0)</calculatedColumnFormula>
    </tableColumn>
    <tableColumn id="6" xr3:uid="{C4DC6538-ECEA-4F1F-B60A-8003B300A8C7}" name="Total" dataDxfId="20">
      <calculatedColumnFormula>J280*L280</calculatedColumnFormula>
    </tableColumn>
  </tableColumns>
  <tableStyleInfo name="TableStyleLight21"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B1E72A4C-E72A-4ED2-BF01-6003BB687030}" name="TablePowder2Wall" displayName="TablePowder2Wall" ref="A327:F352" totalsRowShown="0" headerRowDxfId="19" dataDxfId="17" headerRowBorderDxfId="18" tableBorderDxfId="16">
  <tableColumns count="6">
    <tableColumn id="1" xr3:uid="{0A2EA983-031C-48DC-9D27-4854F48B44F9}" name="Location" dataDxfId="15"/>
    <tableColumn id="2" xr3:uid="{374649BB-00A1-4343-A7F8-0675A08DDAF8}" name="Height" dataDxfId="14"/>
    <tableColumn id="3" xr3:uid="{FCCC3E34-909C-4AFB-A7A9-2CEE6F5EC6CB}" name="Tiles High" dataDxfId="13">
      <calculatedColumnFormula>IF($B$198&gt;0,IF(OR(B328&lt;0,D328&lt;0),ROUNDDOWN(B328/$B$198,0),(CEILING(B328/$B$198,1))),0)</calculatedColumnFormula>
    </tableColumn>
    <tableColumn id="4" xr3:uid="{08A002AC-97A4-4EE0-92E8-28A1E6A31B7E}" name="Width" dataDxfId="12"/>
    <tableColumn id="5" xr3:uid="{42FF352F-B453-4967-97C1-C03217159E35}" name="Tiles Wide" dataDxfId="11">
      <calculatedColumnFormula>IF($D$198&gt;0,IF(OR(B328&lt;0,D328&lt;0),ROUNDDOWN(D328/$D$198,0),CEILING(D328/$D$198,1)),0)</calculatedColumnFormula>
    </tableColumn>
    <tableColumn id="6" xr3:uid="{83380D5B-AEED-4E4E-A97A-04619EC83295}" name="Total" dataDxfId="10">
      <calculatedColumnFormula>C328*E328</calculatedColumnFormula>
    </tableColumn>
  </tableColumns>
  <tableStyleInfo name="TableStyleLight21"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94542CFF-DEAB-4D4C-B3EB-2B7CF27845E4}" name="TablePowder2Floor" displayName="TablePowder2Floor" ref="H327:M352" totalsRowShown="0" headerRowDxfId="9" dataDxfId="7" headerRowBorderDxfId="8" tableBorderDxfId="6">
  <tableColumns count="6">
    <tableColumn id="1" xr3:uid="{211D9DD6-0861-448C-9533-F1198CFDDC35}" name="Location" dataDxfId="5"/>
    <tableColumn id="2" xr3:uid="{AA329289-81F7-4E5C-90AA-ECE05E682B95}" name="Height" dataDxfId="4"/>
    <tableColumn id="3" xr3:uid="{2E1758FE-B835-4FF7-A014-3EFDA7D242A1}" name="Tiles High" dataDxfId="3">
      <calculatedColumnFormula>IF($I$198&gt;0,IF(OR(I328&lt;0,I328&lt;0),ROUNDDOWN(I328/$I$198,0),CEILING(I328/$I$198,1)),0)</calculatedColumnFormula>
    </tableColumn>
    <tableColumn id="4" xr3:uid="{75FF04FF-D07B-4022-9783-C9EF51819208}" name="Width" dataDxfId="2"/>
    <tableColumn id="5" xr3:uid="{22732C33-9BF1-4480-942D-1BE5158D2556}" name="Tiles Wide" dataDxfId="1">
      <calculatedColumnFormula>IF($K$198&gt;0,IF(OR(I328&lt;0,K328&lt;0),ROUNDDOWN(K328/$K$198,0),CEILING(K328/K$198,1)),0)</calculatedColumnFormula>
    </tableColumn>
    <tableColumn id="6" xr3:uid="{1C8D82DC-8127-4885-B6DF-C129342D2BE5}" name="Total" dataDxfId="0">
      <calculatedColumnFormula>J328*L328</calculatedColumnFormula>
    </tableColumn>
  </tableColumns>
  <tableStyleInfo name="TableStyleLight2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F1354" dT="2020-10-15T02:40:37.53" personId="{C9DD2C74-F6B1-469D-9405-848494BCE314}" id="{613522B8-7B80-4D58-9F8B-9F09D7F24927}">
    <text>Confirmed with BGC this is the 630mm towel rail</text>
  </threadedComment>
  <threadedComment ref="F1855" dT="2020-04-24T06:11:08.75" personId="{C9DD2C74-F6B1-469D-9405-848494BCE314}" id="{8FE6CD2D-A751-4EBB-956B-901A53C9302F}">
    <text>QUANTUM HEAT PUMP BY MARK WILCOX</text>
  </threadedComment>
</ThreadedComments>
</file>

<file path=xl/threadedComments/threadedComment2.xml><?xml version="1.0" encoding="utf-8"?>
<ThreadedComments xmlns="http://schemas.microsoft.com/office/spreadsheetml/2018/threadedcomments" xmlns:x="http://schemas.openxmlformats.org/spreadsheetml/2006/main">
  <threadedComment ref="L45" dT="2020-06-16T06:44:39.49" personId="{C9DD2C74-F6B1-469D-9405-848494BCE314}" id="{75A2E37F-98A4-414E-AA3C-CAF7F71EA68D}">
    <text>To exposed timber beams and as cornice to garages with cement fibre sheeting on timber frame jobs.</text>
  </threadedComment>
  <threadedComment ref="P45" dT="2020-06-16T07:20:30.77" personId="{C9DD2C74-F6B1-469D-9405-848494BCE314}" id="{E87F891C-DEB9-43E8-BE74-0102C1D9AED0}">
    <text>To timber posts</text>
  </threadedComment>
</ThreadedComments>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13" Type="http://schemas.openxmlformats.org/officeDocument/2006/relationships/comments" Target="../comments1.xml"/><Relationship Id="rId3" Type="http://schemas.openxmlformats.org/officeDocument/2006/relationships/drawing" Target="../drawings/drawing1.xml"/><Relationship Id="rId7" Type="http://schemas.openxmlformats.org/officeDocument/2006/relationships/ctrlProp" Target="../ctrlProps/ctrlProp3.xml"/><Relationship Id="rId12" Type="http://schemas.openxmlformats.org/officeDocument/2006/relationships/table" Target="../tables/table1.xml"/><Relationship Id="rId2" Type="http://schemas.openxmlformats.org/officeDocument/2006/relationships/printerSettings" Target="../printerSettings/printerSettings1.bin"/><Relationship Id="rId1" Type="http://schemas.openxmlformats.org/officeDocument/2006/relationships/hyperlink" Target="https://jwh.t1cloud.com/T1Default/CiAnywhere/Web/JWH/Workplace" TargetMode="External"/><Relationship Id="rId6" Type="http://schemas.openxmlformats.org/officeDocument/2006/relationships/ctrlProp" Target="../ctrlProps/ctrlProp2.xml"/><Relationship Id="rId11" Type="http://schemas.openxmlformats.org/officeDocument/2006/relationships/ctrlProp" Target="../ctrlProps/ctrlProp7.xml"/><Relationship Id="rId5" Type="http://schemas.openxmlformats.org/officeDocument/2006/relationships/ctrlProp" Target="../ctrlProps/ctrlProp1.xml"/><Relationship Id="rId10" Type="http://schemas.openxmlformats.org/officeDocument/2006/relationships/ctrlProp" Target="../ctrlProps/ctrlProp6.xml"/><Relationship Id="rId4" Type="http://schemas.openxmlformats.org/officeDocument/2006/relationships/vmlDrawing" Target="../drawings/vmlDrawing1.vml"/><Relationship Id="rId9" Type="http://schemas.openxmlformats.org/officeDocument/2006/relationships/ctrlProp" Target="../ctrlProps/ctrlProp5.xml"/><Relationship Id="rId1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2.xml"/><Relationship Id="rId3" Type="http://schemas.openxmlformats.org/officeDocument/2006/relationships/vmlDrawing" Target="../drawings/vmlDrawing2.vml"/><Relationship Id="rId7" Type="http://schemas.openxmlformats.org/officeDocument/2006/relationships/ctrlProp" Target="../ctrlProps/ctrlProp1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0.xml"/><Relationship Id="rId5" Type="http://schemas.openxmlformats.org/officeDocument/2006/relationships/ctrlProp" Target="../ctrlProps/ctrlProp9.xml"/><Relationship Id="rId10" Type="http://schemas.openxmlformats.org/officeDocument/2006/relationships/comments" Target="../comments2.xml"/><Relationship Id="rId4" Type="http://schemas.openxmlformats.org/officeDocument/2006/relationships/ctrlProp" Target="../ctrlProps/ctrlProp8.xml"/><Relationship Id="rId9" Type="http://schemas.openxmlformats.org/officeDocument/2006/relationships/queryTable" Target="../queryTables/queryTable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1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queryTable" Target="../queryTables/queryTable2.xml"/><Relationship Id="rId4" Type="http://schemas.openxmlformats.org/officeDocument/2006/relationships/ctrlProp" Target="../ctrlProps/ctrlProp1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2.xml"/></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table" Target="../tables/table3.xml"/><Relationship Id="rId1"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comments" Target="../comments4.xml"/><Relationship Id="rId4" Type="http://schemas.openxmlformats.org/officeDocument/2006/relationships/ctrlProp" Target="../ctrlProps/ctrlProp15.xml"/></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table" Target="../tables/table4.xml"/><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11.xml.rels><?xml version="1.0" encoding="UTF-8" standalone="yes"?>
<Relationships xmlns="http://schemas.openxmlformats.org/package/2006/relationships"><Relationship Id="rId8" Type="http://schemas.openxmlformats.org/officeDocument/2006/relationships/oleObject" Target="../embeddings/oleObject3.bin"/><Relationship Id="rId3" Type="http://schemas.openxmlformats.org/officeDocument/2006/relationships/vmlDrawing" Target="../drawings/vmlDrawing9.vml"/><Relationship Id="rId7" Type="http://schemas.openxmlformats.org/officeDocument/2006/relationships/image" Target="../media/image3.emf"/><Relationship Id="rId2" Type="http://schemas.openxmlformats.org/officeDocument/2006/relationships/drawing" Target="../drawings/drawing8.xml"/><Relationship Id="rId1" Type="http://schemas.openxmlformats.org/officeDocument/2006/relationships/printerSettings" Target="../printerSettings/printerSettings9.bin"/><Relationship Id="rId6" Type="http://schemas.openxmlformats.org/officeDocument/2006/relationships/oleObject" Target="../embeddings/oleObject2.bin"/><Relationship Id="rId5" Type="http://schemas.openxmlformats.org/officeDocument/2006/relationships/image" Target="../media/image2.emf"/><Relationship Id="rId10" Type="http://schemas.openxmlformats.org/officeDocument/2006/relationships/comments" Target="../comments6.xml"/><Relationship Id="rId4" Type="http://schemas.openxmlformats.org/officeDocument/2006/relationships/oleObject" Target="../embeddings/oleObject1.bin"/><Relationship Id="rId9" Type="http://schemas.openxmlformats.org/officeDocument/2006/relationships/image" Target="../media/image4.emf"/></Relationships>
</file>

<file path=xl/worksheets/_rels/sheet12.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3.bin"/><Relationship Id="rId5" Type="http://schemas.openxmlformats.org/officeDocument/2006/relationships/comments" Target="../comments9.xml"/><Relationship Id="rId4" Type="http://schemas.openxmlformats.org/officeDocument/2006/relationships/ctrlProp" Target="../ctrlProps/ctrlProp18.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3.vml"/><Relationship Id="rId1" Type="http://schemas.openxmlformats.org/officeDocument/2006/relationships/printerSettings" Target="../printerSettings/printerSettings20.bin"/><Relationship Id="rId4" Type="http://schemas.microsoft.com/office/2017/10/relationships/threadedComment" Target="../threadedComments/threadedComment2.xml"/></Relationships>
</file>

<file path=xl/worksheets/_rels/sheet23.xml.rels><?xml version="1.0" encoding="UTF-8" standalone="yes"?>
<Relationships xmlns="http://schemas.openxmlformats.org/package/2006/relationships"><Relationship Id="rId8" Type="http://schemas.openxmlformats.org/officeDocument/2006/relationships/table" Target="../tables/table10.xml"/><Relationship Id="rId13" Type="http://schemas.openxmlformats.org/officeDocument/2006/relationships/table" Target="../tables/table15.xml"/><Relationship Id="rId18" Type="http://schemas.openxmlformats.org/officeDocument/2006/relationships/table" Target="../tables/table20.xml"/><Relationship Id="rId3" Type="http://schemas.openxmlformats.org/officeDocument/2006/relationships/table" Target="../tables/table5.xml"/><Relationship Id="rId21" Type="http://schemas.openxmlformats.org/officeDocument/2006/relationships/comments" Target="../comments11.xml"/><Relationship Id="rId7" Type="http://schemas.openxmlformats.org/officeDocument/2006/relationships/table" Target="../tables/table9.xml"/><Relationship Id="rId12" Type="http://schemas.openxmlformats.org/officeDocument/2006/relationships/table" Target="../tables/table14.xml"/><Relationship Id="rId17" Type="http://schemas.openxmlformats.org/officeDocument/2006/relationships/table" Target="../tables/table19.xml"/><Relationship Id="rId2" Type="http://schemas.openxmlformats.org/officeDocument/2006/relationships/vmlDrawing" Target="../drawings/vmlDrawing14.vml"/><Relationship Id="rId16" Type="http://schemas.openxmlformats.org/officeDocument/2006/relationships/table" Target="../tables/table18.xml"/><Relationship Id="rId20" Type="http://schemas.openxmlformats.org/officeDocument/2006/relationships/table" Target="../tables/table22.xml"/><Relationship Id="rId1" Type="http://schemas.openxmlformats.org/officeDocument/2006/relationships/printerSettings" Target="../printerSettings/printerSettings21.bin"/><Relationship Id="rId6" Type="http://schemas.openxmlformats.org/officeDocument/2006/relationships/table" Target="../tables/table8.xml"/><Relationship Id="rId11" Type="http://schemas.openxmlformats.org/officeDocument/2006/relationships/table" Target="../tables/table13.xml"/><Relationship Id="rId5" Type="http://schemas.openxmlformats.org/officeDocument/2006/relationships/table" Target="../tables/table7.xml"/><Relationship Id="rId15" Type="http://schemas.openxmlformats.org/officeDocument/2006/relationships/table" Target="../tables/table17.xml"/><Relationship Id="rId10" Type="http://schemas.openxmlformats.org/officeDocument/2006/relationships/table" Target="../tables/table12.xml"/><Relationship Id="rId19" Type="http://schemas.openxmlformats.org/officeDocument/2006/relationships/table" Target="../tables/table21.xml"/><Relationship Id="rId4" Type="http://schemas.openxmlformats.org/officeDocument/2006/relationships/table" Target="../tables/table6.xml"/><Relationship Id="rId9" Type="http://schemas.openxmlformats.org/officeDocument/2006/relationships/table" Target="../tables/table11.xml"/><Relationship Id="rId14" Type="http://schemas.openxmlformats.org/officeDocument/2006/relationships/table" Target="../tables/table16.xml"/></Relationships>
</file>

<file path=xl/worksheets/_rels/sheet2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5.vml"/><Relationship Id="rId1" Type="http://schemas.openxmlformats.org/officeDocument/2006/relationships/printerSettings" Target="../printerSettings/printerSettings22.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6.vml"/><Relationship Id="rId1" Type="http://schemas.openxmlformats.org/officeDocument/2006/relationships/printerSettings" Target="../printerSettings/printerSettings23.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7.vml"/><Relationship Id="rId1" Type="http://schemas.openxmlformats.org/officeDocument/2006/relationships/printerSettings" Target="../printerSettings/printerSettings24.bin"/></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0.xml"/><Relationship Id="rId1" Type="http://schemas.openxmlformats.org/officeDocument/2006/relationships/printerSettings" Target="../printerSettings/printerSettings25.bin"/><Relationship Id="rId5" Type="http://schemas.openxmlformats.org/officeDocument/2006/relationships/queryTable" Target="../queryTables/queryTable3.xml"/><Relationship Id="rId4" Type="http://schemas.openxmlformats.org/officeDocument/2006/relationships/ctrlProp" Target="../ctrlProps/ctrlProp19.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1.xml"/><Relationship Id="rId1" Type="http://schemas.openxmlformats.org/officeDocument/2006/relationships/printerSettings" Target="../printerSettings/printerSettings26.bin"/><Relationship Id="rId5" Type="http://schemas.openxmlformats.org/officeDocument/2006/relationships/queryTable" Target="../queryTables/queryTable4.xml"/><Relationship Id="rId4" Type="http://schemas.openxmlformats.org/officeDocument/2006/relationships/ctrlProp" Target="../ctrlProps/ctrlProp2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39A585-6A91-4495-978D-790C3275C09C}">
  <sheetPr codeName="Sheet15"/>
  <dimension ref="A1:T2799"/>
  <sheetViews>
    <sheetView zoomScale="85" zoomScaleNormal="85" workbookViewId="0">
      <pane ySplit="2" topLeftCell="A3" activePane="bottomLeft" state="frozen"/>
      <selection activeCell="B1" sqref="B1"/>
      <selection pane="bottomLeft" activeCell="A3" sqref="A3"/>
    </sheetView>
  </sheetViews>
  <sheetFormatPr defaultRowHeight="12.75" x14ac:dyDescent="0.2"/>
  <cols>
    <col min="1" max="7" width="17.7109375" customWidth="1"/>
    <col min="8" max="8" width="135.5703125" style="824" bestFit="1" customWidth="1"/>
    <col min="9" max="9" width="15.7109375" style="1256" customWidth="1"/>
    <col min="10" max="10" width="16.5703125" style="2" customWidth="1"/>
    <col min="11" max="11" width="12" bestFit="1" customWidth="1"/>
    <col min="12" max="18" width="15.7109375" customWidth="1"/>
  </cols>
  <sheetData>
    <row r="1" spans="1:12" ht="50.1" customHeight="1" thickBot="1" x14ac:dyDescent="0.25">
      <c r="A1" s="1266" t="str">
        <f>"BOQ for Job No " &amp; Job_No</f>
        <v>BOQ for Job No 304909</v>
      </c>
      <c r="B1" s="1266"/>
      <c r="C1" s="1266"/>
      <c r="D1" s="1266"/>
      <c r="E1" s="1266"/>
      <c r="F1" s="1266"/>
      <c r="G1" s="1266"/>
      <c r="H1" s="1266"/>
      <c r="I1" s="1267"/>
      <c r="J1" s="1266"/>
      <c r="K1" s="1252" t="s">
        <v>3727</v>
      </c>
      <c r="L1" s="87"/>
    </row>
    <row r="2" spans="1:12" s="2" customFormat="1" ht="13.5" thickBot="1" x14ac:dyDescent="0.25">
      <c r="A2" s="825" t="s">
        <v>658</v>
      </c>
      <c r="B2" s="826" t="s">
        <v>659</v>
      </c>
      <c r="C2" s="826" t="s">
        <v>348</v>
      </c>
      <c r="D2" s="826" t="s">
        <v>602</v>
      </c>
      <c r="E2" s="826" t="s">
        <v>111</v>
      </c>
      <c r="F2" s="828" t="s">
        <v>388</v>
      </c>
      <c r="G2" s="828" t="s">
        <v>661</v>
      </c>
      <c r="H2" s="1109" t="s">
        <v>660</v>
      </c>
      <c r="I2" s="1257" t="s">
        <v>3543</v>
      </c>
      <c r="J2" s="1204" t="s">
        <v>3544</v>
      </c>
    </row>
    <row r="3" spans="1:12" s="2" customFormat="1" ht="15" x14ac:dyDescent="0.2">
      <c r="A3" s="324"/>
      <c r="B3" s="324"/>
      <c r="C3" s="324"/>
      <c r="D3" s="324"/>
      <c r="E3" s="324"/>
      <c r="F3" s="827"/>
      <c r="G3" s="829"/>
      <c r="H3" s="412"/>
      <c r="I3" s="1258"/>
      <c r="J3" s="2" t="str">
        <f>IF(Table5[[#This Row],[Entered]]&lt;&gt;Table5[[#This Row],[Quantity]],"Check","")</f>
        <v/>
      </c>
    </row>
    <row r="4" spans="1:12" s="2" customFormat="1" ht="15" x14ac:dyDescent="0.2">
      <c r="A4" s="324" t="s">
        <v>2555</v>
      </c>
      <c r="B4" s="324" t="str">
        <f>"0000"</f>
        <v>0000</v>
      </c>
      <c r="C4" s="324" t="str">
        <f>"00001"</f>
        <v>00001</v>
      </c>
      <c r="D4" s="324" t="str">
        <f>"7000"</f>
        <v>7000</v>
      </c>
      <c r="E4" s="324">
        <v>1</v>
      </c>
      <c r="F4" s="827">
        <v>1</v>
      </c>
      <c r="G4" s="829">
        <v>1</v>
      </c>
      <c r="H4" s="1218" t="s">
        <v>2556</v>
      </c>
      <c r="I4" s="1258"/>
      <c r="J4" s="2" t="str">
        <f>IF(Table5[[#This Row],[Entered]]&lt;&gt;Table5[[#This Row],[Quantity]],"Check","")</f>
        <v>Check</v>
      </c>
    </row>
    <row r="5" spans="1:12" s="2" customFormat="1" ht="15" x14ac:dyDescent="0.2">
      <c r="A5" s="324"/>
      <c r="B5" s="324"/>
      <c r="C5" s="324"/>
      <c r="D5" s="324"/>
      <c r="E5" s="324"/>
      <c r="F5" s="827"/>
      <c r="G5" s="829"/>
      <c r="H5" s="412"/>
      <c r="I5" s="1258"/>
      <c r="J5" s="2" t="str">
        <f>IF(Table5[[#This Row],[Entered]]&lt;&gt;Table5[[#This Row],[Quantity]],"Check","")</f>
        <v/>
      </c>
    </row>
    <row r="6" spans="1:12" s="2" customFormat="1" ht="15" x14ac:dyDescent="0.2">
      <c r="A6" s="324" t="s">
        <v>2557</v>
      </c>
      <c r="B6" s="324" t="str">
        <f t="shared" ref="B6:B17" si="0">"0260"</f>
        <v>0260</v>
      </c>
      <c r="C6" s="324" t="str">
        <f t="shared" ref="C6:C17" si="1">"50001"</f>
        <v>50001</v>
      </c>
      <c r="D6" s="324">
        <v>7000</v>
      </c>
      <c r="E6" s="324">
        <v>1</v>
      </c>
      <c r="F6" s="1213">
        <f>IF(Table5[[#This Row],[Price]]&gt;0,1,0)</f>
        <v>0</v>
      </c>
      <c r="G6" s="1115">
        <f>'Contract PS'!B2</f>
        <v>0</v>
      </c>
      <c r="H6" s="412">
        <f>'Contract PS'!C2</f>
        <v>0</v>
      </c>
      <c r="I6" s="1258"/>
      <c r="J6" s="2" t="str">
        <f>IF(Table5[[#This Row],[Entered]]&lt;&gt;Table5[[#This Row],[Quantity]],"Check","")</f>
        <v/>
      </c>
    </row>
    <row r="7" spans="1:12" s="2" customFormat="1" ht="15" x14ac:dyDescent="0.2">
      <c r="A7" s="324" t="s">
        <v>2557</v>
      </c>
      <c r="B7" s="324" t="str">
        <f t="shared" si="0"/>
        <v>0260</v>
      </c>
      <c r="C7" s="324" t="str">
        <f t="shared" si="1"/>
        <v>50001</v>
      </c>
      <c r="D7" s="324">
        <v>7001</v>
      </c>
      <c r="E7" s="324">
        <v>1</v>
      </c>
      <c r="F7" s="1213">
        <f>IF(Table5[[#This Row],[Price]]&gt;0,1,0)</f>
        <v>0</v>
      </c>
      <c r="G7" s="1115">
        <f>'Contract PS'!B3</f>
        <v>0</v>
      </c>
      <c r="H7" s="412">
        <f>'Contract PS'!C3</f>
        <v>0</v>
      </c>
      <c r="I7" s="1207"/>
      <c r="J7" s="73" t="str">
        <f>IF(Table5[[#This Row],[Entered]]&lt;&gt;Table5[[#This Row],[Quantity]],"Check","")</f>
        <v/>
      </c>
    </row>
    <row r="8" spans="1:12" s="2" customFormat="1" ht="15" x14ac:dyDescent="0.2">
      <c r="A8" s="324" t="s">
        <v>2557</v>
      </c>
      <c r="B8" s="324" t="str">
        <f t="shared" si="0"/>
        <v>0260</v>
      </c>
      <c r="C8" s="324" t="str">
        <f t="shared" si="1"/>
        <v>50001</v>
      </c>
      <c r="D8" s="324">
        <v>7002</v>
      </c>
      <c r="E8" s="324">
        <v>1</v>
      </c>
      <c r="F8" s="1213">
        <f>IF(Table5[[#This Row],[Price]]&gt;0,1,0)</f>
        <v>0</v>
      </c>
      <c r="G8" s="1115">
        <f>'Contract PS'!B4</f>
        <v>0</v>
      </c>
      <c r="H8" s="412">
        <f>'Contract PS'!C4</f>
        <v>0</v>
      </c>
      <c r="I8" s="1207"/>
      <c r="J8" s="73" t="str">
        <f>IF(Table5[[#This Row],[Entered]]&lt;&gt;Table5[[#This Row],[Quantity]],"Check","")</f>
        <v/>
      </c>
    </row>
    <row r="9" spans="1:12" s="2" customFormat="1" ht="15" x14ac:dyDescent="0.2">
      <c r="A9" s="324" t="s">
        <v>2557</v>
      </c>
      <c r="B9" s="324" t="str">
        <f t="shared" si="0"/>
        <v>0260</v>
      </c>
      <c r="C9" s="324" t="str">
        <f t="shared" si="1"/>
        <v>50001</v>
      </c>
      <c r="D9" s="324">
        <v>7003</v>
      </c>
      <c r="E9" s="324">
        <v>1</v>
      </c>
      <c r="F9" s="1213">
        <f>IF(Table5[[#This Row],[Price]]&gt;0,1,0)</f>
        <v>0</v>
      </c>
      <c r="G9" s="1115">
        <f>'Contract PS'!B5</f>
        <v>0</v>
      </c>
      <c r="H9" s="412">
        <f>'Contract PS'!C5</f>
        <v>0</v>
      </c>
      <c r="I9" s="1207"/>
      <c r="J9" s="73" t="str">
        <f>IF(Table5[[#This Row],[Entered]]&lt;&gt;Table5[[#This Row],[Quantity]],"Check","")</f>
        <v/>
      </c>
    </row>
    <row r="10" spans="1:12" s="2" customFormat="1" ht="15" x14ac:dyDescent="0.2">
      <c r="A10" s="324" t="s">
        <v>2557</v>
      </c>
      <c r="B10" s="324" t="str">
        <f t="shared" si="0"/>
        <v>0260</v>
      </c>
      <c r="C10" s="324" t="str">
        <f t="shared" si="1"/>
        <v>50001</v>
      </c>
      <c r="D10" s="324">
        <v>7004</v>
      </c>
      <c r="E10" s="324">
        <v>1</v>
      </c>
      <c r="F10" s="1213">
        <f>IF(Table5[[#This Row],[Price]]&gt;0,1,0)</f>
        <v>0</v>
      </c>
      <c r="G10" s="1115">
        <f>'Contract PS'!B6</f>
        <v>0</v>
      </c>
      <c r="H10" s="412">
        <f>'Contract PS'!C6</f>
        <v>0</v>
      </c>
      <c r="I10" s="1207"/>
      <c r="J10" s="73" t="str">
        <f>IF(Table5[[#This Row],[Entered]]&lt;&gt;Table5[[#This Row],[Quantity]],"Check","")</f>
        <v/>
      </c>
    </row>
    <row r="11" spans="1:12" s="2" customFormat="1" ht="15" x14ac:dyDescent="0.2">
      <c r="A11" s="324" t="s">
        <v>2557</v>
      </c>
      <c r="B11" s="324" t="str">
        <f t="shared" si="0"/>
        <v>0260</v>
      </c>
      <c r="C11" s="324" t="str">
        <f t="shared" si="1"/>
        <v>50001</v>
      </c>
      <c r="D11" s="324">
        <v>7005</v>
      </c>
      <c r="E11" s="324">
        <v>1</v>
      </c>
      <c r="F11" s="1213">
        <f>IF(Table5[[#This Row],[Price]]&gt;0,1,0)</f>
        <v>0</v>
      </c>
      <c r="G11" s="1115">
        <f>'Contract PS'!B7</f>
        <v>0</v>
      </c>
      <c r="H11" s="412">
        <f>'Contract PS'!C7</f>
        <v>0</v>
      </c>
      <c r="I11" s="1207"/>
      <c r="J11" s="73" t="str">
        <f>IF(Table5[[#This Row],[Entered]]&lt;&gt;Table5[[#This Row],[Quantity]],"Check","")</f>
        <v/>
      </c>
    </row>
    <row r="12" spans="1:12" s="2" customFormat="1" ht="15" x14ac:dyDescent="0.2">
      <c r="A12" s="324" t="s">
        <v>2557</v>
      </c>
      <c r="B12" s="324" t="str">
        <f t="shared" si="0"/>
        <v>0260</v>
      </c>
      <c r="C12" s="324" t="str">
        <f t="shared" si="1"/>
        <v>50001</v>
      </c>
      <c r="D12" s="324">
        <v>7006</v>
      </c>
      <c r="E12" s="324">
        <v>1</v>
      </c>
      <c r="F12" s="1213">
        <f>IF(Table5[[#This Row],[Price]]&gt;0,1,0)</f>
        <v>0</v>
      </c>
      <c r="G12" s="1115">
        <f>'Contract PS'!B8</f>
        <v>0</v>
      </c>
      <c r="H12" s="412">
        <f>'Contract PS'!C8</f>
        <v>0</v>
      </c>
      <c r="I12" s="1207"/>
      <c r="J12" s="73" t="str">
        <f>IF(Table5[[#This Row],[Entered]]&lt;&gt;Table5[[#This Row],[Quantity]],"Check","")</f>
        <v/>
      </c>
    </row>
    <row r="13" spans="1:12" s="2" customFormat="1" ht="15" x14ac:dyDescent="0.2">
      <c r="A13" s="324" t="s">
        <v>2557</v>
      </c>
      <c r="B13" s="324" t="str">
        <f t="shared" si="0"/>
        <v>0260</v>
      </c>
      <c r="C13" s="324" t="str">
        <f t="shared" si="1"/>
        <v>50001</v>
      </c>
      <c r="D13" s="324">
        <v>7007</v>
      </c>
      <c r="E13" s="324">
        <v>1</v>
      </c>
      <c r="F13" s="1213">
        <f>IF(Table5[[#This Row],[Price]]&gt;0,1,0)</f>
        <v>0</v>
      </c>
      <c r="G13" s="1115">
        <f>'Contract PS'!B9</f>
        <v>0</v>
      </c>
      <c r="H13" s="412">
        <f>'Contract PS'!C9</f>
        <v>0</v>
      </c>
      <c r="I13" s="1207"/>
      <c r="J13" s="73" t="str">
        <f>IF(Table5[[#This Row],[Entered]]&lt;&gt;Table5[[#This Row],[Quantity]],"Check","")</f>
        <v/>
      </c>
    </row>
    <row r="14" spans="1:12" s="2" customFormat="1" ht="15" x14ac:dyDescent="0.2">
      <c r="A14" s="324" t="s">
        <v>2557</v>
      </c>
      <c r="B14" s="324" t="str">
        <f t="shared" si="0"/>
        <v>0260</v>
      </c>
      <c r="C14" s="324" t="str">
        <f t="shared" si="1"/>
        <v>50001</v>
      </c>
      <c r="D14" s="324">
        <v>7007</v>
      </c>
      <c r="E14" s="324">
        <v>1</v>
      </c>
      <c r="F14" s="1213">
        <f>IF(Table5[[#This Row],[Price]]&gt;0,1,0)</f>
        <v>0</v>
      </c>
      <c r="G14" s="1115">
        <f>'Contract PS'!B10</f>
        <v>0</v>
      </c>
      <c r="H14" s="412">
        <f>'Contract PS'!C10</f>
        <v>0</v>
      </c>
      <c r="I14" s="1207"/>
      <c r="J14" s="73" t="str">
        <f>IF(Table5[[#This Row],[Entered]]&lt;&gt;Table5[[#This Row],[Quantity]],"Check","")</f>
        <v/>
      </c>
    </row>
    <row r="15" spans="1:12" s="2" customFormat="1" ht="15" x14ac:dyDescent="0.2">
      <c r="A15" s="324" t="s">
        <v>2557</v>
      </c>
      <c r="B15" s="324" t="str">
        <f t="shared" si="0"/>
        <v>0260</v>
      </c>
      <c r="C15" s="324" t="str">
        <f t="shared" si="1"/>
        <v>50001</v>
      </c>
      <c r="D15" s="324">
        <v>7007</v>
      </c>
      <c r="E15" s="324">
        <v>1</v>
      </c>
      <c r="F15" s="1213">
        <f>IF(Table5[[#This Row],[Price]]&gt;0,1,0)</f>
        <v>0</v>
      </c>
      <c r="G15" s="1115">
        <f>'Contract PS'!B11</f>
        <v>0</v>
      </c>
      <c r="H15" s="412">
        <f>'Contract PS'!C11</f>
        <v>0</v>
      </c>
      <c r="I15" s="1207"/>
      <c r="J15" s="73" t="str">
        <f>IF(Table5[[#This Row],[Entered]]&lt;&gt;Table5[[#This Row],[Quantity]],"Check","")</f>
        <v/>
      </c>
    </row>
    <row r="16" spans="1:12" s="2" customFormat="1" ht="15" x14ac:dyDescent="0.2">
      <c r="A16" s="324" t="s">
        <v>2557</v>
      </c>
      <c r="B16" s="324" t="str">
        <f t="shared" si="0"/>
        <v>0260</v>
      </c>
      <c r="C16" s="324" t="str">
        <f t="shared" si="1"/>
        <v>50001</v>
      </c>
      <c r="D16" s="324">
        <v>7007</v>
      </c>
      <c r="E16" s="324">
        <v>1</v>
      </c>
      <c r="F16" s="1213">
        <f>IF(Table5[[#This Row],[Price]]&gt;0,1,0)</f>
        <v>0</v>
      </c>
      <c r="G16" s="1115">
        <f>'Contract PS'!B12</f>
        <v>0</v>
      </c>
      <c r="H16" s="412">
        <f>'Contract PS'!C12</f>
        <v>0</v>
      </c>
      <c r="I16" s="1207"/>
      <c r="J16" s="73" t="str">
        <f>IF(Table5[[#This Row],[Entered]]&lt;&gt;Table5[[#This Row],[Quantity]],"Check","")</f>
        <v/>
      </c>
    </row>
    <row r="17" spans="1:10" s="2" customFormat="1" ht="15" x14ac:dyDescent="0.2">
      <c r="A17" s="324" t="s">
        <v>2557</v>
      </c>
      <c r="B17" s="324" t="str">
        <f t="shared" si="0"/>
        <v>0260</v>
      </c>
      <c r="C17" s="324" t="str">
        <f t="shared" si="1"/>
        <v>50001</v>
      </c>
      <c r="D17" s="324">
        <v>7007</v>
      </c>
      <c r="E17" s="324">
        <v>1</v>
      </c>
      <c r="F17" s="1213">
        <f>IF(Table5[[#This Row],[Price]]&gt;0,1,0)</f>
        <v>0</v>
      </c>
      <c r="G17" s="1115">
        <f>'Contract PS'!B13</f>
        <v>0</v>
      </c>
      <c r="H17" s="412">
        <f>'Contract PS'!C13</f>
        <v>0</v>
      </c>
      <c r="I17" s="1207"/>
      <c r="J17" s="73" t="str">
        <f>IF(Table5[[#This Row],[Entered]]&lt;&gt;Table5[[#This Row],[Quantity]],"Check","")</f>
        <v/>
      </c>
    </row>
    <row r="18" spans="1:10" s="2" customFormat="1" ht="15" x14ac:dyDescent="0.2">
      <c r="A18" s="324"/>
      <c r="B18" s="324"/>
      <c r="C18" s="324"/>
      <c r="D18" s="324"/>
      <c r="E18" s="324"/>
      <c r="F18" s="827"/>
      <c r="G18" s="1116"/>
      <c r="H18" s="412"/>
      <c r="I18" s="1258"/>
      <c r="J18" s="2" t="str">
        <f>IF(Table5[[#This Row],[Entered]]&lt;&gt;Table5[[#This Row],[Quantity]],"Check","")</f>
        <v/>
      </c>
    </row>
    <row r="19" spans="1:10" s="2" customFormat="1" ht="15" x14ac:dyDescent="0.2">
      <c r="A19" s="324" t="s">
        <v>2468</v>
      </c>
      <c r="B19" s="324" t="str">
        <f>"0215"</f>
        <v>0215</v>
      </c>
      <c r="C19" s="324" t="str">
        <f>"50001"</f>
        <v>50001</v>
      </c>
      <c r="D19" s="324">
        <v>7000</v>
      </c>
      <c r="E19" s="324">
        <v>1</v>
      </c>
      <c r="F19" s="1213" t="e">
        <f>IF(Table5[[#This Row],[Price]]&gt;0,1,0)</f>
        <v>#N/A</v>
      </c>
      <c r="G19" s="1136" t="e">
        <f>ROUNDUP(VLOOKUP(1,AreaLoading,3,FALSE)*'Contract PS'!$G$1*0.4,0)</f>
        <v>#N/A</v>
      </c>
      <c r="H19" s="412" t="s">
        <v>2558</v>
      </c>
      <c r="I19" s="1258"/>
      <c r="J19" s="2" t="e">
        <f>IF(Table5[[#This Row],[Entered]]&lt;&gt;Table5[[#This Row],[Quantity]],"Check","")</f>
        <v>#N/A</v>
      </c>
    </row>
    <row r="20" spans="1:10" s="2" customFormat="1" ht="15" x14ac:dyDescent="0.2">
      <c r="A20" s="324"/>
      <c r="B20" s="324"/>
      <c r="C20" s="324"/>
      <c r="D20" s="324"/>
      <c r="E20" s="324"/>
      <c r="F20" s="827"/>
      <c r="G20" s="829"/>
      <c r="H20" s="412"/>
      <c r="I20" s="1258"/>
      <c r="J20" s="2" t="str">
        <f>IF(Table5[[#This Row],[Entered]]&lt;&gt;Table5[[#This Row],[Quantity]],"Check","")</f>
        <v/>
      </c>
    </row>
    <row r="21" spans="1:10" s="2" customFormat="1" ht="15" x14ac:dyDescent="0.2">
      <c r="A21" s="324" t="s">
        <v>2468</v>
      </c>
      <c r="B21" s="324" t="str">
        <f>"0250"</f>
        <v>0250</v>
      </c>
      <c r="C21" s="324">
        <v>11164800</v>
      </c>
      <c r="D21" s="1108" t="str">
        <f>"0015"</f>
        <v>0015</v>
      </c>
      <c r="E21" s="324">
        <v>1</v>
      </c>
      <c r="F21" s="827"/>
      <c r="G21" s="829"/>
      <c r="H21" s="412" t="s">
        <v>2469</v>
      </c>
      <c r="I21" s="1258"/>
      <c r="J21" s="2" t="str">
        <f>IF(Table5[[#This Row],[Entered]]&lt;&gt;Table5[[#This Row],[Quantity]],"Check","")</f>
        <v/>
      </c>
    </row>
    <row r="22" spans="1:10" s="2" customFormat="1" ht="15" x14ac:dyDescent="0.2">
      <c r="A22" s="324"/>
      <c r="B22" s="324"/>
      <c r="C22" s="324"/>
      <c r="D22" s="1108"/>
      <c r="E22" s="324"/>
      <c r="F22" s="827"/>
      <c r="G22" s="829"/>
      <c r="H22" s="412"/>
      <c r="I22" s="1258"/>
      <c r="J22" s="2" t="str">
        <f>IF(Table5[[#This Row],[Entered]]&lt;&gt;Table5[[#This Row],[Quantity]],"Check","")</f>
        <v/>
      </c>
    </row>
    <row r="23" spans="1:10" s="2" customFormat="1" ht="15" x14ac:dyDescent="0.2">
      <c r="A23" s="324" t="s">
        <v>2468</v>
      </c>
      <c r="B23" s="324" t="str">
        <f>"0260"</f>
        <v>0260</v>
      </c>
      <c r="C23" s="324">
        <v>50001</v>
      </c>
      <c r="D23" s="324">
        <v>7010</v>
      </c>
      <c r="E23" s="324">
        <v>1</v>
      </c>
      <c r="F23" s="827"/>
      <c r="G23" s="829">
        <v>0</v>
      </c>
      <c r="H23" s="412" t="s">
        <v>2473</v>
      </c>
      <c r="I23" s="1258"/>
      <c r="J23" s="2" t="str">
        <f>IF(Table5[[#This Row],[Entered]]&lt;&gt;Table5[[#This Row],[Quantity]],"Check","")</f>
        <v/>
      </c>
    </row>
    <row r="24" spans="1:10" s="2" customFormat="1" ht="15" x14ac:dyDescent="0.2">
      <c r="A24" s="324" t="s">
        <v>2468</v>
      </c>
      <c r="B24" s="324" t="str">
        <f>"0260"</f>
        <v>0260</v>
      </c>
      <c r="C24" s="324">
        <v>50001</v>
      </c>
      <c r="D24" s="324">
        <v>7215</v>
      </c>
      <c r="E24" s="324">
        <v>1</v>
      </c>
      <c r="F24" s="827"/>
      <c r="G24" s="829">
        <v>0</v>
      </c>
      <c r="H24" s="412" t="s">
        <v>2474</v>
      </c>
      <c r="I24" s="1258"/>
      <c r="J24" s="2" t="str">
        <f>IF(Table5[[#This Row],[Entered]]&lt;&gt;Table5[[#This Row],[Quantity]],"Check","")</f>
        <v/>
      </c>
    </row>
    <row r="25" spans="1:10" s="2" customFormat="1" ht="15" x14ac:dyDescent="0.2">
      <c r="A25" s="324"/>
      <c r="B25" s="324"/>
      <c r="C25" s="324"/>
      <c r="D25" s="324"/>
      <c r="E25" s="324"/>
      <c r="F25" s="827"/>
      <c r="G25" s="829"/>
      <c r="H25" s="412"/>
      <c r="I25" s="1258"/>
      <c r="J25" s="2" t="str">
        <f>IF(Table5[[#This Row],[Entered]]&lt;&gt;Table5[[#This Row],[Quantity]],"Check","")</f>
        <v/>
      </c>
    </row>
    <row r="26" spans="1:10" ht="15" x14ac:dyDescent="0.2">
      <c r="A26" s="324" t="s">
        <v>2468</v>
      </c>
      <c r="B26" s="324" t="str">
        <f>"0280"</f>
        <v>0280</v>
      </c>
      <c r="C26" s="324" t="str">
        <f>"04231"</f>
        <v>04231</v>
      </c>
      <c r="D26" s="324" t="str">
        <f>"0018"</f>
        <v>0018</v>
      </c>
      <c r="E26" s="324">
        <v>1</v>
      </c>
      <c r="F26" s="827">
        <v>1</v>
      </c>
      <c r="G26" s="829">
        <v>1056</v>
      </c>
      <c r="H26" s="412" t="s">
        <v>2637</v>
      </c>
      <c r="I26" s="1258"/>
      <c r="J26" s="2" t="str">
        <f>IF(Table5[[#This Row],[Entered]]&lt;&gt;Table5[[#This Row],[Quantity]],"Check","")</f>
        <v>Check</v>
      </c>
    </row>
    <row r="27" spans="1:10" ht="15" x14ac:dyDescent="0.2">
      <c r="A27" s="324" t="s">
        <v>2468</v>
      </c>
      <c r="B27" s="324" t="str">
        <f>"0280"</f>
        <v>0280</v>
      </c>
      <c r="C27" s="324" t="str">
        <f>"04231"</f>
        <v>04231</v>
      </c>
      <c r="D27" s="324" t="str">
        <f>"0020"</f>
        <v>0020</v>
      </c>
      <c r="E27" s="324">
        <v>1</v>
      </c>
      <c r="F27" s="827">
        <v>1</v>
      </c>
      <c r="G27" s="829">
        <v>188</v>
      </c>
      <c r="H27" s="412" t="s">
        <v>2470</v>
      </c>
      <c r="I27" s="1258"/>
      <c r="J27" s="2" t="str">
        <f>IF(Table5[[#This Row],[Entered]]&lt;&gt;Table5[[#This Row],[Quantity]],"Check","")</f>
        <v>Check</v>
      </c>
    </row>
    <row r="28" spans="1:10" ht="15" x14ac:dyDescent="0.2">
      <c r="A28" s="324" t="s">
        <v>2468</v>
      </c>
      <c r="B28" s="324" t="str">
        <f>"0280"</f>
        <v>0280</v>
      </c>
      <c r="C28" s="324" t="str">
        <f>"04231"</f>
        <v>04231</v>
      </c>
      <c r="D28" s="324">
        <v>8000</v>
      </c>
      <c r="E28" s="324">
        <v>0</v>
      </c>
      <c r="F28" s="827">
        <v>1</v>
      </c>
      <c r="G28" s="829">
        <v>0</v>
      </c>
      <c r="H28" s="412" t="s">
        <v>2471</v>
      </c>
      <c r="I28" s="1258"/>
      <c r="J28" s="2" t="str">
        <f>IF(Table5[[#This Row],[Entered]]&lt;&gt;Table5[[#This Row],[Quantity]],"Check","")</f>
        <v>Check</v>
      </c>
    </row>
    <row r="29" spans="1:10" ht="15" x14ac:dyDescent="0.2">
      <c r="A29" s="324"/>
      <c r="B29" s="324"/>
      <c r="C29" s="324"/>
      <c r="D29" s="324"/>
      <c r="E29" s="324"/>
      <c r="F29" s="827"/>
      <c r="G29" s="829"/>
      <c r="H29" s="412"/>
      <c r="I29" s="1207"/>
      <c r="J29" s="73" t="str">
        <f>IF(Table5[[#This Row],[Entered]]&lt;&gt;Table5[[#This Row],[Quantity]],"Check","")</f>
        <v/>
      </c>
    </row>
    <row r="30" spans="1:10" ht="15" x14ac:dyDescent="0.2">
      <c r="A30" s="324" t="s">
        <v>2468</v>
      </c>
      <c r="B30" s="324">
        <v>300</v>
      </c>
      <c r="C30" s="324">
        <v>97686</v>
      </c>
      <c r="D30" s="324">
        <v>7000</v>
      </c>
      <c r="E30" s="324">
        <v>1</v>
      </c>
      <c r="F30" s="827">
        <f>IF(COUNTIF(Addenda!A:A,"*FUJI CLEAN*")&gt;0,1,0)</f>
        <v>0</v>
      </c>
      <c r="G30" s="829">
        <f>Quotes!B22</f>
        <v>0</v>
      </c>
      <c r="H30" s="412" t="s">
        <v>3551</v>
      </c>
      <c r="I30" s="1207"/>
      <c r="J30" s="73" t="str">
        <f>IF(Table5[[#This Row],[Entered]]&lt;&gt;Table5[[#This Row],[Quantity]],"Check","")</f>
        <v/>
      </c>
    </row>
    <row r="31" spans="1:10" ht="15" x14ac:dyDescent="0.2">
      <c r="A31" s="324"/>
      <c r="B31" s="324"/>
      <c r="C31" s="324"/>
      <c r="D31" s="324"/>
      <c r="E31" s="324"/>
      <c r="F31" s="827"/>
      <c r="G31" s="829"/>
      <c r="H31" s="412"/>
      <c r="I31" s="1258"/>
      <c r="J31" s="2" t="str">
        <f>IF(Table5[[#This Row],[Entered]]&lt;&gt;Table5[[#This Row],[Quantity]],"Check","")</f>
        <v/>
      </c>
    </row>
    <row r="32" spans="1:10" ht="15" x14ac:dyDescent="0.2">
      <c r="A32" s="324" t="s">
        <v>2468</v>
      </c>
      <c r="B32" s="324" t="str">
        <f>"0310"</f>
        <v>0310</v>
      </c>
      <c r="C32" s="324" t="str">
        <f>"03631"</f>
        <v>03631</v>
      </c>
      <c r="D32" s="324" t="str">
        <f>"0230"</f>
        <v>0230</v>
      </c>
      <c r="E32" s="324">
        <v>1</v>
      </c>
      <c r="F32" s="827">
        <f>IF(SUM(COUNTIF(Address,{"*BUNBURY*","*AUSTRALIND*","*DARDANUP*","*EATON*","*BUREKUP*","*DALYELLUP*","*STRATHAM*","*GLEN IRIS*","*MILLBRIDGE*"}))&gt;0,IF(Brick_type="Timber Frame",3,4)+IF(H_Area&gt;200,1,0)+IF(FF_Area&gt;0,1,0),0)</f>
        <v>0</v>
      </c>
      <c r="G32" s="1105"/>
      <c r="H32" s="412" t="s">
        <v>2503</v>
      </c>
      <c r="I32" s="1258"/>
      <c r="J32" s="2" t="str">
        <f>IF(Table5[[#This Row],[Entered]]&lt;&gt;Table5[[#This Row],[Quantity]],"Check","")</f>
        <v/>
      </c>
    </row>
    <row r="33" spans="1:10" ht="15" x14ac:dyDescent="0.2">
      <c r="A33" s="324" t="s">
        <v>2468</v>
      </c>
      <c r="B33" s="324" t="str">
        <f>"0310"</f>
        <v>0310</v>
      </c>
      <c r="C33" s="324" t="str">
        <f>"03631"</f>
        <v>03631</v>
      </c>
      <c r="D33" s="324" t="str">
        <f>"0280"</f>
        <v>0280</v>
      </c>
      <c r="E33" s="324">
        <v>1</v>
      </c>
      <c r="F33" s="827" cm="1">
        <f t="array" ref="F33">IF(SUM(COUNTIF(Address,{"*BINNINGUP*","*BRUNSWICK*","*BOYANUP*","*CAPEL*","*MYALUP*","*BUSSELTON*","*DUNSBOROUGH*","*YALLINGUP*","*VASSE*"}))&gt;0,IF(Brick_type="Timber Frame",3,4)+IF(H_Area&gt;200,1,0)+IF(FF_Area&gt;0,1,0),0)</f>
        <v>0</v>
      </c>
      <c r="G33" s="829">
        <v>360</v>
      </c>
      <c r="H33" s="412" t="s">
        <v>2504</v>
      </c>
      <c r="I33" s="1258"/>
      <c r="J33" s="2" t="str">
        <f>IF(Table5[[#This Row],[Entered]]&lt;&gt;Table5[[#This Row],[Quantity]],"Check","")</f>
        <v/>
      </c>
    </row>
    <row r="34" spans="1:10" ht="15" x14ac:dyDescent="0.2">
      <c r="A34" s="324" t="s">
        <v>2468</v>
      </c>
      <c r="B34" s="324" t="str">
        <f>"0310"</f>
        <v>0310</v>
      </c>
      <c r="C34" s="324" t="str">
        <f>"03631"</f>
        <v>03631</v>
      </c>
      <c r="D34" s="324" t="str">
        <f>"0282"</f>
        <v>0282</v>
      </c>
      <c r="E34" s="324">
        <v>1</v>
      </c>
      <c r="F34" s="827">
        <f>IF(SUM(COUNTIF(Address,{"*HARVEY*","*DONNYBROOK*","*GRACETOWN*","*MARGARET RIVER*","*COWARAMUP*","*WITCHCLIFFE*","*COLLIE*","*WAROONA*","*COWARAMUP*"}))&gt;0,IF(Brick_type="Timber Frame",3,4)+IF(H_Area&gt;200,1,0)+IF(FF_Area&gt;0,1,0),0)</f>
        <v>0</v>
      </c>
      <c r="G34" s="1105"/>
      <c r="H34" s="412" t="s">
        <v>2505</v>
      </c>
      <c r="I34" s="1258"/>
      <c r="J34" s="2" t="str">
        <f>IF(Table5[[#This Row],[Entered]]&lt;&gt;Table5[[#This Row],[Quantity]],"Check","")</f>
        <v/>
      </c>
    </row>
    <row r="35" spans="1:10" ht="15" x14ac:dyDescent="0.2">
      <c r="A35" s="324" t="s">
        <v>2468</v>
      </c>
      <c r="B35" s="324" t="str">
        <f>"0310"</f>
        <v>0310</v>
      </c>
      <c r="C35" s="324" t="str">
        <f>"03631"</f>
        <v>03631</v>
      </c>
      <c r="D35" s="324" t="str">
        <f>"0284"</f>
        <v>0284</v>
      </c>
      <c r="E35" s="324">
        <v>1</v>
      </c>
      <c r="F35" s="827" cm="1">
        <f t="array" ref="F35">IF(SUM(COUNTIF(Address,{"*NANNUP*","*BRIDGETOWN*","*BALINGUP*","*GREENBUSHES*","*BOYUP BROOK*"}))&gt;0,IF(Brick_type="Timber Frame",3,4)+IF(H_Area&gt;200,1,0)+IF(FF_Area&gt;0,1,0),0)</f>
        <v>0</v>
      </c>
      <c r="G35" s="1105"/>
      <c r="H35" s="412" t="s">
        <v>2506</v>
      </c>
      <c r="I35" s="1258"/>
      <c r="J35" s="2" t="str">
        <f>IF(Table5[[#This Row],[Entered]]&lt;&gt;Table5[[#This Row],[Quantity]],"Check","")</f>
        <v/>
      </c>
    </row>
    <row r="36" spans="1:10" ht="15" x14ac:dyDescent="0.2">
      <c r="A36" s="324" t="s">
        <v>2468</v>
      </c>
      <c r="B36" s="324" t="str">
        <f>"0310"</f>
        <v>0310</v>
      </c>
      <c r="C36" s="324" t="str">
        <f>"03631"</f>
        <v>03631</v>
      </c>
      <c r="D36" s="324" t="str">
        <f>"0286"</f>
        <v>0286</v>
      </c>
      <c r="E36" s="324">
        <v>1</v>
      </c>
      <c r="F36" s="827">
        <f>IF(SUM(COUNTIF(Address,{"*AUGUSTA*","*MANJIMUP*","*PEMBERTON*"}))&gt;0,IF(Brick_type="Timber Frame",3,4)+IF(H_Area&gt;200,1,0)+IF(FF_Area&gt;0,1,0),0)</f>
        <v>0</v>
      </c>
      <c r="G36" s="829"/>
      <c r="H36" s="412" t="s">
        <v>2507</v>
      </c>
      <c r="I36" s="1258"/>
      <c r="J36" s="2" t="str">
        <f>IF(Table5[[#This Row],[Entered]]&lt;&gt;Table5[[#This Row],[Quantity]],"Check","")</f>
        <v/>
      </c>
    </row>
    <row r="37" spans="1:10" ht="15" x14ac:dyDescent="0.2">
      <c r="A37" s="324"/>
      <c r="B37" s="324"/>
      <c r="C37" s="324"/>
      <c r="D37" s="324"/>
      <c r="E37" s="324"/>
      <c r="F37" s="827"/>
      <c r="G37" s="829"/>
      <c r="H37" s="412"/>
      <c r="I37" s="1258"/>
      <c r="J37" s="2" t="str">
        <f>IF(Table5[[#This Row],[Entered]]&lt;&gt;Table5[[#This Row],[Quantity]],"Check","")</f>
        <v/>
      </c>
    </row>
    <row r="38" spans="1:10" ht="15" x14ac:dyDescent="0.2">
      <c r="A38" s="324" t="s">
        <v>2468</v>
      </c>
      <c r="B38" s="324" t="str">
        <f>"0320"</f>
        <v>0320</v>
      </c>
      <c r="C38" s="324">
        <v>50062</v>
      </c>
      <c r="D38" s="324" t="str">
        <f>"0020"</f>
        <v>0020</v>
      </c>
      <c r="E38" s="324">
        <v>1</v>
      </c>
      <c r="F38" s="827">
        <v>1</v>
      </c>
      <c r="G38" s="829">
        <v>80</v>
      </c>
      <c r="H38" s="412" t="s">
        <v>2472</v>
      </c>
      <c r="I38" s="1258"/>
      <c r="J38" s="2" t="str">
        <f>IF(Table5[[#This Row],[Entered]]&lt;&gt;Table5[[#This Row],[Quantity]],"Check","")</f>
        <v>Check</v>
      </c>
    </row>
    <row r="39" spans="1:10" ht="15" x14ac:dyDescent="0.2">
      <c r="A39" s="1103"/>
      <c r="B39" s="1103"/>
      <c r="C39" s="1103"/>
      <c r="D39" s="1103"/>
      <c r="E39" s="1103"/>
      <c r="F39" s="1104"/>
      <c r="G39" s="1105"/>
      <c r="H39" s="412"/>
      <c r="I39" s="1258"/>
      <c r="J39" s="2" t="str">
        <f>IF(Table5[[#This Row],[Entered]]&lt;&gt;Table5[[#This Row],[Quantity]],"Check","")</f>
        <v/>
      </c>
    </row>
    <row r="40" spans="1:10" ht="15" x14ac:dyDescent="0.2">
      <c r="A40" s="324" t="s">
        <v>3726</v>
      </c>
      <c r="B40" s="324" t="str">
        <f>"0330"</f>
        <v>0330</v>
      </c>
      <c r="C40" s="324" t="str">
        <f>"04376"</f>
        <v>04376</v>
      </c>
      <c r="D40" s="324" t="str">
        <f>"7000"</f>
        <v>7000</v>
      </c>
      <c r="E40" s="324">
        <v>1</v>
      </c>
      <c r="F40" s="827">
        <f>IF(Quotes!B25&gt;0,1,0)</f>
        <v>0</v>
      </c>
      <c r="G40" s="829">
        <f>Quotes!B25</f>
        <v>0</v>
      </c>
      <c r="H40" s="412" t="s">
        <v>3725</v>
      </c>
      <c r="I40" s="1258"/>
      <c r="J40" s="2" t="str">
        <f>IF(Table5[[#This Row],[Entered]]&lt;&gt;Table5[[#This Row],[Quantity]],"Check","")</f>
        <v/>
      </c>
    </row>
    <row r="41" spans="1:10" ht="15" x14ac:dyDescent="0.2">
      <c r="A41" s="324"/>
      <c r="B41" s="324"/>
      <c r="C41" s="324"/>
      <c r="D41" s="324"/>
      <c r="E41" s="324"/>
      <c r="F41" s="827"/>
      <c r="G41" s="829"/>
      <c r="H41" s="412"/>
      <c r="I41" s="1258"/>
      <c r="J41" s="2" t="str">
        <f>IF(Table5[[#This Row],[Entered]]&lt;&gt;Table5[[#This Row],[Quantity]],"Check","")</f>
        <v/>
      </c>
    </row>
    <row r="42" spans="1:10" ht="15" x14ac:dyDescent="0.2">
      <c r="A42" s="324" t="s">
        <v>2468</v>
      </c>
      <c r="B42" s="324" t="str">
        <f>"1030"</f>
        <v>1030</v>
      </c>
      <c r="C42" s="1144" t="str">
        <f>IF(COUNTIF(Addenda!A:A,"*PLUNKETT*")&gt;0,11164800,"")</f>
        <v/>
      </c>
      <c r="D42" s="324">
        <v>7000</v>
      </c>
      <c r="E42" s="324">
        <v>1</v>
      </c>
      <c r="F42" s="827">
        <f>IF(COUNTIF(Addenda!A:A,"*PLUNKETT*")&gt;0,1,0)</f>
        <v>0</v>
      </c>
      <c r="G42" s="829">
        <f>IF(Table5[[#This Row],[Quantity]]&gt;0,Quotes!B2,0)</f>
        <v>0</v>
      </c>
      <c r="H42" s="412" t="s">
        <v>3045</v>
      </c>
      <c r="I42" s="1258"/>
      <c r="J42" s="2" t="str">
        <f>IF(Table5[[#This Row],[Entered]]&lt;&gt;Table5[[#This Row],[Quantity]],"Check","")</f>
        <v/>
      </c>
    </row>
    <row r="43" spans="1:10" ht="15" x14ac:dyDescent="0.2">
      <c r="A43" s="324"/>
      <c r="B43" s="324"/>
      <c r="C43" s="324"/>
      <c r="D43" s="324"/>
      <c r="E43" s="324"/>
      <c r="F43" s="827"/>
      <c r="G43" s="829"/>
      <c r="H43" s="412"/>
      <c r="I43" s="1258"/>
      <c r="J43" s="2" t="str">
        <f>IF(Table5[[#This Row],[Entered]]&lt;&gt;Table5[[#This Row],[Quantity]],"Check","")</f>
        <v/>
      </c>
    </row>
    <row r="44" spans="1:10" ht="15" x14ac:dyDescent="0.2">
      <c r="A44" s="324" t="s">
        <v>3092</v>
      </c>
      <c r="B44" s="324" t="str">
        <f>"1040"</f>
        <v>1040</v>
      </c>
      <c r="C44" s="324">
        <v>52024</v>
      </c>
      <c r="D44" s="324">
        <v>6600</v>
      </c>
      <c r="E44" s="324">
        <v>1</v>
      </c>
      <c r="F44" s="827">
        <f>Quotes!B3</f>
        <v>0</v>
      </c>
      <c r="G44" s="829">
        <v>1</v>
      </c>
      <c r="H44" s="412" t="s">
        <v>2478</v>
      </c>
      <c r="I44" s="1258"/>
      <c r="J44" s="2" t="str">
        <f>IF(Table5[[#This Row],[Entered]]&lt;&gt;Table5[[#This Row],[Quantity]],"Check","")</f>
        <v/>
      </c>
    </row>
    <row r="45" spans="1:10" ht="15" x14ac:dyDescent="0.2">
      <c r="A45" s="324"/>
      <c r="B45" s="324"/>
      <c r="C45" s="324"/>
      <c r="D45" s="324"/>
      <c r="E45" s="324"/>
      <c r="F45" s="827"/>
      <c r="G45" s="829"/>
      <c r="H45" s="412"/>
      <c r="I45" s="1258"/>
      <c r="J45" s="2" t="str">
        <f>IF(Table5[[#This Row],[Entered]]&lt;&gt;Table5[[#This Row],[Quantity]],"Check","")</f>
        <v/>
      </c>
    </row>
    <row r="46" spans="1:10" ht="15" x14ac:dyDescent="0.2">
      <c r="A46" s="324" t="s">
        <v>2479</v>
      </c>
      <c r="B46" s="324" t="str">
        <f>"0410"</f>
        <v>0410</v>
      </c>
      <c r="C46" s="324" t="str">
        <f>"03544"</f>
        <v>03544</v>
      </c>
      <c r="D46" s="324" t="str">
        <f>"0031"</f>
        <v>0031</v>
      </c>
      <c r="E46" s="324">
        <v>1</v>
      </c>
      <c r="F46" s="827">
        <f ca="1">IF(OR(MONTH(TODAY())&gt;=10,MONTH(TODAY())&lt;4),1,0)</f>
        <v>0</v>
      </c>
      <c r="G46" s="829">
        <v>120</v>
      </c>
      <c r="H46" s="412" t="s">
        <v>2489</v>
      </c>
      <c r="I46" s="1258"/>
      <c r="J46" s="2" t="str">
        <f ca="1">IF(Table5[[#This Row],[Entered]]&lt;&gt;Table5[[#This Row],[Quantity]],"Check","")</f>
        <v/>
      </c>
    </row>
    <row r="47" spans="1:10" ht="15" x14ac:dyDescent="0.2">
      <c r="A47" s="1103"/>
      <c r="B47" s="1103"/>
      <c r="C47" s="1103"/>
      <c r="D47" s="1103"/>
      <c r="E47" s="1103"/>
      <c r="F47" s="1104"/>
      <c r="G47" s="1105"/>
      <c r="H47" s="412"/>
      <c r="I47" s="1258"/>
      <c r="J47" s="2" t="str">
        <f>IF(Table5[[#This Row],[Entered]]&lt;&gt;Table5[[#This Row],[Quantity]],"Check","")</f>
        <v/>
      </c>
    </row>
    <row r="48" spans="1:10" ht="15" x14ac:dyDescent="0.2">
      <c r="A48" s="324" t="s">
        <v>2479</v>
      </c>
      <c r="B48" s="324" t="str">
        <f t="shared" ref="B48:B77" si="2">"0415"</f>
        <v>0415</v>
      </c>
      <c r="C48" s="324" t="str">
        <f t="shared" ref="C48:C77" si="3">"04601"</f>
        <v>04601</v>
      </c>
      <c r="D48" s="324" t="str">
        <f>"0009"</f>
        <v>0009</v>
      </c>
      <c r="E48" s="324">
        <v>1</v>
      </c>
      <c r="F48" s="827">
        <f>IF(Eng_SlabMesh="",IF(COUNTIF(SiteReport_SlabMesh,"*SL63*")&gt;0,Slab_Mesh,0),IF(COUNTIF(Eng_SlabMesh,"*SL63*")&gt;0,Slab_Mesh,0))+IF(Eng_SlabMesh="",IF(COUNTIF(SiteReport_SlabMesh,"*SL53*")+COUNTIF(SiteReport_SlabMesh,"*SL52*")&gt;0,Slab_Mesh,0),IF(COUNTIF(Eng_SlabMesh,"*SL53*")+COUNTIF(SiteReport_SlabMesh,"*SL52*")&gt;0,Slab_Mesh,0))-IF(AND(COUNTIF(Address,"*AUSTRALIND*")&gt;0,Eng_SlabMesh="SL63"),Slab_Mesh,0)</f>
        <v>0</v>
      </c>
      <c r="G48" s="829">
        <v>67.150000000000006</v>
      </c>
      <c r="H48" s="412" t="s">
        <v>2508</v>
      </c>
      <c r="I48" s="1258"/>
      <c r="J48" s="2" t="str">
        <f>IF(Table5[[#This Row],[Entered]]&lt;&gt;Table5[[#This Row],[Quantity]],"Check","")</f>
        <v/>
      </c>
    </row>
    <row r="49" spans="1:10" ht="15" x14ac:dyDescent="0.2">
      <c r="A49" s="324" t="s">
        <v>2479</v>
      </c>
      <c r="B49" s="324" t="str">
        <f t="shared" si="2"/>
        <v>0415</v>
      </c>
      <c r="C49" s="324" t="str">
        <f t="shared" si="3"/>
        <v>04601</v>
      </c>
      <c r="D49" s="324" t="str">
        <f>"0010"</f>
        <v>0010</v>
      </c>
      <c r="E49" s="324">
        <v>1</v>
      </c>
      <c r="F49" s="827">
        <f>IF(Eng_SlabMesh="",IF(COUNTIF(SiteReport_SlabMesh,"*SL62*")&gt;0,Slab_Mesh,0),IF(COUNTIF(Eng_SlabMesh,"*SL62*")&gt;0,Slab_Mesh,0))+IF(AND(COUNTIF(Address,"*AUSTRALIND*")&gt;0,Eng_SlabMesh="SL63"),Slab_Mesh,0)</f>
        <v>0</v>
      </c>
      <c r="G49" s="829">
        <v>96.1</v>
      </c>
      <c r="H49" s="412" t="s">
        <v>2509</v>
      </c>
      <c r="I49" s="1258"/>
      <c r="J49" s="2" t="str">
        <f>IF(Table5[[#This Row],[Entered]]&lt;&gt;Table5[[#This Row],[Quantity]],"Check","")</f>
        <v/>
      </c>
    </row>
    <row r="50" spans="1:10" ht="15" x14ac:dyDescent="0.2">
      <c r="A50" s="324" t="s">
        <v>2479</v>
      </c>
      <c r="B50" s="324" t="str">
        <f t="shared" si="2"/>
        <v>0415</v>
      </c>
      <c r="C50" s="324" t="str">
        <f t="shared" si="3"/>
        <v>04601</v>
      </c>
      <c r="D50" s="324" t="str">
        <f>"0011"</f>
        <v>0011</v>
      </c>
      <c r="E50" s="324">
        <v>1</v>
      </c>
      <c r="F50" s="827">
        <f>IF(Eng_SlabMesh="",IF(COUNTIF(SiteReport_SlabMesh,"*SL72*")&gt;0,Slab_Mesh,0),IF(COUNTIF(Eng_SlabMesh,"*SL72*")&gt;0,Slab_Mesh,0))</f>
        <v>0</v>
      </c>
      <c r="G50" s="829">
        <v>113.4</v>
      </c>
      <c r="H50" s="412" t="s">
        <v>2480</v>
      </c>
      <c r="I50" s="1258"/>
      <c r="J50" s="2" t="str">
        <f>IF(Table5[[#This Row],[Entered]]&lt;&gt;Table5[[#This Row],[Quantity]],"Check","")</f>
        <v/>
      </c>
    </row>
    <row r="51" spans="1:10" ht="15" x14ac:dyDescent="0.2">
      <c r="A51" s="324" t="s">
        <v>2479</v>
      </c>
      <c r="B51" s="324" t="str">
        <f t="shared" si="2"/>
        <v>0415</v>
      </c>
      <c r="C51" s="324" t="str">
        <f t="shared" si="3"/>
        <v>04601</v>
      </c>
      <c r="D51" s="324" t="str">
        <f>"0012"</f>
        <v>0012</v>
      </c>
      <c r="E51" s="324">
        <v>1</v>
      </c>
      <c r="F51" s="827">
        <f>IF(Eng_SlabMesh="",IF(COUNTIF(SiteReport_SlabMesh,"*SL82*")&gt;0,Slab_Mesh,0),IF(COUNTIF(Eng_SlabMesh,"*SL82*")&gt;0,Slab_Mesh,0))</f>
        <v>0</v>
      </c>
      <c r="G51" s="1105"/>
      <c r="H51" s="412" t="s">
        <v>2510</v>
      </c>
      <c r="I51" s="1258"/>
      <c r="J51" s="2" t="str">
        <f>IF(Table5[[#This Row],[Entered]]&lt;&gt;Table5[[#This Row],[Quantity]],"Check","")</f>
        <v/>
      </c>
    </row>
    <row r="52" spans="1:10" ht="15" x14ac:dyDescent="0.2">
      <c r="A52" s="324" t="s">
        <v>2479</v>
      </c>
      <c r="B52" s="324" t="str">
        <f t="shared" si="2"/>
        <v>0415</v>
      </c>
      <c r="C52" s="324" t="str">
        <f t="shared" si="3"/>
        <v>04601</v>
      </c>
      <c r="D52" s="324" t="str">
        <f>"0014"</f>
        <v>0014</v>
      </c>
      <c r="E52" s="324">
        <v>1</v>
      </c>
      <c r="F52" s="827">
        <f>IF(Eng_SlabMesh="",IF(COUNTIF(SiteReport_SlabMesh,"*SL92*")&gt;0,Slab_Mesh,0),IF(COUNTIF(Eng_SlabMesh,"*SL92*")&gt;0,Slab_Mesh,0))</f>
        <v>0</v>
      </c>
      <c r="G52" s="1105"/>
      <c r="H52" s="412" t="s">
        <v>2511</v>
      </c>
      <c r="I52" s="1258"/>
      <c r="J52" s="2" t="str">
        <f>IF(Table5[[#This Row],[Entered]]&lt;&gt;Table5[[#This Row],[Quantity]],"Check","")</f>
        <v/>
      </c>
    </row>
    <row r="53" spans="1:10" ht="15" x14ac:dyDescent="0.2">
      <c r="A53" s="324" t="s">
        <v>2479</v>
      </c>
      <c r="B53" s="324" t="str">
        <f t="shared" si="2"/>
        <v>0415</v>
      </c>
      <c r="C53" s="324" t="str">
        <f t="shared" si="3"/>
        <v>04601</v>
      </c>
      <c r="D53" s="324" t="str">
        <f>"0060"</f>
        <v>0060</v>
      </c>
      <c r="E53" s="324">
        <v>1</v>
      </c>
      <c r="F53" s="827">
        <f>IF(AND(TrenchMeshType="3L11TM"),Trench_Mesh_Supply,0)</f>
        <v>0</v>
      </c>
      <c r="G53" s="829"/>
      <c r="H53" s="412" t="s">
        <v>2482</v>
      </c>
      <c r="I53" s="1258"/>
      <c r="J53" s="2" t="str">
        <f>IF(Table5[[#This Row],[Entered]]&lt;&gt;Table5[[#This Row],[Quantity]],"Check","")</f>
        <v/>
      </c>
    </row>
    <row r="54" spans="1:10" ht="15" x14ac:dyDescent="0.2">
      <c r="A54" s="324" t="s">
        <v>2479</v>
      </c>
      <c r="B54" s="324" t="str">
        <f t="shared" si="2"/>
        <v>0415</v>
      </c>
      <c r="C54" s="324" t="str">
        <f t="shared" si="3"/>
        <v>04601</v>
      </c>
      <c r="D54" s="324" t="str">
        <f>"0119"</f>
        <v>0119</v>
      </c>
      <c r="E54" s="324">
        <v>1</v>
      </c>
      <c r="F54" s="827">
        <f>IF(AND(TrenchMeshType="3L8TM"),Trench_Mesh_Supply,0)</f>
        <v>0</v>
      </c>
      <c r="G54" s="829">
        <v>29.4</v>
      </c>
      <c r="H54" s="412" t="s">
        <v>2512</v>
      </c>
      <c r="I54" s="1258"/>
      <c r="J54" s="2" t="str">
        <f>IF(Table5[[#This Row],[Entered]]&lt;&gt;Table5[[#This Row],[Quantity]],"Check","")</f>
        <v/>
      </c>
    </row>
    <row r="55" spans="1:10" ht="15" x14ac:dyDescent="0.2">
      <c r="A55" s="324" t="s">
        <v>2479</v>
      </c>
      <c r="B55" s="324" t="str">
        <f t="shared" si="2"/>
        <v>0415</v>
      </c>
      <c r="C55" s="324" t="str">
        <f t="shared" si="3"/>
        <v>04601</v>
      </c>
      <c r="D55" s="324">
        <v>1041</v>
      </c>
      <c r="E55" s="324">
        <v>1</v>
      </c>
      <c r="F55" s="827">
        <f>ReEntry_Bars</f>
        <v>0</v>
      </c>
      <c r="G55" s="829">
        <v>11.95</v>
      </c>
      <c r="H55" s="412" t="s">
        <v>2481</v>
      </c>
      <c r="I55" s="1258"/>
      <c r="J55" s="2" t="str">
        <f>IF(Table5[[#This Row],[Entered]]&lt;&gt;Table5[[#This Row],[Quantity]],"Check","")</f>
        <v/>
      </c>
    </row>
    <row r="56" spans="1:10" ht="15" x14ac:dyDescent="0.2">
      <c r="A56" s="324" t="s">
        <v>2479</v>
      </c>
      <c r="B56" s="324" t="str">
        <f t="shared" si="2"/>
        <v>0415</v>
      </c>
      <c r="C56" s="324" t="str">
        <f t="shared" si="3"/>
        <v>04601</v>
      </c>
      <c r="D56" s="324">
        <v>1042</v>
      </c>
      <c r="E56" s="324">
        <v>1</v>
      </c>
      <c r="F56" s="1132">
        <f>COUNTIF(Name,"Re-Entry Bars Shower")*2</f>
        <v>0</v>
      </c>
      <c r="G56" s="829">
        <v>7.5</v>
      </c>
      <c r="H56" s="412" t="s">
        <v>2514</v>
      </c>
      <c r="I56" s="1258"/>
      <c r="J56" s="2" t="str">
        <f>IF(Table5[[#This Row],[Entered]]&lt;&gt;Table5[[#This Row],[Quantity]],"Check","")</f>
        <v/>
      </c>
    </row>
    <row r="57" spans="1:10" ht="15" x14ac:dyDescent="0.2">
      <c r="A57" s="324" t="s">
        <v>2479</v>
      </c>
      <c r="B57" s="324" t="str">
        <f t="shared" si="2"/>
        <v>0415</v>
      </c>
      <c r="C57" s="324" t="str">
        <f t="shared" si="3"/>
        <v>04601</v>
      </c>
      <c r="D57" s="324" t="str">
        <f>"9024"</f>
        <v>9024</v>
      </c>
      <c r="E57" s="324">
        <v>1</v>
      </c>
      <c r="F57" s="827">
        <f>IF(OR(ISNUMBER(SEARCH("BRIDGETOWN",Address))),1,0)</f>
        <v>0</v>
      </c>
      <c r="G57" s="1105"/>
      <c r="H57" s="1110" t="s">
        <v>2560</v>
      </c>
      <c r="I57" s="1133"/>
      <c r="J57" s="2" t="str">
        <f>IF(Table5[[#This Row],[Entered]]&lt;&gt;Table5[[#This Row],[Quantity]],"Check","")</f>
        <v/>
      </c>
    </row>
    <row r="58" spans="1:10" ht="15" x14ac:dyDescent="0.2">
      <c r="A58" s="324" t="s">
        <v>2479</v>
      </c>
      <c r="B58" s="324" t="str">
        <f t="shared" si="2"/>
        <v>0415</v>
      </c>
      <c r="C58" s="324" t="str">
        <f t="shared" si="3"/>
        <v>04601</v>
      </c>
      <c r="D58" s="324" t="str">
        <f>"9029"</f>
        <v>9029</v>
      </c>
      <c r="E58" s="324">
        <v>1</v>
      </c>
      <c r="F58" s="827">
        <f>IF(OR(ISNUMBER(SEARCH("Bunbury",Address)),ISNUMBER(SEARCH("Dalyellup",Address)),ISNUMBER(SEARCH("Glen Iris",Address)),ISNUMBER(SEARCH("Brunswick",Address)),ISNUMBER(SEARCH("Millbridge",Address)),ISNUMBER(SEARCH("Eaton",Address)),ISNUMBER(SEARCH("Australind",Address))),1,0)</f>
        <v>0</v>
      </c>
      <c r="G58" s="1105"/>
      <c r="H58" s="1110" t="s">
        <v>2561</v>
      </c>
      <c r="I58" s="1133"/>
      <c r="J58" s="2" t="str">
        <f>IF(Table5[[#This Row],[Entered]]&lt;&gt;Table5[[#This Row],[Quantity]],"Check","")</f>
        <v/>
      </c>
    </row>
    <row r="59" spans="1:10" ht="15" x14ac:dyDescent="0.2">
      <c r="A59" s="324" t="s">
        <v>2479</v>
      </c>
      <c r="B59" s="324" t="str">
        <f t="shared" si="2"/>
        <v>0415</v>
      </c>
      <c r="C59" s="324" t="str">
        <f t="shared" si="3"/>
        <v>04601</v>
      </c>
      <c r="D59" s="324" t="str">
        <f>"9031"</f>
        <v>9031</v>
      </c>
      <c r="E59" s="324">
        <v>1</v>
      </c>
      <c r="F59" s="827">
        <f>IF(OR(ISNUMBER(SEARCH("Busselton",Address)),ISNUMBER(SEARCH("Kealy",Address)),ISNUMBER(SEARCH("Broadwater",Address)),ISNUMBER(SEARCH("Geographe",Address)),ISNUMBER(SEARCH("Abbey",Address)),ISNUMBER(SEARCH("Yalyalup",Address)),ISNUMBER(SEARCH("Provence",Address)),ISNUMBER(SEARCH("Vasse",Address))),1,0)</f>
        <v>0</v>
      </c>
      <c r="G59" s="829">
        <v>42</v>
      </c>
      <c r="H59" s="1110" t="s">
        <v>2551</v>
      </c>
      <c r="I59" s="1258"/>
      <c r="J59" s="2" t="str">
        <f>IF(Table5[[#This Row],[Entered]]&lt;&gt;Table5[[#This Row],[Quantity]],"Check","")</f>
        <v/>
      </c>
    </row>
    <row r="60" spans="1:10" ht="15" x14ac:dyDescent="0.2">
      <c r="A60" s="324" t="s">
        <v>2479</v>
      </c>
      <c r="B60" s="324" t="str">
        <f t="shared" si="2"/>
        <v>0415</v>
      </c>
      <c r="C60" s="324" t="str">
        <f t="shared" si="3"/>
        <v>04601</v>
      </c>
      <c r="D60" s="324" t="str">
        <f>"9035"</f>
        <v>9035</v>
      </c>
      <c r="E60" s="324">
        <v>1</v>
      </c>
      <c r="F60" s="827">
        <f>IF(OR(ISNUMBER(SEARCH("Cowaramup",Address))),1,0)</f>
        <v>0</v>
      </c>
      <c r="G60" s="1105"/>
      <c r="H60" s="1110" t="s">
        <v>2562</v>
      </c>
      <c r="I60" s="1133"/>
      <c r="J60" s="2" t="str">
        <f>IF(Table5[[#This Row],[Entered]]&lt;&gt;Table5[[#This Row],[Quantity]],"Check","")</f>
        <v/>
      </c>
    </row>
    <row r="61" spans="1:10" ht="15" x14ac:dyDescent="0.2">
      <c r="A61" s="324" t="s">
        <v>2479</v>
      </c>
      <c r="B61" s="324" t="str">
        <f t="shared" si="2"/>
        <v>0415</v>
      </c>
      <c r="C61" s="324" t="str">
        <f t="shared" si="3"/>
        <v>04601</v>
      </c>
      <c r="D61" s="324" t="str">
        <f>"9043"</f>
        <v>9043</v>
      </c>
      <c r="E61" s="324">
        <v>1</v>
      </c>
      <c r="F61" s="827">
        <f>IF(OR(ISNUMBER(SEARCH("Donnybrook",Address)),ISNUMBER(SEARCH("Argyle",Address)),ISNUMBER(SEARCH("Kirup",Address))),1,0)</f>
        <v>0</v>
      </c>
      <c r="G61" s="1105"/>
      <c r="H61" s="1110" t="s">
        <v>2563</v>
      </c>
      <c r="I61" s="1133"/>
      <c r="J61" s="2" t="str">
        <f>IF(Table5[[#This Row],[Entered]]&lt;&gt;Table5[[#This Row],[Quantity]],"Check","")</f>
        <v/>
      </c>
    </row>
    <row r="62" spans="1:10" ht="15" x14ac:dyDescent="0.2">
      <c r="A62" s="324" t="s">
        <v>2479</v>
      </c>
      <c r="B62" s="324" t="str">
        <f t="shared" si="2"/>
        <v>0415</v>
      </c>
      <c r="C62" s="324" t="str">
        <f t="shared" si="3"/>
        <v>04601</v>
      </c>
      <c r="D62" s="324" t="str">
        <f>"9044"</f>
        <v>9044</v>
      </c>
      <c r="E62" s="324">
        <v>1</v>
      </c>
      <c r="F62" s="827">
        <f>IF(OR(ISNUMBER(SEARCH("Dunsborough",Address)),ISNUMBER(SEARCH("Quindalup",Address))),1,0)</f>
        <v>0</v>
      </c>
      <c r="G62" s="829">
        <v>57.75</v>
      </c>
      <c r="H62" s="1110" t="s">
        <v>2564</v>
      </c>
      <c r="I62" s="1133"/>
      <c r="J62" s="2" t="str">
        <f>IF(Table5[[#This Row],[Entered]]&lt;&gt;Table5[[#This Row],[Quantity]],"Check","")</f>
        <v/>
      </c>
    </row>
    <row r="63" spans="1:10" ht="15" x14ac:dyDescent="0.2">
      <c r="A63" s="324" t="s">
        <v>2479</v>
      </c>
      <c r="B63" s="324" t="str">
        <f t="shared" si="2"/>
        <v>0415</v>
      </c>
      <c r="C63" s="324" t="str">
        <f t="shared" si="3"/>
        <v>04601</v>
      </c>
      <c r="D63" s="324" t="str">
        <f>"9067"</f>
        <v>9067</v>
      </c>
      <c r="E63" s="324">
        <v>1</v>
      </c>
      <c r="F63" s="827">
        <f>IF(OR(ISNUMBER(SEARCH("MANJIMUP",Address))),1,0)</f>
        <v>0</v>
      </c>
      <c r="G63" s="1105"/>
      <c r="H63" s="1110" t="s">
        <v>2559</v>
      </c>
      <c r="I63" s="1133"/>
      <c r="J63" s="2" t="str">
        <f>IF(Table5[[#This Row],[Entered]]&lt;&gt;Table5[[#This Row],[Quantity]],"Check","")</f>
        <v/>
      </c>
    </row>
    <row r="64" spans="1:10" ht="15" x14ac:dyDescent="0.2">
      <c r="A64" s="324" t="s">
        <v>2479</v>
      </c>
      <c r="B64" s="324" t="str">
        <f t="shared" si="2"/>
        <v>0415</v>
      </c>
      <c r="C64" s="324" t="str">
        <f t="shared" si="3"/>
        <v>04601</v>
      </c>
      <c r="D64" s="324" t="str">
        <f>"9068"</f>
        <v>9068</v>
      </c>
      <c r="E64" s="324">
        <v>1</v>
      </c>
      <c r="F64" s="827">
        <f>IF(OR(ISNUMBER(SEARCH("Margaret River",Address))),1,0)</f>
        <v>0</v>
      </c>
      <c r="G64" s="1105"/>
      <c r="H64" s="1110" t="s">
        <v>948</v>
      </c>
      <c r="I64" s="1133"/>
      <c r="J64" s="2" t="str">
        <f>IF(Table5[[#This Row],[Entered]]&lt;&gt;Table5[[#This Row],[Quantity]],"Check","")</f>
        <v/>
      </c>
    </row>
    <row r="65" spans="1:10" ht="15" x14ac:dyDescent="0.2">
      <c r="A65" s="324" t="s">
        <v>2479</v>
      </c>
      <c r="B65" s="324" t="str">
        <f t="shared" si="2"/>
        <v>0415</v>
      </c>
      <c r="C65" s="324" t="str">
        <f t="shared" si="3"/>
        <v>04601</v>
      </c>
      <c r="D65" s="324">
        <v>9134</v>
      </c>
      <c r="E65" s="324">
        <v>1</v>
      </c>
      <c r="F65" s="827">
        <f>IF(OR(ISNUMBER(SEARCH("Augusta",Address)),ISNUMBER(SEARCH("Karridale",Address))),1,0)</f>
        <v>0</v>
      </c>
      <c r="G65" s="829"/>
      <c r="H65" s="1110" t="s">
        <v>2483</v>
      </c>
      <c r="I65" s="1133"/>
      <c r="J65" s="2" t="str">
        <f>IF(Table5[[#This Row],[Entered]]&lt;&gt;Table5[[#This Row],[Quantity]],"Check","")</f>
        <v/>
      </c>
    </row>
    <row r="66" spans="1:10" ht="15" x14ac:dyDescent="0.2">
      <c r="A66" s="324" t="s">
        <v>2479</v>
      </c>
      <c r="B66" s="324" t="str">
        <f t="shared" si="2"/>
        <v>0415</v>
      </c>
      <c r="C66" s="324" t="str">
        <f t="shared" si="3"/>
        <v>04601</v>
      </c>
      <c r="D66" s="1103">
        <f>9160</f>
        <v>9160</v>
      </c>
      <c r="E66" s="1103">
        <v>1</v>
      </c>
      <c r="F66" s="1104">
        <f>IF(OR(ISNUMBER(SEARCH("Dardanup",Address)),ISNUMBER(SEARCH("Dardanup",Address))),1,0)</f>
        <v>0</v>
      </c>
      <c r="G66" s="1105"/>
      <c r="H66" s="1112" t="s">
        <v>1541</v>
      </c>
      <c r="I66" s="1206"/>
      <c r="J66" s="2" t="str">
        <f>IF(Table5[[#This Row],[Entered]]&lt;&gt;Table5[[#This Row],[Quantity]],"Check","")</f>
        <v/>
      </c>
    </row>
    <row r="67" spans="1:10" ht="15" x14ac:dyDescent="0.2">
      <c r="A67" s="324" t="s">
        <v>2479</v>
      </c>
      <c r="B67" s="324" t="str">
        <f t="shared" si="2"/>
        <v>0415</v>
      </c>
      <c r="C67" s="324" t="str">
        <f t="shared" si="3"/>
        <v>04601</v>
      </c>
      <c r="D67" s="1103">
        <f>9300</f>
        <v>9300</v>
      </c>
      <c r="E67" s="1103">
        <v>1</v>
      </c>
      <c r="F67" s="1104">
        <f>IF(OR(ISNUMBER(SEARCH("Yallingup",Address)),ISNUMBER(SEARCH("Capel",Address)),ISNUMBER(SEARCH("Peppermint Grove Beach",Address))),1,0)</f>
        <v>0</v>
      </c>
      <c r="G67" s="1105"/>
      <c r="H67" s="1112" t="s">
        <v>1201</v>
      </c>
      <c r="I67" s="1206"/>
      <c r="J67" s="2" t="str">
        <f>IF(Table5[[#This Row],[Entered]]&lt;&gt;Table5[[#This Row],[Quantity]],"Check","")</f>
        <v/>
      </c>
    </row>
    <row r="68" spans="1:10" ht="15" x14ac:dyDescent="0.2">
      <c r="A68" s="324" t="s">
        <v>2479</v>
      </c>
      <c r="B68" s="324" t="str">
        <f t="shared" si="2"/>
        <v>0415</v>
      </c>
      <c r="C68" s="324" t="str">
        <f t="shared" si="3"/>
        <v>04601</v>
      </c>
      <c r="D68" s="1103">
        <f>9420</f>
        <v>9420</v>
      </c>
      <c r="E68" s="1103">
        <v>1</v>
      </c>
      <c r="F68" s="1104">
        <f>IF(OR(ISNUMBER(SEARCH("HARVEY",Address)),ISNUMBER(SEARCH("MYALUP",Address)),ISNUMBER(SEARCH("BINNINGUP",Address))),1,0)</f>
        <v>0</v>
      </c>
      <c r="G68" s="1105"/>
      <c r="H68" s="1112" t="s">
        <v>1838</v>
      </c>
      <c r="I68" s="1206"/>
      <c r="J68" s="2" t="str">
        <f>IF(Table5[[#This Row],[Entered]]&lt;&gt;Table5[[#This Row],[Quantity]],"Check","")</f>
        <v/>
      </c>
    </row>
    <row r="69" spans="1:10" ht="15" x14ac:dyDescent="0.2">
      <c r="A69" s="324" t="s">
        <v>2479</v>
      </c>
      <c r="B69" s="324" t="str">
        <f t="shared" si="2"/>
        <v>0415</v>
      </c>
      <c r="C69" s="324" t="str">
        <f t="shared" si="3"/>
        <v>04601</v>
      </c>
      <c r="D69" s="1103">
        <f>9425</f>
        <v>9425</v>
      </c>
      <c r="E69" s="1103">
        <v>1</v>
      </c>
      <c r="F69" s="1104">
        <f>IF(OR(ISNUMBER(SEARCH("WAROONA",Address)),ISNUMBER(SEARCH("YARLOOP",Address))),1,0)</f>
        <v>0</v>
      </c>
      <c r="G69" s="1105"/>
      <c r="H69" s="1112" t="s">
        <v>1839</v>
      </c>
      <c r="I69" s="1206"/>
      <c r="J69" s="2" t="str">
        <f>IF(Table5[[#This Row],[Entered]]&lt;&gt;Table5[[#This Row],[Quantity]],"Check","")</f>
        <v/>
      </c>
    </row>
    <row r="70" spans="1:10" ht="15" x14ac:dyDescent="0.2">
      <c r="A70" s="324" t="s">
        <v>2479</v>
      </c>
      <c r="B70" s="324" t="str">
        <f t="shared" si="2"/>
        <v>0415</v>
      </c>
      <c r="C70" s="324" t="str">
        <f t="shared" si="3"/>
        <v>04601</v>
      </c>
      <c r="D70" s="1103">
        <f>9430</f>
        <v>9430</v>
      </c>
      <c r="E70" s="1103">
        <v>1</v>
      </c>
      <c r="F70" s="1104">
        <f>IF(OR(ISNUMBER(SEARCH("COLLIE",Address)),ISNUMBER(SEARCH("COLLIE",Address)),ISNUMBER(SEARCH("COLLIE",Address))),1,0)</f>
        <v>0</v>
      </c>
      <c r="G70" s="1105"/>
      <c r="H70" s="1112" t="s">
        <v>1840</v>
      </c>
      <c r="I70" s="1206"/>
      <c r="J70" s="2" t="str">
        <f>IF(Table5[[#This Row],[Entered]]&lt;&gt;Table5[[#This Row],[Quantity]],"Check","")</f>
        <v/>
      </c>
    </row>
    <row r="71" spans="1:10" ht="15" x14ac:dyDescent="0.2">
      <c r="A71" s="324" t="s">
        <v>2479</v>
      </c>
      <c r="B71" s="324" t="str">
        <f t="shared" si="2"/>
        <v>0415</v>
      </c>
      <c r="C71" s="324" t="str">
        <f t="shared" si="3"/>
        <v>04601</v>
      </c>
      <c r="D71" s="1103">
        <f>9440</f>
        <v>9440</v>
      </c>
      <c r="E71" s="1103">
        <v>1</v>
      </c>
      <c r="F71" s="1104">
        <f>IF(OR(ISNUMBER(SEARCH("NANNUP",Address))),1,0)</f>
        <v>0</v>
      </c>
      <c r="G71" s="1105"/>
      <c r="H71" s="1112" t="s">
        <v>1672</v>
      </c>
      <c r="I71" s="1206"/>
      <c r="J71" s="2" t="str">
        <f>IF(Table5[[#This Row],[Entered]]&lt;&gt;Table5[[#This Row],[Quantity]],"Check","")</f>
        <v/>
      </c>
    </row>
    <row r="72" spans="1:10" ht="15" x14ac:dyDescent="0.2">
      <c r="A72" s="324" t="s">
        <v>2479</v>
      </c>
      <c r="B72" s="324" t="str">
        <f t="shared" si="2"/>
        <v>0415</v>
      </c>
      <c r="C72" s="324" t="str">
        <f t="shared" si="3"/>
        <v>04601</v>
      </c>
      <c r="D72" s="1103">
        <f>9440</f>
        <v>9440</v>
      </c>
      <c r="E72" s="1103">
        <v>1</v>
      </c>
      <c r="F72" s="1104">
        <f>IF(OR(ISNUMBER(SEARCH("BOYUP BROOK",Address))),1,0)</f>
        <v>0</v>
      </c>
      <c r="G72" s="1105"/>
      <c r="H72" s="1112" t="s">
        <v>1843</v>
      </c>
      <c r="I72" s="1206"/>
      <c r="J72" s="2" t="str">
        <f>IF(Table5[[#This Row],[Entered]]&lt;&gt;Table5[[#This Row],[Quantity]],"Check","")</f>
        <v/>
      </c>
    </row>
    <row r="73" spans="1:10" ht="15" x14ac:dyDescent="0.2">
      <c r="A73" s="324" t="s">
        <v>2479</v>
      </c>
      <c r="B73" s="324" t="str">
        <f t="shared" si="2"/>
        <v>0415</v>
      </c>
      <c r="C73" s="324" t="str">
        <f t="shared" si="3"/>
        <v>04601</v>
      </c>
      <c r="D73" s="324" t="str">
        <f>"7000"</f>
        <v>7000</v>
      </c>
      <c r="E73" s="324">
        <v>7</v>
      </c>
      <c r="F73" s="827" t="e">
        <f>CEILING((H_Perim)/0.5,1)*VLOOKUP(Eng_Footing,Footing_Type,8,FALSE)+CEILING((InternalThickeningLength)/0.5,1)*VLOOKUP(Eng_Footing,Footing_Type,10,FALSE)</f>
        <v>#N/A</v>
      </c>
      <c r="G73" s="829">
        <v>6.5</v>
      </c>
      <c r="H73" s="412" t="s">
        <v>668</v>
      </c>
      <c r="I73" s="1258"/>
      <c r="J73" s="2" t="e">
        <f>IF(Table5[[#This Row],[Entered]]&lt;&gt;Table5[[#This Row],[Quantity]],"Check","")</f>
        <v>#N/A</v>
      </c>
    </row>
    <row r="74" spans="1:10" ht="15" x14ac:dyDescent="0.2">
      <c r="A74" s="324" t="s">
        <v>2479</v>
      </c>
      <c r="B74" s="324" t="str">
        <f t="shared" si="2"/>
        <v>0415</v>
      </c>
      <c r="C74" s="324" t="str">
        <f t="shared" si="3"/>
        <v>04601</v>
      </c>
      <c r="D74" s="324">
        <v>7001</v>
      </c>
      <c r="E74" s="324">
        <v>0</v>
      </c>
      <c r="F74" s="827">
        <f>IFERROR(IF(IF(VLOOKUP(Eng_Footing,Footing_Type,8,FALSE)&gt;0,CEILING((H_Perim)/0.5,1),0)&gt;0,1,0),0)</f>
        <v>0</v>
      </c>
      <c r="G74" s="829">
        <v>0</v>
      </c>
      <c r="H74" s="412" t="str">
        <f>IFERROR("FOOTING BARS: "&amp;IF(VLOOKUP(Eng_Footing,Footing_Type,8,FALSE)&gt;0,CEILING((H_Perim)/0.5,1),0)&amp;" x "&amp;VLOOKUP(Eng_Footing,Footing_Type,7,FALSE),"")</f>
        <v/>
      </c>
      <c r="I74" s="1258"/>
      <c r="J74" s="2" t="str">
        <f>IF(Table5[[#This Row],[Entered]]&lt;&gt;Table5[[#This Row],[Quantity]],"Check","")</f>
        <v/>
      </c>
    </row>
    <row r="75" spans="1:10" ht="15" x14ac:dyDescent="0.2">
      <c r="A75" s="324" t="s">
        <v>2479</v>
      </c>
      <c r="B75" s="324" t="str">
        <f t="shared" si="2"/>
        <v>0415</v>
      </c>
      <c r="C75" s="324" t="str">
        <f t="shared" si="3"/>
        <v>04601</v>
      </c>
      <c r="D75" s="1103">
        <v>7002</v>
      </c>
      <c r="E75" s="1103">
        <v>0</v>
      </c>
      <c r="F75" s="1104">
        <f>IFERROR(IF(IF(VLOOKUP(Eng_Footing,Footing_Type,8,FALSE)&gt;0,CEILING((InternalThickeningLength)/0.5,1),0)&gt;0,1,0),0)</f>
        <v>0</v>
      </c>
      <c r="G75" s="1105">
        <v>0</v>
      </c>
      <c r="H75" s="1111" t="str">
        <f>IFERROR("THICKENING BARS: "&amp;IF(VLOOKUP(Eng_Footing,Footing_Type,10,FALSE)&gt;0,CEILING((InternalThickeningLength)/0.5,1),0)&amp;" x "&amp;VLOOKUP(Eng_Footing,Footing_Type,9,FALSE),"")</f>
        <v/>
      </c>
      <c r="I75" s="1205"/>
      <c r="J75" s="2" t="str">
        <f>IF(Table5[[#This Row],[Entered]]&lt;&gt;Table5[[#This Row],[Quantity]],"Check","")</f>
        <v/>
      </c>
    </row>
    <row r="76" spans="1:10" ht="15" x14ac:dyDescent="0.2">
      <c r="A76" s="324" t="s">
        <v>2479</v>
      </c>
      <c r="B76" s="324" t="str">
        <f t="shared" si="2"/>
        <v>0415</v>
      </c>
      <c r="C76" s="324" t="str">
        <f t="shared" si="3"/>
        <v>04601</v>
      </c>
      <c r="D76" s="324">
        <v>7015</v>
      </c>
      <c r="E76" s="324">
        <v>1</v>
      </c>
      <c r="F76" s="827">
        <f>IF(Eng_SlabMesh="",IF(COUNTIF(SiteReport_SlabMesh,"*SL102*")&gt;0,Slab_Mesh,0),IF(COUNTIF(Eng_SlabMesh,"*SL102*")&gt;0,Slab_Mesh,0))</f>
        <v>0</v>
      </c>
      <c r="G76" s="829">
        <v>0</v>
      </c>
      <c r="H76" s="412" t="s">
        <v>2513</v>
      </c>
      <c r="I76" s="1258"/>
      <c r="J76" s="2" t="str">
        <f>IF(Table5[[#This Row],[Entered]]&lt;&gt;Table5[[#This Row],[Quantity]],"Check","")</f>
        <v/>
      </c>
    </row>
    <row r="77" spans="1:10" ht="15" x14ac:dyDescent="0.2">
      <c r="A77" s="324" t="s">
        <v>2479</v>
      </c>
      <c r="B77" s="324" t="str">
        <f t="shared" si="2"/>
        <v>0415</v>
      </c>
      <c r="C77" s="324" t="str">
        <f t="shared" si="3"/>
        <v>04601</v>
      </c>
      <c r="D77" s="1103">
        <f>325</f>
        <v>325</v>
      </c>
      <c r="E77" s="1103">
        <v>1</v>
      </c>
      <c r="F77" s="1104">
        <f>IF(AND(TrenchMeshType="3L12TM"),Trench_Mesh_Supply,0)</f>
        <v>0</v>
      </c>
      <c r="G77" s="1105"/>
      <c r="H77" s="1111" t="s">
        <v>1241</v>
      </c>
      <c r="I77" s="1205"/>
      <c r="J77" s="2" t="str">
        <f>IF(Table5[[#This Row],[Entered]]&lt;&gt;Table5[[#This Row],[Quantity]],"Check","")</f>
        <v/>
      </c>
    </row>
    <row r="78" spans="1:10" ht="15" x14ac:dyDescent="0.2">
      <c r="A78" s="324"/>
      <c r="B78" s="324"/>
      <c r="C78" s="324"/>
      <c r="D78" s="324"/>
      <c r="E78" s="324"/>
      <c r="F78" s="827"/>
      <c r="G78" s="829"/>
      <c r="H78" s="1110"/>
      <c r="I78" s="1133"/>
      <c r="J78" s="2" t="str">
        <f>IF(Table5[[#This Row],[Entered]]&lt;&gt;Table5[[#This Row],[Quantity]],"Check","")</f>
        <v/>
      </c>
    </row>
    <row r="79" spans="1:10" ht="15" x14ac:dyDescent="0.2">
      <c r="A79" s="324" t="s">
        <v>2479</v>
      </c>
      <c r="B79" s="324" t="str">
        <f t="shared" ref="B79:B95" si="4">"0420"</f>
        <v>0420</v>
      </c>
      <c r="C79" s="324" t="str">
        <f t="shared" ref="C79:C95" si="5">"03544"</f>
        <v>03544</v>
      </c>
      <c r="D79" s="324" t="str">
        <f>"0010"</f>
        <v>0010</v>
      </c>
      <c r="E79" s="324">
        <v>1</v>
      </c>
      <c r="F79" s="827">
        <v>1</v>
      </c>
      <c r="G79" s="829">
        <v>75</v>
      </c>
      <c r="H79" s="412" t="s">
        <v>2486</v>
      </c>
      <c r="I79" s="1258"/>
      <c r="J79" s="2" t="str">
        <f>IF(Table5[[#This Row],[Entered]]&lt;&gt;Table5[[#This Row],[Quantity]],"Check","")</f>
        <v>Check</v>
      </c>
    </row>
    <row r="80" spans="1:10" ht="15" x14ac:dyDescent="0.2">
      <c r="A80" s="324" t="s">
        <v>2479</v>
      </c>
      <c r="B80" s="324" t="str">
        <f t="shared" si="4"/>
        <v>0420</v>
      </c>
      <c r="C80" s="324" t="str">
        <f t="shared" si="5"/>
        <v>03544</v>
      </c>
      <c r="D80" s="324" t="str">
        <f>"0016"</f>
        <v>0016</v>
      </c>
      <c r="E80" s="324">
        <v>8</v>
      </c>
      <c r="F80" s="1128"/>
      <c r="G80" s="829"/>
      <c r="H80" s="412" t="s">
        <v>2487</v>
      </c>
      <c r="I80" s="1258"/>
      <c r="J80" s="2" t="str">
        <f>IF(Table5[[#This Row],[Entered]]&lt;&gt;Table5[[#This Row],[Quantity]],"Check","")</f>
        <v/>
      </c>
    </row>
    <row r="81" spans="1:10" ht="15" x14ac:dyDescent="0.2">
      <c r="A81" s="324" t="s">
        <v>2479</v>
      </c>
      <c r="B81" s="324" t="str">
        <f t="shared" si="4"/>
        <v>0420</v>
      </c>
      <c r="C81" s="324" t="str">
        <f t="shared" si="5"/>
        <v>03544</v>
      </c>
      <c r="D81" s="324" t="str">
        <f>"0041"</f>
        <v>0041</v>
      </c>
      <c r="E81" s="324">
        <v>1</v>
      </c>
      <c r="F81" s="827">
        <f>IF(F80&gt;0,IF(AND(Garage_Area&gt;40,Brick_type&lt;&gt;"Timber Frame"),1.5,IF(AND(Garage_Area&gt;0,Brick_type&lt;&gt;"Timber Frame"),1,0)),0)</f>
        <v>0</v>
      </c>
      <c r="G81" s="829"/>
      <c r="H81" s="412" t="s">
        <v>2488</v>
      </c>
      <c r="I81" s="1258"/>
      <c r="J81" s="2" t="str">
        <f>IF(Table5[[#This Row],[Entered]]&lt;&gt;Table5[[#This Row],[Quantity]],"Check","")</f>
        <v/>
      </c>
    </row>
    <row r="82" spans="1:10" ht="15" x14ac:dyDescent="0.2">
      <c r="A82" s="324" t="s">
        <v>2479</v>
      </c>
      <c r="B82" s="324" t="str">
        <f t="shared" si="4"/>
        <v>0420</v>
      </c>
      <c r="C82" s="324" t="str">
        <f t="shared" si="5"/>
        <v>03544</v>
      </c>
      <c r="D82" s="324" t="str">
        <f>"0160"</f>
        <v>0160</v>
      </c>
      <c r="E82" s="324">
        <v>7</v>
      </c>
      <c r="F82" s="827">
        <f>ROUND(IF(SUMIF(Name,"Termite Cavity Zlot",Length)&lt;=5,SUMIF(Name,"Termite Cavity Zlot",Length),0),1)</f>
        <v>0</v>
      </c>
      <c r="G82" s="1105"/>
      <c r="H82" s="412" t="s">
        <v>3101</v>
      </c>
      <c r="I82" s="1205"/>
      <c r="J82" s="2" t="str">
        <f>IF(Table5[[#This Row],[Entered]]&lt;&gt;Table5[[#This Row],[Quantity]],"Check","")</f>
        <v/>
      </c>
    </row>
    <row r="83" spans="1:10" ht="15" x14ac:dyDescent="0.2">
      <c r="A83" s="324" t="s">
        <v>2479</v>
      </c>
      <c r="B83" s="324" t="str">
        <f t="shared" si="4"/>
        <v>0420</v>
      </c>
      <c r="C83" s="324" t="str">
        <f t="shared" si="5"/>
        <v>03544</v>
      </c>
      <c r="D83" s="324" t="str">
        <f>"0161"</f>
        <v>0161</v>
      </c>
      <c r="E83" s="324">
        <v>7</v>
      </c>
      <c r="F83" s="827">
        <f>IF(SUMIF(Name,"Termite Cavity Zlot",Length)&gt;5,SUMIF(Name,"Termite Cavity Zlot",Length),0)</f>
        <v>0</v>
      </c>
      <c r="G83" s="1105"/>
      <c r="H83" s="412" t="s">
        <v>3100</v>
      </c>
      <c r="I83" s="1258"/>
      <c r="J83" s="2" t="str">
        <f>IF(Table5[[#This Row],[Entered]]&lt;&gt;Table5[[#This Row],[Quantity]],"Check","")</f>
        <v/>
      </c>
    </row>
    <row r="84" spans="1:10" ht="15" x14ac:dyDescent="0.2">
      <c r="A84" s="324" t="s">
        <v>2479</v>
      </c>
      <c r="B84" s="324" t="str">
        <f t="shared" si="4"/>
        <v>0420</v>
      </c>
      <c r="C84" s="324" t="str">
        <f t="shared" si="5"/>
        <v>03544</v>
      </c>
      <c r="D84" s="324" t="str">
        <f>"0168"</f>
        <v>0168</v>
      </c>
      <c r="E84" s="324">
        <v>1</v>
      </c>
      <c r="F84" s="827">
        <f>COUNTIF(Name,"Termite Garage Zlot")</f>
        <v>0</v>
      </c>
      <c r="G84" s="1105"/>
      <c r="H84" s="412" t="s">
        <v>3099</v>
      </c>
      <c r="I84" s="1258"/>
      <c r="J84" s="2" t="str">
        <f>IF(Table5[[#This Row],[Entered]]&lt;&gt;Table5[[#This Row],[Quantity]],"Check","")</f>
        <v/>
      </c>
    </row>
    <row r="85" spans="1:10" ht="15" x14ac:dyDescent="0.2">
      <c r="A85" s="324" t="s">
        <v>2479</v>
      </c>
      <c r="B85" s="324" t="str">
        <f t="shared" si="4"/>
        <v>0420</v>
      </c>
      <c r="C85" s="324" t="str">
        <f t="shared" si="5"/>
        <v>03544</v>
      </c>
      <c r="D85" s="324" t="str">
        <f>"0300"</f>
        <v>0300</v>
      </c>
      <c r="E85" s="324">
        <v>1</v>
      </c>
      <c r="F85" s="827">
        <f>IF(COUNTIF(Addenda!A:A,"*not subject to attack*")&gt;0,0,IF(COUNTIF(Addenda!A:A,"*PLUNKETT*")&gt;0,1,0))</f>
        <v>0</v>
      </c>
      <c r="G85" s="829">
        <v>180</v>
      </c>
      <c r="H85" s="412" t="s">
        <v>3102</v>
      </c>
      <c r="I85" s="1258"/>
      <c r="J85" s="2" t="str">
        <f>IF(Table5[[#This Row],[Entered]]&lt;&gt;Table5[[#This Row],[Quantity]],"Check","")</f>
        <v/>
      </c>
    </row>
    <row r="86" spans="1:10" ht="15" x14ac:dyDescent="0.2">
      <c r="A86" s="324" t="s">
        <v>2479</v>
      </c>
      <c r="B86" s="324" t="str">
        <f t="shared" si="4"/>
        <v>0420</v>
      </c>
      <c r="C86" s="324" t="str">
        <f t="shared" si="5"/>
        <v>03544</v>
      </c>
      <c r="D86" s="1103">
        <f>400</f>
        <v>400</v>
      </c>
      <c r="E86" s="1103">
        <v>1</v>
      </c>
      <c r="F86" s="1104">
        <f>IF(ReticTermite&gt;0,1,0)</f>
        <v>0</v>
      </c>
      <c r="G86" s="1105"/>
      <c r="H86" s="1111" t="s">
        <v>1458</v>
      </c>
      <c r="I86" s="1205"/>
      <c r="J86" s="2" t="str">
        <f>IF(Table5[[#This Row],[Entered]]&lt;&gt;Table5[[#This Row],[Quantity]],"Check","")</f>
        <v/>
      </c>
    </row>
    <row r="87" spans="1:10" ht="15" x14ac:dyDescent="0.2">
      <c r="A87" s="324" t="s">
        <v>2479</v>
      </c>
      <c r="B87" s="324" t="str">
        <f t="shared" si="4"/>
        <v>0420</v>
      </c>
      <c r="C87" s="324" t="str">
        <f t="shared" si="5"/>
        <v>03544</v>
      </c>
      <c r="D87" s="1103">
        <v>410</v>
      </c>
      <c r="E87" s="1103">
        <v>7</v>
      </c>
      <c r="F87" s="1104">
        <f>IF(ReticTermite&gt;10,ReticTermite-10,0)</f>
        <v>0</v>
      </c>
      <c r="G87" s="1105"/>
      <c r="H87" s="1111" t="s">
        <v>2441</v>
      </c>
      <c r="I87" s="1205"/>
      <c r="J87" s="2" t="str">
        <f>IF(Table5[[#This Row],[Entered]]&lt;&gt;Table5[[#This Row],[Quantity]],"Check","")</f>
        <v/>
      </c>
    </row>
    <row r="88" spans="1:10" ht="15" x14ac:dyDescent="0.2">
      <c r="A88" s="324" t="s">
        <v>2479</v>
      </c>
      <c r="B88" s="324" t="str">
        <f t="shared" si="4"/>
        <v>0420</v>
      </c>
      <c r="C88" s="324" t="str">
        <f t="shared" si="5"/>
        <v>03544</v>
      </c>
      <c r="D88" s="324" t="str">
        <f>"1100"</f>
        <v>1100</v>
      </c>
      <c r="E88" s="324">
        <v>1</v>
      </c>
      <c r="F88" s="827">
        <f>IF(COUNTIF(Addenda!A:A,"*not subject to attack*")&gt;0,0,IF(COUNTIF(Addenda!A:A,"*PLUNKETT*")&gt;0,1,0))</f>
        <v>0</v>
      </c>
      <c r="G88" s="829">
        <v>75</v>
      </c>
      <c r="H88" s="412" t="s">
        <v>3103</v>
      </c>
      <c r="I88" s="1258"/>
      <c r="J88" s="2" t="str">
        <f>IF(Table5[[#This Row],[Entered]]&lt;&gt;Table5[[#This Row],[Quantity]],"Check","")</f>
        <v/>
      </c>
    </row>
    <row r="89" spans="1:10" ht="15" x14ac:dyDescent="0.2">
      <c r="A89" s="324" t="s">
        <v>2479</v>
      </c>
      <c r="B89" s="324" t="str">
        <f t="shared" si="4"/>
        <v>0420</v>
      </c>
      <c r="C89" s="324" t="str">
        <f t="shared" si="5"/>
        <v>03544</v>
      </c>
      <c r="D89" s="324" t="str">
        <f>"9017"</f>
        <v>9017</v>
      </c>
      <c r="E89" s="324">
        <v>1</v>
      </c>
      <c r="F89" s="827">
        <f>IF(SUM($F$79:$F$88)&gt;0,IF(OR(ISNUMBER(SEARCH("BALINGUP",Address))),1,0),0)</f>
        <v>0</v>
      </c>
      <c r="G89" s="829"/>
      <c r="H89" s="412" t="s">
        <v>3791</v>
      </c>
      <c r="I89" s="1207"/>
      <c r="J89" s="73" t="str">
        <f>IF(Table5[[#This Row],[Entered]]&lt;&gt;Table5[[#This Row],[Quantity]],"Check","")</f>
        <v/>
      </c>
    </row>
    <row r="90" spans="1:10" ht="15" x14ac:dyDescent="0.2">
      <c r="A90" s="324" t="s">
        <v>2479</v>
      </c>
      <c r="B90" s="324" t="str">
        <f t="shared" si="4"/>
        <v>0420</v>
      </c>
      <c r="C90" s="324" t="str">
        <f t="shared" si="5"/>
        <v>03544</v>
      </c>
      <c r="D90" s="324" t="str">
        <f>"9023"</f>
        <v>9023</v>
      </c>
      <c r="E90" s="324">
        <v>1</v>
      </c>
      <c r="F90" s="827">
        <f>IF(SUM($F$79:$F$88)&gt;0,IF(OR(ISNUMBER(SEARCH("BOYUP BROOK",Address))),1,0),0)</f>
        <v>0</v>
      </c>
      <c r="G90" s="829"/>
      <c r="H90" s="412" t="s">
        <v>3793</v>
      </c>
      <c r="I90" s="1207"/>
      <c r="J90" s="73" t="str">
        <f>IF(Table5[[#This Row],[Entered]]&lt;&gt;Table5[[#This Row],[Quantity]],"Check","")</f>
        <v/>
      </c>
    </row>
    <row r="91" spans="1:10" ht="15" x14ac:dyDescent="0.2">
      <c r="A91" s="324" t="s">
        <v>2479</v>
      </c>
      <c r="B91" s="324" t="str">
        <f t="shared" si="4"/>
        <v>0420</v>
      </c>
      <c r="C91" s="324" t="str">
        <f t="shared" si="5"/>
        <v>03544</v>
      </c>
      <c r="D91" s="324" t="str">
        <f>"9024"</f>
        <v>9024</v>
      </c>
      <c r="E91" s="324">
        <v>1</v>
      </c>
      <c r="F91" s="827">
        <f>IF(SUM($F$79:$F$88)&gt;0,IF(OR(ISNUMBER(SEARCH("BRIDGETOWN",Address))),1,0),0)</f>
        <v>0</v>
      </c>
      <c r="G91" s="829"/>
      <c r="H91" s="412" t="s">
        <v>3794</v>
      </c>
      <c r="I91" s="1207"/>
      <c r="J91" s="73" t="str">
        <f>IF(Table5[[#This Row],[Entered]]&lt;&gt;Table5[[#This Row],[Quantity]],"Check","")</f>
        <v/>
      </c>
    </row>
    <row r="92" spans="1:10" ht="15" x14ac:dyDescent="0.2">
      <c r="A92" s="324" t="s">
        <v>2479</v>
      </c>
      <c r="B92" s="324" t="str">
        <f t="shared" si="4"/>
        <v>0420</v>
      </c>
      <c r="C92" s="324" t="str">
        <f t="shared" si="5"/>
        <v>03544</v>
      </c>
      <c r="D92" s="324" t="str">
        <f>"9029"</f>
        <v>9029</v>
      </c>
      <c r="E92" s="324">
        <v>1</v>
      </c>
      <c r="F92" s="827">
        <f>IF(SUM($F$79:$F$88)&gt;0,IF(OR(ISNUMBER(SEARCH("BUNBURY",Address))),1,0),0)</f>
        <v>0</v>
      </c>
      <c r="G92" s="829"/>
      <c r="H92" s="412" t="s">
        <v>3795</v>
      </c>
      <c r="I92" s="1207"/>
      <c r="J92" s="73" t="str">
        <f>IF(Table5[[#This Row],[Entered]]&lt;&gt;Table5[[#This Row],[Quantity]],"Check","")</f>
        <v/>
      </c>
    </row>
    <row r="93" spans="1:10" ht="15" x14ac:dyDescent="0.2">
      <c r="A93" s="324" t="s">
        <v>2479</v>
      </c>
      <c r="B93" s="324" t="str">
        <f t="shared" si="4"/>
        <v>0420</v>
      </c>
      <c r="C93" s="324" t="str">
        <f t="shared" si="5"/>
        <v>03544</v>
      </c>
      <c r="D93" s="324" t="str">
        <f>"9031"</f>
        <v>9031</v>
      </c>
      <c r="E93" s="324">
        <v>1</v>
      </c>
      <c r="F93" s="827">
        <f>IF(SUM($F$79:$F$88)&gt;0,IF(OR(ISNUMBER(SEARCH("BUSSELTON",Address))),1,0),0)</f>
        <v>0</v>
      </c>
      <c r="G93" s="829">
        <v>0</v>
      </c>
      <c r="H93" s="412" t="s">
        <v>3796</v>
      </c>
      <c r="I93" s="1207"/>
      <c r="J93" s="73" t="str">
        <f>IF(Table5[[#This Row],[Entered]]&lt;&gt;Table5[[#This Row],[Quantity]],"Check","")</f>
        <v/>
      </c>
    </row>
    <row r="94" spans="1:10" ht="15" x14ac:dyDescent="0.2">
      <c r="A94" s="324" t="s">
        <v>2479</v>
      </c>
      <c r="B94" s="324" t="str">
        <f t="shared" si="4"/>
        <v>0420</v>
      </c>
      <c r="C94" s="324" t="str">
        <f t="shared" si="5"/>
        <v>03544</v>
      </c>
      <c r="D94" s="324" t="str">
        <f>"9044"</f>
        <v>9044</v>
      </c>
      <c r="E94" s="324">
        <v>1</v>
      </c>
      <c r="F94" s="827">
        <f>IF(SUM($F$79:$F$88)&gt;0,IF(OR(ISNUMBER(SEARCH("DUNSBOROUGH",Address))),1,0),0)</f>
        <v>0</v>
      </c>
      <c r="G94" s="829"/>
      <c r="H94" s="412" t="s">
        <v>3792</v>
      </c>
      <c r="I94" s="1258"/>
      <c r="J94" s="73" t="str">
        <f>IF(Table5[[#This Row],[Entered]]&lt;&gt;Table5[[#This Row],[Quantity]],"Check","")</f>
        <v/>
      </c>
    </row>
    <row r="95" spans="1:10" ht="15" x14ac:dyDescent="0.2">
      <c r="A95" s="324" t="s">
        <v>2479</v>
      </c>
      <c r="B95" s="324" t="str">
        <f t="shared" si="4"/>
        <v>0420</v>
      </c>
      <c r="C95" s="324" t="str">
        <f t="shared" si="5"/>
        <v>03544</v>
      </c>
      <c r="D95" s="324" t="str">
        <f>"9068"</f>
        <v>9068</v>
      </c>
      <c r="E95" s="324">
        <v>1</v>
      </c>
      <c r="F95" s="827">
        <f>IF(SUM($F$79:$F$88)&gt;0,IF(OR(ISNUMBER(SEARCH("Margaret River",Address))),1,0),0)</f>
        <v>0</v>
      </c>
      <c r="G95" s="829"/>
      <c r="H95" s="412" t="s">
        <v>3104</v>
      </c>
      <c r="I95" s="1258"/>
      <c r="J95" s="2" t="str">
        <f>IF(Table5[[#This Row],[Entered]]&lt;&gt;Table5[[#This Row],[Quantity]],"Check","")</f>
        <v/>
      </c>
    </row>
    <row r="96" spans="1:10" ht="15" x14ac:dyDescent="0.2">
      <c r="A96" s="324"/>
      <c r="B96" s="324"/>
      <c r="C96" s="324"/>
      <c r="D96" s="324"/>
      <c r="E96" s="324"/>
      <c r="F96" s="827"/>
      <c r="G96" s="829"/>
      <c r="H96" s="412"/>
      <c r="I96" s="1207"/>
      <c r="J96" s="73" t="str">
        <f>IF(Table5[[#This Row],[Entered]]&lt;&gt;Table5[[#This Row],[Quantity]],"Check","")</f>
        <v/>
      </c>
    </row>
    <row r="97" spans="1:10" ht="15" x14ac:dyDescent="0.2">
      <c r="A97" s="324"/>
      <c r="B97" s="324"/>
      <c r="C97" s="324"/>
      <c r="D97" s="324"/>
      <c r="E97" s="324"/>
      <c r="F97" s="827"/>
      <c r="G97" s="829"/>
      <c r="H97" s="412"/>
      <c r="I97" s="1207"/>
      <c r="J97" s="73" t="str">
        <f>IF(Table5[[#This Row],[Entered]]&lt;&gt;Table5[[#This Row],[Quantity]],"Check","")</f>
        <v/>
      </c>
    </row>
    <row r="98" spans="1:10" ht="15" x14ac:dyDescent="0.2">
      <c r="A98" s="1103"/>
      <c r="B98" s="1103"/>
      <c r="C98" s="1103"/>
      <c r="D98" s="1103"/>
      <c r="E98" s="1103"/>
      <c r="F98" s="1104"/>
      <c r="G98" s="1105"/>
      <c r="H98" s="412"/>
      <c r="I98" s="1258"/>
      <c r="J98" s="2" t="str">
        <f>IF(Table5[[#This Row],[Entered]]&lt;&gt;Table5[[#This Row],[Quantity]],"Check","")</f>
        <v/>
      </c>
    </row>
    <row r="99" spans="1:10" ht="15" x14ac:dyDescent="0.2">
      <c r="A99" s="324" t="s">
        <v>2479</v>
      </c>
      <c r="B99" s="324" t="str">
        <f>"0650"</f>
        <v>0650</v>
      </c>
      <c r="C99" s="324">
        <v>50062</v>
      </c>
      <c r="D99" s="324">
        <v>7000</v>
      </c>
      <c r="E99" s="324">
        <v>1</v>
      </c>
      <c r="F99" s="1136">
        <f>ROUND((Table5[[#This Row],[Price]]/1.1)/1.28,0)</f>
        <v>0</v>
      </c>
      <c r="G99" s="1105">
        <v>0</v>
      </c>
      <c r="H99" s="412" t="s">
        <v>2484</v>
      </c>
      <c r="I99" s="1258"/>
      <c r="J99" s="2" t="str">
        <f>IF(Table5[[#This Row],[Entered]]&lt;&gt;Table5[[#This Row],[Quantity]],"Check","")</f>
        <v/>
      </c>
    </row>
    <row r="100" spans="1:10" ht="15" x14ac:dyDescent="0.2">
      <c r="A100" s="1103"/>
      <c r="B100" s="1103"/>
      <c r="C100" s="1103"/>
      <c r="D100" s="1103"/>
      <c r="E100" s="1103"/>
      <c r="F100" s="1104"/>
      <c r="G100" s="1105"/>
      <c r="H100" s="412"/>
      <c r="I100" s="1258"/>
      <c r="J100" s="2" t="str">
        <f>IF(Table5[[#This Row],[Entered]]&lt;&gt;Table5[[#This Row],[Quantity]],"Check","")</f>
        <v/>
      </c>
    </row>
    <row r="101" spans="1:10" ht="15" x14ac:dyDescent="0.2">
      <c r="A101" s="324" t="s">
        <v>2479</v>
      </c>
      <c r="B101" s="324" t="str">
        <f t="shared" ref="B101:B107" si="6">"0430"</f>
        <v>0430</v>
      </c>
      <c r="C101" s="324" t="str">
        <f t="shared" ref="C101:C107" si="7">"03725"</f>
        <v>03725</v>
      </c>
      <c r="D101" s="324" t="str">
        <f>"0534"</f>
        <v>0534</v>
      </c>
      <c r="E101" s="324">
        <v>9</v>
      </c>
      <c r="F101" s="827">
        <f>IF(COUNTIF(Address,"*DUNSBOROUGH*")&gt;0,Concrete_Total,0)</f>
        <v>0</v>
      </c>
      <c r="G101" s="829">
        <v>223</v>
      </c>
      <c r="H101" s="1110" t="s">
        <v>2516</v>
      </c>
      <c r="I101" s="1133"/>
      <c r="J101" s="2" t="str">
        <f>IF(Table5[[#This Row],[Entered]]&lt;&gt;Table5[[#This Row],[Quantity]],"Check","")</f>
        <v/>
      </c>
    </row>
    <row r="102" spans="1:10" ht="15" x14ac:dyDescent="0.2">
      <c r="A102" s="324" t="s">
        <v>2479</v>
      </c>
      <c r="B102" s="324" t="str">
        <f t="shared" si="6"/>
        <v>0430</v>
      </c>
      <c r="C102" s="324" t="str">
        <f t="shared" si="7"/>
        <v>03725</v>
      </c>
      <c r="D102" s="324" t="str">
        <f>"0532"</f>
        <v>0532</v>
      </c>
      <c r="E102" s="324">
        <v>9</v>
      </c>
      <c r="F102" s="827" cm="1">
        <f t="array" ref="F102">IF(SUM(COUNTIF(Address,{"*BUSSELTON*","*VASSE*","*BROADWATER*","*KEALY*","*ABBEY*","*GEOGRAPHE*","*YALYALUP*","*PROVENCE*"}))&gt;0,Concrete_Total,0)</f>
        <v>0</v>
      </c>
      <c r="G102" s="829">
        <v>205</v>
      </c>
      <c r="H102" s="1110" t="s">
        <v>2515</v>
      </c>
      <c r="I102" s="1258"/>
      <c r="J102" s="2" t="str">
        <f>IF(Table5[[#This Row],[Entered]]&lt;&gt;Table5[[#This Row],[Quantity]],"Check","")</f>
        <v/>
      </c>
    </row>
    <row r="103" spans="1:10" ht="15" x14ac:dyDescent="0.2">
      <c r="A103" s="324" t="s">
        <v>2479</v>
      </c>
      <c r="B103" s="324" t="str">
        <f t="shared" si="6"/>
        <v>0430</v>
      </c>
      <c r="C103" s="324" t="str">
        <f t="shared" si="7"/>
        <v>03725</v>
      </c>
      <c r="D103" s="324" t="str">
        <f>"0538"</f>
        <v>0538</v>
      </c>
      <c r="E103" s="324">
        <v>9</v>
      </c>
      <c r="F103" s="827" cm="1">
        <f t="array" ref="F103">IF(SUM(COUNTIF(Address,{"*MARGARET RIVER*","*COWARAMUP*"}))&gt;0,Concrete_Total,0)</f>
        <v>0</v>
      </c>
      <c r="G103" s="1105"/>
      <c r="H103" s="1110" t="s">
        <v>2517</v>
      </c>
      <c r="I103" s="1133"/>
      <c r="J103" s="2" t="str">
        <f>IF(Table5[[#This Row],[Entered]]&lt;&gt;Table5[[#This Row],[Quantity]],"Check","")</f>
        <v/>
      </c>
    </row>
    <row r="104" spans="1:10" ht="15" x14ac:dyDescent="0.2">
      <c r="A104" s="324" t="s">
        <v>2479</v>
      </c>
      <c r="B104" s="324" t="str">
        <f t="shared" si="6"/>
        <v>0430</v>
      </c>
      <c r="C104" s="324" t="str">
        <f t="shared" si="7"/>
        <v>03725</v>
      </c>
      <c r="D104" s="324" t="str">
        <f>"0539"</f>
        <v>0539</v>
      </c>
      <c r="E104" s="324">
        <v>9</v>
      </c>
      <c r="F104" s="827">
        <f>IF(COUNTIF(Address,"*AUGUSTA*")&gt;0,Concrete_Total,0)</f>
        <v>0</v>
      </c>
      <c r="G104" s="829"/>
      <c r="H104" s="1110" t="s">
        <v>2485</v>
      </c>
      <c r="I104" s="1133"/>
      <c r="J104" s="2" t="str">
        <f>IF(Table5[[#This Row],[Entered]]&lt;&gt;Table5[[#This Row],[Quantity]],"Check","")</f>
        <v/>
      </c>
    </row>
    <row r="105" spans="1:10" ht="15" x14ac:dyDescent="0.2">
      <c r="A105" s="324" t="s">
        <v>2479</v>
      </c>
      <c r="B105" s="324" t="str">
        <f t="shared" si="6"/>
        <v>0430</v>
      </c>
      <c r="C105" s="324" t="str">
        <f t="shared" si="7"/>
        <v>03725</v>
      </c>
      <c r="D105" s="324" t="str">
        <f>"0622"</f>
        <v>0622</v>
      </c>
      <c r="E105" s="324">
        <v>9</v>
      </c>
      <c r="F105" s="827">
        <f>IF(COUNTIF(Address,"*WAROONA*")&gt;0,Concrete_Total,0)</f>
        <v>0</v>
      </c>
      <c r="G105" s="1105"/>
      <c r="H105" s="1110" t="s">
        <v>2518</v>
      </c>
      <c r="I105" s="1133"/>
      <c r="J105" s="2" t="str">
        <f>IF(Table5[[#This Row],[Entered]]&lt;&gt;Table5[[#This Row],[Quantity]],"Check","")</f>
        <v/>
      </c>
    </row>
    <row r="106" spans="1:10" ht="15" x14ac:dyDescent="0.2">
      <c r="A106" s="324" t="s">
        <v>2479</v>
      </c>
      <c r="B106" s="324" t="str">
        <f t="shared" si="6"/>
        <v>0430</v>
      </c>
      <c r="C106" s="324" t="str">
        <f t="shared" si="7"/>
        <v>03725</v>
      </c>
      <c r="D106" s="324" t="str">
        <f>"0431"</f>
        <v>0431</v>
      </c>
      <c r="E106" s="324">
        <v>9</v>
      </c>
      <c r="F106" s="827">
        <f>IF(COUNTIF(Address,"*BRIDGETOWN*")&gt;0,Concrete_Total,0)</f>
        <v>0</v>
      </c>
      <c r="G106" s="1105"/>
      <c r="H106" s="1110" t="s">
        <v>2519</v>
      </c>
      <c r="I106" s="1133"/>
      <c r="J106" s="2" t="str">
        <f>IF(Table5[[#This Row],[Entered]]&lt;&gt;Table5[[#This Row],[Quantity]],"Check","")</f>
        <v/>
      </c>
    </row>
    <row r="107" spans="1:10" ht="15" x14ac:dyDescent="0.2">
      <c r="A107" s="324" t="s">
        <v>2479</v>
      </c>
      <c r="B107" s="324" t="str">
        <f t="shared" si="6"/>
        <v>0430</v>
      </c>
      <c r="C107" s="324" t="str">
        <f t="shared" si="7"/>
        <v>03725</v>
      </c>
      <c r="D107" s="324" t="str">
        <f>"0566"</f>
        <v>0566</v>
      </c>
      <c r="E107" s="324">
        <v>9</v>
      </c>
      <c r="F107" s="827">
        <f>IF(COUNTIF(Address,"*MANJIMUP*")&gt;0,Concrete_Total,0)</f>
        <v>0</v>
      </c>
      <c r="G107" s="1105"/>
      <c r="H107" s="1110" t="s">
        <v>2520</v>
      </c>
      <c r="I107" s="1133"/>
      <c r="J107" s="2" t="str">
        <f>IF(Table5[[#This Row],[Entered]]&lt;&gt;Table5[[#This Row],[Quantity]],"Check","")</f>
        <v/>
      </c>
    </row>
    <row r="108" spans="1:10" ht="15" x14ac:dyDescent="0.2">
      <c r="A108" s="1103"/>
      <c r="B108" s="1103"/>
      <c r="C108" s="1103"/>
      <c r="D108" s="1103"/>
      <c r="E108" s="1103"/>
      <c r="F108" s="1104"/>
      <c r="G108" s="1105"/>
      <c r="H108" s="412"/>
      <c r="I108" s="1258"/>
      <c r="J108" s="2" t="str">
        <f>IF(Table5[[#This Row],[Entered]]&lt;&gt;Table5[[#This Row],[Quantity]],"Check","")</f>
        <v/>
      </c>
    </row>
    <row r="109" spans="1:10" ht="15" x14ac:dyDescent="0.2">
      <c r="A109" s="324" t="s">
        <v>2479</v>
      </c>
      <c r="B109" s="324" t="str">
        <f t="shared" ref="B109:B127" si="8">"0435"</f>
        <v>0435</v>
      </c>
      <c r="C109" s="324">
        <v>50062</v>
      </c>
      <c r="D109" s="1103">
        <f>60</f>
        <v>60</v>
      </c>
      <c r="E109" s="1103">
        <v>1</v>
      </c>
      <c r="F109" s="1104">
        <f>COUNTIF(Name,"SUNKEN AREA")+IF(AND(Brick_type="Timber Frame",Garage_Area&gt;0),1,0)</f>
        <v>0</v>
      </c>
      <c r="G109" s="1105"/>
      <c r="H109" s="412" t="s">
        <v>877</v>
      </c>
      <c r="I109" s="1258"/>
      <c r="J109" s="2" t="str">
        <f>IF(Table5[[#This Row],[Entered]]&lt;&gt;Table5[[#This Row],[Quantity]],"Check","")</f>
        <v/>
      </c>
    </row>
    <row r="110" spans="1:10" ht="15" x14ac:dyDescent="0.2">
      <c r="A110" s="324" t="s">
        <v>2479</v>
      </c>
      <c r="B110" s="324" t="str">
        <f t="shared" si="8"/>
        <v>0435</v>
      </c>
      <c r="C110" s="324">
        <v>50062</v>
      </c>
      <c r="D110" s="324" t="str">
        <f>"0125"</f>
        <v>0125</v>
      </c>
      <c r="E110" s="324">
        <v>1</v>
      </c>
      <c r="F110" s="827">
        <f>ROUND(ZBars_Labour,0)</f>
        <v>0</v>
      </c>
      <c r="G110" s="829">
        <v>1</v>
      </c>
      <c r="H110" s="412" t="s">
        <v>2490</v>
      </c>
      <c r="I110" s="1258"/>
      <c r="J110" s="2" t="str">
        <f>IF(Table5[[#This Row],[Entered]]&lt;&gt;Table5[[#This Row],[Quantity]],"Check","")</f>
        <v/>
      </c>
    </row>
    <row r="111" spans="1:10" ht="15" x14ac:dyDescent="0.2">
      <c r="A111" s="324" t="s">
        <v>2479</v>
      </c>
      <c r="B111" s="324" t="str">
        <f t="shared" si="8"/>
        <v>0435</v>
      </c>
      <c r="C111" s="324">
        <v>50062</v>
      </c>
      <c r="D111" s="324" t="str">
        <f>"0131"</f>
        <v>0131</v>
      </c>
      <c r="E111" s="324">
        <v>1</v>
      </c>
      <c r="F111" s="827">
        <f>ReEntry_Bars+(COUNTIF(Name,"Re-Entry Bars Shower")*2)</f>
        <v>0</v>
      </c>
      <c r="G111" s="829">
        <v>1</v>
      </c>
      <c r="H111" s="412" t="s">
        <v>2491</v>
      </c>
      <c r="I111" s="1258"/>
      <c r="J111" s="2" t="str">
        <f>IF(Table5[[#This Row],[Entered]]&lt;&gt;Table5[[#This Row],[Quantity]],"Check","")</f>
        <v/>
      </c>
    </row>
    <row r="112" spans="1:10" ht="15" x14ac:dyDescent="0.2">
      <c r="A112" s="324" t="s">
        <v>2479</v>
      </c>
      <c r="B112" s="324" t="str">
        <f t="shared" si="8"/>
        <v>0435</v>
      </c>
      <c r="C112" s="324">
        <v>50062</v>
      </c>
      <c r="D112" s="324" t="str">
        <f>"0138"</f>
        <v>0138</v>
      </c>
      <c r="E112" s="324">
        <v>8</v>
      </c>
      <c r="F112" s="827">
        <f>_xlfn.CEILING.MATH(H_Area,5)</f>
        <v>0</v>
      </c>
      <c r="G112" s="829">
        <v>1.1000000000000001</v>
      </c>
      <c r="H112" s="412" t="s">
        <v>2492</v>
      </c>
      <c r="I112" s="1258"/>
      <c r="J112" s="2" t="str">
        <f>IF(Table5[[#This Row],[Entered]]&lt;&gt;Table5[[#This Row],[Quantity]],"Check","")</f>
        <v/>
      </c>
    </row>
    <row r="113" spans="1:10" ht="15" x14ac:dyDescent="0.2">
      <c r="A113" s="324" t="s">
        <v>2479</v>
      </c>
      <c r="B113" s="324" t="str">
        <f t="shared" si="8"/>
        <v>0435</v>
      </c>
      <c r="C113" s="324">
        <v>50062</v>
      </c>
      <c r="D113" s="324" t="str">
        <f>"0142"</f>
        <v>0142</v>
      </c>
      <c r="E113" s="324">
        <v>1</v>
      </c>
      <c r="F113" s="827">
        <f>COUNTIF('Lintel Sheet'!D:D,"Recessed Sill")+COUNTIF(Addenda!A:A,"Shower Head*")</f>
        <v>0</v>
      </c>
      <c r="G113" s="829">
        <v>7.5</v>
      </c>
      <c r="H113" s="412" t="s">
        <v>2493</v>
      </c>
      <c r="I113" s="1258"/>
      <c r="J113" s="2" t="str">
        <f>IF(Table5[[#This Row],[Entered]]&lt;&gt;Table5[[#This Row],[Quantity]],"Check","")</f>
        <v/>
      </c>
    </row>
    <row r="114" spans="1:10" ht="15" x14ac:dyDescent="0.2">
      <c r="A114" s="324" t="s">
        <v>2479</v>
      </c>
      <c r="B114" s="324" t="str">
        <f t="shared" si="8"/>
        <v>0435</v>
      </c>
      <c r="C114" s="324">
        <v>50062</v>
      </c>
      <c r="D114" s="324" t="str">
        <f>"0146"</f>
        <v>0146</v>
      </c>
      <c r="E114" s="324">
        <v>1</v>
      </c>
      <c r="F114" s="827"/>
      <c r="G114" s="829"/>
      <c r="H114" s="412" t="s">
        <v>3681</v>
      </c>
      <c r="I114" s="1258"/>
      <c r="J114" s="73" t="str">
        <f>IF(Table5[[#This Row],[Entered]]&lt;&gt;Table5[[#This Row],[Quantity]],"Check","")</f>
        <v/>
      </c>
    </row>
    <row r="115" spans="1:10" ht="15" x14ac:dyDescent="0.2">
      <c r="A115" s="324" t="s">
        <v>2479</v>
      </c>
      <c r="B115" s="324" t="str">
        <f t="shared" si="8"/>
        <v>0435</v>
      </c>
      <c r="C115" s="324">
        <v>50062</v>
      </c>
      <c r="D115" s="324" t="str">
        <f>"0149"</f>
        <v>0149</v>
      </c>
      <c r="E115" s="324">
        <v>1</v>
      </c>
      <c r="F115" s="827">
        <f>COUNTIF(Name,"Pad Footing")+COUNTIF(Name,"Posts")</f>
        <v>0</v>
      </c>
      <c r="G115" s="829">
        <v>10</v>
      </c>
      <c r="H115" s="412" t="s">
        <v>2494</v>
      </c>
      <c r="I115" s="1258"/>
      <c r="J115" s="2" t="str">
        <f>IF(Table5[[#This Row],[Entered]]&lt;&gt;Table5[[#This Row],[Quantity]],"Check","")</f>
        <v/>
      </c>
    </row>
    <row r="116" spans="1:10" ht="15" x14ac:dyDescent="0.2">
      <c r="A116" s="324" t="s">
        <v>2479</v>
      </c>
      <c r="B116" s="324" t="str">
        <f t="shared" si="8"/>
        <v>0435</v>
      </c>
      <c r="C116" s="324">
        <v>50062</v>
      </c>
      <c r="D116" s="324" t="str">
        <f>"0200"</f>
        <v>0200</v>
      </c>
      <c r="E116" s="324">
        <v>9</v>
      </c>
      <c r="F116" s="827">
        <f>IF(COUNTIF(Address,"&lt;&gt;*BRIDGETOWN*")&gt;0,Footing_Labour,0)</f>
        <v>0.1</v>
      </c>
      <c r="G116" s="829">
        <v>125</v>
      </c>
      <c r="H116" s="412" t="s">
        <v>2495</v>
      </c>
      <c r="I116" s="1258"/>
      <c r="J116" s="2" t="str">
        <f>IF(Table5[[#This Row],[Entered]]&lt;&gt;Table5[[#This Row],[Quantity]],"Check","")</f>
        <v>Check</v>
      </c>
    </row>
    <row r="117" spans="1:10" ht="15" x14ac:dyDescent="0.2">
      <c r="A117" s="324" t="s">
        <v>2479</v>
      </c>
      <c r="B117" s="324" t="str">
        <f t="shared" si="8"/>
        <v>0435</v>
      </c>
      <c r="C117" s="324">
        <v>50062</v>
      </c>
      <c r="D117" s="324" t="str">
        <f>"0201"</f>
        <v>0201</v>
      </c>
      <c r="E117" s="324">
        <v>9</v>
      </c>
      <c r="F117" s="827">
        <f>IF(COUNTIF(Address,"&lt;&gt;*BRIDGETOWN*")&gt;0,Slab_Labour,0)</f>
        <v>0</v>
      </c>
      <c r="G117" s="829">
        <v>125</v>
      </c>
      <c r="H117" s="412" t="s">
        <v>2496</v>
      </c>
      <c r="I117" s="1258"/>
      <c r="J117" s="2" t="str">
        <f>IF(Table5[[#This Row],[Entered]]&lt;&gt;Table5[[#This Row],[Quantity]],"Check","")</f>
        <v/>
      </c>
    </row>
    <row r="118" spans="1:10" ht="15" x14ac:dyDescent="0.2">
      <c r="A118" s="324" t="s">
        <v>2479</v>
      </c>
      <c r="B118" s="324" t="str">
        <f t="shared" si="8"/>
        <v>0435</v>
      </c>
      <c r="C118" s="324">
        <v>50062</v>
      </c>
      <c r="D118" s="324" t="str">
        <f>"0510"</f>
        <v>0510</v>
      </c>
      <c r="E118" s="324">
        <v>1</v>
      </c>
      <c r="F118" s="827"/>
      <c r="G118" s="829"/>
      <c r="H118" s="412" t="s">
        <v>2522</v>
      </c>
      <c r="I118" s="1258"/>
      <c r="J118" s="2" t="str">
        <f>IF(Table5[[#This Row],[Entered]]&lt;&gt;Table5[[#This Row],[Quantity]],"Check","")</f>
        <v/>
      </c>
    </row>
    <row r="119" spans="1:10" ht="15" x14ac:dyDescent="0.2">
      <c r="A119" s="324" t="s">
        <v>2479</v>
      </c>
      <c r="B119" s="324" t="str">
        <f t="shared" si="8"/>
        <v>0435</v>
      </c>
      <c r="C119" s="324">
        <v>50062</v>
      </c>
      <c r="D119" s="324" t="str">
        <f>"0511"</f>
        <v>0511</v>
      </c>
      <c r="E119" s="324">
        <v>1</v>
      </c>
      <c r="F119" s="827"/>
      <c r="G119" s="829"/>
      <c r="H119" s="412" t="s">
        <v>2524</v>
      </c>
      <c r="I119" s="1258"/>
      <c r="J119" s="2" t="str">
        <f>IF(Table5[[#This Row],[Entered]]&lt;&gt;Table5[[#This Row],[Quantity]],"Check","")</f>
        <v/>
      </c>
    </row>
    <row r="120" spans="1:10" ht="15" x14ac:dyDescent="0.2">
      <c r="A120" s="324" t="s">
        <v>2479</v>
      </c>
      <c r="B120" s="324" t="str">
        <f t="shared" si="8"/>
        <v>0435</v>
      </c>
      <c r="C120" s="324">
        <v>50062</v>
      </c>
      <c r="D120" s="324">
        <v>1200</v>
      </c>
      <c r="E120" s="324">
        <v>9</v>
      </c>
      <c r="F120" s="827">
        <f>IF(COUNTIF(Address,"*BRIDGETOWN*")&gt;0,Footing_Labour,0)</f>
        <v>0</v>
      </c>
      <c r="G120" s="829"/>
      <c r="H120" s="412" t="s">
        <v>2525</v>
      </c>
      <c r="I120" s="1258"/>
      <c r="J120" s="2" t="str">
        <f>IF(Table5[[#This Row],[Entered]]&lt;&gt;Table5[[#This Row],[Quantity]],"Check","")</f>
        <v/>
      </c>
    </row>
    <row r="121" spans="1:10" ht="15" x14ac:dyDescent="0.2">
      <c r="A121" s="324" t="s">
        <v>2479</v>
      </c>
      <c r="B121" s="324" t="str">
        <f t="shared" si="8"/>
        <v>0435</v>
      </c>
      <c r="C121" s="324">
        <v>50062</v>
      </c>
      <c r="D121" s="324">
        <v>1201</v>
      </c>
      <c r="E121" s="324">
        <v>9</v>
      </c>
      <c r="F121" s="827">
        <f>IF(COUNTIF(Address,"*BRIDGETOWN*")&gt;0,Slab_Labour,0)</f>
        <v>0</v>
      </c>
      <c r="G121" s="829"/>
      <c r="H121" s="412" t="s">
        <v>2526</v>
      </c>
      <c r="I121" s="1258"/>
      <c r="J121" s="2" t="str">
        <f>IF(Table5[[#This Row],[Entered]]&lt;&gt;Table5[[#This Row],[Quantity]],"Check","")</f>
        <v/>
      </c>
    </row>
    <row r="122" spans="1:10" ht="15" x14ac:dyDescent="0.2">
      <c r="A122" s="324" t="s">
        <v>2479</v>
      </c>
      <c r="B122" s="324" t="str">
        <f t="shared" si="8"/>
        <v>0435</v>
      </c>
      <c r="C122" s="324">
        <v>50062</v>
      </c>
      <c r="D122" s="324">
        <v>7000</v>
      </c>
      <c r="E122" s="324">
        <v>1</v>
      </c>
      <c r="F122" s="827">
        <f>COUNTIF(Name,"Control Joint")</f>
        <v>0</v>
      </c>
      <c r="G122" s="829">
        <v>300</v>
      </c>
      <c r="H122" s="412" t="s">
        <v>2521</v>
      </c>
      <c r="I122" s="1258"/>
      <c r="J122" s="2" t="str">
        <f>IF(Table5[[#This Row],[Entered]]&lt;&gt;Table5[[#This Row],[Quantity]],"Check","")</f>
        <v/>
      </c>
    </row>
    <row r="123" spans="1:10" ht="15" x14ac:dyDescent="0.2">
      <c r="A123" s="324" t="s">
        <v>2479</v>
      </c>
      <c r="B123" s="324" t="str">
        <f t="shared" si="8"/>
        <v>0435</v>
      </c>
      <c r="C123" s="324">
        <v>50062</v>
      </c>
      <c r="D123" s="324">
        <v>9610</v>
      </c>
      <c r="E123" s="324">
        <v>0</v>
      </c>
      <c r="F123" s="827">
        <f>IF(SUM(F79:F95)&gt;0,1,0)</f>
        <v>1</v>
      </c>
      <c r="G123" s="829">
        <v>0</v>
      </c>
      <c r="H123" s="412" t="s">
        <v>2497</v>
      </c>
      <c r="I123" s="1258"/>
      <c r="J123" s="2" t="str">
        <f>IF(Table5[[#This Row],[Entered]]&lt;&gt;Table5[[#This Row],[Quantity]],"Check","")</f>
        <v>Check</v>
      </c>
    </row>
    <row r="124" spans="1:10" ht="15" x14ac:dyDescent="0.2">
      <c r="A124" s="324" t="s">
        <v>2479</v>
      </c>
      <c r="B124" s="324" t="str">
        <f t="shared" si="8"/>
        <v>0435</v>
      </c>
      <c r="C124" s="324">
        <v>50062</v>
      </c>
      <c r="D124" s="324" t="str">
        <f>"7000"</f>
        <v>7000</v>
      </c>
      <c r="E124" s="324">
        <v>9</v>
      </c>
      <c r="F124" s="827">
        <f>ROUND(IF(ConcreteSlabThickness=0.085,Preliminaries!G26*0.1-Preliminaries!H26,0),0)</f>
        <v>0</v>
      </c>
      <c r="G124" s="829">
        <v>125</v>
      </c>
      <c r="H124" s="412" t="s">
        <v>3823</v>
      </c>
      <c r="I124" s="1258"/>
      <c r="J124" s="2" t="str">
        <f>IF(Table5[[#This Row],[Entered]]&lt;&gt;Table5[[#This Row],[Quantity]],"Check","")</f>
        <v/>
      </c>
    </row>
    <row r="125" spans="1:10" ht="15" x14ac:dyDescent="0.2">
      <c r="A125" s="324" t="s">
        <v>2479</v>
      </c>
      <c r="B125" s="324" t="str">
        <f t="shared" si="8"/>
        <v>0435</v>
      </c>
      <c r="C125" s="324">
        <v>50062</v>
      </c>
      <c r="D125" s="1103">
        <f>9997</f>
        <v>9997</v>
      </c>
      <c r="E125" s="1103">
        <v>0</v>
      </c>
      <c r="F125" s="1104">
        <f>IF(COUNTIF(Addenda!A:A,"*BERMUDA*"),1,0)</f>
        <v>0</v>
      </c>
      <c r="G125" s="1105"/>
      <c r="H125" s="412" t="s">
        <v>1710</v>
      </c>
      <c r="I125" s="1258"/>
      <c r="J125" s="2" t="str">
        <f>IF(Table5[[#This Row],[Entered]]&lt;&gt;Table5[[#This Row],[Quantity]],"Check","")</f>
        <v/>
      </c>
    </row>
    <row r="126" spans="1:10" ht="15" x14ac:dyDescent="0.2">
      <c r="A126" s="324" t="s">
        <v>2479</v>
      </c>
      <c r="B126" s="324" t="str">
        <f t="shared" si="8"/>
        <v>0435</v>
      </c>
      <c r="C126" s="324">
        <v>50062</v>
      </c>
      <c r="D126" s="1103" t="s">
        <v>664</v>
      </c>
      <c r="E126" s="1103">
        <v>8</v>
      </c>
      <c r="F126" s="1104">
        <f>SUMIF(Name,"Polished Concrete",Area)</f>
        <v>0</v>
      </c>
      <c r="G126" s="1105">
        <v>55</v>
      </c>
      <c r="H126" s="412" t="s">
        <v>1712</v>
      </c>
      <c r="I126" s="1258"/>
      <c r="J126" s="2" t="str">
        <f>IF(Table5[[#This Row],[Entered]]&lt;&gt;Table5[[#This Row],[Quantity]],"Check","")</f>
        <v/>
      </c>
    </row>
    <row r="127" spans="1:10" ht="15" x14ac:dyDescent="0.2">
      <c r="A127" s="324" t="s">
        <v>2479</v>
      </c>
      <c r="B127" s="324" t="str">
        <f t="shared" si="8"/>
        <v>0435</v>
      </c>
      <c r="C127" s="324">
        <v>50062</v>
      </c>
      <c r="D127" s="1103" t="s">
        <v>663</v>
      </c>
      <c r="E127" s="1103">
        <v>0</v>
      </c>
      <c r="F127" s="1104"/>
      <c r="G127" s="1105"/>
      <c r="H127" s="412" t="s">
        <v>984</v>
      </c>
      <c r="I127" s="1258"/>
      <c r="J127" s="2" t="str">
        <f>IF(Table5[[#This Row],[Entered]]&lt;&gt;Table5[[#This Row],[Quantity]],"Check","")</f>
        <v/>
      </c>
    </row>
    <row r="128" spans="1:10" ht="15" x14ac:dyDescent="0.2">
      <c r="A128" s="324"/>
      <c r="B128" s="324"/>
      <c r="C128" s="324"/>
      <c r="D128" s="324"/>
      <c r="E128" s="324"/>
      <c r="F128" s="827"/>
      <c r="G128" s="829"/>
      <c r="H128" s="412"/>
      <c r="I128" s="1258"/>
      <c r="J128" s="2" t="str">
        <f>IF(Table5[[#This Row],[Entered]]&lt;&gt;Table5[[#This Row],[Quantity]],"Check","")</f>
        <v/>
      </c>
    </row>
    <row r="129" spans="1:10" ht="15" x14ac:dyDescent="0.2">
      <c r="A129" s="324" t="s">
        <v>2498</v>
      </c>
      <c r="B129" s="324" t="str">
        <f>"1040"</f>
        <v>1040</v>
      </c>
      <c r="C129" s="324">
        <v>52024</v>
      </c>
      <c r="D129" s="324">
        <v>6510</v>
      </c>
      <c r="E129" s="324">
        <v>1</v>
      </c>
      <c r="F129" s="827">
        <f>Quotes!B4</f>
        <v>0</v>
      </c>
      <c r="G129" s="829">
        <v>1</v>
      </c>
      <c r="H129" s="412" t="s">
        <v>2499</v>
      </c>
      <c r="I129" s="1258"/>
      <c r="J129" s="2" t="str">
        <f>IF(Table5[[#This Row],[Entered]]&lt;&gt;Table5[[#This Row],[Quantity]],"Check","")</f>
        <v/>
      </c>
    </row>
    <row r="130" spans="1:10" ht="15" x14ac:dyDescent="0.2">
      <c r="A130" s="324"/>
      <c r="B130" s="324"/>
      <c r="C130" s="324"/>
      <c r="D130" s="324"/>
      <c r="E130" s="324"/>
      <c r="F130" s="827"/>
      <c r="G130" s="829"/>
      <c r="H130" s="412"/>
      <c r="I130" s="1258"/>
      <c r="J130" s="2" t="str">
        <f>IF(Table5[[#This Row],[Entered]]&lt;&gt;Table5[[#This Row],[Quantity]],"Check","")</f>
        <v/>
      </c>
    </row>
    <row r="131" spans="1:10" ht="15" x14ac:dyDescent="0.2">
      <c r="A131" s="324" t="s">
        <v>2476</v>
      </c>
      <c r="B131" s="324" t="str">
        <f>"1210"</f>
        <v>1210</v>
      </c>
      <c r="C131" s="324">
        <v>52024</v>
      </c>
      <c r="D131" s="324" t="str">
        <f>"0001"</f>
        <v>0001</v>
      </c>
      <c r="E131" s="324">
        <v>1</v>
      </c>
      <c r="F131" s="827">
        <f>Quotes!B5</f>
        <v>0</v>
      </c>
      <c r="G131" s="829">
        <v>1</v>
      </c>
      <c r="H131" s="412" t="s">
        <v>2477</v>
      </c>
      <c r="I131" s="1258"/>
      <c r="J131" s="2" t="str">
        <f>IF(Table5[[#This Row],[Entered]]&lt;&gt;Table5[[#This Row],[Quantity]],"Check","")</f>
        <v/>
      </c>
    </row>
    <row r="132" spans="1:10" ht="15" x14ac:dyDescent="0.2">
      <c r="A132" s="324"/>
      <c r="B132" s="324"/>
      <c r="C132" s="324"/>
      <c r="D132" s="324"/>
      <c r="E132" s="324"/>
      <c r="F132" s="827"/>
      <c r="G132" s="829"/>
      <c r="H132" s="412"/>
      <c r="I132" s="1258"/>
      <c r="J132" s="2" t="str">
        <f>IF(Table5[[#This Row],[Entered]]&lt;&gt;Table5[[#This Row],[Quantity]],"Check","")</f>
        <v/>
      </c>
    </row>
    <row r="133" spans="1:10" ht="15" x14ac:dyDescent="0.2">
      <c r="A133" s="324" t="s">
        <v>2475</v>
      </c>
      <c r="B133" s="324" t="str">
        <f>"0315"</f>
        <v>0315</v>
      </c>
      <c r="C133" s="324">
        <v>50061</v>
      </c>
      <c r="D133" s="324" t="str">
        <f>"0030"</f>
        <v>0030</v>
      </c>
      <c r="E133" s="324">
        <v>1</v>
      </c>
      <c r="F133" s="827">
        <f>IF(Brick_type&lt;&gt;"Timber Frame",1,0)</f>
        <v>1</v>
      </c>
      <c r="G133" s="829">
        <v>250</v>
      </c>
      <c r="H133" s="412" t="s">
        <v>2500</v>
      </c>
      <c r="I133" s="1258"/>
      <c r="J133" s="2" t="str">
        <f>IF(Table5[[#This Row],[Entered]]&lt;&gt;Table5[[#This Row],[Quantity]],"Check","")</f>
        <v>Check</v>
      </c>
    </row>
    <row r="134" spans="1:10" ht="15" x14ac:dyDescent="0.2">
      <c r="A134" s="324"/>
      <c r="B134" s="324"/>
      <c r="C134" s="324"/>
      <c r="D134" s="324"/>
      <c r="E134" s="324"/>
      <c r="F134" s="827"/>
      <c r="G134" s="829"/>
      <c r="H134" s="412"/>
      <c r="I134" s="1258"/>
      <c r="J134" s="2" t="str">
        <f>IF(Table5[[#This Row],[Entered]]&lt;&gt;Table5[[#This Row],[Quantity]],"Check","")</f>
        <v/>
      </c>
    </row>
    <row r="135" spans="1:10" ht="15" x14ac:dyDescent="0.2">
      <c r="A135" s="324" t="str">
        <f>IF(Brick_type="Timber Frame","WFRAME1","BRICK1")</f>
        <v>BRICK1</v>
      </c>
      <c r="B135" s="324" t="str">
        <f>"0450"</f>
        <v>0450</v>
      </c>
      <c r="C135" s="324" t="str">
        <f>"52327"</f>
        <v>52327</v>
      </c>
      <c r="D135" s="324" t="str">
        <f>"7000"</f>
        <v>7000</v>
      </c>
      <c r="E135" s="324">
        <v>1</v>
      </c>
      <c r="F135" s="1181">
        <f>IF(OR(Quotes!D10&gt;0,Quotes!B10&gt;0),1,0)</f>
        <v>0</v>
      </c>
      <c r="G135" s="829">
        <f>Quotes!B10</f>
        <v>0</v>
      </c>
      <c r="H135" s="412" t="s">
        <v>2736</v>
      </c>
      <c r="I135" s="1258"/>
      <c r="J135" s="2" t="str">
        <f>IF(Table5[[#This Row],[Entered]]&lt;&gt;Table5[[#This Row],[Quantity]],"Check","")</f>
        <v/>
      </c>
    </row>
    <row r="136" spans="1:10" ht="15" x14ac:dyDescent="0.2">
      <c r="A136" s="324"/>
      <c r="B136" s="324"/>
      <c r="C136" s="324"/>
      <c r="D136" s="324"/>
      <c r="E136" s="324"/>
      <c r="F136" s="827"/>
      <c r="G136" s="829"/>
      <c r="H136" s="412"/>
      <c r="I136" s="1258"/>
      <c r="J136" s="2" t="str">
        <f>IF(Table5[[#This Row],[Entered]]&lt;&gt;Table5[[#This Row],[Quantity]],"Check","")</f>
        <v/>
      </c>
    </row>
    <row r="137" spans="1:10" ht="15" x14ac:dyDescent="0.2">
      <c r="A137" s="324" t="s">
        <v>2475</v>
      </c>
      <c r="B137" s="324" t="str">
        <f t="shared" ref="B137:B157" si="9">"0460"</f>
        <v>0460</v>
      </c>
      <c r="C137" s="324">
        <f>52048</f>
        <v>52048</v>
      </c>
      <c r="D137" s="324" t="str">
        <f>"0313"</f>
        <v>0313</v>
      </c>
      <c r="E137" s="324">
        <v>9</v>
      </c>
      <c r="F137" s="827">
        <f>IF(AND(Brick_type&lt;&gt;"Timber Frame",Plasterboard?&lt;&gt;"Yes"),IF(COUNTIF(Address,"*AUSTRALIND*")+COUNTIF(Address,"*KINGSTON*")+COUNTIF(Address,"*TREENDALE*")&gt;0,Sand_Brickies,0),0)</f>
        <v>0</v>
      </c>
      <c r="G137" s="829"/>
      <c r="H137" s="412" t="s">
        <v>2529</v>
      </c>
      <c r="I137" s="1258"/>
      <c r="J137" s="2" t="str">
        <f>IF(Table5[[#This Row],[Entered]]&lt;&gt;Table5[[#This Row],[Quantity]],"Check","")</f>
        <v/>
      </c>
    </row>
    <row r="138" spans="1:10" ht="15" x14ac:dyDescent="0.2">
      <c r="A138" s="324" t="s">
        <v>2475</v>
      </c>
      <c r="B138" s="324" t="str">
        <f t="shared" si="9"/>
        <v>0460</v>
      </c>
      <c r="C138" s="324">
        <f>52048</f>
        <v>52048</v>
      </c>
      <c r="D138" s="324" t="str">
        <f>"0321"</f>
        <v>0321</v>
      </c>
      <c r="E138" s="324">
        <v>9</v>
      </c>
      <c r="F138" s="827">
        <f>IF(AND(Brick_type&lt;&gt;"Timber Frame",Plasterboard?&lt;&gt;"Yes"),IF(COUNTIF(Address,"*BINNINGUP*")&gt;0,Sand_Brickies,0),0)</f>
        <v>0</v>
      </c>
      <c r="G138" s="829"/>
      <c r="H138" s="412" t="s">
        <v>2530</v>
      </c>
      <c r="I138" s="1258"/>
      <c r="J138" s="2" t="str">
        <f>IF(Table5[[#This Row],[Entered]]&lt;&gt;Table5[[#This Row],[Quantity]],"Check","")</f>
        <v/>
      </c>
    </row>
    <row r="139" spans="1:10" ht="15" x14ac:dyDescent="0.2">
      <c r="A139" s="324" t="s">
        <v>2475</v>
      </c>
      <c r="B139" s="324" t="str">
        <f t="shared" si="9"/>
        <v>0460</v>
      </c>
      <c r="C139" s="324">
        <f>52048</f>
        <v>52048</v>
      </c>
      <c r="D139" s="324" t="str">
        <f>"0320"</f>
        <v>0320</v>
      </c>
      <c r="E139" s="324">
        <v>9</v>
      </c>
      <c r="F139" s="827">
        <f>IF(AND(Brick_type&lt;&gt;"Timber Frame",Plasterboard?&lt;&gt;"Yes"),IF(COUNTIF(Address,"*BRUNSWICK*")&gt;0,Sand_Brickies,0),0)</f>
        <v>0</v>
      </c>
      <c r="G139" s="829"/>
      <c r="H139" s="412" t="s">
        <v>2541</v>
      </c>
      <c r="I139" s="1258"/>
      <c r="J139" s="2" t="str">
        <f>IF(Table5[[#This Row],[Entered]]&lt;&gt;Table5[[#This Row],[Quantity]],"Check","")</f>
        <v/>
      </c>
    </row>
    <row r="140" spans="1:10" ht="15" x14ac:dyDescent="0.2">
      <c r="A140" s="324" t="s">
        <v>2475</v>
      </c>
      <c r="B140" s="324" t="str">
        <f t="shared" si="9"/>
        <v>0460</v>
      </c>
      <c r="C140" s="324">
        <f>52048</f>
        <v>52048</v>
      </c>
      <c r="D140" s="324" t="str">
        <f>"0301"</f>
        <v>0301</v>
      </c>
      <c r="E140" s="324">
        <v>9</v>
      </c>
      <c r="F140" s="827">
        <f>IF(AND(Brick_type&lt;&gt;"Timber Frame",Plasterboard?&lt;&gt;"Yes"),IF(COUNTIF(Address,"*BUNBURY*")+COUNTIF(Address,"*GLEN IRIS*")+COUNTIF(Address,"*DALYELLUP*")&gt;0,Sand_Brickies,0),0)</f>
        <v>0</v>
      </c>
      <c r="G140" s="829"/>
      <c r="H140" s="412" t="s">
        <v>2531</v>
      </c>
      <c r="I140" s="1258"/>
      <c r="J140" s="2" t="str">
        <f>IF(Table5[[#This Row],[Entered]]&lt;&gt;Table5[[#This Row],[Quantity]],"Check","")</f>
        <v/>
      </c>
    </row>
    <row r="141" spans="1:10" ht="15" x14ac:dyDescent="0.2">
      <c r="A141" s="324" t="s">
        <v>2475</v>
      </c>
      <c r="B141" s="324" t="str">
        <f t="shared" si="9"/>
        <v>0460</v>
      </c>
      <c r="C141" s="324">
        <f>52048</f>
        <v>52048</v>
      </c>
      <c r="D141" s="324" t="str">
        <f>"0306"</f>
        <v>0306</v>
      </c>
      <c r="E141" s="324">
        <v>9</v>
      </c>
      <c r="F141" s="827">
        <f>IF(AND(Brick_type&lt;&gt;"Timber Frame",Plasterboard?&lt;&gt;"Yes"),IF(COUNTIF(Address,"*BUSSELTON*")+COUNTIF(Address,"*KEALY*")+COUNTIF(Address,"*GEOGRAPHE*")+COUNTIF(Address,"*YALYALUP*")+COUNTIF(Address,"*PROVENCE*")+COUNTIF(Address,"*VASSE*")&gt;0,Sand_Brickies,0),0)</f>
        <v>0</v>
      </c>
      <c r="G141" s="829">
        <v>56.5</v>
      </c>
      <c r="H141" s="412" t="s">
        <v>2527</v>
      </c>
      <c r="I141" s="1258"/>
      <c r="J141" s="2" t="str">
        <f>IF(Table5[[#This Row],[Entered]]&lt;&gt;Table5[[#This Row],[Quantity]],"Check","")</f>
        <v/>
      </c>
    </row>
    <row r="142" spans="1:10" ht="15" x14ac:dyDescent="0.2">
      <c r="A142" s="324" t="s">
        <v>2475</v>
      </c>
      <c r="B142" s="324" t="str">
        <f t="shared" si="9"/>
        <v>0460</v>
      </c>
      <c r="C142" s="324">
        <f>52048</f>
        <v>52048</v>
      </c>
      <c r="D142" s="324" t="str">
        <f>"0300"</f>
        <v>0300</v>
      </c>
      <c r="E142" s="324">
        <v>9</v>
      </c>
      <c r="F142" s="827">
        <f>IF(AND(Brick_type&lt;&gt;"Timber Frame",Plasterboard?&lt;&gt;"Yes"),IF(COUNTIF(Address,"*CAPEL*")&gt;0,Sand_Brickies,0),0)</f>
        <v>0</v>
      </c>
      <c r="G142" s="829"/>
      <c r="H142" s="412" t="s">
        <v>2533</v>
      </c>
      <c r="I142" s="1258"/>
      <c r="J142" s="2" t="str">
        <f>IF(Table5[[#This Row],[Entered]]&lt;&gt;Table5[[#This Row],[Quantity]],"Check","")</f>
        <v/>
      </c>
    </row>
    <row r="143" spans="1:10" ht="15" x14ac:dyDescent="0.2">
      <c r="A143" s="324" t="s">
        <v>2475</v>
      </c>
      <c r="B143" s="324" t="str">
        <f t="shared" si="9"/>
        <v>0460</v>
      </c>
      <c r="C143" s="324">
        <f>52048</f>
        <v>52048</v>
      </c>
      <c r="D143" s="324" t="str">
        <f>"0308"</f>
        <v>0308</v>
      </c>
      <c r="E143" s="324">
        <v>9</v>
      </c>
      <c r="F143" s="827">
        <f>IF(AND(Brick_type&lt;&gt;"Timber Frame",Plasterboard?&lt;&gt;"Yes"),IF(COUNTIF(Address,"*COLLIE*")&gt;0,Sand_Brickies,0),0)</f>
        <v>0</v>
      </c>
      <c r="G143" s="829"/>
      <c r="H143" s="412" t="s">
        <v>2537</v>
      </c>
      <c r="I143" s="1258"/>
      <c r="J143" s="2" t="str">
        <f>IF(Table5[[#This Row],[Entered]]&lt;&gt;Table5[[#This Row],[Quantity]],"Check","")</f>
        <v/>
      </c>
    </row>
    <row r="144" spans="1:10" ht="15" x14ac:dyDescent="0.2">
      <c r="A144" s="324" t="s">
        <v>2475</v>
      </c>
      <c r="B144" s="324" t="str">
        <f t="shared" si="9"/>
        <v>0460</v>
      </c>
      <c r="C144" s="324">
        <f>52048</f>
        <v>52048</v>
      </c>
      <c r="D144" s="324" t="str">
        <f>"0304"</f>
        <v>0304</v>
      </c>
      <c r="E144" s="324">
        <v>9</v>
      </c>
      <c r="F144" s="827">
        <f>IF(AND(Brick_type&lt;&gt;"Timber Frame",Plasterboard?&lt;&gt;"Yes"),IF(COUNTIF(Address,"*DARDANUP*")&gt;0,Sand_Brickies,0),0)</f>
        <v>0</v>
      </c>
      <c r="G144" s="829"/>
      <c r="H144" s="412" t="s">
        <v>2540</v>
      </c>
      <c r="I144" s="1258"/>
      <c r="J144" s="2" t="str">
        <f>IF(Table5[[#This Row],[Entered]]&lt;&gt;Table5[[#This Row],[Quantity]],"Check","")</f>
        <v/>
      </c>
    </row>
    <row r="145" spans="1:10" ht="15" x14ac:dyDescent="0.2">
      <c r="A145" s="324" t="s">
        <v>2475</v>
      </c>
      <c r="B145" s="324" t="str">
        <f t="shared" si="9"/>
        <v>0460</v>
      </c>
      <c r="C145" s="324">
        <f>52048</f>
        <v>52048</v>
      </c>
      <c r="D145" s="324" t="str">
        <f>"0307"</f>
        <v>0307</v>
      </c>
      <c r="E145" s="324">
        <v>9</v>
      </c>
      <c r="F145" s="827">
        <f>IF(AND(Brick_type&lt;&gt;"Timber Frame",Plasterboard?&lt;&gt;"Yes"),IF(COUNTIF(Address,"*DONNYBROOK*")&gt;0,Sand_Brickies,0),0)</f>
        <v>0</v>
      </c>
      <c r="G145" s="829"/>
      <c r="H145" s="412" t="s">
        <v>2535</v>
      </c>
      <c r="I145" s="1258"/>
      <c r="J145" s="2" t="str">
        <f>IF(Table5[[#This Row],[Entered]]&lt;&gt;Table5[[#This Row],[Quantity]],"Check","")</f>
        <v/>
      </c>
    </row>
    <row r="146" spans="1:10" ht="15" x14ac:dyDescent="0.2">
      <c r="A146" s="324" t="s">
        <v>2475</v>
      </c>
      <c r="B146" s="324" t="str">
        <f t="shared" si="9"/>
        <v>0460</v>
      </c>
      <c r="C146" s="324">
        <f>52048</f>
        <v>52048</v>
      </c>
      <c r="D146" s="324" t="str">
        <f>"0307"</f>
        <v>0307</v>
      </c>
      <c r="E146" s="324">
        <v>9</v>
      </c>
      <c r="F146" s="827">
        <f>IF(AND(Brick_type&lt;&gt;"Timber Frame",Plasterboard?&lt;&gt;"Yes"),IF(COUNTIF(Address,"*DUNSBOROUGH*")&gt;0,Sand_Brickies,0),0)</f>
        <v>0</v>
      </c>
      <c r="G146" s="829">
        <v>62.93</v>
      </c>
      <c r="H146" s="412" t="s">
        <v>2534</v>
      </c>
      <c r="I146" s="1258"/>
      <c r="J146" s="2" t="str">
        <f>IF(Table5[[#This Row],[Entered]]&lt;&gt;Table5[[#This Row],[Quantity]],"Check","")</f>
        <v/>
      </c>
    </row>
    <row r="147" spans="1:10" ht="15" x14ac:dyDescent="0.2">
      <c r="A147" s="324" t="s">
        <v>2475</v>
      </c>
      <c r="B147" s="324" t="str">
        <f t="shared" si="9"/>
        <v>0460</v>
      </c>
      <c r="C147" s="324">
        <f>52048</f>
        <v>52048</v>
      </c>
      <c r="D147" s="324" t="str">
        <f>"0303"</f>
        <v>0303</v>
      </c>
      <c r="E147" s="324">
        <v>9</v>
      </c>
      <c r="F147" s="827">
        <f>IF(AND(Brick_type&lt;&gt;"Timber Frame",Plasterboard?&lt;&gt;"Yes"),IF(COUNTIF(Address,"*EATON*")+COUNTIF(Address,"*MILLBRIDGE*")&gt;0,Sand_Brickies,0),0)</f>
        <v>0</v>
      </c>
      <c r="G147" s="829"/>
      <c r="H147" s="412" t="s">
        <v>2532</v>
      </c>
      <c r="I147" s="1258"/>
      <c r="J147" s="2" t="str">
        <f>IF(Table5[[#This Row],[Entered]]&lt;&gt;Table5[[#This Row],[Quantity]],"Check","")</f>
        <v/>
      </c>
    </row>
    <row r="148" spans="1:10" ht="15" x14ac:dyDescent="0.2">
      <c r="A148" s="324" t="s">
        <v>2475</v>
      </c>
      <c r="B148" s="324" t="str">
        <f t="shared" si="9"/>
        <v>0460</v>
      </c>
      <c r="C148" s="324">
        <f>52048</f>
        <v>52048</v>
      </c>
      <c r="D148" s="324" t="str">
        <f>"0302"</f>
        <v>0302</v>
      </c>
      <c r="E148" s="324">
        <v>9</v>
      </c>
      <c r="F148" s="827">
        <f>IF(AND(Brick_type&lt;&gt;"Timber Frame",Plasterboard?&lt;&gt;"Yes"),IF(COUNTIF(Address,"*GELORUP*")+COUNTIF(Address,"*DALYELLUP*")&gt;0,Sand_Brickies,0),0)</f>
        <v>0</v>
      </c>
      <c r="G148" s="829"/>
      <c r="H148" s="412" t="s">
        <v>2542</v>
      </c>
      <c r="I148" s="1258"/>
      <c r="J148" s="2" t="str">
        <f>IF(Table5[[#This Row],[Entered]]&lt;&gt;Table5[[#This Row],[Quantity]],"Check","")</f>
        <v/>
      </c>
    </row>
    <row r="149" spans="1:10" ht="15" x14ac:dyDescent="0.2">
      <c r="A149" s="324" t="s">
        <v>2475</v>
      </c>
      <c r="B149" s="324" t="str">
        <f t="shared" si="9"/>
        <v>0460</v>
      </c>
      <c r="C149" s="324">
        <f>52048</f>
        <v>52048</v>
      </c>
      <c r="D149" s="324" t="str">
        <f>"0323"</f>
        <v>0323</v>
      </c>
      <c r="E149" s="324">
        <v>9</v>
      </c>
      <c r="F149" s="827">
        <f>IF(AND(Brick_type&lt;&gt;"Timber Frame",Plasterboard?&lt;&gt;"Yes"),IF(COUNTIF(Address,"*HARVEY*")&gt;0,Sand_Brickies,0),0)</f>
        <v>0</v>
      </c>
      <c r="G149" s="829"/>
      <c r="H149" s="412" t="s">
        <v>2536</v>
      </c>
      <c r="I149" s="1258"/>
      <c r="J149" s="2" t="str">
        <f>IF(Table5[[#This Row],[Entered]]&lt;&gt;Table5[[#This Row],[Quantity]],"Check","")</f>
        <v/>
      </c>
    </row>
    <row r="150" spans="1:10" ht="15" x14ac:dyDescent="0.2">
      <c r="A150" s="324" t="s">
        <v>2475</v>
      </c>
      <c r="B150" s="324" t="str">
        <f t="shared" si="9"/>
        <v>0460</v>
      </c>
      <c r="C150" s="324">
        <f>52048</f>
        <v>52048</v>
      </c>
      <c r="D150" s="324" t="str">
        <f>"0322"</f>
        <v>0322</v>
      </c>
      <c r="E150" s="324">
        <v>9</v>
      </c>
      <c r="F150" s="827">
        <f>IF(AND(Brick_type&lt;&gt;"Timber Frame",Plasterboard?&lt;&gt;"Yes"),IF(COUNTIF(Address,"*MYALUP*")&gt;0,Sand_Brickies,0),0)</f>
        <v>0</v>
      </c>
      <c r="G150" s="829"/>
      <c r="H150" s="412" t="s">
        <v>2543</v>
      </c>
      <c r="I150" s="1258"/>
      <c r="J150" s="2" t="str">
        <f>IF(Table5[[#This Row],[Entered]]&lt;&gt;Table5[[#This Row],[Quantity]],"Check","")</f>
        <v/>
      </c>
    </row>
    <row r="151" spans="1:10" ht="15" x14ac:dyDescent="0.2">
      <c r="A151" s="324" t="s">
        <v>2475</v>
      </c>
      <c r="B151" s="324" t="str">
        <f t="shared" si="9"/>
        <v>0460</v>
      </c>
      <c r="C151" s="324">
        <f>52048</f>
        <v>52048</v>
      </c>
      <c r="D151" s="324" t="str">
        <f>"0305"</f>
        <v>0305</v>
      </c>
      <c r="E151" s="324">
        <v>9</v>
      </c>
      <c r="F151" s="827">
        <f>IF(AND(Brick_type&lt;&gt;"Timber Frame",Plasterboard?&lt;&gt;"Yes"),IF(COUNTIF(Address,"*PEPPERMINT BEACH*")&gt;0,Sand_Brickies,0),0)</f>
        <v>0</v>
      </c>
      <c r="G151" s="829"/>
      <c r="H151" s="412" t="s">
        <v>2544</v>
      </c>
      <c r="I151" s="1258"/>
      <c r="J151" s="2" t="str">
        <f>IF(Table5[[#This Row],[Entered]]&lt;&gt;Table5[[#This Row],[Quantity]],"Check","")</f>
        <v/>
      </c>
    </row>
    <row r="152" spans="1:10" ht="15" x14ac:dyDescent="0.2">
      <c r="A152" s="324" t="s">
        <v>2475</v>
      </c>
      <c r="B152" s="324" t="str">
        <f t="shared" si="9"/>
        <v>0460</v>
      </c>
      <c r="C152" s="324">
        <f>52048</f>
        <v>52048</v>
      </c>
      <c r="D152" s="324" t="str">
        <f>"0327"</f>
        <v>0327</v>
      </c>
      <c r="E152" s="324">
        <v>9</v>
      </c>
      <c r="F152" s="827">
        <f>IF(AND(Brick_type&lt;&gt;"Timber Frame",Plasterboard?&lt;&gt;"Yes"),IF(COUNTIF(Address,"*WAROONA*")&gt;0,Sand_Brickies,0),0)</f>
        <v>0</v>
      </c>
      <c r="G152" s="1105"/>
      <c r="H152" s="412" t="s">
        <v>2539</v>
      </c>
      <c r="I152" s="1258"/>
      <c r="J152" s="2" t="str">
        <f>IF(Table5[[#This Row],[Entered]]&lt;&gt;Table5[[#This Row],[Quantity]],"Check","")</f>
        <v/>
      </c>
    </row>
    <row r="153" spans="1:10" ht="15" x14ac:dyDescent="0.2">
      <c r="A153" s="324" t="s">
        <v>2475</v>
      </c>
      <c r="B153" s="324" t="str">
        <f t="shared" si="9"/>
        <v>0460</v>
      </c>
      <c r="C153" s="324">
        <f>52048</f>
        <v>52048</v>
      </c>
      <c r="D153" s="324" t="str">
        <f>"0604"</f>
        <v>0604</v>
      </c>
      <c r="E153" s="324">
        <v>9</v>
      </c>
      <c r="F153" s="827">
        <f>IF(AND(Brick_type&lt;&gt;"Timber Frame",Plasterboard?&lt;&gt;"Yes"),IF(COUNTIF(Address,"*AUGUSTA*")&gt;0,Sand_Brickies,0),0)</f>
        <v>0</v>
      </c>
      <c r="G153" s="829"/>
      <c r="H153" s="412" t="s">
        <v>2538</v>
      </c>
      <c r="I153" s="1258"/>
      <c r="J153" s="2" t="str">
        <f>IF(Table5[[#This Row],[Entered]]&lt;&gt;Table5[[#This Row],[Quantity]],"Check","")</f>
        <v/>
      </c>
    </row>
    <row r="154" spans="1:10" ht="15" x14ac:dyDescent="0.2">
      <c r="A154" s="324" t="s">
        <v>2475</v>
      </c>
      <c r="B154" s="324" t="str">
        <f t="shared" si="9"/>
        <v>0460</v>
      </c>
      <c r="C154" s="324">
        <f>52048</f>
        <v>52048</v>
      </c>
      <c r="D154" s="324" t="str">
        <f>"0603"</f>
        <v>0603</v>
      </c>
      <c r="E154" s="324">
        <v>9</v>
      </c>
      <c r="F154" s="827">
        <f>IF(AND(Brick_type&lt;&gt;"Timber Frame",Plasterboard?&lt;&gt;"Yes"),IF(COUNTIF(Address,"*MARGARET RIVER*")&gt;0,Sand_Brickies,0),0)</f>
        <v>0</v>
      </c>
      <c r="G154" s="829"/>
      <c r="H154" s="412" t="s">
        <v>2545</v>
      </c>
      <c r="I154" s="1258"/>
      <c r="J154" s="2" t="str">
        <f>IF(Table5[[#This Row],[Entered]]&lt;&gt;Table5[[#This Row],[Quantity]],"Check","")</f>
        <v/>
      </c>
    </row>
    <row r="155" spans="1:10" ht="15" x14ac:dyDescent="0.2">
      <c r="A155" s="324" t="s">
        <v>2475</v>
      </c>
      <c r="B155" s="324" t="str">
        <f t="shared" si="9"/>
        <v>0460</v>
      </c>
      <c r="C155" s="324">
        <f>52048</f>
        <v>52048</v>
      </c>
      <c r="D155" s="324" t="str">
        <f>"0326"</f>
        <v>0326</v>
      </c>
      <c r="E155" s="324">
        <v>9</v>
      </c>
      <c r="F155" s="827">
        <f>IF(AND(Brick_type&lt;&gt;"Timber Frame",Plasterboard?&lt;&gt;"Yes"),IF(COUNTIF(Address,"*YALLINGUP*")&gt;0,Sand_Brickies,0),0)</f>
        <v>0</v>
      </c>
      <c r="G155" s="829"/>
      <c r="H155" s="412" t="s">
        <v>2546</v>
      </c>
      <c r="I155" s="1258"/>
      <c r="J155" s="2" t="str">
        <f>IF(Table5[[#This Row],[Entered]]&lt;&gt;Table5[[#This Row],[Quantity]],"Check","")</f>
        <v/>
      </c>
    </row>
    <row r="156" spans="1:10" ht="15" x14ac:dyDescent="0.2">
      <c r="A156" s="324" t="s">
        <v>2475</v>
      </c>
      <c r="B156" s="324" t="str">
        <f t="shared" si="9"/>
        <v>0460</v>
      </c>
      <c r="C156" s="324">
        <f>52048</f>
        <v>52048</v>
      </c>
      <c r="D156" s="324" t="str">
        <f>"0605"</f>
        <v>0605</v>
      </c>
      <c r="E156" s="324">
        <v>9</v>
      </c>
      <c r="F156" s="827">
        <f>IF(AND(Brick_type&lt;&gt;"Timber Frame",Plasterboard?&lt;&gt;"Yes"),IF(COUNTIF(Address,"*COWARAMUP*")&gt;0,Sand_Brickies,0),0)</f>
        <v>0</v>
      </c>
      <c r="G156" s="829"/>
      <c r="H156" s="412" t="s">
        <v>2547</v>
      </c>
      <c r="I156" s="1258"/>
      <c r="J156" s="2" t="str">
        <f>IF(Table5[[#This Row],[Entered]]&lt;&gt;Table5[[#This Row],[Quantity]],"Check","")</f>
        <v/>
      </c>
    </row>
    <row r="157" spans="1:10" ht="15" x14ac:dyDescent="0.2">
      <c r="A157" s="324" t="s">
        <v>2475</v>
      </c>
      <c r="B157" s="324" t="str">
        <f t="shared" si="9"/>
        <v>0460</v>
      </c>
      <c r="C157" s="324">
        <v>97932</v>
      </c>
      <c r="D157" s="324" t="str">
        <f>"0012"</f>
        <v>0012</v>
      </c>
      <c r="E157" s="324">
        <v>9</v>
      </c>
      <c r="F157" s="827">
        <f>IF(AND(Brick_type&lt;&gt;"Timber Frame",Plasterboard?&lt;&gt;"Yes"),IF(COUNTIF(Address,"*MANJIMUP*")&gt;0,Sand_Brickies,0),0)</f>
        <v>0</v>
      </c>
      <c r="G157" s="1105"/>
      <c r="H157" s="412" t="s">
        <v>2553</v>
      </c>
      <c r="I157" s="1258"/>
      <c r="J157" s="2" t="str">
        <f>IF(Table5[[#This Row],[Entered]]&lt;&gt;Table5[[#This Row],[Quantity]],"Check","")</f>
        <v/>
      </c>
    </row>
    <row r="158" spans="1:10" ht="15" x14ac:dyDescent="0.2">
      <c r="A158" s="324"/>
      <c r="B158" s="324"/>
      <c r="C158" s="324"/>
      <c r="D158" s="324"/>
      <c r="E158" s="324"/>
      <c r="F158" s="827"/>
      <c r="G158" s="829"/>
      <c r="H158" s="412"/>
      <c r="I158" s="1258"/>
      <c r="J158" s="2" t="str">
        <f>IF(Table5[[#This Row],[Entered]]&lt;&gt;Table5[[#This Row],[Quantity]],"Check","")</f>
        <v/>
      </c>
    </row>
    <row r="159" spans="1:10" ht="15" x14ac:dyDescent="0.2">
      <c r="A159" s="324" t="s">
        <v>2475</v>
      </c>
      <c r="B159" s="324" t="str">
        <f t="shared" ref="B159:B173" si="10">"0470"</f>
        <v>0470</v>
      </c>
      <c r="C159" s="324" t="str">
        <f t="shared" ref="C159:C173" si="11">"04601"</f>
        <v>04601</v>
      </c>
      <c r="D159" s="324" t="str">
        <f>"0021"</f>
        <v>0021</v>
      </c>
      <c r="E159" s="324">
        <v>1</v>
      </c>
      <c r="F159" s="1128">
        <f>IF(COUNTIFS(Addenda!A:A,"*MORTAR*",Addenda!A:A,"*WHITE*")&gt;0,CEILING((SUM('Brickwork GF'!$I$38:$I$42,'Brickwork GF'!$S$38:$S$42)/1000)*10,5),0)</f>
        <v>0</v>
      </c>
      <c r="G159" s="829">
        <v>16.5</v>
      </c>
      <c r="H159" s="412" t="s">
        <v>3637</v>
      </c>
      <c r="I159" s="1258"/>
      <c r="J159" s="2" t="str">
        <f>IF(Table5[[#This Row],[Entered]]&lt;&gt;Table5[[#This Row],[Quantity]],"Check","")</f>
        <v/>
      </c>
    </row>
    <row r="160" spans="1:10" ht="15" x14ac:dyDescent="0.2">
      <c r="A160" s="324" t="s">
        <v>2475</v>
      </c>
      <c r="B160" s="324" t="str">
        <f t="shared" si="10"/>
        <v>0470</v>
      </c>
      <c r="C160" s="324" t="str">
        <f t="shared" si="11"/>
        <v>04601</v>
      </c>
      <c r="D160" s="324" t="str">
        <f>"0025"</f>
        <v>0025</v>
      </c>
      <c r="E160" s="324">
        <v>1</v>
      </c>
      <c r="F160" s="1128">
        <f>IF(F159&gt;0,CEILING((SUM('Brickwork GF'!$I$38:$I$42,'Brickwork GF'!$S$38:$S$42)/1000)*3,5),0)</f>
        <v>0</v>
      </c>
      <c r="G160" s="829">
        <v>11</v>
      </c>
      <c r="H160" s="412" t="s">
        <v>3638</v>
      </c>
      <c r="I160" s="1258"/>
      <c r="J160" s="2" t="str">
        <f>IF(Table5[[#This Row],[Entered]]&lt;&gt;Table5[[#This Row],[Quantity]],"Check","")</f>
        <v/>
      </c>
    </row>
    <row r="161" spans="1:10" ht="15" x14ac:dyDescent="0.2">
      <c r="A161" s="324" t="s">
        <v>2475</v>
      </c>
      <c r="B161" s="324" t="str">
        <f t="shared" si="10"/>
        <v>0470</v>
      </c>
      <c r="C161" s="324" t="str">
        <f t="shared" si="11"/>
        <v>04601</v>
      </c>
      <c r="D161" s="324" t="str">
        <f>"0038"</f>
        <v>0038</v>
      </c>
      <c r="E161" s="324">
        <v>1</v>
      </c>
      <c r="F161" s="827">
        <f>IF(AND(F159=0,Corrosion_Classification="R4"),CEILING('Brickwork GF'!K71*20/1000*14,5)+CEILING(SUM('Brickwork GF'!F38:F41,'Brickwork GF'!P38:P42)/1000*14,5),0)</f>
        <v>0</v>
      </c>
      <c r="G161" s="829"/>
      <c r="H161" s="412" t="s">
        <v>2550</v>
      </c>
      <c r="I161" s="1258"/>
      <c r="J161" s="2" t="str">
        <f>IF(Table5[[#This Row],[Entered]]&lt;&gt;Table5[[#This Row],[Quantity]],"Check","")</f>
        <v/>
      </c>
    </row>
    <row r="162" spans="1:10" ht="15" x14ac:dyDescent="0.2">
      <c r="A162" s="324" t="s">
        <v>2475</v>
      </c>
      <c r="B162" s="324" t="str">
        <f t="shared" si="10"/>
        <v>0470</v>
      </c>
      <c r="C162" s="324" t="str">
        <f t="shared" si="11"/>
        <v>04601</v>
      </c>
      <c r="D162" s="324" t="str">
        <f>"0035"</f>
        <v>0035</v>
      </c>
      <c r="E162" s="324">
        <v>1</v>
      </c>
      <c r="F162" s="827">
        <f>IF(AND(F159=0,Corrosion_Classification&lt;&gt;"R4"),CEILING(SUM('Brickwork GF'!F38:F41,'Brickwork GF'!P38:P42)/1000*14,5),0)</f>
        <v>0</v>
      </c>
      <c r="G162" s="829">
        <v>10.45</v>
      </c>
      <c r="H162" s="412" t="s">
        <v>2548</v>
      </c>
      <c r="I162" s="1258"/>
      <c r="J162" s="2" t="str">
        <f>IF(Table5[[#This Row],[Entered]]&lt;&gt;Table5[[#This Row],[Quantity]],"Check","")</f>
        <v/>
      </c>
    </row>
    <row r="163" spans="1:10" ht="15" x14ac:dyDescent="0.2">
      <c r="A163" s="324" t="s">
        <v>2475</v>
      </c>
      <c r="B163" s="324" t="str">
        <f t="shared" si="10"/>
        <v>0470</v>
      </c>
      <c r="C163" s="324" t="str">
        <f t="shared" si="11"/>
        <v>04601</v>
      </c>
      <c r="D163" s="324" t="str">
        <f>"0036"</f>
        <v>0036</v>
      </c>
      <c r="E163" s="324">
        <v>1</v>
      </c>
      <c r="F163" s="827">
        <f ca="1">CEILING(('Brickwork GF'!D100+'Brickwork GF'!D101)*20/1000*14,5)+IF(Corrosion_Classification&lt;&gt;"R4",CEILING('Brickwork GF'!K71*20/1000*14,5),0)</f>
        <v>0</v>
      </c>
      <c r="G163" s="829">
        <v>9.5</v>
      </c>
      <c r="H163" s="412" t="s">
        <v>2549</v>
      </c>
      <c r="I163" s="1258"/>
      <c r="J163" s="2" t="str">
        <f ca="1">IF(Table5[[#This Row],[Entered]]&lt;&gt;Table5[[#This Row],[Quantity]],"Check","")</f>
        <v/>
      </c>
    </row>
    <row r="164" spans="1:10" ht="15" x14ac:dyDescent="0.2">
      <c r="A164" s="324" t="s">
        <v>2475</v>
      </c>
      <c r="B164" s="324" t="str">
        <f t="shared" si="10"/>
        <v>0470</v>
      </c>
      <c r="C164" s="324" t="str">
        <f t="shared" si="11"/>
        <v>04601</v>
      </c>
      <c r="D164" s="324" t="str">
        <f>"9134"</f>
        <v>9134</v>
      </c>
      <c r="E164" s="324">
        <v>1</v>
      </c>
      <c r="F164" s="827">
        <f>IF(COUNTIF(Address,"*AUGUSTA*")&gt;0,1,0)</f>
        <v>0</v>
      </c>
      <c r="G164" s="829"/>
      <c r="H164" s="412" t="s">
        <v>2483</v>
      </c>
      <c r="I164" s="1258"/>
      <c r="J164" s="2" t="str">
        <f>IF(Table5[[#This Row],[Entered]]&lt;&gt;Table5[[#This Row],[Quantity]],"Check","")</f>
        <v/>
      </c>
    </row>
    <row r="165" spans="1:10" ht="15" x14ac:dyDescent="0.2">
      <c r="A165" s="324" t="s">
        <v>2475</v>
      </c>
      <c r="B165" s="324" t="str">
        <f t="shared" si="10"/>
        <v>0470</v>
      </c>
      <c r="C165" s="324" t="str">
        <f t="shared" si="11"/>
        <v>04601</v>
      </c>
      <c r="D165" s="324" t="str">
        <f>"9024"</f>
        <v>9024</v>
      </c>
      <c r="E165" s="324">
        <v>1</v>
      </c>
      <c r="F165" s="827">
        <f>IF(COUNTIF(Address,"*BRIDGETOWN*")&gt;0,1,0)</f>
        <v>0</v>
      </c>
      <c r="G165" s="829"/>
      <c r="H165" s="412" t="s">
        <v>2560</v>
      </c>
      <c r="I165" s="1258"/>
      <c r="J165" s="2" t="str">
        <f>IF(Table5[[#This Row],[Entered]]&lt;&gt;Table5[[#This Row],[Quantity]],"Check","")</f>
        <v/>
      </c>
    </row>
    <row r="166" spans="1:10" ht="15" x14ac:dyDescent="0.2">
      <c r="A166" s="324" t="s">
        <v>2475</v>
      </c>
      <c r="B166" s="324" t="str">
        <f t="shared" si="10"/>
        <v>0470</v>
      </c>
      <c r="C166" s="324" t="str">
        <f t="shared" si="11"/>
        <v>04601</v>
      </c>
      <c r="D166" s="324" t="str">
        <f>"9029"</f>
        <v>9029</v>
      </c>
      <c r="E166" s="324">
        <v>1</v>
      </c>
      <c r="F166" s="827">
        <f>IF(COUNTIF(Address,"*BUNBURY*")+COUNTIF(Address,"*AUSTRALIND*")&gt;0,1,0)</f>
        <v>0</v>
      </c>
      <c r="G166" s="829"/>
      <c r="H166" s="412" t="s">
        <v>2561</v>
      </c>
      <c r="I166" s="1258"/>
      <c r="J166" s="2" t="str">
        <f>IF(Table5[[#This Row],[Entered]]&lt;&gt;Table5[[#This Row],[Quantity]],"Check","")</f>
        <v/>
      </c>
    </row>
    <row r="167" spans="1:10" ht="15" x14ac:dyDescent="0.2">
      <c r="A167" s="324" t="s">
        <v>2475</v>
      </c>
      <c r="B167" s="324" t="str">
        <f t="shared" si="10"/>
        <v>0470</v>
      </c>
      <c r="C167" s="324" t="str">
        <f t="shared" si="11"/>
        <v>04601</v>
      </c>
      <c r="D167" s="324" t="str">
        <f>"9031"</f>
        <v>9031</v>
      </c>
      <c r="E167" s="324">
        <v>1</v>
      </c>
      <c r="F167" s="1132" cm="1">
        <f t="array" ref="F167">IF(Brick_type&lt;&gt;"Timber Frame",IF(SUM(COUNTIF(Address,{"*BUSSELTON*","*YALLINGUP*","*VASSE*"}))&gt;0,1,0),0)</f>
        <v>0</v>
      </c>
      <c r="G167" s="829">
        <v>42</v>
      </c>
      <c r="H167" s="412" t="s">
        <v>2551</v>
      </c>
      <c r="I167" s="1258"/>
      <c r="J167" s="2" t="str">
        <f>IF(Table5[[#This Row],[Entered]]&lt;&gt;Table5[[#This Row],[Quantity]],"Check","")</f>
        <v/>
      </c>
    </row>
    <row r="168" spans="1:10" ht="15" x14ac:dyDescent="0.2">
      <c r="A168" s="324" t="s">
        <v>2475</v>
      </c>
      <c r="B168" s="324" t="str">
        <f t="shared" si="10"/>
        <v>0470</v>
      </c>
      <c r="C168" s="324" t="str">
        <f t="shared" si="11"/>
        <v>04601</v>
      </c>
      <c r="D168" s="324" t="str">
        <f>"9032"</f>
        <v>9032</v>
      </c>
      <c r="E168" s="324">
        <v>1</v>
      </c>
      <c r="F168" s="827">
        <f>IF(COUNTIF(Address,"*CAPEL*")&gt;0,1,0)</f>
        <v>0</v>
      </c>
      <c r="G168" s="829"/>
      <c r="H168" s="412" t="s">
        <v>2565</v>
      </c>
      <c r="I168" s="1258"/>
      <c r="J168" s="2" t="str">
        <f>IF(Table5[[#This Row],[Entered]]&lt;&gt;Table5[[#This Row],[Quantity]],"Check","")</f>
        <v/>
      </c>
    </row>
    <row r="169" spans="1:10" ht="15" x14ac:dyDescent="0.2">
      <c r="A169" s="324" t="s">
        <v>2475</v>
      </c>
      <c r="B169" s="324" t="str">
        <f t="shared" si="10"/>
        <v>0470</v>
      </c>
      <c r="C169" s="324" t="str">
        <f t="shared" si="11"/>
        <v>04601</v>
      </c>
      <c r="D169" s="324" t="str">
        <f>"9035"</f>
        <v>9035</v>
      </c>
      <c r="E169" s="324">
        <v>1</v>
      </c>
      <c r="F169" s="827">
        <f>IF(COUNTIF(Address,"*COWARAMUP*")&gt;0,1,0)</f>
        <v>0</v>
      </c>
      <c r="G169" s="829"/>
      <c r="H169" s="412" t="s">
        <v>2562</v>
      </c>
      <c r="I169" s="1258"/>
      <c r="J169" s="2" t="str">
        <f>IF(Table5[[#This Row],[Entered]]&lt;&gt;Table5[[#This Row],[Quantity]],"Check","")</f>
        <v/>
      </c>
    </row>
    <row r="170" spans="1:10" ht="15" x14ac:dyDescent="0.2">
      <c r="A170" s="324" t="s">
        <v>2475</v>
      </c>
      <c r="B170" s="324" t="str">
        <f t="shared" si="10"/>
        <v>0470</v>
      </c>
      <c r="C170" s="324" t="str">
        <f t="shared" si="11"/>
        <v>04601</v>
      </c>
      <c r="D170" s="324" t="str">
        <f>"9043"</f>
        <v>9043</v>
      </c>
      <c r="E170" s="324">
        <v>1</v>
      </c>
      <c r="F170" s="827">
        <f>IF(COUNTIF(Address,"*DONNYBROOK*")&gt;0,1,0)</f>
        <v>0</v>
      </c>
      <c r="G170" s="829"/>
      <c r="H170" s="412" t="s">
        <v>2563</v>
      </c>
      <c r="I170" s="1258"/>
      <c r="J170" s="2" t="str">
        <f>IF(Table5[[#This Row],[Entered]]&lt;&gt;Table5[[#This Row],[Quantity]],"Check","")</f>
        <v/>
      </c>
    </row>
    <row r="171" spans="1:10" ht="15" x14ac:dyDescent="0.2">
      <c r="A171" s="324" t="s">
        <v>2475</v>
      </c>
      <c r="B171" s="324" t="str">
        <f t="shared" si="10"/>
        <v>0470</v>
      </c>
      <c r="C171" s="324" t="str">
        <f t="shared" si="11"/>
        <v>04601</v>
      </c>
      <c r="D171" s="324" t="str">
        <f>"9044"</f>
        <v>9044</v>
      </c>
      <c r="E171" s="324">
        <v>1</v>
      </c>
      <c r="F171" s="827">
        <f>IF(COUNTIF(Address,"*DUNSBOROUGH*")&gt;0,1,0)</f>
        <v>0</v>
      </c>
      <c r="G171" s="829">
        <v>57.75</v>
      </c>
      <c r="H171" s="412" t="s">
        <v>2564</v>
      </c>
      <c r="I171" s="1258"/>
      <c r="J171" s="2" t="str">
        <f>IF(Table5[[#This Row],[Entered]]&lt;&gt;Table5[[#This Row],[Quantity]],"Check","")</f>
        <v/>
      </c>
    </row>
    <row r="172" spans="1:10" ht="15" x14ac:dyDescent="0.2">
      <c r="A172" s="324" t="s">
        <v>2475</v>
      </c>
      <c r="B172" s="324" t="str">
        <f t="shared" si="10"/>
        <v>0470</v>
      </c>
      <c r="C172" s="324" t="str">
        <f t="shared" si="11"/>
        <v>04601</v>
      </c>
      <c r="D172" s="324" t="str">
        <f>"9067"</f>
        <v>9067</v>
      </c>
      <c r="E172" s="324">
        <v>1</v>
      </c>
      <c r="F172" s="827">
        <f>IF(COUNTIF(Address,"*MANJIMUP*")&gt;0,1,0)</f>
        <v>0</v>
      </c>
      <c r="G172" s="829"/>
      <c r="H172" s="412" t="s">
        <v>2559</v>
      </c>
      <c r="I172" s="1258"/>
      <c r="J172" s="2" t="str">
        <f>IF(Table5[[#This Row],[Entered]]&lt;&gt;Table5[[#This Row],[Quantity]],"Check","")</f>
        <v/>
      </c>
    </row>
    <row r="173" spans="1:10" ht="15" x14ac:dyDescent="0.2">
      <c r="A173" s="324" t="s">
        <v>2475</v>
      </c>
      <c r="B173" s="324" t="str">
        <f t="shared" si="10"/>
        <v>0470</v>
      </c>
      <c r="C173" s="324" t="str">
        <f t="shared" si="11"/>
        <v>04601</v>
      </c>
      <c r="D173" s="324" t="str">
        <f>"9068"</f>
        <v>9068</v>
      </c>
      <c r="E173" s="324">
        <v>1</v>
      </c>
      <c r="F173" s="827">
        <f>IF(COUNTIF(Address,"*MARGARET RIVER*")&gt;0,1,0)</f>
        <v>0</v>
      </c>
      <c r="G173" s="829"/>
      <c r="H173" s="412" t="s">
        <v>2566</v>
      </c>
      <c r="I173" s="1258"/>
      <c r="J173" s="2" t="str">
        <f>IF(Table5[[#This Row],[Entered]]&lt;&gt;Table5[[#This Row],[Quantity]],"Check","")</f>
        <v/>
      </c>
    </row>
    <row r="174" spans="1:10" ht="15" x14ac:dyDescent="0.2">
      <c r="A174" s="324"/>
      <c r="B174" s="324"/>
      <c r="C174" s="324"/>
      <c r="D174" s="324"/>
      <c r="E174" s="324"/>
      <c r="F174" s="827"/>
      <c r="G174" s="829"/>
      <c r="H174" s="412"/>
      <c r="I174" s="1258"/>
      <c r="J174" s="2" t="str">
        <f>IF(Table5[[#This Row],[Entered]]&lt;&gt;Table5[[#This Row],[Quantity]],"Check","")</f>
        <v/>
      </c>
    </row>
    <row r="175" spans="1:10" ht="15" x14ac:dyDescent="0.2">
      <c r="A175" s="324" t="s">
        <v>2475</v>
      </c>
      <c r="B175" s="324" t="str">
        <f t="shared" ref="B175:B218" si="12">"0480"</f>
        <v>0480</v>
      </c>
      <c r="C175" s="324" t="str">
        <f t="shared" ref="C175:C213" si="13">"04601"</f>
        <v>04601</v>
      </c>
      <c r="D175" s="324" t="str">
        <f>"0015"</f>
        <v>0015</v>
      </c>
      <c r="E175" s="324">
        <v>1</v>
      </c>
      <c r="F175" s="827">
        <f>IF(Brick_type="Timber Frame",0,2)</f>
        <v>2</v>
      </c>
      <c r="G175" s="829">
        <v>13.75</v>
      </c>
      <c r="H175" s="412" t="s">
        <v>2651</v>
      </c>
      <c r="I175" s="1258"/>
      <c r="J175" s="2" t="str">
        <f>IF(Table5[[#This Row],[Entered]]&lt;&gt;Table5[[#This Row],[Quantity]],"Check","")</f>
        <v>Check</v>
      </c>
    </row>
    <row r="176" spans="1:10" ht="15" x14ac:dyDescent="0.2">
      <c r="A176" s="324" t="s">
        <v>2475</v>
      </c>
      <c r="B176" s="324" t="str">
        <f t="shared" si="12"/>
        <v>0480</v>
      </c>
      <c r="C176" s="324" t="str">
        <f t="shared" si="13"/>
        <v>04601</v>
      </c>
      <c r="D176" s="324" t="str">
        <f>"0030"</f>
        <v>0030</v>
      </c>
      <c r="E176" s="324">
        <v>3</v>
      </c>
      <c r="F176" s="827">
        <f>IF(OR(Brick_type="Timber Frame",Brick_type="Brick Veneer"),0,IF(Coastal="No",CEILING(((StandardFaceCoredM2+StandardFaceSolidM2+Header2cM2+CommonsFaceM2+FaceBlocksM2+FaceVert76CoredM2+FaceVert76SolidM2+FinishingBrickM2+DuraclayVCRenderM2+LongreachCoredRenderM2+CommonsRenderM2)*3.6)+('Lintel Sheet'!F71/1000/0.3)+(COUNTIF(Lintel_Brick,"&lt;&gt;")*2),100),0))</f>
        <v>0</v>
      </c>
      <c r="G176" s="1125">
        <v>26.1</v>
      </c>
      <c r="H176" s="412" t="s">
        <v>2567</v>
      </c>
      <c r="I176" s="1258"/>
      <c r="J176" s="2" t="str">
        <f>IF(Table5[[#This Row],[Entered]]&lt;&gt;Table5[[#This Row],[Quantity]],"Check","")</f>
        <v/>
      </c>
    </row>
    <row r="177" spans="1:10" ht="15" x14ac:dyDescent="0.2">
      <c r="A177" s="324" t="s">
        <v>2475</v>
      </c>
      <c r="B177" s="324" t="str">
        <f t="shared" si="12"/>
        <v>0480</v>
      </c>
      <c r="C177" s="324" t="str">
        <f t="shared" si="13"/>
        <v>04601</v>
      </c>
      <c r="D177" s="324" t="str">
        <f>"0032"</f>
        <v>0032</v>
      </c>
      <c r="E177" s="324">
        <v>3</v>
      </c>
      <c r="F177" s="827">
        <f>IF(OR(Brick_type="Timber Frame",Brick_type="Brick Veneer",Brick_type="Reverse Brick Veneer"),0,IF(AND((ISNUMBER(SEARCH("Busselton",Locality))),(Coastal="Yes")),CEILING(((StandardFaceCoredM2+StandardFaceSolidM2+Header2cM2+CommonsFaceM2+FaceBlocksM2+FaceVert76CoredM2+FaceVert76SolidM2+FinishingBrickM2+DuraclayVCRenderM2+LongreachCoredRenderM2+CommonsRenderM2)*3.6)+('Lintel Sheet'!F71/1000/0.3)+(COUNTIF(Lintel_Brick,"&lt;&gt;")*2),100),0))</f>
        <v>0</v>
      </c>
      <c r="G177" s="829"/>
      <c r="H177" s="412" t="s">
        <v>2640</v>
      </c>
      <c r="I177" s="1258"/>
      <c r="J177" s="2" t="str">
        <f>IF(Table5[[#This Row],[Entered]]&lt;&gt;Table5[[#This Row],[Quantity]],"Check","")</f>
        <v/>
      </c>
    </row>
    <row r="178" spans="1:10" ht="15" x14ac:dyDescent="0.2">
      <c r="A178" s="324" t="s">
        <v>2475</v>
      </c>
      <c r="B178" s="324" t="str">
        <f t="shared" si="12"/>
        <v>0480</v>
      </c>
      <c r="C178" s="324" t="str">
        <f t="shared" si="13"/>
        <v>04601</v>
      </c>
      <c r="D178" s="324" t="str">
        <f>"0046"</f>
        <v>0046</v>
      </c>
      <c r="E178" s="324">
        <v>1</v>
      </c>
      <c r="F178" s="827">
        <f>IF(AND(OR(Brick_type="Brick Veneer",Brick_type="Reverse Brick Veneer"),Locality="Busselton",(Coastal="Yes")),CEILING(((StandardFaceCoredM2+StandardFaceSolidM2+Header2cM2+CommonsFaceM2+FaceBlocksM2+FaceVert76CoredM2+FaceVert76SolidM2+FinishingBrickM2+DuraclayVCRenderM2+LongreachCoredRenderM2+CommonsRenderM2)*3.6)+('Lintel Sheet'!F71/1000/0.3)+(COUNTIF(Lintel_Brick,"&lt;&gt;")*2),100),0)+IF(AND(ISNUMBER(SEARCH("Busselton",Locality)),Coastal="Yes"),CEILING(((SUMIF(Name,"Reverse Brick Veneer",Length))/0.45)*4,100),0)</f>
        <v>0</v>
      </c>
      <c r="G178" s="829"/>
      <c r="H178" s="412" t="s">
        <v>2569</v>
      </c>
      <c r="I178" s="1258"/>
      <c r="J178" s="2" t="str">
        <f>IF(Table5[[#This Row],[Entered]]&lt;&gt;Table5[[#This Row],[Quantity]],"Check","")</f>
        <v/>
      </c>
    </row>
    <row r="179" spans="1:10" ht="15" x14ac:dyDescent="0.2">
      <c r="A179" s="324" t="s">
        <v>2475</v>
      </c>
      <c r="B179" s="324" t="str">
        <f t="shared" si="12"/>
        <v>0480</v>
      </c>
      <c r="C179" s="324" t="str">
        <f t="shared" si="13"/>
        <v>04601</v>
      </c>
      <c r="D179" s="324" t="str">
        <f>"0049"</f>
        <v>0049</v>
      </c>
      <c r="E179" s="324">
        <v>1</v>
      </c>
      <c r="F179" s="827">
        <f>IF(AND(OR(Brick_type="Brick Veneer",Brick_type="Reverse Brick Veneer"),(Coastal="No")),CEILING(((StandardFaceCoredM2+StandardFaceSolidM2+Header2cM2+CommonsFaceM2+FaceBlocksM2+FaceVert76CoredM2+FaceVert76SolidM2+FinishingBrickM2+DuraclayVCRenderM2+LongreachCoredRenderM2+CommonsRenderM2)*3.6)+('Lintel Sheet'!F71/1000/0.3)+(COUNTIF(Lintel_Brick,"&lt;&gt;")*2),100),0)+IF(AND(ISNUMBER(SEARCH("Busselton",Locality)),Coastal="No"),IF(COUNTIF(Name,"Reverse Brick Veneer")&gt;0,CEILING(((SUMIF(Name,"Reverse Brick Veneer",Length))/0.45)*4,100),0),0)</f>
        <v>0</v>
      </c>
      <c r="G179" s="829"/>
      <c r="H179" s="412" t="s">
        <v>2568</v>
      </c>
      <c r="I179" s="1258"/>
      <c r="J179" s="2" t="str">
        <f>IF(Table5[[#This Row],[Entered]]&lt;&gt;Table5[[#This Row],[Quantity]],"Check","")</f>
        <v/>
      </c>
    </row>
    <row r="180" spans="1:10" ht="15" x14ac:dyDescent="0.2">
      <c r="A180" s="324" t="s">
        <v>2475</v>
      </c>
      <c r="B180" s="324" t="str">
        <f t="shared" si="12"/>
        <v>0480</v>
      </c>
      <c r="C180" s="324" t="str">
        <f t="shared" si="13"/>
        <v>04601</v>
      </c>
      <c r="D180" s="324" t="str">
        <f>"0060"</f>
        <v>0060</v>
      </c>
      <c r="E180" s="324">
        <v>1</v>
      </c>
      <c r="F180" s="827">
        <f>IF(OR(Coastal="Yes",(Brick_type="Timber Frame")),0,COUNTIF(Name,"Door Entry*")*12)</f>
        <v>0</v>
      </c>
      <c r="G180" s="829">
        <v>0.5</v>
      </c>
      <c r="H180" s="412" t="s">
        <v>2570</v>
      </c>
      <c r="I180" s="1258"/>
      <c r="J180" s="2" t="str">
        <f>IF(Table5[[#This Row],[Entered]]&lt;&gt;Table5[[#This Row],[Quantity]],"Check","")</f>
        <v/>
      </c>
    </row>
    <row r="181" spans="1:10" ht="15" x14ac:dyDescent="0.2">
      <c r="A181" s="1103" t="s">
        <v>2475</v>
      </c>
      <c r="B181" s="1103" t="str">
        <f t="shared" si="12"/>
        <v>0480</v>
      </c>
      <c r="C181" s="1103" t="str">
        <f t="shared" si="13"/>
        <v>04601</v>
      </c>
      <c r="D181" s="1103" t="str">
        <f>"7000"</f>
        <v>7000</v>
      </c>
      <c r="E181" s="1103">
        <v>1</v>
      </c>
      <c r="F181" s="1104">
        <f>IF(OR(Coastal="No",(Brick_type="Timber Frame")),0,COUNTIF(Name,"Door Entry*")*12)</f>
        <v>0</v>
      </c>
      <c r="G181" s="1105">
        <v>3.77</v>
      </c>
      <c r="H181" s="1111" t="s">
        <v>1531</v>
      </c>
      <c r="I181" s="1205"/>
      <c r="J181" s="2" t="str">
        <f>IF(Table5[[#This Row],[Entered]]&lt;&gt;Table5[[#This Row],[Quantity]],"Check","")</f>
        <v/>
      </c>
    </row>
    <row r="182" spans="1:10" ht="15" x14ac:dyDescent="0.2">
      <c r="A182" s="324" t="s">
        <v>2475</v>
      </c>
      <c r="B182" s="324" t="str">
        <f t="shared" si="12"/>
        <v>0480</v>
      </c>
      <c r="C182" s="324" t="str">
        <f t="shared" si="13"/>
        <v>04601</v>
      </c>
      <c r="D182" s="324" t="str">
        <f>"0074"</f>
        <v>0074</v>
      </c>
      <c r="E182" s="324">
        <v>1</v>
      </c>
      <c r="F182" s="827">
        <f>IF(AND(Corrosion_Classification="R4",Brick_type="Full Render"),0,COUNTIF(Name,"Pier Rod"))</f>
        <v>0</v>
      </c>
      <c r="G182" s="829">
        <v>26.5</v>
      </c>
      <c r="H182" s="412" t="s">
        <v>2571</v>
      </c>
      <c r="I182" s="1258"/>
      <c r="J182" s="2" t="str">
        <f>IF(Table5[[#This Row],[Entered]]&lt;&gt;Table5[[#This Row],[Quantity]],"Check","")</f>
        <v/>
      </c>
    </row>
    <row r="183" spans="1:10" ht="15" x14ac:dyDescent="0.2">
      <c r="A183" s="324" t="s">
        <v>2475</v>
      </c>
      <c r="B183" s="324" t="str">
        <f t="shared" si="12"/>
        <v>0480</v>
      </c>
      <c r="C183" s="324" t="str">
        <f t="shared" si="13"/>
        <v>04601</v>
      </c>
      <c r="D183" s="324" t="str">
        <f>"0077"</f>
        <v>0077</v>
      </c>
      <c r="E183" s="324">
        <v>1</v>
      </c>
      <c r="F183" s="827">
        <f>IF(AND(Corrosion_Classification="R4",Brick_type="Full Render"),COUNTIF(Name,"Pier Rod"),0)</f>
        <v>0</v>
      </c>
      <c r="G183" s="829"/>
      <c r="H183" s="412" t="s">
        <v>2571</v>
      </c>
      <c r="I183" s="1258"/>
      <c r="J183" s="2" t="str">
        <f>IF(Table5[[#This Row],[Entered]]&lt;&gt;Table5[[#This Row],[Quantity]],"Check","")</f>
        <v/>
      </c>
    </row>
    <row r="184" spans="1:10" ht="15" x14ac:dyDescent="0.2">
      <c r="A184" s="324" t="s">
        <v>2475</v>
      </c>
      <c r="B184" s="324" t="str">
        <f t="shared" si="12"/>
        <v>0480</v>
      </c>
      <c r="C184" s="324" t="str">
        <f t="shared" si="13"/>
        <v>04601</v>
      </c>
      <c r="D184" s="324" t="str">
        <f>"0120"</f>
        <v>0120</v>
      </c>
      <c r="E184" s="324">
        <v>5</v>
      </c>
      <c r="F184" s="827">
        <f>IF(Brick_type&lt;&gt;"Timber Frame",0.25,0)</f>
        <v>0.25</v>
      </c>
      <c r="G184" s="829">
        <v>10</v>
      </c>
      <c r="H184" s="412" t="s">
        <v>2572</v>
      </c>
      <c r="I184" s="1258"/>
      <c r="J184" s="2" t="str">
        <f>IF(Table5[[#This Row],[Entered]]&lt;&gt;Table5[[#This Row],[Quantity]],"Check","")</f>
        <v>Check</v>
      </c>
    </row>
    <row r="185" spans="1:10" ht="15" x14ac:dyDescent="0.2">
      <c r="A185" s="324" t="s">
        <v>2475</v>
      </c>
      <c r="B185" s="324" t="str">
        <f t="shared" si="12"/>
        <v>0480</v>
      </c>
      <c r="C185" s="324" t="str">
        <f t="shared" si="13"/>
        <v>04601</v>
      </c>
      <c r="D185" s="324" t="str">
        <f>"0254"</f>
        <v>0254</v>
      </c>
      <c r="E185" s="324">
        <v>1</v>
      </c>
      <c r="F185" s="827">
        <f>IF(OR(Brick_type="Timber Frame",Brick_type="Brick Veneer"),0,IF(OR(Wind_Rating="N3",Wind_Rating="N4"),CEILING(H_Perim/IF(Roof_Type="Steel Roof",0.9,0.6),10),IF(Roof_Type="Steel Roof",CEILING(H_Perim/0.9,10),0)))</f>
        <v>0</v>
      </c>
      <c r="G185" s="829">
        <v>2.5</v>
      </c>
      <c r="H185" s="412" t="s">
        <v>2573</v>
      </c>
      <c r="I185" s="1258"/>
      <c r="J185" s="2" t="str">
        <f>IF(Table5[[#This Row],[Entered]]&lt;&gt;Table5[[#This Row],[Quantity]],"Check","")</f>
        <v/>
      </c>
    </row>
    <row r="186" spans="1:10" ht="15" x14ac:dyDescent="0.2">
      <c r="A186" s="324" t="s">
        <v>2475</v>
      </c>
      <c r="B186" s="324" t="str">
        <f t="shared" si="12"/>
        <v>0480</v>
      </c>
      <c r="C186" s="324" t="str">
        <f t="shared" si="13"/>
        <v>04601</v>
      </c>
      <c r="D186" s="324" t="str">
        <f>"0255"</f>
        <v>0255</v>
      </c>
      <c r="E186" s="324">
        <v>1</v>
      </c>
      <c r="F186" s="827">
        <f>CEILING(IF(OR(Brick_type="Timber Frame",Brick_type="Brick Veneer"),0,IF(OR(Wind_Rating="N3",Wind_Rating="N4"),ROUNDUP((COUNTIF('Lintel Sheet'!$F$5:$F$70,"&gt;2390")*2*3.6)/3,0),IF(Roof_Type="Steel Roof",COUNTIF('Lintel Sheet'!$F$5:$F$70,"&gt;2390")*2*3.6/3+(COUNTIF(Name,"TD Straps")*3)+(COUNTIF(Name,"Attached Pier")*2)+COUNTIF(Name,"House Corner Internal")+COUNTIF(Name,"House Corner External"),0))),10)</f>
        <v>0</v>
      </c>
      <c r="G186" s="829">
        <v>3.95</v>
      </c>
      <c r="H186" s="412" t="s">
        <v>2574</v>
      </c>
      <c r="I186" s="1258"/>
      <c r="J186" s="2" t="str">
        <f>IF(Table5[[#This Row],[Entered]]&lt;&gt;Table5[[#This Row],[Quantity]],"Check","")</f>
        <v/>
      </c>
    </row>
    <row r="187" spans="1:10" ht="15" x14ac:dyDescent="0.2">
      <c r="A187" s="324" t="s">
        <v>2475</v>
      </c>
      <c r="B187" s="324" t="str">
        <f t="shared" si="12"/>
        <v>0480</v>
      </c>
      <c r="C187" s="324" t="str">
        <f t="shared" si="13"/>
        <v>04601</v>
      </c>
      <c r="D187" s="324" t="str">
        <f>"0260"</f>
        <v>0260</v>
      </c>
      <c r="E187" s="324">
        <v>1</v>
      </c>
      <c r="F187" s="827">
        <f>_xlfn.CEILING.MATH(IF(Rods_Required="Yes",Rod_Order,0)+(COUNTIF(Lintel_Length,"&gt;4.8")*8),10)</f>
        <v>0</v>
      </c>
      <c r="G187" s="829">
        <v>5.5</v>
      </c>
      <c r="H187" s="412" t="s">
        <v>2647</v>
      </c>
      <c r="I187" s="1258"/>
      <c r="J187" s="2" t="str">
        <f>IF(Table5[[#This Row],[Entered]]&lt;&gt;Table5[[#This Row],[Quantity]],"Check","")</f>
        <v/>
      </c>
    </row>
    <row r="188" spans="1:10" ht="15" x14ac:dyDescent="0.2">
      <c r="A188" s="324" t="s">
        <v>2475</v>
      </c>
      <c r="B188" s="324" t="str">
        <f t="shared" si="12"/>
        <v>0480</v>
      </c>
      <c r="C188" s="324" t="str">
        <f t="shared" si="13"/>
        <v>04601</v>
      </c>
      <c r="D188" s="324" t="str">
        <f>"0261"</f>
        <v>0261</v>
      </c>
      <c r="E188" s="324">
        <v>1</v>
      </c>
      <c r="F188" s="827">
        <f>IF(Rods_Required="Yes",_xlfn.CEILING.MATH((COUNTIF(Name,"House Corner*")*4)+(COUNTIF(Name,"Wall 90 Int")/2),10),0)</f>
        <v>0</v>
      </c>
      <c r="G188" s="829">
        <v>3.64</v>
      </c>
      <c r="H188" s="412" t="s">
        <v>2648</v>
      </c>
      <c r="I188" s="1258"/>
      <c r="J188" s="2" t="str">
        <f>IF(Table5[[#This Row],[Entered]]&lt;&gt;Table5[[#This Row],[Quantity]],"Check","")</f>
        <v/>
      </c>
    </row>
    <row r="189" spans="1:10" ht="15" x14ac:dyDescent="0.2">
      <c r="A189" s="324" t="s">
        <v>2475</v>
      </c>
      <c r="B189" s="324" t="str">
        <f t="shared" si="12"/>
        <v>0480</v>
      </c>
      <c r="C189" s="324" t="str">
        <f t="shared" si="13"/>
        <v>04601</v>
      </c>
      <c r="D189" s="324" t="str">
        <f>"0280"</f>
        <v>0280</v>
      </c>
      <c r="E189" s="324">
        <v>1</v>
      </c>
      <c r="F189" s="827">
        <f>IF(Brick_type="Timber Frame",0,IF(Garage_Area&gt;0,1,0))</f>
        <v>0</v>
      </c>
      <c r="G189" s="829">
        <v>11.68</v>
      </c>
      <c r="H189" s="412" t="s">
        <v>2639</v>
      </c>
      <c r="I189" s="1258"/>
      <c r="J189" s="2" t="str">
        <f>IF(Table5[[#This Row],[Entered]]&lt;&gt;Table5[[#This Row],[Quantity]],"Check","")</f>
        <v/>
      </c>
    </row>
    <row r="190" spans="1:10" ht="15" x14ac:dyDescent="0.2">
      <c r="A190" s="324" t="s">
        <v>2475</v>
      </c>
      <c r="B190" s="324" t="str">
        <f t="shared" si="12"/>
        <v>0480</v>
      </c>
      <c r="C190" s="324" t="str">
        <f t="shared" si="13"/>
        <v>04601</v>
      </c>
      <c r="D190" s="324" t="str">
        <f>"0295"</f>
        <v>0295</v>
      </c>
      <c r="E190" s="324">
        <v>1</v>
      </c>
      <c r="F190" s="827">
        <f>IF(Brick_type="Timber Frame",0,ROUNDUP(SUMIF('Lintel Sheet'!J:J,"External",'Lintel Sheet'!M:M)/10,0)+ROUNDUP(SUMIF(Name,"*Column*",Height)/10,0))</f>
        <v>0</v>
      </c>
      <c r="G190" s="829">
        <v>32.950000000000003</v>
      </c>
      <c r="H190" s="412" t="s">
        <v>2638</v>
      </c>
      <c r="I190" s="1258"/>
      <c r="J190" s="2" t="str">
        <f>IF(Table5[[#This Row],[Entered]]&lt;&gt;Table5[[#This Row],[Quantity]],"Check","")</f>
        <v/>
      </c>
    </row>
    <row r="191" spans="1:10" ht="15" x14ac:dyDescent="0.2">
      <c r="A191" s="324" t="s">
        <v>2475</v>
      </c>
      <c r="B191" s="324" t="str">
        <f t="shared" si="12"/>
        <v>0480</v>
      </c>
      <c r="C191" s="324" t="str">
        <f t="shared" si="13"/>
        <v>04601</v>
      </c>
      <c r="D191" s="324" t="str">
        <f>"0482"</f>
        <v>0482</v>
      </c>
      <c r="E191" s="324">
        <v>1</v>
      </c>
      <c r="F191" s="827">
        <f>IF(Brick_type="Timber Frame",0,IF(BAL&gt;0,ROUNDUP((H_Perim/1.2)/25,0),0))</f>
        <v>0</v>
      </c>
      <c r="G191" s="829"/>
      <c r="H191" s="412" t="s">
        <v>3048</v>
      </c>
      <c r="I191" s="1258"/>
      <c r="J191" s="2" t="str">
        <f>IF(Table5[[#This Row],[Entered]]&lt;&gt;Table5[[#This Row],[Quantity]],"Check","")</f>
        <v/>
      </c>
    </row>
    <row r="192" spans="1:10" ht="15" x14ac:dyDescent="0.2">
      <c r="A192" s="324" t="s">
        <v>2475</v>
      </c>
      <c r="B192" s="324" t="str">
        <f t="shared" si="12"/>
        <v>0480</v>
      </c>
      <c r="C192" s="324" t="str">
        <f t="shared" si="13"/>
        <v>04601</v>
      </c>
      <c r="D192" s="324" t="str">
        <f>"0486"</f>
        <v>0486</v>
      </c>
      <c r="E192" s="324">
        <v>1</v>
      </c>
      <c r="F192" s="827">
        <f>IF(Brick_type="Timber Frame",0,IF(BAL=0,ROUNDUP((H_Perim/1.2)/25,0),0))</f>
        <v>0</v>
      </c>
      <c r="G192" s="829">
        <v>32</v>
      </c>
      <c r="H192" s="1117" t="s">
        <v>2576</v>
      </c>
      <c r="I192" s="1259"/>
      <c r="J192" s="2" t="str">
        <f>IF(Table5[[#This Row],[Entered]]&lt;&gt;Table5[[#This Row],[Quantity]],"Check","")</f>
        <v/>
      </c>
    </row>
    <row r="193" spans="1:10" ht="15" x14ac:dyDescent="0.2">
      <c r="A193" s="324" t="s">
        <v>2475</v>
      </c>
      <c r="B193" s="324" t="str">
        <f t="shared" si="12"/>
        <v>0480</v>
      </c>
      <c r="C193" s="324" t="str">
        <f t="shared" si="13"/>
        <v>04601</v>
      </c>
      <c r="D193" s="324" t="str">
        <f>"0490"</f>
        <v>0490</v>
      </c>
      <c r="E193" s="324">
        <v>1</v>
      </c>
      <c r="F193" s="1128">
        <v>0</v>
      </c>
      <c r="G193" s="829"/>
      <c r="H193" s="412" t="s">
        <v>3049</v>
      </c>
      <c r="I193" s="1258"/>
      <c r="J193" s="2" t="str">
        <f>IF(Table5[[#This Row],[Entered]]&lt;&gt;Table5[[#This Row],[Quantity]],"Check","")</f>
        <v/>
      </c>
    </row>
    <row r="194" spans="1:10" ht="15" x14ac:dyDescent="0.2">
      <c r="A194" s="324" t="s">
        <v>2475</v>
      </c>
      <c r="B194" s="324" t="str">
        <f t="shared" si="12"/>
        <v>0480</v>
      </c>
      <c r="C194" s="324" t="str">
        <f t="shared" si="13"/>
        <v>04601</v>
      </c>
      <c r="D194" s="324" t="str">
        <f>"0651"</f>
        <v>0651</v>
      </c>
      <c r="E194" s="324">
        <v>1</v>
      </c>
      <c r="F194" s="827">
        <f>IF(COUNTIF(Addenda!A:A,"*Electric Only Meter Box*"),1,0)</f>
        <v>0</v>
      </c>
      <c r="G194" s="829">
        <v>70</v>
      </c>
      <c r="H194" s="412" t="s">
        <v>2575</v>
      </c>
      <c r="I194" s="1258"/>
      <c r="J194" s="2" t="str">
        <f>IF(Table5[[#This Row],[Entered]]&lt;&gt;Table5[[#This Row],[Quantity]],"Check","")</f>
        <v/>
      </c>
    </row>
    <row r="195" spans="1:10" ht="15" x14ac:dyDescent="0.2">
      <c r="A195" s="324" t="s">
        <v>2475</v>
      </c>
      <c r="B195" s="324" t="str">
        <f t="shared" si="12"/>
        <v>0480</v>
      </c>
      <c r="C195" s="324" t="str">
        <f t="shared" si="13"/>
        <v>04601</v>
      </c>
      <c r="D195" s="324" t="str">
        <f>"0655"</f>
        <v>0655</v>
      </c>
      <c r="E195" s="324">
        <v>1</v>
      </c>
      <c r="F195" s="1128">
        <f>IF(COUNTIF(Addenda!A:A,"*view panel*"),1,0)</f>
        <v>0</v>
      </c>
      <c r="G195" s="829"/>
      <c r="H195" s="412" t="s">
        <v>2643</v>
      </c>
      <c r="I195" s="1258"/>
      <c r="J195" s="2" t="str">
        <f>IF(Table5[[#This Row],[Entered]]&lt;&gt;Table5[[#This Row],[Quantity]],"Check","")</f>
        <v/>
      </c>
    </row>
    <row r="196" spans="1:10" ht="15" x14ac:dyDescent="0.2">
      <c r="A196" s="324" t="s">
        <v>2475</v>
      </c>
      <c r="B196" s="324" t="str">
        <f t="shared" si="12"/>
        <v>0480</v>
      </c>
      <c r="C196" s="324" t="str">
        <f t="shared" si="13"/>
        <v>04601</v>
      </c>
      <c r="D196" s="324" t="str">
        <f>"0657"</f>
        <v>0657</v>
      </c>
      <c r="E196" s="324">
        <v>1</v>
      </c>
      <c r="F196" s="827">
        <f>IF(COUNTIF(Addenda!A:A,"*Combination Meter*"),1,0)</f>
        <v>0</v>
      </c>
      <c r="G196" s="829">
        <v>139</v>
      </c>
      <c r="H196" s="412" t="s">
        <v>2642</v>
      </c>
      <c r="I196" s="1258"/>
      <c r="J196" s="2" t="str">
        <f>IF(Table5[[#This Row],[Entered]]&lt;&gt;Table5[[#This Row],[Quantity]],"Check","")</f>
        <v/>
      </c>
    </row>
    <row r="197" spans="1:10" ht="15" x14ac:dyDescent="0.2">
      <c r="A197" s="324" t="s">
        <v>2475</v>
      </c>
      <c r="B197" s="324" t="str">
        <f t="shared" si="12"/>
        <v>0480</v>
      </c>
      <c r="C197" s="324" t="str">
        <f t="shared" si="13"/>
        <v>04601</v>
      </c>
      <c r="D197" s="324" t="str">
        <f>"0682"</f>
        <v>0682</v>
      </c>
      <c r="E197" s="324">
        <v>1</v>
      </c>
      <c r="F197" s="827">
        <f>IF(OR(Brick_type="Full Render",AND(Corrosion_Classification&lt;&gt;"R3",Corrosion_Classification&lt;&gt;"R4")),COUNTIFS(Name,"PWP",Height,"&lt;=29"),0)</f>
        <v>0</v>
      </c>
      <c r="G197" s="829"/>
      <c r="H197" s="412" t="s">
        <v>2577</v>
      </c>
      <c r="I197" s="1258"/>
      <c r="J197" s="2" t="str">
        <f>IF(Table5[[#This Row],[Entered]]&lt;&gt;Table5[[#This Row],[Quantity]],"Check","")</f>
        <v/>
      </c>
    </row>
    <row r="198" spans="1:10" ht="15" x14ac:dyDescent="0.2">
      <c r="A198" s="324" t="s">
        <v>2475</v>
      </c>
      <c r="B198" s="324" t="str">
        <f t="shared" si="12"/>
        <v>0480</v>
      </c>
      <c r="C198" s="324" t="str">
        <f t="shared" si="13"/>
        <v>04601</v>
      </c>
      <c r="D198" s="324" t="str">
        <f>"0683"</f>
        <v>0683</v>
      </c>
      <c r="E198" s="324">
        <v>1</v>
      </c>
      <c r="F198" s="827">
        <f>IF(OR(Brick_type="Full Render",AND(Corrosion_Classification&lt;&gt;"R3",Corrosion_Classification&lt;&gt;"R4")),COUNTIFS(Name,"PWP",Height,"&lt;=32",Height,"&gt;29"),0)</f>
        <v>0</v>
      </c>
      <c r="G198" s="829"/>
      <c r="H198" s="412" t="s">
        <v>2579</v>
      </c>
      <c r="I198" s="1258"/>
      <c r="J198" s="2" t="str">
        <f>IF(Table5[[#This Row],[Entered]]&lt;&gt;Table5[[#This Row],[Quantity]],"Check","")</f>
        <v/>
      </c>
    </row>
    <row r="199" spans="1:10" ht="15" x14ac:dyDescent="0.2">
      <c r="A199" s="324" t="s">
        <v>2475</v>
      </c>
      <c r="B199" s="324" t="str">
        <f t="shared" si="12"/>
        <v>0480</v>
      </c>
      <c r="C199" s="324" t="str">
        <f t="shared" si="13"/>
        <v>04601</v>
      </c>
      <c r="D199" s="324" t="str">
        <f>"0684"</f>
        <v>0684</v>
      </c>
      <c r="E199" s="324">
        <v>1</v>
      </c>
      <c r="F199" s="827">
        <f>IF(OR(Brick_type="Full Render",AND(Corrosion_Classification&lt;&gt;"R3",Corrosion_Classification&lt;&gt;"R4")),COUNTIFS(Name,"PWP",Height,"&lt;=35",Height,"&gt;32"),0)</f>
        <v>0</v>
      </c>
      <c r="G199" s="829"/>
      <c r="H199" s="412" t="s">
        <v>2578</v>
      </c>
      <c r="I199" s="1258"/>
      <c r="J199" s="2" t="str">
        <f>IF(Table5[[#This Row],[Entered]]&lt;&gt;Table5[[#This Row],[Quantity]],"Check","")</f>
        <v/>
      </c>
    </row>
    <row r="200" spans="1:10" ht="15" x14ac:dyDescent="0.2">
      <c r="A200" s="324" t="s">
        <v>2475</v>
      </c>
      <c r="B200" s="324" t="str">
        <f t="shared" si="12"/>
        <v>0480</v>
      </c>
      <c r="C200" s="324" t="str">
        <f t="shared" si="13"/>
        <v>04601</v>
      </c>
      <c r="D200" s="324" t="str">
        <f>"0686"</f>
        <v>0686</v>
      </c>
      <c r="E200" s="324">
        <v>1</v>
      </c>
      <c r="F200" s="827">
        <f>IF(AND(OR(Corrosion_Classification="R3",Corrosion_Classification="R4"),OR(Brick_type="2c Face",Brick_type="Standard Face")),COUNTIFS(Name,"PWP",Height,"&lt;=29"),0)</f>
        <v>0</v>
      </c>
      <c r="G200" s="829"/>
      <c r="H200" s="412" t="s">
        <v>3050</v>
      </c>
      <c r="I200" s="1258"/>
      <c r="J200" s="2" t="str">
        <f>IF(Table5[[#This Row],[Entered]]&lt;&gt;Table5[[#This Row],[Quantity]],"Check","")</f>
        <v/>
      </c>
    </row>
    <row r="201" spans="1:10" ht="15" x14ac:dyDescent="0.2">
      <c r="A201" s="324" t="s">
        <v>2475</v>
      </c>
      <c r="B201" s="324" t="str">
        <f t="shared" si="12"/>
        <v>0480</v>
      </c>
      <c r="C201" s="324" t="str">
        <f t="shared" si="13"/>
        <v>04601</v>
      </c>
      <c r="D201" s="324" t="str">
        <f>"0687"</f>
        <v>0687</v>
      </c>
      <c r="E201" s="324">
        <v>1</v>
      </c>
      <c r="F201" s="827">
        <f>IF(AND(OR(Corrosion_Classification="R3",Corrosion_Classification="R4"),OR(Brick_type="2c Face",Brick_type="Standard Face")),COUNTIFS(Name,"PWP",Height,"&lt;=32",Height,"&gt;29"),0)</f>
        <v>0</v>
      </c>
      <c r="G201" s="829"/>
      <c r="H201" s="412" t="s">
        <v>3051</v>
      </c>
      <c r="I201" s="1258"/>
      <c r="J201" s="2" t="str">
        <f>IF(Table5[[#This Row],[Entered]]&lt;&gt;Table5[[#This Row],[Quantity]],"Check","")</f>
        <v/>
      </c>
    </row>
    <row r="202" spans="1:10" ht="15" x14ac:dyDescent="0.2">
      <c r="A202" s="324" t="s">
        <v>2475</v>
      </c>
      <c r="B202" s="324" t="str">
        <f t="shared" si="12"/>
        <v>0480</v>
      </c>
      <c r="C202" s="324" t="str">
        <f t="shared" si="13"/>
        <v>04601</v>
      </c>
      <c r="D202" s="324" t="str">
        <f>"0688"</f>
        <v>0688</v>
      </c>
      <c r="E202" s="324">
        <v>1</v>
      </c>
      <c r="F202" s="827">
        <f>IF(AND(OR(Corrosion_Classification="R3",Corrosion_Classification="R4"),OR(Brick_type="2c Face",Brick_type="Standard Face")),COUNTIFS(Name,"PWP",Height,"&lt;=35",Height,"&gt;32"),0)</f>
        <v>0</v>
      </c>
      <c r="G202" s="829"/>
      <c r="H202" s="412" t="s">
        <v>3052</v>
      </c>
      <c r="I202" s="1258"/>
      <c r="J202" s="2" t="str">
        <f>IF(Table5[[#This Row],[Entered]]&lt;&gt;Table5[[#This Row],[Quantity]],"Check","")</f>
        <v/>
      </c>
    </row>
    <row r="203" spans="1:10" ht="15" x14ac:dyDescent="0.2">
      <c r="A203" s="324" t="s">
        <v>2475</v>
      </c>
      <c r="B203" s="324" t="str">
        <f t="shared" si="12"/>
        <v>0480</v>
      </c>
      <c r="C203" s="324" t="str">
        <f t="shared" si="13"/>
        <v>04601</v>
      </c>
      <c r="D203" s="324" t="str">
        <f>"0700"</f>
        <v>0700</v>
      </c>
      <c r="E203" s="324">
        <v>1</v>
      </c>
      <c r="F203" s="1128">
        <f>IF(COUNTIF(Addenda!A:A,"*ELECTRIC LOCK &amp; VIEW PANEL*"),1,0)</f>
        <v>0</v>
      </c>
      <c r="G203" s="829"/>
      <c r="H203" s="412" t="s">
        <v>2641</v>
      </c>
      <c r="I203" s="1258"/>
      <c r="J203" s="2" t="str">
        <f>IF(Table5[[#This Row],[Entered]]&lt;&gt;Table5[[#This Row],[Quantity]],"Check","")</f>
        <v/>
      </c>
    </row>
    <row r="204" spans="1:10" ht="15" x14ac:dyDescent="0.2">
      <c r="A204" s="324" t="s">
        <v>2475</v>
      </c>
      <c r="B204" s="324" t="str">
        <f t="shared" si="12"/>
        <v>0480</v>
      </c>
      <c r="C204" s="324" t="str">
        <f t="shared" si="13"/>
        <v>04601</v>
      </c>
      <c r="D204" s="324"/>
      <c r="E204" s="324">
        <v>1</v>
      </c>
      <c r="F204" s="1128"/>
      <c r="G204" s="829"/>
      <c r="H204" s="412" t="s">
        <v>2332</v>
      </c>
      <c r="I204" s="1258"/>
      <c r="J204" s="2" t="str">
        <f>IF(Table5[[#This Row],[Entered]]&lt;&gt;Table5[[#This Row],[Quantity]],"Check","")</f>
        <v/>
      </c>
    </row>
    <row r="205" spans="1:10" ht="15" x14ac:dyDescent="0.2">
      <c r="A205" s="324" t="s">
        <v>2475</v>
      </c>
      <c r="B205" s="324" t="str">
        <f t="shared" si="12"/>
        <v>0480</v>
      </c>
      <c r="C205" s="324" t="str">
        <f t="shared" si="13"/>
        <v>04601</v>
      </c>
      <c r="D205" s="324">
        <v>1010</v>
      </c>
      <c r="E205" s="324">
        <v>1</v>
      </c>
      <c r="F205" s="827">
        <f>IF(SUMIF(Name,"Wall Insulation",Length)&gt;11.25,ROUNDUP(SUMIF(Name,"Wall Insulation",Length)/22.5,0)*2,IF(SUMIF(Name,"Wall Insulation",Length)&gt;0,ROUNDUP(SUMIF(Name,"Wall Insulation",Length)/22.5,0),0))</f>
        <v>0</v>
      </c>
      <c r="G205" s="829">
        <v>324.05</v>
      </c>
      <c r="H205" s="412" t="s">
        <v>2644</v>
      </c>
      <c r="I205" s="1258"/>
      <c r="J205" s="2" t="str">
        <f>IF(Table5[[#This Row],[Entered]]&lt;&gt;Table5[[#This Row],[Quantity]],"Check","")</f>
        <v/>
      </c>
    </row>
    <row r="206" spans="1:10" ht="15" x14ac:dyDescent="0.2">
      <c r="A206" s="324" t="s">
        <v>2475</v>
      </c>
      <c r="B206" s="324" t="str">
        <f t="shared" si="12"/>
        <v>0480</v>
      </c>
      <c r="C206" s="324" t="str">
        <f t="shared" si="13"/>
        <v>04601</v>
      </c>
      <c r="D206" s="324">
        <v>1012</v>
      </c>
      <c r="E206" s="324">
        <v>1</v>
      </c>
      <c r="F206" s="827">
        <f>F205</f>
        <v>0</v>
      </c>
      <c r="G206" s="829">
        <v>68.5</v>
      </c>
      <c r="H206" s="412" t="s">
        <v>2645</v>
      </c>
      <c r="I206" s="1258"/>
      <c r="J206" s="2" t="str">
        <f>IF(Table5[[#This Row],[Entered]]&lt;&gt;Table5[[#This Row],[Quantity]],"Check","")</f>
        <v/>
      </c>
    </row>
    <row r="207" spans="1:10" ht="15" x14ac:dyDescent="0.2">
      <c r="A207" s="324" t="s">
        <v>2475</v>
      </c>
      <c r="B207" s="324" t="str">
        <f t="shared" si="12"/>
        <v>0480</v>
      </c>
      <c r="C207" s="324" t="str">
        <f t="shared" si="13"/>
        <v>04601</v>
      </c>
      <c r="D207" s="324">
        <v>1050</v>
      </c>
      <c r="E207" s="324">
        <v>1</v>
      </c>
      <c r="F207" s="827">
        <f>F205</f>
        <v>0</v>
      </c>
      <c r="G207" s="829">
        <v>30.05</v>
      </c>
      <c r="H207" s="412" t="s">
        <v>2646</v>
      </c>
      <c r="I207" s="1258"/>
      <c r="J207" s="2" t="str">
        <f>IF(Table5[[#This Row],[Entered]]&lt;&gt;Table5[[#This Row],[Quantity]],"Check","")</f>
        <v/>
      </c>
    </row>
    <row r="208" spans="1:10" ht="15" x14ac:dyDescent="0.2">
      <c r="A208" s="324" t="s">
        <v>2475</v>
      </c>
      <c r="B208" s="324" t="str">
        <f t="shared" si="12"/>
        <v>0480</v>
      </c>
      <c r="C208" s="324" t="str">
        <f t="shared" si="13"/>
        <v>04601</v>
      </c>
      <c r="D208" s="324"/>
      <c r="E208" s="324">
        <v>1</v>
      </c>
      <c r="F208" s="827">
        <f>IF(Eng_Footing="B1",CEILING(('Brickwork GF'!F4+'Brickwork GF'!F80+'Brickwork GF'!F81)/3000,5),0)</f>
        <v>0</v>
      </c>
      <c r="G208" s="829"/>
      <c r="H208" s="412" t="s">
        <v>1250</v>
      </c>
      <c r="I208" s="1258"/>
      <c r="J208" s="2" t="str">
        <f>IF(Table5[[#This Row],[Entered]]&lt;&gt;Table5[[#This Row],[Quantity]],"Check","")</f>
        <v/>
      </c>
    </row>
    <row r="209" spans="1:10" ht="15" x14ac:dyDescent="0.2">
      <c r="A209" s="324" t="s">
        <v>2475</v>
      </c>
      <c r="B209" s="324" t="str">
        <f t="shared" si="12"/>
        <v>0480</v>
      </c>
      <c r="C209" s="324" t="str">
        <f t="shared" si="13"/>
        <v>04601</v>
      </c>
      <c r="D209" s="324" t="str">
        <f>"3204"</f>
        <v>3204</v>
      </c>
      <c r="E209" s="324">
        <v>1</v>
      </c>
      <c r="F209" s="827">
        <f>COUNTIF(Name,"Column*")*2+COUNTIF(Name,"Pier Rod")*2+ROUNDUP(SUMIF('Lintel Sheet'!D:D,"Recessed Sill",'Lintel Sheet'!I:I)/0.6,0)</f>
        <v>0</v>
      </c>
      <c r="G209" s="829">
        <v>2.65</v>
      </c>
      <c r="H209" s="412" t="s">
        <v>2580</v>
      </c>
      <c r="I209" s="1258"/>
      <c r="J209" s="2" t="str">
        <f>IF(Table5[[#This Row],[Entered]]&lt;&gt;Table5[[#This Row],[Quantity]],"Check","")</f>
        <v/>
      </c>
    </row>
    <row r="210" spans="1:10" ht="15" x14ac:dyDescent="0.2">
      <c r="A210" s="324" t="s">
        <v>2475</v>
      </c>
      <c r="B210" s="324" t="str">
        <f t="shared" si="12"/>
        <v>0480</v>
      </c>
      <c r="C210" s="324" t="str">
        <f t="shared" si="13"/>
        <v>04601</v>
      </c>
      <c r="D210" s="324"/>
      <c r="E210" s="324">
        <v>1</v>
      </c>
      <c r="F210" s="827">
        <f>IF(FF_Area&gt;0,ROUNDUP(SUMIF(Name,"PGI Strap",Length)/2.4,0)*2,0)</f>
        <v>0</v>
      </c>
      <c r="G210" s="829"/>
      <c r="H210" s="412" t="s">
        <v>1476</v>
      </c>
      <c r="I210" s="1258"/>
      <c r="J210" s="2" t="str">
        <f>IF(Table5[[#This Row],[Entered]]&lt;&gt;Table5[[#This Row],[Quantity]],"Check","")</f>
        <v/>
      </c>
    </row>
    <row r="211" spans="1:10" ht="15" x14ac:dyDescent="0.2">
      <c r="A211" s="1103" t="s">
        <v>2475</v>
      </c>
      <c r="B211" s="1103" t="str">
        <f t="shared" si="12"/>
        <v>0480</v>
      </c>
      <c r="C211" s="1103" t="str">
        <f t="shared" si="13"/>
        <v>04601</v>
      </c>
      <c r="D211" s="1103"/>
      <c r="E211" s="1103">
        <v>1</v>
      </c>
      <c r="F211" s="1104"/>
      <c r="G211" s="1105"/>
      <c r="H211" s="1111" t="s">
        <v>1566</v>
      </c>
      <c r="I211" s="1205"/>
      <c r="J211" s="2" t="str">
        <f>IF(Table5[[#This Row],[Entered]]&lt;&gt;Table5[[#This Row],[Quantity]],"Check","")</f>
        <v/>
      </c>
    </row>
    <row r="212" spans="1:10" ht="15" x14ac:dyDescent="0.2">
      <c r="A212" s="1103" t="s">
        <v>2475</v>
      </c>
      <c r="B212" s="1103" t="str">
        <f t="shared" si="12"/>
        <v>0480</v>
      </c>
      <c r="C212" s="1103" t="str">
        <f t="shared" si="13"/>
        <v>04601</v>
      </c>
      <c r="D212" s="1103"/>
      <c r="E212" s="1103">
        <v>1</v>
      </c>
      <c r="F212" s="1104"/>
      <c r="G212" s="1105"/>
      <c r="H212" s="1111" t="s">
        <v>1567</v>
      </c>
      <c r="I212" s="1205"/>
      <c r="J212" s="2" t="str">
        <f>IF(Table5[[#This Row],[Entered]]&lt;&gt;Table5[[#This Row],[Quantity]],"Check","")</f>
        <v/>
      </c>
    </row>
    <row r="213" spans="1:10" ht="15" x14ac:dyDescent="0.2">
      <c r="A213" s="324" t="s">
        <v>2475</v>
      </c>
      <c r="B213" s="324" t="str">
        <f t="shared" si="12"/>
        <v>0480</v>
      </c>
      <c r="C213" s="324" t="str">
        <f t="shared" si="13"/>
        <v>04601</v>
      </c>
      <c r="D213" s="324">
        <f>9000</f>
        <v>9000</v>
      </c>
      <c r="E213" s="324">
        <v>1</v>
      </c>
      <c r="F213" s="827">
        <f>IF(Brick_type="Timber Frame",0,1)</f>
        <v>1</v>
      </c>
      <c r="G213" s="829">
        <v>50</v>
      </c>
      <c r="H213" s="412" t="s">
        <v>1017</v>
      </c>
      <c r="I213" s="1258"/>
      <c r="J213" s="2" t="str">
        <f>IF(Table5[[#This Row],[Entered]]&lt;&gt;Table5[[#This Row],[Quantity]],"Check","")</f>
        <v>Check</v>
      </c>
    </row>
    <row r="214" spans="1:10" ht="15" x14ac:dyDescent="0.2">
      <c r="A214" s="324"/>
      <c r="B214" s="324"/>
      <c r="C214" s="324"/>
      <c r="D214" s="324"/>
      <c r="E214" s="324"/>
      <c r="F214" s="827"/>
      <c r="G214" s="829"/>
      <c r="H214" s="412"/>
      <c r="I214" s="1207"/>
      <c r="J214" s="73" t="str">
        <f>IF(Table5[[#This Row],[Entered]]&lt;&gt;Table5[[#This Row],[Quantity]],"Check","")</f>
        <v/>
      </c>
    </row>
    <row r="215" spans="1:10" ht="15" x14ac:dyDescent="0.2">
      <c r="A215" s="324" t="s">
        <v>2475</v>
      </c>
      <c r="B215" s="324" t="str">
        <f t="shared" si="12"/>
        <v>0480</v>
      </c>
      <c r="C215" s="324" t="str">
        <f>"02111"</f>
        <v>02111</v>
      </c>
      <c r="D215" s="324">
        <v>7000</v>
      </c>
      <c r="E215" s="324">
        <v>1</v>
      </c>
      <c r="F215" s="827">
        <f>COUNTIFS(Name,"Thermaniche",Length,".355")</f>
        <v>0</v>
      </c>
      <c r="G215" s="829">
        <v>38.799999999999997</v>
      </c>
      <c r="H215" s="412" t="s">
        <v>3729</v>
      </c>
      <c r="I215" s="1207"/>
      <c r="J215" s="73" t="str">
        <f>IF(Table5[[#This Row],[Entered]]&lt;&gt;Table5[[#This Row],[Quantity]],"Check","")</f>
        <v/>
      </c>
    </row>
    <row r="216" spans="1:10" ht="15" x14ac:dyDescent="0.2">
      <c r="A216" s="324" t="s">
        <v>2475</v>
      </c>
      <c r="B216" s="324" t="str">
        <f t="shared" si="12"/>
        <v>0480</v>
      </c>
      <c r="C216" s="324" t="str">
        <f t="shared" ref="C216:C218" si="14">"02111"</f>
        <v>02111</v>
      </c>
      <c r="D216" s="324">
        <v>7001</v>
      </c>
      <c r="E216" s="324">
        <v>1</v>
      </c>
      <c r="F216" s="827">
        <f>COUNTIFS(Name,"Thermaniche",Length,".425")</f>
        <v>0</v>
      </c>
      <c r="G216" s="829">
        <v>38.799999999999997</v>
      </c>
      <c r="H216" s="412" t="s">
        <v>3731</v>
      </c>
      <c r="I216" s="1258"/>
      <c r="J216" s="73" t="str">
        <f>IF(Table5[[#This Row],[Entered]]&lt;&gt;Table5[[#This Row],[Quantity]],"Check","")</f>
        <v/>
      </c>
    </row>
    <row r="217" spans="1:10" ht="15" x14ac:dyDescent="0.2">
      <c r="A217" s="324" t="s">
        <v>2475</v>
      </c>
      <c r="B217" s="324" t="str">
        <f t="shared" si="12"/>
        <v>0480</v>
      </c>
      <c r="C217" s="324" t="str">
        <f t="shared" si="14"/>
        <v>02111</v>
      </c>
      <c r="D217" s="324">
        <v>7002</v>
      </c>
      <c r="E217" s="324">
        <v>1</v>
      </c>
      <c r="F217" s="827">
        <f>COUNTIFS(Name,"Thermaniche",Length,".605")</f>
        <v>0</v>
      </c>
      <c r="G217" s="829">
        <v>43.1</v>
      </c>
      <c r="H217" s="412" t="s">
        <v>3730</v>
      </c>
      <c r="I217" s="1207"/>
      <c r="J217" s="73" t="str">
        <f>IF(Table5[[#This Row],[Entered]]&lt;&gt;Table5[[#This Row],[Quantity]],"Check","")</f>
        <v/>
      </c>
    </row>
    <row r="218" spans="1:10" ht="15" x14ac:dyDescent="0.2">
      <c r="A218" s="324" t="s">
        <v>2475</v>
      </c>
      <c r="B218" s="324" t="str">
        <f t="shared" si="12"/>
        <v>0480</v>
      </c>
      <c r="C218" s="324" t="str">
        <f t="shared" si="14"/>
        <v>02111</v>
      </c>
      <c r="D218" s="324">
        <v>7003</v>
      </c>
      <c r="E218" s="324">
        <v>1</v>
      </c>
      <c r="F218" s="827">
        <f>IF(SUM(F215:F217)&gt;0,1,0)</f>
        <v>0</v>
      </c>
      <c r="G218" s="829">
        <v>0</v>
      </c>
      <c r="H218" s="412" t="s">
        <v>1017</v>
      </c>
      <c r="I218" s="1258"/>
      <c r="J218" s="2" t="str">
        <f>IF(Table5[[#This Row],[Entered]]&lt;&gt;Table5[[#This Row],[Quantity]],"Check","")</f>
        <v/>
      </c>
    </row>
    <row r="219" spans="1:10" ht="15" x14ac:dyDescent="0.2">
      <c r="A219" s="1103"/>
      <c r="B219" s="1103"/>
      <c r="C219" s="1103"/>
      <c r="D219" s="1103"/>
      <c r="E219" s="1103"/>
      <c r="F219" s="1104"/>
      <c r="G219" s="1105"/>
      <c r="H219" s="412"/>
      <c r="I219" s="1258"/>
      <c r="J219" s="2" t="str">
        <f>IF(Table5[[#This Row],[Entered]]&lt;&gt;Table5[[#This Row],[Quantity]],"Check","")</f>
        <v/>
      </c>
    </row>
    <row r="220" spans="1:10" ht="15" x14ac:dyDescent="0.2">
      <c r="A220" s="324" t="s">
        <v>2475</v>
      </c>
      <c r="B220" s="324" t="str">
        <f t="shared" ref="B220:B241" si="15">"0490"</f>
        <v>0490</v>
      </c>
      <c r="C220" s="324" t="str">
        <f t="shared" ref="C220:C241" si="16">"02004"</f>
        <v>02004</v>
      </c>
      <c r="D220" s="324" t="str">
        <f>"2190"</f>
        <v>2190</v>
      </c>
      <c r="E220" s="324">
        <v>4</v>
      </c>
      <c r="F220" s="827">
        <f>IF(COUNTIF(Addenda!A:A,"*KENNEDY*")&gt;0,FaceBlocks+Snaps,0)</f>
        <v>0</v>
      </c>
      <c r="G220" s="829">
        <v>1196</v>
      </c>
      <c r="H220" s="412" t="s">
        <v>3080</v>
      </c>
      <c r="I220" s="1258"/>
      <c r="J220" s="2" t="str">
        <f>IF(Table5[[#This Row],[Entered]]&lt;&gt;Table5[[#This Row],[Quantity]],"Check","")</f>
        <v/>
      </c>
    </row>
    <row r="221" spans="1:10" ht="15" x14ac:dyDescent="0.2">
      <c r="A221" s="324" t="s">
        <v>2475</v>
      </c>
      <c r="B221" s="324" t="str">
        <f t="shared" si="15"/>
        <v>0490</v>
      </c>
      <c r="C221" s="324" t="str">
        <f t="shared" si="16"/>
        <v>02004</v>
      </c>
      <c r="D221" s="324" t="str">
        <f>"2191"</f>
        <v>2191</v>
      </c>
      <c r="E221" s="324">
        <v>4</v>
      </c>
      <c r="F221" s="827">
        <f>IF(COUNTIF(Addenda!A:A,"*KENNEDY*")&gt;0,LongreachFaceBlockCored,0)</f>
        <v>0</v>
      </c>
      <c r="G221" s="829">
        <v>619</v>
      </c>
      <c r="H221" s="412" t="s">
        <v>3081</v>
      </c>
      <c r="I221" s="1258"/>
      <c r="J221" s="2" t="str">
        <f>IF(Table5[[#This Row],[Entered]]&lt;&gt;Table5[[#This Row],[Quantity]],"Check","")</f>
        <v/>
      </c>
    </row>
    <row r="222" spans="1:10" ht="15" x14ac:dyDescent="0.2">
      <c r="A222" s="324" t="s">
        <v>2475</v>
      </c>
      <c r="B222" s="324" t="str">
        <f t="shared" si="15"/>
        <v>0490</v>
      </c>
      <c r="C222" s="324" t="str">
        <f t="shared" si="16"/>
        <v>02004</v>
      </c>
      <c r="D222" s="324" t="str">
        <f>"2192"</f>
        <v>2192</v>
      </c>
      <c r="E222" s="324">
        <v>4</v>
      </c>
      <c r="F222" s="827">
        <f>IF(COUNTIF(Addenda!A:A,"*KENNEDY*")&gt;0,LongreachFaceBlockSolid,0)</f>
        <v>0</v>
      </c>
      <c r="G222" s="829">
        <v>819</v>
      </c>
      <c r="H222" s="412" t="s">
        <v>3082</v>
      </c>
      <c r="I222" s="1258"/>
      <c r="J222" s="2" t="str">
        <f>IF(Table5[[#This Row],[Entered]]&lt;&gt;Table5[[#This Row],[Quantity]],"Check","")</f>
        <v/>
      </c>
    </row>
    <row r="223" spans="1:10" ht="15" x14ac:dyDescent="0.2">
      <c r="A223" s="324" t="s">
        <v>2475</v>
      </c>
      <c r="B223" s="324" t="str">
        <f t="shared" si="15"/>
        <v>0490</v>
      </c>
      <c r="C223" s="324" t="str">
        <f t="shared" si="16"/>
        <v>02004</v>
      </c>
      <c r="D223" s="324" t="str">
        <f>"7000"</f>
        <v>7000</v>
      </c>
      <c r="E223" s="324">
        <v>4</v>
      </c>
      <c r="F223" s="827">
        <f>IF(COUNTIF(Addenda!A:A,"*KENNEDY*")&gt;0,FinishingBlocks,0)</f>
        <v>0</v>
      </c>
      <c r="G223" s="829">
        <v>1455</v>
      </c>
      <c r="H223" s="412" t="s">
        <v>3083</v>
      </c>
      <c r="I223" s="1258"/>
      <c r="J223" s="2" t="str">
        <f>IF(Table5[[#This Row],[Entered]]&lt;&gt;Table5[[#This Row],[Quantity]],"Check","")</f>
        <v/>
      </c>
    </row>
    <row r="224" spans="1:10" ht="15" x14ac:dyDescent="0.2">
      <c r="A224" s="324" t="s">
        <v>2475</v>
      </c>
      <c r="B224" s="324" t="str">
        <f t="shared" si="15"/>
        <v>0490</v>
      </c>
      <c r="C224" s="324" t="str">
        <f t="shared" si="16"/>
        <v>02004</v>
      </c>
      <c r="D224" s="324" t="str">
        <f>"1050"</f>
        <v>1050</v>
      </c>
      <c r="E224" s="324">
        <v>4</v>
      </c>
      <c r="F224" s="827">
        <f>IF(COUNTIF(Addenda!A:A,"*BURNISHED RED*")&gt;0,FaceCored,0)</f>
        <v>0</v>
      </c>
      <c r="G224" s="829">
        <v>760</v>
      </c>
      <c r="H224" s="412" t="s">
        <v>3824</v>
      </c>
      <c r="I224" s="1207"/>
      <c r="J224" s="73" t="str">
        <f>IF(Table5[[#This Row],[Entered]]&lt;&gt;Table5[[#This Row],[Quantity]],"Check","")</f>
        <v/>
      </c>
    </row>
    <row r="225" spans="1:10" ht="15" x14ac:dyDescent="0.2">
      <c r="A225" s="324" t="s">
        <v>2475</v>
      </c>
      <c r="B225" s="324" t="str">
        <f t="shared" si="15"/>
        <v>0490</v>
      </c>
      <c r="C225" s="324" t="str">
        <f t="shared" si="16"/>
        <v>02004</v>
      </c>
      <c r="D225" s="324" t="str">
        <f>"1051"</f>
        <v>1051</v>
      </c>
      <c r="E225" s="324">
        <v>4</v>
      </c>
      <c r="F225" s="827">
        <f>IF(COUNTIF(Addenda!A:A,"*BURNISHED RED*")&gt;0,FaceSolid,0)</f>
        <v>0</v>
      </c>
      <c r="G225" s="829">
        <v>560</v>
      </c>
      <c r="H225" s="412" t="s">
        <v>3825</v>
      </c>
      <c r="I225" s="1207"/>
      <c r="J225" s="73" t="str">
        <f>IF(Table5[[#This Row],[Entered]]&lt;&gt;Table5[[#This Row],[Quantity]],"Check","")</f>
        <v/>
      </c>
    </row>
    <row r="226" spans="1:10" ht="15" x14ac:dyDescent="0.2">
      <c r="A226" s="324" t="s">
        <v>2475</v>
      </c>
      <c r="B226" s="324" t="str">
        <f t="shared" si="15"/>
        <v>0490</v>
      </c>
      <c r="C226" s="324" t="str">
        <f t="shared" si="16"/>
        <v>02004</v>
      </c>
      <c r="D226" s="324" t="str">
        <f>"1116"</f>
        <v>1116</v>
      </c>
      <c r="E226" s="324">
        <v>4</v>
      </c>
      <c r="F226" s="827">
        <f>IF(COUNTIF(Addenda!A:A,"*LOONGANA LIMESTONE*")&gt;0,FaceBlocks+Snaps,0)</f>
        <v>0</v>
      </c>
      <c r="G226" s="829"/>
      <c r="H226" s="412" t="s">
        <v>3057</v>
      </c>
      <c r="I226" s="1258"/>
      <c r="J226" s="2" t="str">
        <f>IF(Table5[[#This Row],[Entered]]&lt;&gt;Table5[[#This Row],[Quantity]],"Check","")</f>
        <v/>
      </c>
    </row>
    <row r="227" spans="1:10" ht="15" x14ac:dyDescent="0.2">
      <c r="A227" s="324" t="s">
        <v>2475</v>
      </c>
      <c r="B227" s="324" t="str">
        <f t="shared" si="15"/>
        <v>0490</v>
      </c>
      <c r="C227" s="324" t="str">
        <f t="shared" si="16"/>
        <v>02004</v>
      </c>
      <c r="D227" s="324" t="str">
        <f>"1129"</f>
        <v>1129</v>
      </c>
      <c r="E227" s="324">
        <v>4</v>
      </c>
      <c r="F227" s="827">
        <f>IF(COUNTIF(Addenda!A:A,"*LOONGANA LIMESTONE*")&gt;0,LongreachFaceBlockCored,0)</f>
        <v>0</v>
      </c>
      <c r="G227" s="829"/>
      <c r="H227" s="412" t="s">
        <v>3058</v>
      </c>
      <c r="I227" s="1258"/>
      <c r="J227" s="2" t="str">
        <f>IF(Table5[[#This Row],[Entered]]&lt;&gt;Table5[[#This Row],[Quantity]],"Check","")</f>
        <v/>
      </c>
    </row>
    <row r="228" spans="1:10" ht="15" x14ac:dyDescent="0.2">
      <c r="A228" s="324" t="s">
        <v>2475</v>
      </c>
      <c r="B228" s="324" t="str">
        <f t="shared" si="15"/>
        <v>0490</v>
      </c>
      <c r="C228" s="324" t="str">
        <f t="shared" si="16"/>
        <v>02004</v>
      </c>
      <c r="D228" s="324" t="str">
        <f>"1117"</f>
        <v>1117</v>
      </c>
      <c r="E228" s="324">
        <v>4</v>
      </c>
      <c r="F228" s="827">
        <f>IF(COUNTIF(Addenda!A:A,"*LOONGANA LIMESTONE*")&gt;0,LongreachFaceBlockSolid,0)</f>
        <v>0</v>
      </c>
      <c r="G228" s="829"/>
      <c r="H228" s="412" t="s">
        <v>3059</v>
      </c>
      <c r="I228" s="1258"/>
      <c r="J228" s="2" t="str">
        <f>IF(Table5[[#This Row],[Entered]]&lt;&gt;Table5[[#This Row],[Quantity]],"Check","")</f>
        <v/>
      </c>
    </row>
    <row r="229" spans="1:10" ht="15" x14ac:dyDescent="0.2">
      <c r="A229" s="324" t="s">
        <v>2475</v>
      </c>
      <c r="B229" s="324" t="str">
        <f t="shared" si="15"/>
        <v>0490</v>
      </c>
      <c r="C229" s="324" t="str">
        <f t="shared" si="16"/>
        <v>02004</v>
      </c>
      <c r="D229" s="324" t="str">
        <f>"1119"</f>
        <v>1119</v>
      </c>
      <c r="E229" s="324">
        <v>4</v>
      </c>
      <c r="F229" s="827">
        <f>IF(COUNTIF(Addenda!A:A,"*LOONGANA LIMESTONE*")&gt;0,FinishingBlocks,0)</f>
        <v>0</v>
      </c>
      <c r="G229" s="829"/>
      <c r="H229" s="412" t="s">
        <v>3060</v>
      </c>
      <c r="I229" s="1258"/>
      <c r="J229" s="2" t="str">
        <f>IF(Table5[[#This Row],[Entered]]&lt;&gt;Table5[[#This Row],[Quantity]],"Check","")</f>
        <v/>
      </c>
    </row>
    <row r="230" spans="1:10" ht="15" x14ac:dyDescent="0.2">
      <c r="A230" s="324" t="s">
        <v>2475</v>
      </c>
      <c r="B230" s="324" t="str">
        <f t="shared" si="15"/>
        <v>0490</v>
      </c>
      <c r="C230" s="324" t="str">
        <f t="shared" si="16"/>
        <v>02004</v>
      </c>
      <c r="D230" s="324">
        <v>1150</v>
      </c>
      <c r="E230" s="324">
        <v>4</v>
      </c>
      <c r="F230" s="827">
        <f>IF(COUNTIF(Addenda!A:A,"*NOUVEAU GREY*")&gt;0,'Brickwork GF'!$I$38,0)</f>
        <v>0</v>
      </c>
      <c r="G230" s="829"/>
      <c r="H230" s="412" t="s">
        <v>3639</v>
      </c>
      <c r="I230" s="1258"/>
      <c r="J230" s="73" t="str">
        <f>IF(Table5[[#This Row],[Entered]]&lt;&gt;Table5[[#This Row],[Quantity]],"Check","")</f>
        <v/>
      </c>
    </row>
    <row r="231" spans="1:10" ht="15" x14ac:dyDescent="0.2">
      <c r="A231" s="324" t="s">
        <v>2475</v>
      </c>
      <c r="B231" s="324" t="str">
        <f t="shared" si="15"/>
        <v>0490</v>
      </c>
      <c r="C231" s="324" t="str">
        <f t="shared" si="16"/>
        <v>02004</v>
      </c>
      <c r="D231" s="324">
        <v>1151</v>
      </c>
      <c r="E231" s="324">
        <v>4</v>
      </c>
      <c r="F231" s="827">
        <f>IF(COUNTIF(Addenda!A:A,"*NOUVEAU GREY*")&gt;0,'Brickwork GF'!$I$39,0)</f>
        <v>0</v>
      </c>
      <c r="G231" s="829"/>
      <c r="H231" s="412" t="s">
        <v>3640</v>
      </c>
      <c r="I231" s="1207"/>
      <c r="J231" s="73" t="str">
        <f>IF(Table5[[#This Row],[Entered]]&lt;&gt;Table5[[#This Row],[Quantity]],"Check","")</f>
        <v/>
      </c>
    </row>
    <row r="232" spans="1:10" ht="15" x14ac:dyDescent="0.2">
      <c r="A232" s="324" t="s">
        <v>2475</v>
      </c>
      <c r="B232" s="324" t="str">
        <f t="shared" si="15"/>
        <v>0490</v>
      </c>
      <c r="C232" s="324" t="str">
        <f t="shared" si="16"/>
        <v>02004</v>
      </c>
      <c r="D232" s="324" t="str">
        <f>"2080"</f>
        <v>2080</v>
      </c>
      <c r="E232" s="324">
        <v>4</v>
      </c>
      <c r="F232" s="827">
        <f>IF(COUNTIF(Addenda!A:A,"*BULLARA*")&gt;0,FaceBlocks+Snaps,0)</f>
        <v>0</v>
      </c>
      <c r="G232" s="829">
        <v>1196</v>
      </c>
      <c r="H232" s="412" t="s">
        <v>3053</v>
      </c>
      <c r="I232" s="1258"/>
      <c r="J232" s="2" t="str">
        <f>IF(Table5[[#This Row],[Entered]]&lt;&gt;Table5[[#This Row],[Quantity]],"Check","")</f>
        <v/>
      </c>
    </row>
    <row r="233" spans="1:10" ht="15" x14ac:dyDescent="0.2">
      <c r="A233" s="324" t="s">
        <v>2475</v>
      </c>
      <c r="B233" s="324" t="str">
        <f t="shared" si="15"/>
        <v>0490</v>
      </c>
      <c r="C233" s="324" t="str">
        <f t="shared" si="16"/>
        <v>02004</v>
      </c>
      <c r="D233" s="324" t="str">
        <f>"2081"</f>
        <v>2081</v>
      </c>
      <c r="E233" s="324">
        <v>4</v>
      </c>
      <c r="F233" s="827">
        <f>IF(COUNTIF(Addenda!A:A,"*BULLARA*")&gt;0,LongreachFaceBlockCored,0)</f>
        <v>0</v>
      </c>
      <c r="G233" s="829">
        <v>619</v>
      </c>
      <c r="H233" s="412" t="s">
        <v>3054</v>
      </c>
      <c r="I233" s="1258"/>
      <c r="J233" s="2" t="str">
        <f>IF(Table5[[#This Row],[Entered]]&lt;&gt;Table5[[#This Row],[Quantity]],"Check","")</f>
        <v/>
      </c>
    </row>
    <row r="234" spans="1:10" ht="15" x14ac:dyDescent="0.2">
      <c r="A234" s="324" t="s">
        <v>2475</v>
      </c>
      <c r="B234" s="324" t="str">
        <f t="shared" si="15"/>
        <v>0490</v>
      </c>
      <c r="C234" s="324" t="str">
        <f t="shared" si="16"/>
        <v>02004</v>
      </c>
      <c r="D234" s="324" t="str">
        <f>"2082"</f>
        <v>2082</v>
      </c>
      <c r="E234" s="324">
        <v>4</v>
      </c>
      <c r="F234" s="827">
        <f>IF(COUNTIF(Addenda!A:A,"*BULLARA*")&gt;0,LongreachFaceBlockSolid,0)</f>
        <v>0</v>
      </c>
      <c r="G234" s="829">
        <v>819</v>
      </c>
      <c r="H234" s="412" t="s">
        <v>3055</v>
      </c>
      <c r="I234" s="1258"/>
      <c r="J234" s="2" t="str">
        <f>IF(Table5[[#This Row],[Entered]]&lt;&gt;Table5[[#This Row],[Quantity]],"Check","")</f>
        <v/>
      </c>
    </row>
    <row r="235" spans="1:10" ht="15" x14ac:dyDescent="0.2">
      <c r="A235" s="324" t="s">
        <v>2475</v>
      </c>
      <c r="B235" s="324" t="str">
        <f t="shared" si="15"/>
        <v>0490</v>
      </c>
      <c r="C235" s="324" t="str">
        <f t="shared" si="16"/>
        <v>02004</v>
      </c>
      <c r="D235" s="324" t="str">
        <f>"2087"</f>
        <v>2087</v>
      </c>
      <c r="E235" s="324">
        <v>4</v>
      </c>
      <c r="F235" s="827">
        <f>IF(COUNTIF(Addenda!A:A,"*BULLARA*")&gt;0,FinishingBlocks,0)</f>
        <v>0</v>
      </c>
      <c r="G235" s="829"/>
      <c r="H235" s="412" t="s">
        <v>3056</v>
      </c>
      <c r="I235" s="1258"/>
      <c r="J235" s="2" t="str">
        <f>IF(Table5[[#This Row],[Entered]]&lt;&gt;Table5[[#This Row],[Quantity]],"Check","")</f>
        <v/>
      </c>
    </row>
    <row r="236" spans="1:10" ht="15" x14ac:dyDescent="0.2">
      <c r="A236" s="324" t="s">
        <v>2475</v>
      </c>
      <c r="B236" s="324" t="str">
        <f t="shared" si="15"/>
        <v>0490</v>
      </c>
      <c r="C236" s="324" t="str">
        <f t="shared" si="16"/>
        <v>02004</v>
      </c>
      <c r="D236" s="324" t="str">
        <f>"2180"</f>
        <v>2180</v>
      </c>
      <c r="E236" s="324">
        <v>4</v>
      </c>
      <c r="F236" s="827">
        <f>IF(COUNTIF(Addenda!A:A,"*BREMER BAY*")&gt;0,FaceBlocks+Snaps,0)</f>
        <v>0</v>
      </c>
      <c r="G236" s="829"/>
      <c r="H236" s="412" t="s">
        <v>2652</v>
      </c>
      <c r="I236" s="1258"/>
      <c r="J236" s="2" t="str">
        <f>IF(Table5[[#This Row],[Entered]]&lt;&gt;Table5[[#This Row],[Quantity]],"Check","")</f>
        <v/>
      </c>
    </row>
    <row r="237" spans="1:10" ht="15" x14ac:dyDescent="0.2">
      <c r="A237" s="324" t="s">
        <v>2475</v>
      </c>
      <c r="B237" s="324" t="str">
        <f t="shared" si="15"/>
        <v>0490</v>
      </c>
      <c r="C237" s="324" t="str">
        <f t="shared" si="16"/>
        <v>02004</v>
      </c>
      <c r="D237" s="324" t="str">
        <f>"2181"</f>
        <v>2181</v>
      </c>
      <c r="E237" s="324">
        <v>4</v>
      </c>
      <c r="F237" s="827">
        <f>IF(COUNTIF(Addenda!A:A,"*BREMER BAY*")&gt;0,LongreachFaceBlockCored,0)</f>
        <v>0</v>
      </c>
      <c r="G237" s="829"/>
      <c r="H237" s="412" t="s">
        <v>2653</v>
      </c>
      <c r="I237" s="1258"/>
      <c r="J237" s="2" t="str">
        <f>IF(Table5[[#This Row],[Entered]]&lt;&gt;Table5[[#This Row],[Quantity]],"Check","")</f>
        <v/>
      </c>
    </row>
    <row r="238" spans="1:10" ht="15" x14ac:dyDescent="0.2">
      <c r="A238" s="324" t="s">
        <v>2475</v>
      </c>
      <c r="B238" s="324" t="str">
        <f t="shared" si="15"/>
        <v>0490</v>
      </c>
      <c r="C238" s="324" t="str">
        <f t="shared" si="16"/>
        <v>02004</v>
      </c>
      <c r="D238" s="324" t="str">
        <f>"2182"</f>
        <v>2182</v>
      </c>
      <c r="E238" s="324">
        <v>4</v>
      </c>
      <c r="F238" s="827">
        <f>IF(COUNTIF(Addenda!A:A,"*BREMER BAY*")&gt;0,LongreachFaceBlockSolid,0)</f>
        <v>0</v>
      </c>
      <c r="G238" s="829"/>
      <c r="H238" s="412" t="s">
        <v>2654</v>
      </c>
      <c r="I238" s="1258"/>
      <c r="J238" s="2" t="str">
        <f>IF(Table5[[#This Row],[Entered]]&lt;&gt;Table5[[#This Row],[Quantity]],"Check","")</f>
        <v/>
      </c>
    </row>
    <row r="239" spans="1:10" ht="15" x14ac:dyDescent="0.2">
      <c r="A239" s="324" t="s">
        <v>2475</v>
      </c>
      <c r="B239" s="324" t="str">
        <f t="shared" si="15"/>
        <v>0490</v>
      </c>
      <c r="C239" s="324" t="str">
        <f t="shared" si="16"/>
        <v>02004</v>
      </c>
      <c r="D239" s="324" t="str">
        <f>"7000"</f>
        <v>7000</v>
      </c>
      <c r="E239" s="324">
        <v>4</v>
      </c>
      <c r="F239" s="827">
        <f>IF(COUNTIF(Addenda!A:A,"*BREMER BAY*")&gt;0,FinishingBlocks,0)</f>
        <v>0</v>
      </c>
      <c r="G239" s="829">
        <v>1455</v>
      </c>
      <c r="H239" s="412" t="s">
        <v>2656</v>
      </c>
      <c r="I239" s="1258"/>
      <c r="J239" s="2" t="str">
        <f>IF(Table5[[#This Row],[Entered]]&lt;&gt;Table5[[#This Row],[Quantity]],"Check","")</f>
        <v/>
      </c>
    </row>
    <row r="240" spans="1:10" ht="15" x14ac:dyDescent="0.2">
      <c r="A240" s="324" t="s">
        <v>2475</v>
      </c>
      <c r="B240" s="324" t="str">
        <f t="shared" si="15"/>
        <v>0490</v>
      </c>
      <c r="C240" s="324" t="str">
        <f t="shared" si="16"/>
        <v>02004</v>
      </c>
      <c r="D240" s="324" t="str">
        <f>"8990"</f>
        <v>8990</v>
      </c>
      <c r="E240" s="324">
        <v>4</v>
      </c>
      <c r="F240" s="974">
        <f>FaceCored+FaceSolid+LongreachFaceBlockCored+LongreachFaceBlockSolid</f>
        <v>0</v>
      </c>
      <c r="G240" s="829">
        <v>1.5</v>
      </c>
      <c r="H240" s="412" t="s">
        <v>2655</v>
      </c>
      <c r="I240" s="1258"/>
      <c r="J240" s="2" t="str">
        <f>IF(Table5[[#This Row],[Entered]]&lt;&gt;Table5[[#This Row],[Quantity]],"Check","")</f>
        <v/>
      </c>
    </row>
    <row r="241" spans="1:10" ht="15" x14ac:dyDescent="0.2">
      <c r="A241" s="324" t="s">
        <v>2475</v>
      </c>
      <c r="B241" s="324" t="str">
        <f t="shared" si="15"/>
        <v>0490</v>
      </c>
      <c r="C241" s="324" t="str">
        <f t="shared" si="16"/>
        <v>02004</v>
      </c>
      <c r="D241" s="324" t="str">
        <f>"8991"</f>
        <v>8991</v>
      </c>
      <c r="E241" s="324">
        <v>4</v>
      </c>
      <c r="F241" s="827">
        <f>FaceBlocks+FinishingBlocks+Snaps</f>
        <v>0</v>
      </c>
      <c r="G241" s="829">
        <v>3</v>
      </c>
      <c r="H241" s="412" t="s">
        <v>2502</v>
      </c>
      <c r="I241" s="1258"/>
      <c r="J241" s="2" t="str">
        <f>IF(Table5[[#This Row],[Entered]]&lt;&gt;Table5[[#This Row],[Quantity]],"Check","")</f>
        <v/>
      </c>
    </row>
    <row r="242" spans="1:10" ht="15" x14ac:dyDescent="0.2">
      <c r="A242" s="324"/>
      <c r="B242" s="324"/>
      <c r="C242" s="324"/>
      <c r="D242" s="324"/>
      <c r="E242" s="324"/>
      <c r="F242" s="827"/>
      <c r="G242" s="829"/>
      <c r="H242" s="412"/>
      <c r="I242" s="1258"/>
      <c r="J242" s="2" t="str">
        <f>IF(Table5[[#This Row],[Entered]]&lt;&gt;Table5[[#This Row],[Quantity]],"Check","")</f>
        <v/>
      </c>
    </row>
    <row r="243" spans="1:10" ht="15" x14ac:dyDescent="0.2">
      <c r="A243" s="324" t="s">
        <v>2475</v>
      </c>
      <c r="B243" s="324" t="str">
        <f t="shared" ref="B243:B255" si="17">"0510"</f>
        <v>0510</v>
      </c>
      <c r="C243" s="324" t="str">
        <f t="shared" ref="C243:C255" si="18">"02004"</f>
        <v>02004</v>
      </c>
      <c r="D243" s="324" t="str">
        <f>"0002"</f>
        <v>0002</v>
      </c>
      <c r="E243" s="324">
        <v>4</v>
      </c>
      <c r="F243" s="827">
        <f>LongreachInternal+LongreachRender</f>
        <v>0</v>
      </c>
      <c r="G243" s="829">
        <v>525</v>
      </c>
      <c r="H243" s="412" t="s">
        <v>2581</v>
      </c>
      <c r="I243" s="1258"/>
      <c r="J243" s="2" t="str">
        <f>IF(Table5[[#This Row],[Entered]]&lt;&gt;Table5[[#This Row],[Quantity]],"Check","")</f>
        <v/>
      </c>
    </row>
    <row r="244" spans="1:10" ht="15" x14ac:dyDescent="0.2">
      <c r="A244" s="324" t="s">
        <v>2475</v>
      </c>
      <c r="B244" s="324" t="str">
        <f t="shared" si="17"/>
        <v>0510</v>
      </c>
      <c r="C244" s="324" t="str">
        <f t="shared" si="18"/>
        <v>02004</v>
      </c>
      <c r="D244" s="324" t="str">
        <f>"0006"</f>
        <v>0006</v>
      </c>
      <c r="E244" s="324">
        <v>4</v>
      </c>
      <c r="F244" s="827">
        <f>CommonsRender+FaceCommon</f>
        <v>0</v>
      </c>
      <c r="G244" s="1105"/>
      <c r="H244" s="412" t="s">
        <v>2582</v>
      </c>
      <c r="I244" s="1258"/>
      <c r="J244" s="2" t="str">
        <f>IF(Table5[[#This Row],[Entered]]&lt;&gt;Table5[[#This Row],[Quantity]],"Check","")</f>
        <v/>
      </c>
    </row>
    <row r="245" spans="1:10" ht="15" x14ac:dyDescent="0.2">
      <c r="A245" s="324" t="s">
        <v>2475</v>
      </c>
      <c r="B245" s="324" t="str">
        <f t="shared" si="17"/>
        <v>0510</v>
      </c>
      <c r="C245" s="324" t="str">
        <f t="shared" si="18"/>
        <v>02004</v>
      </c>
      <c r="D245" s="324" t="str">
        <f>"0008"</f>
        <v>0008</v>
      </c>
      <c r="E245" s="324">
        <v>4</v>
      </c>
      <c r="F245" s="827">
        <f ca="1">DuraclayInternal+VerticlayInternal+DuraclayRender</f>
        <v>0</v>
      </c>
      <c r="G245" s="829">
        <v>617</v>
      </c>
      <c r="H245" s="412" t="s">
        <v>2583</v>
      </c>
      <c r="I245" s="1258"/>
      <c r="J245" s="2" t="str">
        <f ca="1">IF(Table5[[#This Row],[Entered]]&lt;&gt;Table5[[#This Row],[Quantity]],"Check","")</f>
        <v/>
      </c>
    </row>
    <row r="246" spans="1:10" ht="15" x14ac:dyDescent="0.2">
      <c r="A246" s="324" t="s">
        <v>2475</v>
      </c>
      <c r="B246" s="324" t="str">
        <f t="shared" si="17"/>
        <v>0510</v>
      </c>
      <c r="C246" s="324" t="str">
        <f t="shared" si="18"/>
        <v>02004</v>
      </c>
      <c r="D246" s="324" t="str">
        <f>"0031"</f>
        <v>0031</v>
      </c>
      <c r="E246" s="324">
        <v>1</v>
      </c>
      <c r="F246" s="827" t="str">
        <f>IF(COUNTIFS(Name,"Brick Lintel",Length,"&gt;0",Length,"&lt;=.71")&gt;0,COUNTIFS(Name,"Brick Lintel",Length,"&gt;0",Length,"&lt;=.71"),"")</f>
        <v/>
      </c>
      <c r="G246" s="829"/>
      <c r="H246" s="412" t="s">
        <v>2584</v>
      </c>
      <c r="I246" s="1258"/>
      <c r="J246" s="2" t="str">
        <f>IF(Table5[[#This Row],[Entered]]&lt;&gt;Table5[[#This Row],[Quantity]],"Check","")</f>
        <v/>
      </c>
    </row>
    <row r="247" spans="1:10" ht="15" x14ac:dyDescent="0.2">
      <c r="A247" s="324" t="s">
        <v>2475</v>
      </c>
      <c r="B247" s="324" t="str">
        <f t="shared" si="17"/>
        <v>0510</v>
      </c>
      <c r="C247" s="324" t="str">
        <f t="shared" si="18"/>
        <v>02004</v>
      </c>
      <c r="D247" s="324" t="str">
        <f>"0032"</f>
        <v>0032</v>
      </c>
      <c r="E247" s="324">
        <v>1</v>
      </c>
      <c r="F247" s="827" t="str">
        <f>IF(COUNTIFS(Name,"Brick Lintel",Length,"&gt;.71",Length,"&lt;=1.02")&gt;0,COUNTIFS(Name,"Brick Lintel",Length,"&gt;.71",Length,"&lt;=1.02"),"")</f>
        <v/>
      </c>
      <c r="G247" s="829"/>
      <c r="H247" s="412" t="s">
        <v>2585</v>
      </c>
      <c r="I247" s="1258"/>
      <c r="J247" s="2" t="str">
        <f>IF(Table5[[#This Row],[Entered]]&lt;&gt;Table5[[#This Row],[Quantity]],"Check","")</f>
        <v/>
      </c>
    </row>
    <row r="248" spans="1:10" ht="15" x14ac:dyDescent="0.2">
      <c r="A248" s="324" t="s">
        <v>2475</v>
      </c>
      <c r="B248" s="324" t="str">
        <f t="shared" si="17"/>
        <v>0510</v>
      </c>
      <c r="C248" s="324" t="str">
        <f t="shared" si="18"/>
        <v>02004</v>
      </c>
      <c r="D248" s="324" t="str">
        <f>"0033"</f>
        <v>0033</v>
      </c>
      <c r="E248" s="324">
        <v>1</v>
      </c>
      <c r="F248" s="827" t="str">
        <f>IF(COUNTIFS(Name,"Brick Lintel",Length,"&gt;1.02",Length,"&lt;=1.34")&gt;0,COUNTIFS(Name,"Brick Lintel",Length,"&gt;1.02",Length,"&lt;=1.34"),"")</f>
        <v/>
      </c>
      <c r="G248" s="829"/>
      <c r="H248" s="412" t="s">
        <v>2586</v>
      </c>
      <c r="I248" s="1258"/>
      <c r="J248" s="2" t="str">
        <f>IF(Table5[[#This Row],[Entered]]&lt;&gt;Table5[[#This Row],[Quantity]],"Check","")</f>
        <v/>
      </c>
    </row>
    <row r="249" spans="1:10" ht="15" x14ac:dyDescent="0.2">
      <c r="A249" s="324" t="s">
        <v>2475</v>
      </c>
      <c r="B249" s="324" t="str">
        <f t="shared" si="17"/>
        <v>0510</v>
      </c>
      <c r="C249" s="324" t="str">
        <f t="shared" si="18"/>
        <v>02004</v>
      </c>
      <c r="D249" s="324" t="str">
        <f>"0034"</f>
        <v>0034</v>
      </c>
      <c r="E249" s="324">
        <v>1</v>
      </c>
      <c r="F249" s="827" t="str">
        <f>IF(COUNTIFS(Name,"Brick Lintel",Length,"&gt;1.34",Length,"&lt;=1.64")&gt;0,COUNTIFS(Name,"Brick Lintel",Length,"&gt;1.34",Length,"&lt;=1.64"),"")</f>
        <v/>
      </c>
      <c r="G249" s="829">
        <v>43.24</v>
      </c>
      <c r="H249" s="412" t="s">
        <v>2587</v>
      </c>
      <c r="I249" s="1258"/>
      <c r="J249" s="2" t="str">
        <f>IF(Table5[[#This Row],[Entered]]&lt;&gt;Table5[[#This Row],[Quantity]],"Check","")</f>
        <v/>
      </c>
    </row>
    <row r="250" spans="1:10" ht="15" x14ac:dyDescent="0.2">
      <c r="A250" s="324" t="s">
        <v>2475</v>
      </c>
      <c r="B250" s="324" t="str">
        <f t="shared" si="17"/>
        <v>0510</v>
      </c>
      <c r="C250" s="324" t="str">
        <f t="shared" si="18"/>
        <v>02004</v>
      </c>
      <c r="D250" s="324" t="str">
        <f>"0035"</f>
        <v>0035</v>
      </c>
      <c r="E250" s="324">
        <v>1</v>
      </c>
      <c r="F250" s="827" t="str">
        <f>IF(COUNTIFS(Name,"Brick Lintel",Length,"&gt;1.64",Length,"&lt;=1.97")&gt;0,COUNTIFS(Name,"Brick Lintel",Length,"&gt;1.64",Length,"&lt;=1.97"),"")</f>
        <v/>
      </c>
      <c r="G250" s="829"/>
      <c r="H250" s="412" t="s">
        <v>2588</v>
      </c>
      <c r="I250" s="1258"/>
      <c r="J250" s="2" t="str">
        <f>IF(Table5[[#This Row],[Entered]]&lt;&gt;Table5[[#This Row],[Quantity]],"Check","")</f>
        <v/>
      </c>
    </row>
    <row r="251" spans="1:10" ht="15" x14ac:dyDescent="0.2">
      <c r="A251" s="324" t="s">
        <v>2475</v>
      </c>
      <c r="B251" s="324" t="str">
        <f t="shared" si="17"/>
        <v>0510</v>
      </c>
      <c r="C251" s="324" t="str">
        <f t="shared" si="18"/>
        <v>02004</v>
      </c>
      <c r="D251" s="324" t="str">
        <f>"0036"</f>
        <v>0036</v>
      </c>
      <c r="E251" s="324">
        <v>1</v>
      </c>
      <c r="F251" s="827" t="str">
        <f>IF(COUNTIFS(Name,"Brick Lintel",Length,"&gt;1.97",Length,"&lt;=2.27")&gt;0,COUNTIFS(Name,"Brick Lintel",Length,"&gt;1.97",Length,"&lt;=2.27"),"")</f>
        <v/>
      </c>
      <c r="G251" s="829"/>
      <c r="H251" s="412" t="s">
        <v>2589</v>
      </c>
      <c r="I251" s="1258"/>
      <c r="J251" s="2" t="str">
        <f>IF(Table5[[#This Row],[Entered]]&lt;&gt;Table5[[#This Row],[Quantity]],"Check","")</f>
        <v/>
      </c>
    </row>
    <row r="252" spans="1:10" ht="15" x14ac:dyDescent="0.2">
      <c r="A252" s="324" t="s">
        <v>2475</v>
      </c>
      <c r="B252" s="324" t="str">
        <f t="shared" si="17"/>
        <v>0510</v>
      </c>
      <c r="C252" s="324" t="str">
        <f t="shared" si="18"/>
        <v>02004</v>
      </c>
      <c r="D252" s="324" t="str">
        <f>"0037"</f>
        <v>0037</v>
      </c>
      <c r="E252" s="324">
        <v>1</v>
      </c>
      <c r="F252" s="827" t="str">
        <f>IF(COUNTIFS(Name,"Brick Lintel",Length,"&gt;2.27",Length,"&lt;=2.6")&gt;0,COUNTIFS(Name,"Brick Lintel",Length,"&gt;2.27",Length,"&lt;=2.6"),"")</f>
        <v/>
      </c>
      <c r="G252" s="829"/>
      <c r="H252" s="412" t="s">
        <v>2590</v>
      </c>
      <c r="I252" s="1258"/>
      <c r="J252" s="2" t="str">
        <f>IF(Table5[[#This Row],[Entered]]&lt;&gt;Table5[[#This Row],[Quantity]],"Check","")</f>
        <v/>
      </c>
    </row>
    <row r="253" spans="1:10" ht="15" x14ac:dyDescent="0.2">
      <c r="A253" s="324" t="s">
        <v>2475</v>
      </c>
      <c r="B253" s="324" t="str">
        <f t="shared" si="17"/>
        <v>0510</v>
      </c>
      <c r="C253" s="324" t="str">
        <f t="shared" si="18"/>
        <v>02004</v>
      </c>
      <c r="D253" s="324" t="str">
        <f>"0038"</f>
        <v>0038</v>
      </c>
      <c r="E253" s="324">
        <v>1</v>
      </c>
      <c r="F253" s="827" t="str">
        <f>IF(COUNTIFS(Name,"Brick Lintel",Length,"&gt;2.6",Length,"&lt;=2.91")&gt;0,COUNTIFS(Name,"Brick Lintel",Length,"&gt;2.6",Length,"&lt;=2.91"),"")</f>
        <v/>
      </c>
      <c r="G253" s="829"/>
      <c r="H253" s="412" t="s">
        <v>2591</v>
      </c>
      <c r="I253" s="1258"/>
      <c r="J253" s="2" t="str">
        <f>IF(Table5[[#This Row],[Entered]]&lt;&gt;Table5[[#This Row],[Quantity]],"Check","")</f>
        <v/>
      </c>
    </row>
    <row r="254" spans="1:10" ht="15" x14ac:dyDescent="0.2">
      <c r="A254" s="324" t="s">
        <v>2475</v>
      </c>
      <c r="B254" s="324" t="str">
        <f t="shared" si="17"/>
        <v>0510</v>
      </c>
      <c r="C254" s="324" t="str">
        <f t="shared" si="18"/>
        <v>02004</v>
      </c>
      <c r="D254" s="324">
        <v>8990</v>
      </c>
      <c r="E254" s="324">
        <v>4</v>
      </c>
      <c r="F254" s="827">
        <f>LongreachInternal+LongreachRender+CommonsRender+FaceCommon</f>
        <v>0</v>
      </c>
      <c r="G254" s="829">
        <v>1.5</v>
      </c>
      <c r="H254" s="412" t="s">
        <v>2501</v>
      </c>
      <c r="I254" s="1258"/>
      <c r="J254" s="2" t="str">
        <f>IF(Table5[[#This Row],[Entered]]&lt;&gt;Table5[[#This Row],[Quantity]],"Check","")</f>
        <v/>
      </c>
    </row>
    <row r="255" spans="1:10" ht="15" x14ac:dyDescent="0.2">
      <c r="A255" s="324" t="s">
        <v>2475</v>
      </c>
      <c r="B255" s="324" t="str">
        <f t="shared" si="17"/>
        <v>0510</v>
      </c>
      <c r="C255" s="324" t="str">
        <f t="shared" si="18"/>
        <v>02004</v>
      </c>
      <c r="D255" s="324">
        <v>8991</v>
      </c>
      <c r="E255" s="324">
        <v>4</v>
      </c>
      <c r="F255" s="827">
        <f ca="1">DuraclayInternal+VerticlayInternal+DuraclayRender</f>
        <v>0</v>
      </c>
      <c r="G255" s="829">
        <v>3</v>
      </c>
      <c r="H255" s="412" t="s">
        <v>2502</v>
      </c>
      <c r="I255" s="1258"/>
      <c r="J255" s="2" t="str">
        <f ca="1">IF(Table5[[#This Row],[Entered]]&lt;&gt;Table5[[#This Row],[Quantity]],"Check","")</f>
        <v/>
      </c>
    </row>
    <row r="256" spans="1:10" ht="15" x14ac:dyDescent="0.2">
      <c r="A256" s="324"/>
      <c r="B256" s="324"/>
      <c r="C256" s="324"/>
      <c r="D256" s="324"/>
      <c r="E256" s="324"/>
      <c r="F256" s="827"/>
      <c r="G256" s="829"/>
      <c r="H256" s="412"/>
      <c r="I256" s="1258"/>
      <c r="J256" s="2" t="str">
        <f>IF(Table5[[#This Row],[Entered]]&lt;&gt;Table5[[#This Row],[Quantity]],"Check","")</f>
        <v/>
      </c>
    </row>
    <row r="257" spans="1:10" ht="15" x14ac:dyDescent="0.2">
      <c r="A257" s="324" t="s">
        <v>2475</v>
      </c>
      <c r="B257" s="324" t="str">
        <f t="shared" ref="B257:B288" si="19">"0520"</f>
        <v>0520</v>
      </c>
      <c r="C257" s="324">
        <v>10804600</v>
      </c>
      <c r="D257" s="324" t="str">
        <f>"0100"</f>
        <v>0100</v>
      </c>
      <c r="E257" s="324">
        <v>0</v>
      </c>
      <c r="F257" s="827" cm="1">
        <f t="array" ref="F257">IF(SUMPRODUCT(--ISNUMBER(SEARCH(TerryWoodmanseyZone1,Address)))&gt;0,1,0)</f>
        <v>0</v>
      </c>
      <c r="G257" s="829"/>
      <c r="H257" s="412" t="s">
        <v>2668</v>
      </c>
      <c r="I257" s="1258"/>
      <c r="J257" s="2" t="str">
        <f>IF(Table5[[#This Row],[Entered]]&lt;&gt;Table5[[#This Row],[Quantity]],"Check","")</f>
        <v/>
      </c>
    </row>
    <row r="258" spans="1:10" ht="15" x14ac:dyDescent="0.2">
      <c r="A258" s="324" t="s">
        <v>2475</v>
      </c>
      <c r="B258" s="324" t="str">
        <f t="shared" si="19"/>
        <v>0520</v>
      </c>
      <c r="C258" s="324">
        <v>10804600</v>
      </c>
      <c r="D258" s="324" t="str">
        <f>"0102"</f>
        <v>0102</v>
      </c>
      <c r="E258" s="324">
        <v>4</v>
      </c>
      <c r="F258" s="827" cm="1">
        <f t="array" ref="F258">IF(SUMPRODUCT(--ISNUMBER(SEARCH(TerryWoodmanseyZone1,Address)))&gt;0,SUM(FaceBlocks+FinishingBlocks+Snaps),0)</f>
        <v>0</v>
      </c>
      <c r="G258" s="829"/>
      <c r="H258" s="412" t="s">
        <v>2669</v>
      </c>
      <c r="I258" s="1258"/>
      <c r="J258" s="2" t="str">
        <f>IF(Table5[[#This Row],[Entered]]&lt;&gt;Table5[[#This Row],[Quantity]],"Check","")</f>
        <v/>
      </c>
    </row>
    <row r="259" spans="1:10" ht="15" x14ac:dyDescent="0.2">
      <c r="A259" s="324" t="s">
        <v>2475</v>
      </c>
      <c r="B259" s="324" t="str">
        <f t="shared" si="19"/>
        <v>0520</v>
      </c>
      <c r="C259" s="324">
        <v>10804600</v>
      </c>
      <c r="D259" s="324" t="str">
        <f>"0106"</f>
        <v>0106</v>
      </c>
      <c r="E259" s="324">
        <v>4</v>
      </c>
      <c r="F259" s="827" cm="1">
        <f t="array" ref="F259">IF(SUMPRODUCT(--ISNUMBER(SEARCH(TerryWoodmanseyZone1,Address)))&gt;0,FaceCored+FaceCommon+LongreachFaceBlockCored,0)</f>
        <v>0</v>
      </c>
      <c r="G259" s="829"/>
      <c r="H259" s="412" t="s">
        <v>2667</v>
      </c>
      <c r="I259" s="1258"/>
      <c r="J259" s="2" t="str">
        <f>IF(Table5[[#This Row],[Entered]]&lt;&gt;Table5[[#This Row],[Quantity]],"Check","")</f>
        <v/>
      </c>
    </row>
    <row r="260" spans="1:10" ht="15" x14ac:dyDescent="0.2">
      <c r="A260" s="324" t="s">
        <v>2475</v>
      </c>
      <c r="B260" s="324" t="str">
        <f t="shared" si="19"/>
        <v>0520</v>
      </c>
      <c r="C260" s="324">
        <v>10804600</v>
      </c>
      <c r="D260" s="324" t="str">
        <f>"0108"</f>
        <v>0108</v>
      </c>
      <c r="E260" s="324">
        <v>4</v>
      </c>
      <c r="F260" s="827" cm="1">
        <f t="array" ref="F260">IF(SUMPRODUCT(--ISNUMBER(SEARCH(TerryWoodmanseyZone1,Address)))&gt;0,FaceSolid+LongreachFaceBlockSolid,0)</f>
        <v>0</v>
      </c>
      <c r="G260" s="829"/>
      <c r="H260" s="412" t="s">
        <v>2670</v>
      </c>
      <c r="I260" s="1258"/>
      <c r="J260" s="2" t="str">
        <f>IF(Table5[[#This Row],[Entered]]&lt;&gt;Table5[[#This Row],[Quantity]],"Check","")</f>
        <v/>
      </c>
    </row>
    <row r="261" spans="1:10" ht="15" x14ac:dyDescent="0.2">
      <c r="A261" s="324" t="s">
        <v>2475</v>
      </c>
      <c r="B261" s="324" t="str">
        <f t="shared" si="19"/>
        <v>0520</v>
      </c>
      <c r="C261" s="324">
        <v>10804600</v>
      </c>
      <c r="D261" s="324" t="str">
        <f>"0110"</f>
        <v>0110</v>
      </c>
      <c r="E261" s="324">
        <v>4</v>
      </c>
      <c r="F261" s="827" cm="1">
        <f t="array" ref="F261">IF(SUMPRODUCT(--ISNUMBER(SEARCH(TerryWoodmanseyZone1,Address)))&gt;0,DuraclayInternal+VerticlayInternal+DuraclayRender,0)</f>
        <v>0</v>
      </c>
      <c r="G261" s="829"/>
      <c r="H261" s="412" t="s">
        <v>2671</v>
      </c>
      <c r="I261" s="1258"/>
      <c r="J261" s="2" t="str">
        <f>IF(Table5[[#This Row],[Entered]]&lt;&gt;Table5[[#This Row],[Quantity]],"Check","")</f>
        <v/>
      </c>
    </row>
    <row r="262" spans="1:10" ht="15" x14ac:dyDescent="0.2">
      <c r="A262" s="324" t="s">
        <v>2475</v>
      </c>
      <c r="B262" s="324" t="str">
        <f t="shared" si="19"/>
        <v>0520</v>
      </c>
      <c r="C262" s="324">
        <v>10804600</v>
      </c>
      <c r="D262" s="324" t="str">
        <f>"0114"</f>
        <v>0114</v>
      </c>
      <c r="E262" s="324">
        <v>4</v>
      </c>
      <c r="F262" s="827" cm="1">
        <f t="array" ref="F262">IF(SUMPRODUCT(--ISNUMBER(SEARCH(TerryWoodmanseyZone1,Address)))&gt;0,LongreachInternal+CommonsRender,0)</f>
        <v>0</v>
      </c>
      <c r="G262" s="829"/>
      <c r="H262" s="412" t="s">
        <v>2672</v>
      </c>
      <c r="I262" s="1258"/>
      <c r="J262" s="2" t="str">
        <f>IF(Table5[[#This Row],[Entered]]&lt;&gt;Table5[[#This Row],[Quantity]],"Check","")</f>
        <v/>
      </c>
    </row>
    <row r="263" spans="1:10" ht="15" x14ac:dyDescent="0.2">
      <c r="A263" s="324" t="s">
        <v>2475</v>
      </c>
      <c r="B263" s="324" t="str">
        <f t="shared" si="19"/>
        <v>0520</v>
      </c>
      <c r="C263" s="324">
        <v>10804600</v>
      </c>
      <c r="D263" s="324" t="str">
        <f>"0116"</f>
        <v>0116</v>
      </c>
      <c r="E263" s="324">
        <v>4</v>
      </c>
      <c r="F263" s="827"/>
      <c r="G263" s="829"/>
      <c r="H263" s="412" t="s">
        <v>2673</v>
      </c>
      <c r="I263" s="1258"/>
      <c r="J263" s="2" t="str">
        <f>IF(Table5[[#This Row],[Entered]]&lt;&gt;Table5[[#This Row],[Quantity]],"Check","")</f>
        <v/>
      </c>
    </row>
    <row r="264" spans="1:10" ht="15" x14ac:dyDescent="0.2">
      <c r="A264" s="324" t="s">
        <v>2475</v>
      </c>
      <c r="B264" s="324" t="str">
        <f t="shared" si="19"/>
        <v>0520</v>
      </c>
      <c r="C264" s="324">
        <v>10804600</v>
      </c>
      <c r="D264" s="324" t="str">
        <f>"0118"</f>
        <v>0118</v>
      </c>
      <c r="E264" s="324">
        <v>4</v>
      </c>
      <c r="F264" s="827"/>
      <c r="G264" s="829"/>
      <c r="H264" s="412" t="s">
        <v>2674</v>
      </c>
      <c r="I264" s="1258"/>
      <c r="J264" s="2" t="str">
        <f>IF(Table5[[#This Row],[Entered]]&lt;&gt;Table5[[#This Row],[Quantity]],"Check","")</f>
        <v/>
      </c>
    </row>
    <row r="265" spans="1:10" ht="15" x14ac:dyDescent="0.2">
      <c r="A265" s="324" t="s">
        <v>2475</v>
      </c>
      <c r="B265" s="324" t="str">
        <f t="shared" si="19"/>
        <v>0520</v>
      </c>
      <c r="C265" s="324">
        <v>10804600</v>
      </c>
      <c r="D265" s="324" t="str">
        <f>"0200"</f>
        <v>0200</v>
      </c>
      <c r="E265" s="324">
        <v>0</v>
      </c>
      <c r="F265" s="827" cm="1">
        <f t="array" ref="F265">IF(SUMPRODUCT(--ISNUMBER(SEARCH(TerryWoodmanseyZone2,Address)))&gt;0,1,0)</f>
        <v>0</v>
      </c>
      <c r="G265" s="829"/>
      <c r="H265" s="412" t="s">
        <v>3106</v>
      </c>
      <c r="I265" s="1258"/>
      <c r="J265" s="2" t="str">
        <f>IF(Table5[[#This Row],[Entered]]&lt;&gt;Table5[[#This Row],[Quantity]],"Check","")</f>
        <v/>
      </c>
    </row>
    <row r="266" spans="1:10" ht="15" x14ac:dyDescent="0.2">
      <c r="A266" s="324" t="s">
        <v>2475</v>
      </c>
      <c r="B266" s="324" t="str">
        <f t="shared" si="19"/>
        <v>0520</v>
      </c>
      <c r="C266" s="324">
        <v>10804600</v>
      </c>
      <c r="D266" s="324" t="str">
        <f>"0202"</f>
        <v>0202</v>
      </c>
      <c r="E266" s="324">
        <v>4</v>
      </c>
      <c r="F266" s="827" cm="1">
        <f t="array" ref="F266">IF(SUMPRODUCT(--ISNUMBER(SEARCH(TerryWoodmanseyZone2,Address)))&gt;0,SUM(FaceBlocks+FinishingBlocks+Snaps),0)</f>
        <v>0</v>
      </c>
      <c r="G266" s="829"/>
      <c r="H266" s="412" t="s">
        <v>2675</v>
      </c>
      <c r="I266" s="1258"/>
      <c r="J266" s="2" t="str">
        <f>IF(Table5[[#This Row],[Entered]]&lt;&gt;Table5[[#This Row],[Quantity]],"Check","")</f>
        <v/>
      </c>
    </row>
    <row r="267" spans="1:10" ht="15" x14ac:dyDescent="0.2">
      <c r="A267" s="324" t="s">
        <v>2475</v>
      </c>
      <c r="B267" s="324" t="str">
        <f t="shared" si="19"/>
        <v>0520</v>
      </c>
      <c r="C267" s="324">
        <v>10804600</v>
      </c>
      <c r="D267" s="324" t="str">
        <f>"0206"</f>
        <v>0206</v>
      </c>
      <c r="E267" s="324">
        <v>4</v>
      </c>
      <c r="F267" s="827" cm="1">
        <f t="array" ref="F267">IF(SUMPRODUCT(--ISNUMBER(SEARCH(TerryWoodmanseyZone2,Address)))&gt;0,FaceCored+FaceCommon+LongreachFaceBlockCored,0)</f>
        <v>0</v>
      </c>
      <c r="G267" s="829"/>
      <c r="H267" s="412" t="s">
        <v>2676</v>
      </c>
      <c r="I267" s="1258"/>
      <c r="J267" s="2" t="str">
        <f>IF(Table5[[#This Row],[Entered]]&lt;&gt;Table5[[#This Row],[Quantity]],"Check","")</f>
        <v/>
      </c>
    </row>
    <row r="268" spans="1:10" ht="15" x14ac:dyDescent="0.2">
      <c r="A268" s="324" t="s">
        <v>2475</v>
      </c>
      <c r="B268" s="324" t="str">
        <f t="shared" si="19"/>
        <v>0520</v>
      </c>
      <c r="C268" s="324">
        <v>10804600</v>
      </c>
      <c r="D268" s="324" t="str">
        <f>"0208"</f>
        <v>0208</v>
      </c>
      <c r="E268" s="324">
        <v>4</v>
      </c>
      <c r="F268" s="827" cm="1">
        <f t="array" ref="F268">IF(SUMPRODUCT(--ISNUMBER(SEARCH(TerryWoodmanseyZone2,Address)))&gt;0,FaceSolid+LongreachFaceBlockSolid,0)</f>
        <v>0</v>
      </c>
      <c r="G268" s="829"/>
      <c r="H268" s="412" t="s">
        <v>2677</v>
      </c>
      <c r="I268" s="1258"/>
      <c r="J268" s="2" t="str">
        <f>IF(Table5[[#This Row],[Entered]]&lt;&gt;Table5[[#This Row],[Quantity]],"Check","")</f>
        <v/>
      </c>
    </row>
    <row r="269" spans="1:10" ht="15" x14ac:dyDescent="0.2">
      <c r="A269" s="324" t="s">
        <v>2475</v>
      </c>
      <c r="B269" s="324" t="str">
        <f t="shared" si="19"/>
        <v>0520</v>
      </c>
      <c r="C269" s="324">
        <v>10804600</v>
      </c>
      <c r="D269" s="324" t="str">
        <f>"0210"</f>
        <v>0210</v>
      </c>
      <c r="E269" s="324">
        <v>4</v>
      </c>
      <c r="F269" s="827" cm="1">
        <f t="array" ref="F269">IF(SUMPRODUCT(--ISNUMBER(SEARCH(TerryWoodmanseyZone2,Address)))&gt;0,DuraclayInternal+VerticlayInternal+DuraclayRender,0)</f>
        <v>0</v>
      </c>
      <c r="G269" s="829"/>
      <c r="H269" s="412" t="s">
        <v>2678</v>
      </c>
      <c r="I269" s="1258"/>
      <c r="J269" s="2" t="str">
        <f>IF(Table5[[#This Row],[Entered]]&lt;&gt;Table5[[#This Row],[Quantity]],"Check","")</f>
        <v/>
      </c>
    </row>
    <row r="270" spans="1:10" ht="15" x14ac:dyDescent="0.2">
      <c r="A270" s="324" t="s">
        <v>2475</v>
      </c>
      <c r="B270" s="324" t="str">
        <f t="shared" si="19"/>
        <v>0520</v>
      </c>
      <c r="C270" s="324">
        <v>10804600</v>
      </c>
      <c r="D270" s="324" t="str">
        <f>"0214"</f>
        <v>0214</v>
      </c>
      <c r="E270" s="324">
        <v>4</v>
      </c>
      <c r="F270" s="827" cm="1">
        <f t="array" ref="F270">IF(SUMPRODUCT(--ISNUMBER(SEARCH(TerryWoodmanseyZone2,Address)))&gt;0,LongreachInternal+CommonsRender,0)</f>
        <v>0</v>
      </c>
      <c r="G270" s="829"/>
      <c r="H270" s="412" t="s">
        <v>2679</v>
      </c>
      <c r="I270" s="1258"/>
      <c r="J270" s="2" t="str">
        <f>IF(Table5[[#This Row],[Entered]]&lt;&gt;Table5[[#This Row],[Quantity]],"Check","")</f>
        <v/>
      </c>
    </row>
    <row r="271" spans="1:10" ht="15" x14ac:dyDescent="0.2">
      <c r="A271" s="324" t="s">
        <v>2475</v>
      </c>
      <c r="B271" s="324" t="str">
        <f t="shared" si="19"/>
        <v>0520</v>
      </c>
      <c r="C271" s="324">
        <v>10804600</v>
      </c>
      <c r="D271" s="324" t="str">
        <f>"0216"</f>
        <v>0216</v>
      </c>
      <c r="E271" s="324">
        <v>4</v>
      </c>
      <c r="F271" s="827"/>
      <c r="G271" s="829"/>
      <c r="H271" s="412" t="s">
        <v>2680</v>
      </c>
      <c r="I271" s="1258"/>
      <c r="J271" s="2" t="str">
        <f>IF(Table5[[#This Row],[Entered]]&lt;&gt;Table5[[#This Row],[Quantity]],"Check","")</f>
        <v/>
      </c>
    </row>
    <row r="272" spans="1:10" ht="15" x14ac:dyDescent="0.2">
      <c r="A272" s="324" t="s">
        <v>2475</v>
      </c>
      <c r="B272" s="324" t="str">
        <f t="shared" si="19"/>
        <v>0520</v>
      </c>
      <c r="C272" s="324">
        <v>10804600</v>
      </c>
      <c r="D272" s="324" t="str">
        <f>"0218"</f>
        <v>0218</v>
      </c>
      <c r="E272" s="324">
        <v>4</v>
      </c>
      <c r="F272" s="827"/>
      <c r="G272" s="829"/>
      <c r="H272" s="412" t="s">
        <v>2681</v>
      </c>
      <c r="I272" s="1258"/>
      <c r="J272" s="2" t="str">
        <f>IF(Table5[[#This Row],[Entered]]&lt;&gt;Table5[[#This Row],[Quantity]],"Check","")</f>
        <v/>
      </c>
    </row>
    <row r="273" spans="1:10" ht="15" x14ac:dyDescent="0.2">
      <c r="A273" s="324" t="s">
        <v>2475</v>
      </c>
      <c r="B273" s="324" t="str">
        <f t="shared" si="19"/>
        <v>0520</v>
      </c>
      <c r="C273" s="324">
        <v>10804600</v>
      </c>
      <c r="D273" s="324" t="str">
        <f>"0300"</f>
        <v>0300</v>
      </c>
      <c r="E273" s="324">
        <v>0</v>
      </c>
      <c r="F273" s="827" cm="1">
        <f t="array" ref="F273">IF(SUMPRODUCT(--ISNUMBER(SEARCH(TerryWoodmanseyZone3,Address)))&gt;0,1,0)</f>
        <v>0</v>
      </c>
      <c r="G273" s="829"/>
      <c r="H273" s="412" t="s">
        <v>3107</v>
      </c>
      <c r="I273" s="1258"/>
      <c r="J273" s="2" t="str">
        <f>IF(Table5[[#This Row],[Entered]]&lt;&gt;Table5[[#This Row],[Quantity]],"Check","")</f>
        <v/>
      </c>
    </row>
    <row r="274" spans="1:10" ht="15" x14ac:dyDescent="0.2">
      <c r="A274" s="324" t="s">
        <v>2475</v>
      </c>
      <c r="B274" s="324" t="str">
        <f t="shared" si="19"/>
        <v>0520</v>
      </c>
      <c r="C274" s="324">
        <v>10804600</v>
      </c>
      <c r="D274" s="324" t="str">
        <f>"0302"</f>
        <v>0302</v>
      </c>
      <c r="E274" s="324">
        <v>4</v>
      </c>
      <c r="F274" s="827" cm="1">
        <f t="array" ref="F274">IF(SUMPRODUCT(--ISNUMBER(SEARCH(TerryWoodmanseyZone3,Address)))&gt;0,SUM(FaceBlocks+FinishingBlocks+Snaps),0)</f>
        <v>0</v>
      </c>
      <c r="G274" s="829"/>
      <c r="H274" s="412" t="s">
        <v>2682</v>
      </c>
      <c r="I274" s="1258"/>
      <c r="J274" s="2" t="str">
        <f>IF(Table5[[#This Row],[Entered]]&lt;&gt;Table5[[#This Row],[Quantity]],"Check","")</f>
        <v/>
      </c>
    </row>
    <row r="275" spans="1:10" ht="15" x14ac:dyDescent="0.2">
      <c r="A275" s="324" t="s">
        <v>2475</v>
      </c>
      <c r="B275" s="324" t="str">
        <f t="shared" si="19"/>
        <v>0520</v>
      </c>
      <c r="C275" s="324">
        <v>10804600</v>
      </c>
      <c r="D275" s="324" t="str">
        <f>"0306"</f>
        <v>0306</v>
      </c>
      <c r="E275" s="324">
        <v>4</v>
      </c>
      <c r="F275" s="827" cm="1">
        <f t="array" ref="F275">IF(SUMPRODUCT(--ISNUMBER(SEARCH(TerryWoodmanseyZone3,Address)))&gt;0,FaceCored+FaceCommon+LongreachFaceBlockCored,0)</f>
        <v>0</v>
      </c>
      <c r="G275" s="829"/>
      <c r="H275" s="412" t="s">
        <v>2683</v>
      </c>
      <c r="I275" s="1258"/>
      <c r="J275" s="2" t="str">
        <f>IF(Table5[[#This Row],[Entered]]&lt;&gt;Table5[[#This Row],[Quantity]],"Check","")</f>
        <v/>
      </c>
    </row>
    <row r="276" spans="1:10" ht="15" x14ac:dyDescent="0.2">
      <c r="A276" s="324" t="s">
        <v>2475</v>
      </c>
      <c r="B276" s="324" t="str">
        <f t="shared" si="19"/>
        <v>0520</v>
      </c>
      <c r="C276" s="324">
        <v>10804600</v>
      </c>
      <c r="D276" s="324" t="str">
        <f>"0308"</f>
        <v>0308</v>
      </c>
      <c r="E276" s="324">
        <v>4</v>
      </c>
      <c r="F276" s="827" cm="1">
        <f t="array" ref="F276">IF(SUMPRODUCT(--ISNUMBER(SEARCH(TerryWoodmanseyZone3,Address)))&gt;0,FaceSolid+LongreachFaceBlockSolid,0)</f>
        <v>0</v>
      </c>
      <c r="G276" s="829"/>
      <c r="H276" s="412" t="s">
        <v>2684</v>
      </c>
      <c r="I276" s="1258"/>
      <c r="J276" s="2" t="str">
        <f>IF(Table5[[#This Row],[Entered]]&lt;&gt;Table5[[#This Row],[Quantity]],"Check","")</f>
        <v/>
      </c>
    </row>
    <row r="277" spans="1:10" ht="15" x14ac:dyDescent="0.2">
      <c r="A277" s="324" t="s">
        <v>2475</v>
      </c>
      <c r="B277" s="324" t="str">
        <f t="shared" si="19"/>
        <v>0520</v>
      </c>
      <c r="C277" s="324">
        <v>10804600</v>
      </c>
      <c r="D277" s="324" t="str">
        <f>"0310"</f>
        <v>0310</v>
      </c>
      <c r="E277" s="324">
        <v>4</v>
      </c>
      <c r="F277" s="827" cm="1">
        <f t="array" ref="F277">IF(SUMPRODUCT(--ISNUMBER(SEARCH(TerryWoodmanseyZone3,Address)))&gt;0,DuraclayInternal+VerticlayInternal+DuraclayRender,0)</f>
        <v>0</v>
      </c>
      <c r="G277" s="829"/>
      <c r="H277" s="412" t="s">
        <v>2685</v>
      </c>
      <c r="I277" s="1258"/>
      <c r="J277" s="2" t="str">
        <f>IF(Table5[[#This Row],[Entered]]&lt;&gt;Table5[[#This Row],[Quantity]],"Check","")</f>
        <v/>
      </c>
    </row>
    <row r="278" spans="1:10" ht="15" x14ac:dyDescent="0.2">
      <c r="A278" s="324" t="s">
        <v>2475</v>
      </c>
      <c r="B278" s="324" t="str">
        <f t="shared" si="19"/>
        <v>0520</v>
      </c>
      <c r="C278" s="324">
        <v>10804600</v>
      </c>
      <c r="D278" s="324" t="str">
        <f>"0314"</f>
        <v>0314</v>
      </c>
      <c r="E278" s="324">
        <v>4</v>
      </c>
      <c r="F278" s="827" cm="1">
        <f t="array" ref="F278">IF(SUMPRODUCT(--ISNUMBER(SEARCH(TerryWoodmanseyZone3,Address)))&gt;0,LongreachInternal+CommonsRender,0)</f>
        <v>0</v>
      </c>
      <c r="G278" s="829"/>
      <c r="H278" s="412" t="s">
        <v>2686</v>
      </c>
      <c r="I278" s="1258"/>
      <c r="J278" s="2" t="str">
        <f>IF(Table5[[#This Row],[Entered]]&lt;&gt;Table5[[#This Row],[Quantity]],"Check","")</f>
        <v/>
      </c>
    </row>
    <row r="279" spans="1:10" ht="15" x14ac:dyDescent="0.2">
      <c r="A279" s="324" t="s">
        <v>2475</v>
      </c>
      <c r="B279" s="324" t="str">
        <f t="shared" si="19"/>
        <v>0520</v>
      </c>
      <c r="C279" s="324">
        <v>10804600</v>
      </c>
      <c r="D279" s="324" t="str">
        <f>"0316"</f>
        <v>0316</v>
      </c>
      <c r="E279" s="324">
        <v>4</v>
      </c>
      <c r="F279" s="827"/>
      <c r="G279" s="829"/>
      <c r="H279" s="412" t="s">
        <v>2687</v>
      </c>
      <c r="I279" s="1258"/>
      <c r="J279" s="2" t="str">
        <f>IF(Table5[[#This Row],[Entered]]&lt;&gt;Table5[[#This Row],[Quantity]],"Check","")</f>
        <v/>
      </c>
    </row>
    <row r="280" spans="1:10" ht="15" x14ac:dyDescent="0.2">
      <c r="A280" s="324" t="s">
        <v>2475</v>
      </c>
      <c r="B280" s="324" t="str">
        <f t="shared" si="19"/>
        <v>0520</v>
      </c>
      <c r="C280" s="324">
        <v>10804600</v>
      </c>
      <c r="D280" s="324" t="str">
        <f>"0318"</f>
        <v>0318</v>
      </c>
      <c r="E280" s="324">
        <v>4</v>
      </c>
      <c r="F280" s="827"/>
      <c r="G280" s="829"/>
      <c r="H280" s="412" t="s">
        <v>2688</v>
      </c>
      <c r="I280" s="1258"/>
      <c r="J280" s="2" t="str">
        <f>IF(Table5[[#This Row],[Entered]]&lt;&gt;Table5[[#This Row],[Quantity]],"Check","")</f>
        <v/>
      </c>
    </row>
    <row r="281" spans="1:10" ht="15" x14ac:dyDescent="0.2">
      <c r="A281" s="324" t="s">
        <v>2475</v>
      </c>
      <c r="B281" s="324" t="str">
        <f t="shared" si="19"/>
        <v>0520</v>
      </c>
      <c r="C281" s="324">
        <v>10804600</v>
      </c>
      <c r="D281" s="324" t="str">
        <f>"0400"</f>
        <v>0400</v>
      </c>
      <c r="E281" s="324">
        <v>0</v>
      </c>
      <c r="F281" s="827" cm="1">
        <f t="array" ref="F281">IF(SUMPRODUCT(--ISNUMBER(SEARCH(TerryWoodmanseyZone4,Address)))&gt;0,1,0)</f>
        <v>0</v>
      </c>
      <c r="G281" s="829"/>
      <c r="H281" s="412" t="s">
        <v>3108</v>
      </c>
      <c r="I281" s="1258"/>
      <c r="J281" s="2" t="str">
        <f>IF(Table5[[#This Row],[Entered]]&lt;&gt;Table5[[#This Row],[Quantity]],"Check","")</f>
        <v/>
      </c>
    </row>
    <row r="282" spans="1:10" ht="15" x14ac:dyDescent="0.2">
      <c r="A282" s="324" t="s">
        <v>2475</v>
      </c>
      <c r="B282" s="324" t="str">
        <f t="shared" si="19"/>
        <v>0520</v>
      </c>
      <c r="C282" s="324">
        <v>10804600</v>
      </c>
      <c r="D282" s="324" t="str">
        <f>"0402"</f>
        <v>0402</v>
      </c>
      <c r="E282" s="324">
        <v>4</v>
      </c>
      <c r="F282" s="827" cm="1">
        <f t="array" ref="F282">IF(SUMPRODUCT(--ISNUMBER(SEARCH(TerryWoodmanseyZone4,Address)))&gt;0,SUM(FaceBlocks+FinishingBlocks+Snaps),0)</f>
        <v>0</v>
      </c>
      <c r="G282" s="829"/>
      <c r="H282" s="412" t="s">
        <v>2689</v>
      </c>
      <c r="I282" s="1258"/>
      <c r="J282" s="2" t="str">
        <f>IF(Table5[[#This Row],[Entered]]&lt;&gt;Table5[[#This Row],[Quantity]],"Check","")</f>
        <v/>
      </c>
    </row>
    <row r="283" spans="1:10" ht="15" x14ac:dyDescent="0.2">
      <c r="A283" s="324" t="s">
        <v>2475</v>
      </c>
      <c r="B283" s="324" t="str">
        <f t="shared" si="19"/>
        <v>0520</v>
      </c>
      <c r="C283" s="324">
        <v>10804600</v>
      </c>
      <c r="D283" s="324" t="str">
        <f>"0406"</f>
        <v>0406</v>
      </c>
      <c r="E283" s="324">
        <v>4</v>
      </c>
      <c r="F283" s="827" cm="1">
        <f t="array" ref="F283">IF(SUMPRODUCT(--ISNUMBER(SEARCH(TerryWoodmanseyZone4,Address)))&gt;0,FaceCored+FaceCommon+LongreachFaceBlockCored,0)</f>
        <v>0</v>
      </c>
      <c r="G283" s="829"/>
      <c r="H283" s="412" t="s">
        <v>2690</v>
      </c>
      <c r="I283" s="1258"/>
      <c r="J283" s="2" t="str">
        <f>IF(Table5[[#This Row],[Entered]]&lt;&gt;Table5[[#This Row],[Quantity]],"Check","")</f>
        <v/>
      </c>
    </row>
    <row r="284" spans="1:10" ht="15" x14ac:dyDescent="0.2">
      <c r="A284" s="324" t="s">
        <v>2475</v>
      </c>
      <c r="B284" s="324" t="str">
        <f t="shared" si="19"/>
        <v>0520</v>
      </c>
      <c r="C284" s="324">
        <v>10804600</v>
      </c>
      <c r="D284" s="324" t="str">
        <f>"0408"</f>
        <v>0408</v>
      </c>
      <c r="E284" s="324">
        <v>4</v>
      </c>
      <c r="F284" s="827" cm="1">
        <f t="array" ref="F284">IF(SUMPRODUCT(--ISNUMBER(SEARCH(TerryWoodmanseyZone4,Address)))&gt;0,FaceSolid+LongreachFaceBlockSolid,0)</f>
        <v>0</v>
      </c>
      <c r="G284" s="829"/>
      <c r="H284" s="412" t="s">
        <v>2691</v>
      </c>
      <c r="I284" s="1258"/>
      <c r="J284" s="2" t="str">
        <f>IF(Table5[[#This Row],[Entered]]&lt;&gt;Table5[[#This Row],[Quantity]],"Check","")</f>
        <v/>
      </c>
    </row>
    <row r="285" spans="1:10" ht="15" x14ac:dyDescent="0.2">
      <c r="A285" s="324" t="s">
        <v>2475</v>
      </c>
      <c r="B285" s="324" t="str">
        <f t="shared" si="19"/>
        <v>0520</v>
      </c>
      <c r="C285" s="324">
        <v>10804600</v>
      </c>
      <c r="D285" s="324" t="str">
        <f>"0410"</f>
        <v>0410</v>
      </c>
      <c r="E285" s="324">
        <v>4</v>
      </c>
      <c r="F285" s="827" cm="1">
        <f t="array" ref="F285">IF(SUMPRODUCT(--ISNUMBER(SEARCH(TerryWoodmanseyZone4,Address)))&gt;0,DuraclayInternal+VerticlayInternal+DuraclayRender,0)</f>
        <v>0</v>
      </c>
      <c r="G285" s="829"/>
      <c r="H285" s="412" t="s">
        <v>2692</v>
      </c>
      <c r="I285" s="1258"/>
      <c r="J285" s="2" t="str">
        <f>IF(Table5[[#This Row],[Entered]]&lt;&gt;Table5[[#This Row],[Quantity]],"Check","")</f>
        <v/>
      </c>
    </row>
    <row r="286" spans="1:10" ht="15" x14ac:dyDescent="0.2">
      <c r="A286" s="324" t="s">
        <v>2475</v>
      </c>
      <c r="B286" s="324" t="str">
        <f t="shared" si="19"/>
        <v>0520</v>
      </c>
      <c r="C286" s="324">
        <v>10804600</v>
      </c>
      <c r="D286" s="324" t="str">
        <f>"0414"</f>
        <v>0414</v>
      </c>
      <c r="E286" s="324">
        <v>4</v>
      </c>
      <c r="F286" s="827" cm="1">
        <f t="array" ref="F286">IF(SUMPRODUCT(--ISNUMBER(SEARCH(TerryWoodmanseyZone4,Address)))&gt;0,LongreachInternal+CommonsRender,0)</f>
        <v>0</v>
      </c>
      <c r="G286" s="829"/>
      <c r="H286" s="412" t="s">
        <v>2693</v>
      </c>
      <c r="I286" s="1258"/>
      <c r="J286" s="2" t="str">
        <f>IF(Table5[[#This Row],[Entered]]&lt;&gt;Table5[[#This Row],[Quantity]],"Check","")</f>
        <v/>
      </c>
    </row>
    <row r="287" spans="1:10" ht="15" x14ac:dyDescent="0.2">
      <c r="A287" s="324" t="s">
        <v>2475</v>
      </c>
      <c r="B287" s="324" t="str">
        <f t="shared" si="19"/>
        <v>0520</v>
      </c>
      <c r="C287" s="324">
        <v>10804600</v>
      </c>
      <c r="D287" s="324" t="str">
        <f>"0416"</f>
        <v>0416</v>
      </c>
      <c r="E287" s="324">
        <v>4</v>
      </c>
      <c r="F287" s="827"/>
      <c r="G287" s="829"/>
      <c r="H287" s="412" t="s">
        <v>2694</v>
      </c>
      <c r="I287" s="1258"/>
      <c r="J287" s="2" t="str">
        <f>IF(Table5[[#This Row],[Entered]]&lt;&gt;Table5[[#This Row],[Quantity]],"Check","")</f>
        <v/>
      </c>
    </row>
    <row r="288" spans="1:10" ht="15" x14ac:dyDescent="0.2">
      <c r="A288" s="324" t="s">
        <v>2475</v>
      </c>
      <c r="B288" s="324" t="str">
        <f t="shared" si="19"/>
        <v>0520</v>
      </c>
      <c r="C288" s="324">
        <v>10804600</v>
      </c>
      <c r="D288" s="324" t="str">
        <f>"0418"</f>
        <v>0418</v>
      </c>
      <c r="E288" s="324">
        <v>4</v>
      </c>
      <c r="F288" s="827"/>
      <c r="G288" s="829"/>
      <c r="H288" s="412" t="s">
        <v>2695</v>
      </c>
      <c r="I288" s="1258"/>
      <c r="J288" s="2" t="str">
        <f>IF(Table5[[#This Row],[Entered]]&lt;&gt;Table5[[#This Row],[Quantity]],"Check","")</f>
        <v/>
      </c>
    </row>
    <row r="289" spans="1:10" ht="15" x14ac:dyDescent="0.2">
      <c r="A289" s="324" t="s">
        <v>2475</v>
      </c>
      <c r="B289" s="324" t="str">
        <f t="shared" ref="B289:B320" si="20">"0520"</f>
        <v>0520</v>
      </c>
      <c r="C289" s="324">
        <v>10804600</v>
      </c>
      <c r="D289" s="324" t="str">
        <f>"0500"</f>
        <v>0500</v>
      </c>
      <c r="E289" s="324">
        <v>0</v>
      </c>
      <c r="F289" s="827" cm="1">
        <f t="array" ref="F289">IF(SUMPRODUCT(--ISNUMBER(SEARCH(TerryWoodmanseyZone5,Address)))&gt;0,1,0)</f>
        <v>0</v>
      </c>
      <c r="G289" s="829"/>
      <c r="H289" s="412" t="s">
        <v>3109</v>
      </c>
      <c r="I289" s="1258"/>
      <c r="J289" s="2" t="str">
        <f>IF(Table5[[#This Row],[Entered]]&lt;&gt;Table5[[#This Row],[Quantity]],"Check","")</f>
        <v/>
      </c>
    </row>
    <row r="290" spans="1:10" ht="15" x14ac:dyDescent="0.2">
      <c r="A290" s="324" t="s">
        <v>2475</v>
      </c>
      <c r="B290" s="324" t="str">
        <f t="shared" si="20"/>
        <v>0520</v>
      </c>
      <c r="C290" s="324">
        <v>10804600</v>
      </c>
      <c r="D290" s="324" t="str">
        <f>"0502"</f>
        <v>0502</v>
      </c>
      <c r="E290" s="324">
        <v>4</v>
      </c>
      <c r="F290" s="827" cm="1">
        <f t="array" ref="F290">IF(SUMPRODUCT(--ISNUMBER(SEARCH(TerryWoodmanseyZone5,Address)))&gt;0,SUM(FaceBlocks+FinishingBlocks+Snaps),0)</f>
        <v>0</v>
      </c>
      <c r="G290" s="829"/>
      <c r="H290" s="412" t="s">
        <v>2696</v>
      </c>
      <c r="I290" s="1258"/>
      <c r="J290" s="2" t="str">
        <f>IF(Table5[[#This Row],[Entered]]&lt;&gt;Table5[[#This Row],[Quantity]],"Check","")</f>
        <v/>
      </c>
    </row>
    <row r="291" spans="1:10" ht="15" x14ac:dyDescent="0.2">
      <c r="A291" s="324" t="s">
        <v>2475</v>
      </c>
      <c r="B291" s="324" t="str">
        <f t="shared" si="20"/>
        <v>0520</v>
      </c>
      <c r="C291" s="324">
        <v>10804600</v>
      </c>
      <c r="D291" s="324" t="str">
        <f>"0506"</f>
        <v>0506</v>
      </c>
      <c r="E291" s="324">
        <v>4</v>
      </c>
      <c r="F291" s="827" cm="1">
        <f t="array" ref="F291">IF(SUMPRODUCT(--ISNUMBER(SEARCH(TerryWoodmanseyZone5,Address)))&gt;0,FaceCored+FaceCommon+LongreachFaceBlockCored,0)</f>
        <v>0</v>
      </c>
      <c r="G291" s="829"/>
      <c r="H291" s="412" t="s">
        <v>2697</v>
      </c>
      <c r="I291" s="1258"/>
      <c r="J291" s="2" t="str">
        <f>IF(Table5[[#This Row],[Entered]]&lt;&gt;Table5[[#This Row],[Quantity]],"Check","")</f>
        <v/>
      </c>
    </row>
    <row r="292" spans="1:10" ht="15" x14ac:dyDescent="0.2">
      <c r="A292" s="324" t="s">
        <v>2475</v>
      </c>
      <c r="B292" s="324" t="str">
        <f t="shared" si="20"/>
        <v>0520</v>
      </c>
      <c r="C292" s="324">
        <v>10804600</v>
      </c>
      <c r="D292" s="324" t="str">
        <f>"0508"</f>
        <v>0508</v>
      </c>
      <c r="E292" s="324">
        <v>4</v>
      </c>
      <c r="F292" s="827" cm="1">
        <f t="array" ref="F292">IF(SUMPRODUCT(--ISNUMBER(SEARCH(TerryWoodmanseyZone5,Address)))&gt;0,FaceSolid+LongreachFaceBlockSolid,0)</f>
        <v>0</v>
      </c>
      <c r="G292" s="829"/>
      <c r="H292" s="412" t="s">
        <v>2698</v>
      </c>
      <c r="I292" s="1258"/>
      <c r="J292" s="2" t="str">
        <f>IF(Table5[[#This Row],[Entered]]&lt;&gt;Table5[[#This Row],[Quantity]],"Check","")</f>
        <v/>
      </c>
    </row>
    <row r="293" spans="1:10" ht="15" x14ac:dyDescent="0.2">
      <c r="A293" s="324" t="s">
        <v>2475</v>
      </c>
      <c r="B293" s="324" t="str">
        <f t="shared" si="20"/>
        <v>0520</v>
      </c>
      <c r="C293" s="324">
        <v>10804600</v>
      </c>
      <c r="D293" s="324" t="str">
        <f>"0510"</f>
        <v>0510</v>
      </c>
      <c r="E293" s="324">
        <v>4</v>
      </c>
      <c r="F293" s="827" cm="1">
        <f t="array" ref="F293">IF(SUMPRODUCT(--ISNUMBER(SEARCH(TerryWoodmanseyZone5,Address)))&gt;0,DuraclayInternal+VerticlayInternal+DuraclayRender,0)</f>
        <v>0</v>
      </c>
      <c r="G293" s="829"/>
      <c r="H293" s="412" t="s">
        <v>2699</v>
      </c>
      <c r="I293" s="1258"/>
      <c r="J293" s="2" t="str">
        <f>IF(Table5[[#This Row],[Entered]]&lt;&gt;Table5[[#This Row],[Quantity]],"Check","")</f>
        <v/>
      </c>
    </row>
    <row r="294" spans="1:10" ht="15" x14ac:dyDescent="0.2">
      <c r="A294" s="324" t="s">
        <v>2475</v>
      </c>
      <c r="B294" s="324" t="str">
        <f t="shared" si="20"/>
        <v>0520</v>
      </c>
      <c r="C294" s="324">
        <v>10804600</v>
      </c>
      <c r="D294" s="324" t="str">
        <f>"0514"</f>
        <v>0514</v>
      </c>
      <c r="E294" s="324">
        <v>4</v>
      </c>
      <c r="F294" s="827" cm="1">
        <f t="array" ref="F294">IF(SUMPRODUCT(--ISNUMBER(SEARCH(TerryWoodmanseyZone5,Address)))&gt;0,LongreachInternal+CommonsRender,0)</f>
        <v>0</v>
      </c>
      <c r="G294" s="829"/>
      <c r="H294" s="412" t="s">
        <v>2700</v>
      </c>
      <c r="I294" s="1258"/>
      <c r="J294" s="2" t="str">
        <f>IF(Table5[[#This Row],[Entered]]&lt;&gt;Table5[[#This Row],[Quantity]],"Check","")</f>
        <v/>
      </c>
    </row>
    <row r="295" spans="1:10" ht="15" x14ac:dyDescent="0.2">
      <c r="A295" s="324" t="s">
        <v>2475</v>
      </c>
      <c r="B295" s="324" t="str">
        <f t="shared" si="20"/>
        <v>0520</v>
      </c>
      <c r="C295" s="324">
        <v>10804600</v>
      </c>
      <c r="D295" s="324" t="str">
        <f>"0516"</f>
        <v>0516</v>
      </c>
      <c r="E295" s="324">
        <v>4</v>
      </c>
      <c r="F295" s="827"/>
      <c r="G295" s="829"/>
      <c r="H295" s="412" t="s">
        <v>2701</v>
      </c>
      <c r="I295" s="1258"/>
      <c r="J295" s="2" t="str">
        <f>IF(Table5[[#This Row],[Entered]]&lt;&gt;Table5[[#This Row],[Quantity]],"Check","")</f>
        <v/>
      </c>
    </row>
    <row r="296" spans="1:10" ht="15" x14ac:dyDescent="0.2">
      <c r="A296" s="324" t="s">
        <v>2475</v>
      </c>
      <c r="B296" s="324" t="str">
        <f t="shared" si="20"/>
        <v>0520</v>
      </c>
      <c r="C296" s="324">
        <v>10804600</v>
      </c>
      <c r="D296" s="324" t="str">
        <f>"0518"</f>
        <v>0518</v>
      </c>
      <c r="E296" s="324">
        <v>4</v>
      </c>
      <c r="F296" s="827"/>
      <c r="G296" s="829"/>
      <c r="H296" s="412" t="s">
        <v>2702</v>
      </c>
      <c r="I296" s="1258"/>
      <c r="J296" s="2" t="str">
        <f>IF(Table5[[#This Row],[Entered]]&lt;&gt;Table5[[#This Row],[Quantity]],"Check","")</f>
        <v/>
      </c>
    </row>
    <row r="297" spans="1:10" ht="15" x14ac:dyDescent="0.2">
      <c r="A297" s="324" t="s">
        <v>2475</v>
      </c>
      <c r="B297" s="324" t="str">
        <f t="shared" si="20"/>
        <v>0520</v>
      </c>
      <c r="C297" s="324">
        <v>10804600</v>
      </c>
      <c r="D297" s="324" t="str">
        <f>"0600"</f>
        <v>0600</v>
      </c>
      <c r="E297" s="324">
        <v>0</v>
      </c>
      <c r="F297" s="827"/>
      <c r="G297" s="829"/>
      <c r="H297" s="412" t="s">
        <v>3110</v>
      </c>
      <c r="I297" s="1258"/>
      <c r="J297" s="2" t="str">
        <f>IF(Table5[[#This Row],[Entered]]&lt;&gt;Table5[[#This Row],[Quantity]],"Check","")</f>
        <v/>
      </c>
    </row>
    <row r="298" spans="1:10" ht="15" x14ac:dyDescent="0.2">
      <c r="A298" s="324" t="s">
        <v>2475</v>
      </c>
      <c r="B298" s="324" t="str">
        <f t="shared" si="20"/>
        <v>0520</v>
      </c>
      <c r="C298" s="324">
        <v>10804600</v>
      </c>
      <c r="D298" s="324" t="str">
        <f>"0602"</f>
        <v>0602</v>
      </c>
      <c r="E298" s="324">
        <v>4</v>
      </c>
      <c r="F298" s="827"/>
      <c r="G298" s="829"/>
      <c r="H298" s="412" t="s">
        <v>2703</v>
      </c>
      <c r="I298" s="1258"/>
      <c r="J298" s="2" t="str">
        <f>IF(Table5[[#This Row],[Entered]]&lt;&gt;Table5[[#This Row],[Quantity]],"Check","")</f>
        <v/>
      </c>
    </row>
    <row r="299" spans="1:10" ht="15" x14ac:dyDescent="0.2">
      <c r="A299" s="324" t="s">
        <v>2475</v>
      </c>
      <c r="B299" s="324" t="str">
        <f t="shared" si="20"/>
        <v>0520</v>
      </c>
      <c r="C299" s="324">
        <v>10804600</v>
      </c>
      <c r="D299" s="324" t="str">
        <f>"0606"</f>
        <v>0606</v>
      </c>
      <c r="E299" s="324">
        <v>4</v>
      </c>
      <c r="F299" s="827"/>
      <c r="G299" s="829"/>
      <c r="H299" s="412" t="s">
        <v>2704</v>
      </c>
      <c r="I299" s="1258"/>
      <c r="J299" s="2" t="str">
        <f>IF(Table5[[#This Row],[Entered]]&lt;&gt;Table5[[#This Row],[Quantity]],"Check","")</f>
        <v/>
      </c>
    </row>
    <row r="300" spans="1:10" ht="15" x14ac:dyDescent="0.2">
      <c r="A300" s="324" t="s">
        <v>2475</v>
      </c>
      <c r="B300" s="324" t="str">
        <f t="shared" si="20"/>
        <v>0520</v>
      </c>
      <c r="C300" s="324">
        <v>10804600</v>
      </c>
      <c r="D300" s="324" t="str">
        <f>"0608"</f>
        <v>0608</v>
      </c>
      <c r="E300" s="324">
        <v>4</v>
      </c>
      <c r="F300" s="827"/>
      <c r="G300" s="829"/>
      <c r="H300" s="412" t="s">
        <v>2705</v>
      </c>
      <c r="I300" s="1258"/>
      <c r="J300" s="2" t="str">
        <f>IF(Table5[[#This Row],[Entered]]&lt;&gt;Table5[[#This Row],[Quantity]],"Check","")</f>
        <v/>
      </c>
    </row>
    <row r="301" spans="1:10" ht="15" x14ac:dyDescent="0.2">
      <c r="A301" s="324" t="s">
        <v>2475</v>
      </c>
      <c r="B301" s="324" t="str">
        <f t="shared" si="20"/>
        <v>0520</v>
      </c>
      <c r="C301" s="324">
        <v>10804600</v>
      </c>
      <c r="D301" s="324" t="str">
        <f>"0610"</f>
        <v>0610</v>
      </c>
      <c r="E301" s="324">
        <v>4</v>
      </c>
      <c r="F301" s="827"/>
      <c r="G301" s="829"/>
      <c r="H301" s="412" t="s">
        <v>2706</v>
      </c>
      <c r="I301" s="1258"/>
      <c r="J301" s="2" t="str">
        <f>IF(Table5[[#This Row],[Entered]]&lt;&gt;Table5[[#This Row],[Quantity]],"Check","")</f>
        <v/>
      </c>
    </row>
    <row r="302" spans="1:10" ht="15" x14ac:dyDescent="0.2">
      <c r="A302" s="324" t="s">
        <v>2475</v>
      </c>
      <c r="B302" s="324" t="str">
        <f t="shared" si="20"/>
        <v>0520</v>
      </c>
      <c r="C302" s="324">
        <v>10804600</v>
      </c>
      <c r="D302" s="324" t="str">
        <f>"0614"</f>
        <v>0614</v>
      </c>
      <c r="E302" s="324">
        <v>4</v>
      </c>
      <c r="F302" s="827"/>
      <c r="G302" s="829"/>
      <c r="H302" s="412" t="s">
        <v>2707</v>
      </c>
      <c r="I302" s="1258"/>
      <c r="J302" s="2" t="str">
        <f>IF(Table5[[#This Row],[Entered]]&lt;&gt;Table5[[#This Row],[Quantity]],"Check","")</f>
        <v/>
      </c>
    </row>
    <row r="303" spans="1:10" ht="15" x14ac:dyDescent="0.2">
      <c r="A303" s="324" t="s">
        <v>2475</v>
      </c>
      <c r="B303" s="324" t="str">
        <f t="shared" si="20"/>
        <v>0520</v>
      </c>
      <c r="C303" s="324">
        <v>10804600</v>
      </c>
      <c r="D303" s="324" t="str">
        <f>"0616"</f>
        <v>0616</v>
      </c>
      <c r="E303" s="324">
        <v>4</v>
      </c>
      <c r="F303" s="827"/>
      <c r="G303" s="829"/>
      <c r="H303" s="412" t="s">
        <v>2708</v>
      </c>
      <c r="I303" s="1258"/>
      <c r="J303" s="2" t="str">
        <f>IF(Table5[[#This Row],[Entered]]&lt;&gt;Table5[[#This Row],[Quantity]],"Check","")</f>
        <v/>
      </c>
    </row>
    <row r="304" spans="1:10" ht="15" x14ac:dyDescent="0.2">
      <c r="A304" s="324" t="s">
        <v>2475</v>
      </c>
      <c r="B304" s="324" t="str">
        <f t="shared" si="20"/>
        <v>0520</v>
      </c>
      <c r="C304" s="324">
        <v>10804600</v>
      </c>
      <c r="D304" s="324" t="str">
        <f>"0618"</f>
        <v>0618</v>
      </c>
      <c r="E304" s="324">
        <v>4</v>
      </c>
      <c r="F304" s="827"/>
      <c r="G304" s="829"/>
      <c r="H304" s="412" t="s">
        <v>2709</v>
      </c>
      <c r="I304" s="1258"/>
      <c r="J304" s="2" t="str">
        <f>IF(Table5[[#This Row],[Entered]]&lt;&gt;Table5[[#This Row],[Quantity]],"Check","")</f>
        <v/>
      </c>
    </row>
    <row r="305" spans="1:10" ht="15" x14ac:dyDescent="0.2">
      <c r="A305" s="324" t="s">
        <v>2475</v>
      </c>
      <c r="B305" s="324" t="str">
        <f t="shared" si="20"/>
        <v>0520</v>
      </c>
      <c r="C305" s="324">
        <v>10804600</v>
      </c>
      <c r="D305" s="324" t="str">
        <f>"0800"</f>
        <v>0800</v>
      </c>
      <c r="E305" s="324">
        <v>0</v>
      </c>
      <c r="F305" s="827" cm="1">
        <f t="array" ref="F305">IF(SUMPRODUCT(--ISNUMBER(SEARCH(TerryWoodmanseyZone8,Address)))&gt;0,1,0)</f>
        <v>0</v>
      </c>
      <c r="G305" s="829"/>
      <c r="H305" s="412" t="s">
        <v>3111</v>
      </c>
      <c r="I305" s="1258"/>
      <c r="J305" s="2" t="str">
        <f>IF(Table5[[#This Row],[Entered]]&lt;&gt;Table5[[#This Row],[Quantity]],"Check","")</f>
        <v/>
      </c>
    </row>
    <row r="306" spans="1:10" ht="15" x14ac:dyDescent="0.2">
      <c r="A306" s="324" t="s">
        <v>2475</v>
      </c>
      <c r="B306" s="324" t="str">
        <f t="shared" si="20"/>
        <v>0520</v>
      </c>
      <c r="C306" s="324">
        <v>10804600</v>
      </c>
      <c r="D306" s="324" t="str">
        <f>"0802"</f>
        <v>0802</v>
      </c>
      <c r="E306" s="324">
        <v>4</v>
      </c>
      <c r="F306" s="827" cm="1">
        <f t="array" ref="F306">IF(SUMPRODUCT(--ISNUMBER(SEARCH(TerryWoodmanseyZone8,Address)))&gt;0,SUM(FaceBlocks+FinishingBlocks+Snaps),0)</f>
        <v>0</v>
      </c>
      <c r="G306" s="829"/>
      <c r="H306" s="412" t="s">
        <v>2710</v>
      </c>
      <c r="I306" s="1258"/>
      <c r="J306" s="2" t="str">
        <f>IF(Table5[[#This Row],[Entered]]&lt;&gt;Table5[[#This Row],[Quantity]],"Check","")</f>
        <v/>
      </c>
    </row>
    <row r="307" spans="1:10" ht="15" x14ac:dyDescent="0.2">
      <c r="A307" s="324" t="s">
        <v>2475</v>
      </c>
      <c r="B307" s="324" t="str">
        <f t="shared" si="20"/>
        <v>0520</v>
      </c>
      <c r="C307" s="324">
        <v>10804600</v>
      </c>
      <c r="D307" s="324" t="str">
        <f>"0806"</f>
        <v>0806</v>
      </c>
      <c r="E307" s="324">
        <v>4</v>
      </c>
      <c r="F307" s="827" cm="1">
        <f t="array" ref="F307">IF(SUMPRODUCT(--ISNUMBER(SEARCH(TerryWoodmanseyZone8,Address)))&gt;0,FaceCored+FaceCommon+LongreachFaceBlockCored,0)</f>
        <v>0</v>
      </c>
      <c r="G307" s="829"/>
      <c r="H307" s="412" t="s">
        <v>2711</v>
      </c>
      <c r="I307" s="1258"/>
      <c r="J307" s="2" t="str">
        <f>IF(Table5[[#This Row],[Entered]]&lt;&gt;Table5[[#This Row],[Quantity]],"Check","")</f>
        <v/>
      </c>
    </row>
    <row r="308" spans="1:10" ht="15" x14ac:dyDescent="0.2">
      <c r="A308" s="324" t="s">
        <v>2475</v>
      </c>
      <c r="B308" s="324" t="str">
        <f t="shared" si="20"/>
        <v>0520</v>
      </c>
      <c r="C308" s="324">
        <v>10804600</v>
      </c>
      <c r="D308" s="324" t="str">
        <f>"0808"</f>
        <v>0808</v>
      </c>
      <c r="E308" s="324">
        <v>4</v>
      </c>
      <c r="F308" s="827" cm="1">
        <f t="array" ref="F308">IF(SUMPRODUCT(--ISNUMBER(SEARCH(TerryWoodmanseyZone8,Address)))&gt;0,FaceSolid+LongreachFaceBlockSolid,0)</f>
        <v>0</v>
      </c>
      <c r="G308" s="829"/>
      <c r="H308" s="412" t="s">
        <v>2712</v>
      </c>
      <c r="I308" s="1258"/>
      <c r="J308" s="2" t="str">
        <f>IF(Table5[[#This Row],[Entered]]&lt;&gt;Table5[[#This Row],[Quantity]],"Check","")</f>
        <v/>
      </c>
    </row>
    <row r="309" spans="1:10" ht="15" x14ac:dyDescent="0.2">
      <c r="A309" s="324" t="s">
        <v>2475</v>
      </c>
      <c r="B309" s="324" t="str">
        <f t="shared" si="20"/>
        <v>0520</v>
      </c>
      <c r="C309" s="324">
        <v>10804600</v>
      </c>
      <c r="D309" s="324" t="str">
        <f>"0810"</f>
        <v>0810</v>
      </c>
      <c r="E309" s="324">
        <v>4</v>
      </c>
      <c r="F309" s="827" cm="1">
        <f t="array" ref="F309">IF(SUMPRODUCT(--ISNUMBER(SEARCH(TerryWoodmanseyZone8,Address)))&gt;0,DuraclayInternal+VerticlayInternal+DuraclayRender,0)</f>
        <v>0</v>
      </c>
      <c r="G309" s="829"/>
      <c r="H309" s="412" t="s">
        <v>2713</v>
      </c>
      <c r="I309" s="1258"/>
      <c r="J309" s="2" t="str">
        <f>IF(Table5[[#This Row],[Entered]]&lt;&gt;Table5[[#This Row],[Quantity]],"Check","")</f>
        <v/>
      </c>
    </row>
    <row r="310" spans="1:10" ht="15" x14ac:dyDescent="0.2">
      <c r="A310" s="324" t="s">
        <v>2475</v>
      </c>
      <c r="B310" s="324" t="str">
        <f t="shared" si="20"/>
        <v>0520</v>
      </c>
      <c r="C310" s="324">
        <v>10804600</v>
      </c>
      <c r="D310" s="324" t="str">
        <f>"0814"</f>
        <v>0814</v>
      </c>
      <c r="E310" s="324">
        <v>4</v>
      </c>
      <c r="F310" s="827" cm="1">
        <f t="array" ref="F310">IF(SUMPRODUCT(--ISNUMBER(SEARCH(TerryWoodmanseyZone8,Address)))&gt;0,LongreachInternal+CommonsRender,0)</f>
        <v>0</v>
      </c>
      <c r="G310" s="829"/>
      <c r="H310" s="412" t="s">
        <v>2714</v>
      </c>
      <c r="I310" s="1258"/>
      <c r="J310" s="2" t="str">
        <f>IF(Table5[[#This Row],[Entered]]&lt;&gt;Table5[[#This Row],[Quantity]],"Check","")</f>
        <v/>
      </c>
    </row>
    <row r="311" spans="1:10" ht="15" x14ac:dyDescent="0.2">
      <c r="A311" s="324" t="s">
        <v>2475</v>
      </c>
      <c r="B311" s="324" t="str">
        <f t="shared" si="20"/>
        <v>0520</v>
      </c>
      <c r="C311" s="324">
        <v>10804600</v>
      </c>
      <c r="D311" s="324" t="str">
        <f>"0816"</f>
        <v>0816</v>
      </c>
      <c r="E311" s="324">
        <v>4</v>
      </c>
      <c r="F311" s="827"/>
      <c r="G311" s="829"/>
      <c r="H311" s="412" t="s">
        <v>2715</v>
      </c>
      <c r="I311" s="1258"/>
      <c r="J311" s="2" t="str">
        <f>IF(Table5[[#This Row],[Entered]]&lt;&gt;Table5[[#This Row],[Quantity]],"Check","")</f>
        <v/>
      </c>
    </row>
    <row r="312" spans="1:10" ht="15" x14ac:dyDescent="0.2">
      <c r="A312" s="324" t="s">
        <v>2475</v>
      </c>
      <c r="B312" s="324" t="str">
        <f t="shared" si="20"/>
        <v>0520</v>
      </c>
      <c r="C312" s="324">
        <v>10804600</v>
      </c>
      <c r="D312" s="324" t="str">
        <f>"0818"</f>
        <v>0818</v>
      </c>
      <c r="E312" s="324">
        <v>4</v>
      </c>
      <c r="F312" s="827"/>
      <c r="G312" s="829"/>
      <c r="H312" s="412" t="s">
        <v>2716</v>
      </c>
      <c r="I312" s="1258"/>
      <c r="J312" s="2" t="str">
        <f>IF(Table5[[#This Row],[Entered]]&lt;&gt;Table5[[#This Row],[Quantity]],"Check","")</f>
        <v/>
      </c>
    </row>
    <row r="313" spans="1:10" ht="15" x14ac:dyDescent="0.2">
      <c r="A313" s="324" t="s">
        <v>2475</v>
      </c>
      <c r="B313" s="324" t="str">
        <f t="shared" si="20"/>
        <v>0520</v>
      </c>
      <c r="C313" s="324">
        <v>10804600</v>
      </c>
      <c r="D313" s="324" t="str">
        <f>"0900"</f>
        <v>0900</v>
      </c>
      <c r="E313" s="324">
        <v>0</v>
      </c>
      <c r="F313" s="827">
        <f>IF(SUMPRODUCT(--ISNUMBER(SEARCH(TerryWoodmanseyZone9,Address)))&gt;0,1,0)</f>
        <v>0</v>
      </c>
      <c r="G313" s="829"/>
      <c r="H313" s="412" t="s">
        <v>3112</v>
      </c>
      <c r="I313" s="1258"/>
      <c r="J313" s="2" t="str">
        <f>IF(Table5[[#This Row],[Entered]]&lt;&gt;Table5[[#This Row],[Quantity]],"Check","")</f>
        <v/>
      </c>
    </row>
    <row r="314" spans="1:10" ht="15" x14ac:dyDescent="0.2">
      <c r="A314" s="324" t="s">
        <v>2475</v>
      </c>
      <c r="B314" s="324" t="str">
        <f t="shared" si="20"/>
        <v>0520</v>
      </c>
      <c r="C314" s="324">
        <v>10804600</v>
      </c>
      <c r="D314" s="324" t="str">
        <f>"0902"</f>
        <v>0902</v>
      </c>
      <c r="E314" s="324">
        <v>4</v>
      </c>
      <c r="F314" s="827">
        <f>IF(SUMPRODUCT(--ISNUMBER(SEARCH(TerryWoodmanseyZone9,Address)))&gt;0,SUM(FaceBlocks+FinishingBlocks+Snaps),0)</f>
        <v>0</v>
      </c>
      <c r="G314" s="829"/>
      <c r="H314" s="412" t="s">
        <v>2717</v>
      </c>
      <c r="I314" s="1258"/>
      <c r="J314" s="2" t="str">
        <f>IF(Table5[[#This Row],[Entered]]&lt;&gt;Table5[[#This Row],[Quantity]],"Check","")</f>
        <v/>
      </c>
    </row>
    <row r="315" spans="1:10" ht="15" x14ac:dyDescent="0.2">
      <c r="A315" s="324" t="s">
        <v>2475</v>
      </c>
      <c r="B315" s="324" t="str">
        <f t="shared" si="20"/>
        <v>0520</v>
      </c>
      <c r="C315" s="324">
        <v>10804600</v>
      </c>
      <c r="D315" s="324" t="str">
        <f>"0906"</f>
        <v>0906</v>
      </c>
      <c r="E315" s="324">
        <v>4</v>
      </c>
      <c r="F315" s="827">
        <f>IF(SUMPRODUCT(--ISNUMBER(SEARCH(TerryWoodmanseyZone9,Address)))&gt;0,FaceCored+FaceCommon+LongreachFaceBlockCored,0)</f>
        <v>0</v>
      </c>
      <c r="G315" s="829"/>
      <c r="H315" s="412" t="s">
        <v>2718</v>
      </c>
      <c r="I315" s="1258"/>
      <c r="J315" s="2" t="str">
        <f>IF(Table5[[#This Row],[Entered]]&lt;&gt;Table5[[#This Row],[Quantity]],"Check","")</f>
        <v/>
      </c>
    </row>
    <row r="316" spans="1:10" ht="15" x14ac:dyDescent="0.2">
      <c r="A316" s="324" t="s">
        <v>2475</v>
      </c>
      <c r="B316" s="324" t="str">
        <f t="shared" si="20"/>
        <v>0520</v>
      </c>
      <c r="C316" s="324">
        <v>10804600</v>
      </c>
      <c r="D316" s="324" t="str">
        <f>"0908"</f>
        <v>0908</v>
      </c>
      <c r="E316" s="324">
        <v>4</v>
      </c>
      <c r="F316" s="827">
        <f>IF(SUMPRODUCT(--ISNUMBER(SEARCH(TerryWoodmanseyZone9,Address)))&gt;0,FaceSolid+LongreachFaceBlockSolid,0)</f>
        <v>0</v>
      </c>
      <c r="G316" s="829"/>
      <c r="H316" s="412" t="s">
        <v>2719</v>
      </c>
      <c r="I316" s="1258"/>
      <c r="J316" s="2" t="str">
        <f>IF(Table5[[#This Row],[Entered]]&lt;&gt;Table5[[#This Row],[Quantity]],"Check","")</f>
        <v/>
      </c>
    </row>
    <row r="317" spans="1:10" ht="15" x14ac:dyDescent="0.2">
      <c r="A317" s="324" t="s">
        <v>2475</v>
      </c>
      <c r="B317" s="324" t="str">
        <f t="shared" si="20"/>
        <v>0520</v>
      </c>
      <c r="C317" s="324">
        <v>10804600</v>
      </c>
      <c r="D317" s="324" t="str">
        <f>"0910"</f>
        <v>0910</v>
      </c>
      <c r="E317" s="324">
        <v>4</v>
      </c>
      <c r="F317" s="827">
        <f>IF(SUMPRODUCT(--ISNUMBER(SEARCH(TerryWoodmanseyZone9,Address)))&gt;0,DuraclayInternal+VerticlayInternal+DuraclayRender,0)</f>
        <v>0</v>
      </c>
      <c r="G317" s="829"/>
      <c r="H317" s="412" t="s">
        <v>2721</v>
      </c>
      <c r="I317" s="1258"/>
      <c r="J317" s="2" t="str">
        <f>IF(Table5[[#This Row],[Entered]]&lt;&gt;Table5[[#This Row],[Quantity]],"Check","")</f>
        <v/>
      </c>
    </row>
    <row r="318" spans="1:10" ht="15" x14ac:dyDescent="0.2">
      <c r="A318" s="324" t="s">
        <v>2475</v>
      </c>
      <c r="B318" s="324" t="str">
        <f t="shared" si="20"/>
        <v>0520</v>
      </c>
      <c r="C318" s="324">
        <v>10804600</v>
      </c>
      <c r="D318" s="324" t="str">
        <f>"0914"</f>
        <v>0914</v>
      </c>
      <c r="E318" s="324">
        <v>4</v>
      </c>
      <c r="F318" s="827">
        <f>IF(SUMPRODUCT(--ISNUMBER(SEARCH(TerryWoodmanseyZone9,Address)))&gt;0,LongreachInternal+CommonsRender,0)</f>
        <v>0</v>
      </c>
      <c r="G318" s="829"/>
      <c r="H318" s="412" t="s">
        <v>2722</v>
      </c>
      <c r="I318" s="1258"/>
      <c r="J318" s="2" t="str">
        <f>IF(Table5[[#This Row],[Entered]]&lt;&gt;Table5[[#This Row],[Quantity]],"Check","")</f>
        <v/>
      </c>
    </row>
    <row r="319" spans="1:10" ht="15" x14ac:dyDescent="0.2">
      <c r="A319" s="324" t="s">
        <v>2475</v>
      </c>
      <c r="B319" s="324" t="str">
        <f t="shared" si="20"/>
        <v>0520</v>
      </c>
      <c r="C319" s="324">
        <v>10804600</v>
      </c>
      <c r="D319" s="324" t="str">
        <f>"0916"</f>
        <v>0916</v>
      </c>
      <c r="E319" s="324">
        <v>4</v>
      </c>
      <c r="F319" s="827"/>
      <c r="G319" s="829"/>
      <c r="H319" s="412" t="s">
        <v>2723</v>
      </c>
      <c r="I319" s="1258"/>
      <c r="J319" s="2" t="str">
        <f>IF(Table5[[#This Row],[Entered]]&lt;&gt;Table5[[#This Row],[Quantity]],"Check","")</f>
        <v/>
      </c>
    </row>
    <row r="320" spans="1:10" ht="15" x14ac:dyDescent="0.2">
      <c r="A320" s="324" t="s">
        <v>2475</v>
      </c>
      <c r="B320" s="324" t="str">
        <f t="shared" si="20"/>
        <v>0520</v>
      </c>
      <c r="C320" s="324">
        <v>10804600</v>
      </c>
      <c r="D320" s="324" t="str">
        <f>"0918"</f>
        <v>0918</v>
      </c>
      <c r="E320" s="324">
        <v>4</v>
      </c>
      <c r="F320" s="827"/>
      <c r="G320" s="829"/>
      <c r="H320" s="412" t="s">
        <v>2720</v>
      </c>
      <c r="I320" s="1258"/>
      <c r="J320" s="2" t="str">
        <f>IF(Table5[[#This Row],[Entered]]&lt;&gt;Table5[[#This Row],[Quantity]],"Check","")</f>
        <v/>
      </c>
    </row>
    <row r="321" spans="1:10" ht="15" x14ac:dyDescent="0.2">
      <c r="A321" s="324" t="s">
        <v>2475</v>
      </c>
      <c r="B321" s="324" t="str">
        <f t="shared" ref="B321:B329" si="21">"0520"</f>
        <v>0520</v>
      </c>
      <c r="C321" s="324">
        <v>10804600</v>
      </c>
      <c r="D321" s="324" t="str">
        <f>"1000"</f>
        <v>1000</v>
      </c>
      <c r="E321" s="324">
        <v>0</v>
      </c>
      <c r="F321" s="827" cm="1">
        <f t="array" ref="F321">IF(SUMPRODUCT(--ISNUMBER(SEARCH(TerryWoodmanseyZone10,Address)))&gt;0,1,0)</f>
        <v>0</v>
      </c>
      <c r="G321" s="829"/>
      <c r="H321" s="412" t="s">
        <v>3113</v>
      </c>
      <c r="I321" s="1258"/>
      <c r="J321" s="2" t="str">
        <f>IF(Table5[[#This Row],[Entered]]&lt;&gt;Table5[[#This Row],[Quantity]],"Check","")</f>
        <v/>
      </c>
    </row>
    <row r="322" spans="1:10" ht="15" x14ac:dyDescent="0.2">
      <c r="A322" s="324" t="s">
        <v>2475</v>
      </c>
      <c r="B322" s="324" t="str">
        <f t="shared" si="21"/>
        <v>0520</v>
      </c>
      <c r="C322" s="324">
        <v>10804600</v>
      </c>
      <c r="D322" s="324" t="str">
        <f>"1002"</f>
        <v>1002</v>
      </c>
      <c r="E322" s="324">
        <v>4</v>
      </c>
      <c r="F322" s="827" cm="1">
        <f t="array" ref="F322">IF(SUMPRODUCT(--ISNUMBER(SEARCH(TerryWoodmanseyZone10,Address)))&gt;0,SUM(FaceBlocks+FinishingBlocks+Snaps),0)</f>
        <v>0</v>
      </c>
      <c r="G322" s="829"/>
      <c r="H322" s="412" t="s">
        <v>2724</v>
      </c>
      <c r="I322" s="1258"/>
      <c r="J322" s="2" t="str">
        <f>IF(Table5[[#This Row],[Entered]]&lt;&gt;Table5[[#This Row],[Quantity]],"Check","")</f>
        <v/>
      </c>
    </row>
    <row r="323" spans="1:10" ht="15" x14ac:dyDescent="0.2">
      <c r="A323" s="324" t="s">
        <v>2475</v>
      </c>
      <c r="B323" s="324" t="str">
        <f t="shared" si="21"/>
        <v>0520</v>
      </c>
      <c r="C323" s="324">
        <v>10804600</v>
      </c>
      <c r="D323" s="324" t="str">
        <f>"1006"</f>
        <v>1006</v>
      </c>
      <c r="E323" s="324">
        <v>4</v>
      </c>
      <c r="F323" s="827" cm="1">
        <f t="array" ref="F323">IF(SUMPRODUCT(--ISNUMBER(SEARCH(TerryWoodmanseyZone10,Address)))&gt;0,FaceCored+FaceCommon+LongreachFaceBlockCored,0)</f>
        <v>0</v>
      </c>
      <c r="G323" s="829"/>
      <c r="H323" s="412" t="s">
        <v>2725</v>
      </c>
      <c r="I323" s="1258"/>
      <c r="J323" s="2" t="str">
        <f>IF(Table5[[#This Row],[Entered]]&lt;&gt;Table5[[#This Row],[Quantity]],"Check","")</f>
        <v/>
      </c>
    </row>
    <row r="324" spans="1:10" ht="15" x14ac:dyDescent="0.2">
      <c r="A324" s="324" t="s">
        <v>2475</v>
      </c>
      <c r="B324" s="324" t="str">
        <f t="shared" si="21"/>
        <v>0520</v>
      </c>
      <c r="C324" s="324">
        <v>10804600</v>
      </c>
      <c r="D324" s="324" t="str">
        <f>"1008"</f>
        <v>1008</v>
      </c>
      <c r="E324" s="324">
        <v>4</v>
      </c>
      <c r="F324" s="827" cm="1">
        <f t="array" ref="F324">IF(SUMPRODUCT(--ISNUMBER(SEARCH(TerryWoodmanseyZone10,Address)))&gt;0,FaceSolid+LongreachFaceBlockSolid,0)</f>
        <v>0</v>
      </c>
      <c r="G324" s="829"/>
      <c r="H324" s="412" t="s">
        <v>2726</v>
      </c>
      <c r="I324" s="1258"/>
      <c r="J324" s="2" t="str">
        <f>IF(Table5[[#This Row],[Entered]]&lt;&gt;Table5[[#This Row],[Quantity]],"Check","")</f>
        <v/>
      </c>
    </row>
    <row r="325" spans="1:10" ht="15" x14ac:dyDescent="0.2">
      <c r="A325" s="324" t="s">
        <v>2475</v>
      </c>
      <c r="B325" s="324" t="str">
        <f t="shared" si="21"/>
        <v>0520</v>
      </c>
      <c r="C325" s="324">
        <v>10804600</v>
      </c>
      <c r="D325" s="324" t="str">
        <f>"1010"</f>
        <v>1010</v>
      </c>
      <c r="E325" s="324">
        <v>4</v>
      </c>
      <c r="F325" s="827" cm="1">
        <f t="array" ref="F325">IF(SUMPRODUCT(--ISNUMBER(SEARCH(TerryWoodmanseyZone10,Address)))&gt;0,DuraclayInternal+VerticlayInternal+DuraclayRender,0)</f>
        <v>0</v>
      </c>
      <c r="G325" s="829"/>
      <c r="H325" s="412" t="s">
        <v>2727</v>
      </c>
      <c r="I325" s="1258"/>
      <c r="J325" s="2" t="str">
        <f>IF(Table5[[#This Row],[Entered]]&lt;&gt;Table5[[#This Row],[Quantity]],"Check","")</f>
        <v/>
      </c>
    </row>
    <row r="326" spans="1:10" ht="15" x14ac:dyDescent="0.2">
      <c r="A326" s="324" t="s">
        <v>2475</v>
      </c>
      <c r="B326" s="324" t="str">
        <f t="shared" si="21"/>
        <v>0520</v>
      </c>
      <c r="C326" s="324">
        <v>10804600</v>
      </c>
      <c r="D326" s="324" t="str">
        <f>"1014"</f>
        <v>1014</v>
      </c>
      <c r="E326" s="324">
        <v>4</v>
      </c>
      <c r="F326" s="827" cm="1">
        <f t="array" ref="F326">IF(SUMPRODUCT(--ISNUMBER(SEARCH(TerryWoodmanseyZone10,Address)))&gt;0,LongreachInternal+CommonsRender,0)</f>
        <v>0</v>
      </c>
      <c r="G326" s="829"/>
      <c r="H326" s="412" t="s">
        <v>2728</v>
      </c>
      <c r="I326" s="1258"/>
      <c r="J326" s="2" t="str">
        <f>IF(Table5[[#This Row],[Entered]]&lt;&gt;Table5[[#This Row],[Quantity]],"Check","")</f>
        <v/>
      </c>
    </row>
    <row r="327" spans="1:10" ht="15" x14ac:dyDescent="0.2">
      <c r="A327" s="324" t="s">
        <v>2475</v>
      </c>
      <c r="B327" s="324" t="str">
        <f t="shared" si="21"/>
        <v>0520</v>
      </c>
      <c r="C327" s="324">
        <v>10804600</v>
      </c>
      <c r="D327" s="324" t="str">
        <f>"1016"</f>
        <v>1016</v>
      </c>
      <c r="E327" s="324">
        <v>4</v>
      </c>
      <c r="F327" s="827"/>
      <c r="G327" s="829"/>
      <c r="H327" s="412" t="s">
        <v>2729</v>
      </c>
      <c r="I327" s="1258"/>
      <c r="J327" s="2" t="str">
        <f>IF(Table5[[#This Row],[Entered]]&lt;&gt;Table5[[#This Row],[Quantity]],"Check","")</f>
        <v/>
      </c>
    </row>
    <row r="328" spans="1:10" ht="15" x14ac:dyDescent="0.2">
      <c r="A328" s="324" t="s">
        <v>2475</v>
      </c>
      <c r="B328" s="324" t="str">
        <f t="shared" si="21"/>
        <v>0520</v>
      </c>
      <c r="C328" s="324">
        <v>10804600</v>
      </c>
      <c r="D328" s="324" t="str">
        <f>"1018"</f>
        <v>1018</v>
      </c>
      <c r="E328" s="324">
        <v>4</v>
      </c>
      <c r="F328" s="827"/>
      <c r="G328" s="829"/>
      <c r="H328" s="412" t="s">
        <v>2730</v>
      </c>
      <c r="I328" s="1258"/>
      <c r="J328" s="2" t="str">
        <f>IF(Table5[[#This Row],[Entered]]&lt;&gt;Table5[[#This Row],[Quantity]],"Check","")</f>
        <v/>
      </c>
    </row>
    <row r="329" spans="1:10" ht="15" x14ac:dyDescent="0.2">
      <c r="A329" s="324" t="s">
        <v>2475</v>
      </c>
      <c r="B329" s="324" t="str">
        <f t="shared" si="21"/>
        <v>0520</v>
      </c>
      <c r="C329" s="324">
        <v>10804600</v>
      </c>
      <c r="D329" s="324" t="str">
        <f>"1110"</f>
        <v>1110</v>
      </c>
      <c r="E329" s="324">
        <v>1</v>
      </c>
      <c r="F329" s="827">
        <f>IF(SUM(F257:F328)&gt;0,COUNTIF(Name,"Brick Lintel"),0)</f>
        <v>0</v>
      </c>
      <c r="G329" s="829"/>
      <c r="H329" s="412" t="s">
        <v>879</v>
      </c>
      <c r="I329" s="1258"/>
      <c r="J329" s="2" t="str">
        <f>IF(Table5[[#This Row],[Entered]]&lt;&gt;Table5[[#This Row],[Quantity]],"Check","")</f>
        <v/>
      </c>
    </row>
    <row r="330" spans="1:10" ht="15" x14ac:dyDescent="0.2">
      <c r="A330" s="324"/>
      <c r="B330" s="324"/>
      <c r="C330" s="324"/>
      <c r="D330" s="324"/>
      <c r="E330" s="324"/>
      <c r="F330" s="827"/>
      <c r="G330" s="829"/>
      <c r="H330" s="412"/>
      <c r="I330" s="1258"/>
      <c r="J330" s="2" t="str">
        <f>IF(Table5[[#This Row],[Entered]]&lt;&gt;Table5[[#This Row],[Quantity]],"Check","")</f>
        <v/>
      </c>
    </row>
    <row r="331" spans="1:10" ht="15" x14ac:dyDescent="0.2">
      <c r="A331" s="324" t="s">
        <v>2475</v>
      </c>
      <c r="B331" s="324" t="str">
        <f t="shared" ref="B331:B377" si="22">"0520"</f>
        <v>0520</v>
      </c>
      <c r="C331" s="324">
        <v>52382</v>
      </c>
      <c r="D331" s="324" t="str">
        <f>"0038"</f>
        <v>0038</v>
      </c>
      <c r="E331" s="324">
        <v>4</v>
      </c>
      <c r="F331" s="827" cm="1">
        <f t="array" ref="F331">IF(SUMPRODUCT(--ISNUMBER(SEARCH(KDPowerAugustaArea,Address)))&gt;0,FaceBlocks+FinishingBlocks+Snaps,0)</f>
        <v>0</v>
      </c>
      <c r="G331" s="829"/>
      <c r="H331" s="412" t="s">
        <v>2599</v>
      </c>
      <c r="I331" s="1258"/>
      <c r="J331" s="2" t="str">
        <f>IF(Table5[[#This Row],[Entered]]&lt;&gt;Table5[[#This Row],[Quantity]],"Check","")</f>
        <v/>
      </c>
    </row>
    <row r="332" spans="1:10" ht="15" x14ac:dyDescent="0.2">
      <c r="A332" s="324" t="s">
        <v>2475</v>
      </c>
      <c r="B332" s="324" t="str">
        <f t="shared" si="22"/>
        <v>0520</v>
      </c>
      <c r="C332" s="324">
        <v>52382</v>
      </c>
      <c r="D332" s="324" t="str">
        <f>"0045"</f>
        <v>0045</v>
      </c>
      <c r="E332" s="324">
        <v>4</v>
      </c>
      <c r="F332" s="827">
        <f>IF(SUMPRODUCT(--ISNUMBER(SEARCH("BOYUP BROOK",Address)))&gt;0,FaceBlocks+FinishingBlocks+Snaps,0)</f>
        <v>0</v>
      </c>
      <c r="G332" s="829"/>
      <c r="H332" s="412" t="s">
        <v>2596</v>
      </c>
      <c r="I332" s="1258"/>
      <c r="J332" s="2" t="str">
        <f>IF(Table5[[#This Row],[Entered]]&lt;&gt;Table5[[#This Row],[Quantity]],"Check","")</f>
        <v/>
      </c>
    </row>
    <row r="333" spans="1:10" ht="15" x14ac:dyDescent="0.2">
      <c r="A333" s="324" t="s">
        <v>2475</v>
      </c>
      <c r="B333" s="324" t="str">
        <f t="shared" si="22"/>
        <v>0520</v>
      </c>
      <c r="C333" s="324">
        <v>52382</v>
      </c>
      <c r="D333" s="324" t="str">
        <f>"0039"</f>
        <v>0039</v>
      </c>
      <c r="E333" s="324">
        <v>4</v>
      </c>
      <c r="F333" s="827">
        <f>IF(SUMPRODUCT(--ISNUMBER(SEARCH("BRIDGETOWN",Address)))&gt;0,FaceBlocks+FinishingBlocks+Snaps,0)</f>
        <v>0</v>
      </c>
      <c r="G333" s="829"/>
      <c r="H333" s="412" t="s">
        <v>2597</v>
      </c>
      <c r="I333" s="1258"/>
      <c r="J333" s="2" t="str">
        <f>IF(Table5[[#This Row],[Entered]]&lt;&gt;Table5[[#This Row],[Quantity]],"Check","")</f>
        <v/>
      </c>
    </row>
    <row r="334" spans="1:10" ht="15" x14ac:dyDescent="0.2">
      <c r="A334" s="324" t="s">
        <v>2475</v>
      </c>
      <c r="B334" s="324" t="str">
        <f t="shared" si="22"/>
        <v>0520</v>
      </c>
      <c r="C334" s="324">
        <v>52382</v>
      </c>
      <c r="D334" s="324" t="str">
        <f>"0022"</f>
        <v>0022</v>
      </c>
      <c r="E334" s="324">
        <v>4</v>
      </c>
      <c r="F334" s="827" cm="1">
        <f t="array" ref="F334">IF(SUMPRODUCT(--ISNUMBER(SEARCH(KDPowerBusseltonArea,Address)))&gt;0,FaceBlocks+FinishingBlocks+Snaps,0)</f>
        <v>0</v>
      </c>
      <c r="G334" s="829">
        <v>216.3</v>
      </c>
      <c r="H334" s="412" t="s">
        <v>2598</v>
      </c>
      <c r="I334" s="1258"/>
      <c r="J334" s="2" t="str">
        <f>IF(Table5[[#This Row],[Entered]]&lt;&gt;Table5[[#This Row],[Quantity]],"Check","")</f>
        <v/>
      </c>
    </row>
    <row r="335" spans="1:10" ht="15" x14ac:dyDescent="0.2">
      <c r="A335" s="324" t="s">
        <v>2475</v>
      </c>
      <c r="B335" s="324" t="str">
        <f t="shared" si="22"/>
        <v>0520</v>
      </c>
      <c r="C335" s="324">
        <v>52382</v>
      </c>
      <c r="D335" s="324" t="str">
        <f>"0028"</f>
        <v>0028</v>
      </c>
      <c r="E335" s="324">
        <v>4</v>
      </c>
      <c r="F335" s="827" cm="1">
        <f t="array" ref="F335">IF(SUMPRODUCT(--ISNUMBER(SEARCH(KDPowerMargaretRiverCowaramup,Address)))&gt;0,FaceBlocks+FinishingBlocks+Snaps,0)</f>
        <v>0</v>
      </c>
      <c r="G335" s="829"/>
      <c r="H335" s="412" t="s">
        <v>2600</v>
      </c>
      <c r="I335" s="1258"/>
      <c r="J335" s="2" t="str">
        <f>IF(Table5[[#This Row],[Entered]]&lt;&gt;Table5[[#This Row],[Quantity]],"Check","")</f>
        <v/>
      </c>
    </row>
    <row r="336" spans="1:10" ht="15" x14ac:dyDescent="0.2">
      <c r="A336" s="324" t="s">
        <v>2475</v>
      </c>
      <c r="B336" s="324" t="str">
        <f t="shared" si="22"/>
        <v>0520</v>
      </c>
      <c r="C336" s="324">
        <v>52382</v>
      </c>
      <c r="D336" s="324" t="str">
        <f>"0035"</f>
        <v>0035</v>
      </c>
      <c r="E336" s="324">
        <v>4</v>
      </c>
      <c r="F336" s="827" cm="1">
        <f t="array" ref="F336">IF(SUMPRODUCT(--ISNUMBER(SEARCH(KDPowerDunsboroughArea,Address)))&gt;0,FaceBlocks+FinishingBlocks+Snaps,0)</f>
        <v>0</v>
      </c>
      <c r="G336" s="829"/>
      <c r="H336" s="412" t="s">
        <v>2608</v>
      </c>
      <c r="I336" s="1258"/>
      <c r="J336" s="2" t="str">
        <f>IF(Table5[[#This Row],[Entered]]&lt;&gt;Table5[[#This Row],[Quantity]],"Check","")</f>
        <v/>
      </c>
    </row>
    <row r="337" spans="1:11" ht="15" x14ac:dyDescent="0.2">
      <c r="A337" s="324" t="s">
        <v>2475</v>
      </c>
      <c r="B337" s="324" t="str">
        <f t="shared" si="22"/>
        <v>0520</v>
      </c>
      <c r="C337" s="324">
        <v>52382</v>
      </c>
      <c r="D337" s="324" t="str">
        <f>"0044"</f>
        <v>0044</v>
      </c>
      <c r="E337" s="324">
        <v>4</v>
      </c>
      <c r="F337" s="827">
        <f>IF(SUMPRODUCT(--ISNUMBER(SEARCH("MANJIMUP",Address)))&gt;0,FaceBlocks+FinishingBlocks+Snaps,0)</f>
        <v>0</v>
      </c>
      <c r="G337" s="829"/>
      <c r="H337" s="412" t="s">
        <v>2595</v>
      </c>
      <c r="I337" s="1258"/>
      <c r="J337" s="2" t="str">
        <f>IF(Table5[[#This Row],[Entered]]&lt;&gt;Table5[[#This Row],[Quantity]],"Check","")</f>
        <v/>
      </c>
    </row>
    <row r="338" spans="1:11" ht="15" x14ac:dyDescent="0.2">
      <c r="A338" s="324" t="s">
        <v>2475</v>
      </c>
      <c r="B338" s="324" t="str">
        <f t="shared" si="22"/>
        <v>0520</v>
      </c>
      <c r="C338" s="324">
        <v>52382</v>
      </c>
      <c r="D338" s="324" t="str">
        <f>"0042"</f>
        <v>0042</v>
      </c>
      <c r="E338" s="324">
        <v>4</v>
      </c>
      <c r="F338" s="827">
        <f>IF(SUMPRODUCT(--ISNUMBER(SEARCH("NANNUP",Address)))&gt;0,FaceBlocks+FinishingBlocks+Snaps,0)</f>
        <v>0</v>
      </c>
      <c r="G338" s="829"/>
      <c r="H338" s="412" t="s">
        <v>2612</v>
      </c>
      <c r="I338" s="1258"/>
      <c r="J338" s="2" t="str">
        <f>IF(Table5[[#This Row],[Entered]]&lt;&gt;Table5[[#This Row],[Quantity]],"Check","")</f>
        <v/>
      </c>
    </row>
    <row r="339" spans="1:11" ht="15" x14ac:dyDescent="0.2">
      <c r="A339" s="324" t="s">
        <v>2475</v>
      </c>
      <c r="B339" s="324" t="str">
        <f t="shared" si="22"/>
        <v>0520</v>
      </c>
      <c r="C339" s="324">
        <v>52382</v>
      </c>
      <c r="D339" s="324" t="str">
        <f>"0043"</f>
        <v>0043</v>
      </c>
      <c r="E339" s="324">
        <v>4</v>
      </c>
      <c r="F339" s="827">
        <f>IF(SUMPRODUCT(--ISNUMBER(SEARCH("PEMBERTON",Address)))&gt;0,FaceBlocks+FinishingBlocks+Snaps,0)</f>
        <v>0</v>
      </c>
      <c r="G339" s="829"/>
      <c r="H339" s="412" t="s">
        <v>2613</v>
      </c>
      <c r="I339" s="1258"/>
      <c r="J339" s="2" t="str">
        <f>IF(Table5[[#This Row],[Entered]]&lt;&gt;Table5[[#This Row],[Quantity]],"Check","")</f>
        <v/>
      </c>
    </row>
    <row r="340" spans="1:11" ht="15" x14ac:dyDescent="0.2">
      <c r="A340" s="324" t="s">
        <v>2475</v>
      </c>
      <c r="B340" s="324" t="str">
        <f t="shared" si="22"/>
        <v>0520</v>
      </c>
      <c r="C340" s="324">
        <v>52382</v>
      </c>
      <c r="D340" s="324" t="str">
        <f>"0036"</f>
        <v>0036</v>
      </c>
      <c r="E340" s="324">
        <v>4</v>
      </c>
      <c r="F340" s="827">
        <f>IF(SUMPRODUCT(--ISNUMBER(SEARCH("YALLINGUP",Address)))&gt;0,FaceBlocks+FinishingBlocks+Snaps,0)</f>
        <v>0</v>
      </c>
      <c r="G340" s="829"/>
      <c r="H340" s="412" t="s">
        <v>2614</v>
      </c>
      <c r="I340" s="1258"/>
      <c r="J340" s="2" t="str">
        <f>IF(Table5[[#This Row],[Entered]]&lt;&gt;Table5[[#This Row],[Quantity]],"Check","")</f>
        <v/>
      </c>
      <c r="K340" s="87"/>
    </row>
    <row r="341" spans="1:11" ht="15" x14ac:dyDescent="0.2">
      <c r="A341" s="324" t="s">
        <v>2475</v>
      </c>
      <c r="B341" s="324" t="str">
        <f t="shared" si="22"/>
        <v>0520</v>
      </c>
      <c r="C341" s="324">
        <v>52382</v>
      </c>
      <c r="D341" s="324" t="str">
        <f>"0212"</f>
        <v>0212</v>
      </c>
      <c r="E341" s="324">
        <v>4</v>
      </c>
      <c r="F341" s="827">
        <f>IF(SUMPRODUCT(--ISNUMBER(SEARCH("AUGUSTA",Address)))&gt;0,CommonsRender+FaceCored+FaceSolid+FaceCommon,0)</f>
        <v>0</v>
      </c>
      <c r="G341" s="829"/>
      <c r="H341" s="412" t="s">
        <v>2624</v>
      </c>
      <c r="I341" s="1258"/>
      <c r="J341" s="2" t="str">
        <f>IF(Table5[[#This Row],[Entered]]&lt;&gt;Table5[[#This Row],[Quantity]],"Check","")</f>
        <v/>
      </c>
      <c r="K341" s="87"/>
    </row>
    <row r="342" spans="1:11" ht="15" x14ac:dyDescent="0.2">
      <c r="A342" s="324" t="s">
        <v>2475</v>
      </c>
      <c r="B342" s="324" t="str">
        <f t="shared" si="22"/>
        <v>0520</v>
      </c>
      <c r="C342" s="324">
        <v>52382</v>
      </c>
      <c r="D342" s="324" t="str">
        <f>"0219"</f>
        <v>0219</v>
      </c>
      <c r="E342" s="324">
        <v>4</v>
      </c>
      <c r="F342" s="827">
        <f>IF(SUMPRODUCT(--ISNUMBER(SEARCH("BOYUP BROOK",Address)))&gt;0,CommonsRender+FaceCored+FaceSolid+FaceCommon,0)</f>
        <v>0</v>
      </c>
      <c r="G342" s="829"/>
      <c r="H342" s="412" t="s">
        <v>2625</v>
      </c>
      <c r="I342" s="1258"/>
      <c r="J342" s="2" t="str">
        <f>IF(Table5[[#This Row],[Entered]]&lt;&gt;Table5[[#This Row],[Quantity]],"Check","")</f>
        <v/>
      </c>
      <c r="K342" s="87"/>
    </row>
    <row r="343" spans="1:11" ht="15" x14ac:dyDescent="0.2">
      <c r="A343" s="324" t="s">
        <v>2475</v>
      </c>
      <c r="B343" s="324" t="str">
        <f t="shared" si="22"/>
        <v>0520</v>
      </c>
      <c r="C343" s="324">
        <v>52382</v>
      </c>
      <c r="D343" s="324" t="str">
        <f>"0216"</f>
        <v>0216</v>
      </c>
      <c r="E343" s="324">
        <v>4</v>
      </c>
      <c r="F343" s="827">
        <f>IF(SUMPRODUCT(--ISNUMBER(SEARCH("BRIDGETOWN",Address)))&gt;0,CommonsRender+FaceCored+FaceSolid+FaceCommon,0)</f>
        <v>0</v>
      </c>
      <c r="G343" s="829"/>
      <c r="H343" s="412" t="s">
        <v>2626</v>
      </c>
      <c r="I343" s="1258"/>
      <c r="J343" s="2" t="str">
        <f>IF(Table5[[#This Row],[Entered]]&lt;&gt;Table5[[#This Row],[Quantity]],"Check","")</f>
        <v/>
      </c>
      <c r="K343" s="87"/>
    </row>
    <row r="344" spans="1:11" ht="15" x14ac:dyDescent="0.2">
      <c r="A344" s="324" t="s">
        <v>2475</v>
      </c>
      <c r="B344" s="324" t="str">
        <f t="shared" si="22"/>
        <v>0520</v>
      </c>
      <c r="C344" s="324">
        <v>52382</v>
      </c>
      <c r="D344" s="324" t="str">
        <f>"0206"</f>
        <v>0206</v>
      </c>
      <c r="E344" s="324">
        <v>4</v>
      </c>
      <c r="F344" s="827" cm="1">
        <f t="array" ref="F344">IF(SUMPRODUCT(--ISNUMBER(SEARCH(KDPowerBusseltonArea,Address)))&gt;0,CommonsRender+FaceCored+FaceSolid+FaceCommon,0)</f>
        <v>0</v>
      </c>
      <c r="G344" s="829">
        <v>123.25</v>
      </c>
      <c r="H344" s="412" t="s">
        <v>2627</v>
      </c>
      <c r="I344" s="1258"/>
      <c r="J344" s="2" t="str">
        <f>IF(Table5[[#This Row],[Entered]]&lt;&gt;Table5[[#This Row],[Quantity]],"Check","")</f>
        <v/>
      </c>
      <c r="K344" s="87"/>
    </row>
    <row r="345" spans="1:11" ht="15" x14ac:dyDescent="0.2">
      <c r="A345" s="324" t="s">
        <v>2475</v>
      </c>
      <c r="B345" s="324" t="str">
        <f t="shared" si="22"/>
        <v>0520</v>
      </c>
      <c r="C345" s="324">
        <v>52382</v>
      </c>
      <c r="D345" s="324" t="str">
        <f>"0211"</f>
        <v>0211</v>
      </c>
      <c r="E345" s="324">
        <v>4</v>
      </c>
      <c r="F345" s="827" cm="1">
        <f t="array" ref="F345">IF(SUMPRODUCT(--ISNUMBER(SEARCH(KDPowerMargaretRiverCowaramup,Address)))&gt;0,CommonsRender+FaceCored+FaceSolid+FaceCommon,0)</f>
        <v>0</v>
      </c>
      <c r="G345" s="829"/>
      <c r="H345" s="412" t="s">
        <v>2628</v>
      </c>
      <c r="I345" s="1258"/>
      <c r="J345" s="2" t="str">
        <f>IF(Table5[[#This Row],[Entered]]&lt;&gt;Table5[[#This Row],[Quantity]],"Check","")</f>
        <v/>
      </c>
      <c r="K345" s="87"/>
    </row>
    <row r="346" spans="1:11" ht="15" x14ac:dyDescent="0.2">
      <c r="A346" s="324" t="s">
        <v>2475</v>
      </c>
      <c r="B346" s="324" t="str">
        <f t="shared" si="22"/>
        <v>0520</v>
      </c>
      <c r="C346" s="324">
        <v>52382</v>
      </c>
      <c r="D346" s="324" t="str">
        <f>"0208"</f>
        <v>0208</v>
      </c>
      <c r="E346" s="324">
        <v>4</v>
      </c>
      <c r="F346" s="827" cm="1">
        <f t="array" ref="F346">IF(SUMPRODUCT(--ISNUMBER(SEARCH(KDPowerDunsboroughArea,Address)))&gt;0,CommonsRender+FaceCored+FaceSolid+FaceCommon,0)</f>
        <v>0</v>
      </c>
      <c r="G346" s="829"/>
      <c r="H346" s="412" t="s">
        <v>2629</v>
      </c>
      <c r="I346" s="1258"/>
      <c r="J346" s="2" t="str">
        <f>IF(Table5[[#This Row],[Entered]]&lt;&gt;Table5[[#This Row],[Quantity]],"Check","")</f>
        <v/>
      </c>
      <c r="K346" s="87"/>
    </row>
    <row r="347" spans="1:11" ht="15" x14ac:dyDescent="0.2">
      <c r="A347" s="324" t="s">
        <v>2475</v>
      </c>
      <c r="B347" s="324" t="str">
        <f t="shared" si="22"/>
        <v>0520</v>
      </c>
      <c r="C347" s="324">
        <v>52382</v>
      </c>
      <c r="D347" s="324" t="str">
        <f>"0217"</f>
        <v>0217</v>
      </c>
      <c r="E347" s="324">
        <v>4</v>
      </c>
      <c r="F347" s="827">
        <f>IF(SUMPRODUCT(--ISNUMBER(SEARCH("MANJIMUP",Address)))&gt;0,CommonsRender+FaceCored+FaceSolid+FaceCommon,0)</f>
        <v>0</v>
      </c>
      <c r="G347" s="829"/>
      <c r="H347" s="412" t="s">
        <v>2592</v>
      </c>
      <c r="I347" s="1258"/>
      <c r="J347" s="2" t="str">
        <f>IF(Table5[[#This Row],[Entered]]&lt;&gt;Table5[[#This Row],[Quantity]],"Check","")</f>
        <v/>
      </c>
      <c r="K347" s="87"/>
    </row>
    <row r="348" spans="1:11" ht="15" x14ac:dyDescent="0.2">
      <c r="A348" s="324" t="s">
        <v>2475</v>
      </c>
      <c r="B348" s="324" t="str">
        <f t="shared" si="22"/>
        <v>0520</v>
      </c>
      <c r="C348" s="324">
        <v>52382</v>
      </c>
      <c r="D348" s="324" t="str">
        <f>"0207"</f>
        <v>0207</v>
      </c>
      <c r="E348" s="324">
        <v>4</v>
      </c>
      <c r="F348" s="827">
        <f>IF(SUMPRODUCT(--ISNUMBER(SEARCH("NANNUP",Address)))&gt;0,CommonsRender+FaceCored+FaceSolid+FaceCommon,0)</f>
        <v>0</v>
      </c>
      <c r="G348" s="829"/>
      <c r="H348" s="412" t="s">
        <v>2630</v>
      </c>
      <c r="I348" s="1258"/>
      <c r="J348" s="2" t="str">
        <f>IF(Table5[[#This Row],[Entered]]&lt;&gt;Table5[[#This Row],[Quantity]],"Check","")</f>
        <v/>
      </c>
      <c r="K348" s="87"/>
    </row>
    <row r="349" spans="1:11" ht="15" x14ac:dyDescent="0.2">
      <c r="A349" s="324" t="s">
        <v>2475</v>
      </c>
      <c r="B349" s="324" t="str">
        <f t="shared" si="22"/>
        <v>0520</v>
      </c>
      <c r="C349" s="324">
        <v>52382</v>
      </c>
      <c r="D349" s="324" t="str">
        <f>"0218"</f>
        <v>0218</v>
      </c>
      <c r="E349" s="324">
        <v>4</v>
      </c>
      <c r="F349" s="827">
        <f>IF(SUMPRODUCT(--ISNUMBER(SEARCH("PEMBERTON",Address)))&gt;0,CommonsRender+FaceCored+FaceSolid+FaceCommon,0)</f>
        <v>0</v>
      </c>
      <c r="G349" s="829"/>
      <c r="H349" s="412" t="s">
        <v>2631</v>
      </c>
      <c r="I349" s="1258"/>
      <c r="J349" s="2" t="str">
        <f>IF(Table5[[#This Row],[Entered]]&lt;&gt;Table5[[#This Row],[Quantity]],"Check","")</f>
        <v/>
      </c>
      <c r="K349" s="87"/>
    </row>
    <row r="350" spans="1:11" ht="15" x14ac:dyDescent="0.2">
      <c r="A350" s="324" t="s">
        <v>2475</v>
      </c>
      <c r="B350" s="324" t="str">
        <f t="shared" si="22"/>
        <v>0520</v>
      </c>
      <c r="C350" s="324">
        <v>52382</v>
      </c>
      <c r="D350" s="324" t="str">
        <f>"0209"</f>
        <v>0209</v>
      </c>
      <c r="E350" s="324">
        <v>4</v>
      </c>
      <c r="F350" s="827">
        <f>IF(SUMPRODUCT(--ISNUMBER(SEARCH("YALLINGUP",Address)))&gt;0,CommonsRender+FaceCored+FaceSolid+FaceCommon,0)</f>
        <v>0</v>
      </c>
      <c r="G350" s="829"/>
      <c r="H350" s="412" t="s">
        <v>2632</v>
      </c>
      <c r="I350" s="1258"/>
      <c r="J350" s="2" t="str">
        <f>IF(Table5[[#This Row],[Entered]]&lt;&gt;Table5[[#This Row],[Quantity]],"Check","")</f>
        <v/>
      </c>
    </row>
    <row r="351" spans="1:11" ht="15" x14ac:dyDescent="0.2">
      <c r="A351" s="324" t="s">
        <v>2475</v>
      </c>
      <c r="B351" s="324" t="str">
        <f t="shared" si="22"/>
        <v>0520</v>
      </c>
      <c r="C351" s="324">
        <v>52382</v>
      </c>
      <c r="D351" s="324" t="str">
        <f>"0312"</f>
        <v>0312</v>
      </c>
      <c r="E351" s="324">
        <v>4</v>
      </c>
      <c r="F351" s="827" cm="1">
        <f t="array" ref="F351">IF(SUMPRODUCT(--ISNUMBER(SEARCH(KDPowerAugustaArea,Address)))&gt;0,DuraclayRender+DuraclayInternal+VerticlayInternal,0)</f>
        <v>0</v>
      </c>
      <c r="G351" s="829"/>
      <c r="H351" s="412" t="s">
        <v>2615</v>
      </c>
      <c r="I351" s="1258"/>
      <c r="J351" s="2" t="str">
        <f>IF(Table5[[#This Row],[Entered]]&lt;&gt;Table5[[#This Row],[Quantity]],"Check","")</f>
        <v/>
      </c>
    </row>
    <row r="352" spans="1:11" ht="15" x14ac:dyDescent="0.2">
      <c r="A352" s="324" t="s">
        <v>2475</v>
      </c>
      <c r="B352" s="324" t="str">
        <f t="shared" si="22"/>
        <v>0520</v>
      </c>
      <c r="C352" s="324">
        <v>52382</v>
      </c>
      <c r="D352" s="324" t="str">
        <f>"0322"</f>
        <v>0322</v>
      </c>
      <c r="E352" s="324">
        <v>4</v>
      </c>
      <c r="F352" s="827">
        <f>IF(SUMPRODUCT(--ISNUMBER(SEARCH("BOYUP BROOK",Address)))&gt;0,DuraclayRender+DuraclayInternal+VerticlayInternal,0)</f>
        <v>0</v>
      </c>
      <c r="G352" s="829"/>
      <c r="H352" s="412" t="s">
        <v>2616</v>
      </c>
      <c r="I352" s="1258"/>
      <c r="J352" s="2" t="str">
        <f>IF(Table5[[#This Row],[Entered]]&lt;&gt;Table5[[#This Row],[Quantity]],"Check","")</f>
        <v/>
      </c>
    </row>
    <row r="353" spans="1:10" ht="15" x14ac:dyDescent="0.2">
      <c r="A353" s="324" t="s">
        <v>2475</v>
      </c>
      <c r="B353" s="324" t="str">
        <f t="shared" si="22"/>
        <v>0520</v>
      </c>
      <c r="C353" s="324">
        <v>52382</v>
      </c>
      <c r="D353" s="324" t="str">
        <f>"0316"</f>
        <v>0316</v>
      </c>
      <c r="E353" s="324">
        <v>4</v>
      </c>
      <c r="F353" s="827">
        <f>IF(SUMPRODUCT(--ISNUMBER(SEARCH("BRIDGETOWN",Address)))&gt;0,DuraclayRender+DuraclayInternal+VerticlayInternal,0)</f>
        <v>0</v>
      </c>
      <c r="G353" s="829"/>
      <c r="H353" s="412" t="s">
        <v>2617</v>
      </c>
      <c r="I353" s="1258"/>
      <c r="J353" s="2" t="str">
        <f>IF(Table5[[#This Row],[Entered]]&lt;&gt;Table5[[#This Row],[Quantity]],"Check","")</f>
        <v/>
      </c>
    </row>
    <row r="354" spans="1:10" ht="15" x14ac:dyDescent="0.2">
      <c r="A354" s="324" t="s">
        <v>2475</v>
      </c>
      <c r="B354" s="324" t="str">
        <f t="shared" si="22"/>
        <v>0520</v>
      </c>
      <c r="C354" s="324">
        <v>52382</v>
      </c>
      <c r="D354" s="324" t="str">
        <f>"0306"</f>
        <v>0306</v>
      </c>
      <c r="E354" s="324">
        <v>4</v>
      </c>
      <c r="F354" s="827" cm="1">
        <f t="array" ref="F354">IF(SUMPRODUCT(--ISNUMBER(SEARCH(KDPowerBusseltonArea,Address)))&gt;0,DuraclayRender+DuraclayInternal+VerticlayInternal,0)</f>
        <v>0</v>
      </c>
      <c r="G354" s="829">
        <v>216.3</v>
      </c>
      <c r="H354" s="412" t="s">
        <v>2618</v>
      </c>
      <c r="I354" s="1258"/>
      <c r="J354" s="2" t="str">
        <f>IF(Table5[[#This Row],[Entered]]&lt;&gt;Table5[[#This Row],[Quantity]],"Check","")</f>
        <v/>
      </c>
    </row>
    <row r="355" spans="1:10" ht="15" x14ac:dyDescent="0.2">
      <c r="A355" s="324" t="s">
        <v>2475</v>
      </c>
      <c r="B355" s="324" t="str">
        <f t="shared" si="22"/>
        <v>0520</v>
      </c>
      <c r="C355" s="324">
        <v>52382</v>
      </c>
      <c r="D355" s="324" t="str">
        <f>"0311"</f>
        <v>0311</v>
      </c>
      <c r="E355" s="324">
        <v>4</v>
      </c>
      <c r="F355" s="827" cm="1">
        <f t="array" ref="F355">IF(SUMPRODUCT(--ISNUMBER(SEARCH(KDPowerMargaretRiverCowaramup,Address)))&gt;0,DuraclayRender+DuraclayInternal+VerticlayInternal,0)</f>
        <v>0</v>
      </c>
      <c r="G355" s="829"/>
      <c r="H355" s="412" t="s">
        <v>2619</v>
      </c>
      <c r="I355" s="1258"/>
      <c r="J355" s="2" t="str">
        <f>IF(Table5[[#This Row],[Entered]]&lt;&gt;Table5[[#This Row],[Quantity]],"Check","")</f>
        <v/>
      </c>
    </row>
    <row r="356" spans="1:10" ht="15" x14ac:dyDescent="0.2">
      <c r="A356" s="324" t="s">
        <v>2475</v>
      </c>
      <c r="B356" s="324" t="str">
        <f t="shared" si="22"/>
        <v>0520</v>
      </c>
      <c r="C356" s="324">
        <v>52382</v>
      </c>
      <c r="D356" s="324" t="str">
        <f>"0308"</f>
        <v>0308</v>
      </c>
      <c r="E356" s="324">
        <v>4</v>
      </c>
      <c r="F356" s="827" cm="1">
        <f t="array" ref="F356">IF(SUMPRODUCT(--ISNUMBER(SEARCH(KDPowerDunsboroughArea,Address)))&gt;0,DuraclayRender+DuraclayInternal+VerticlayInternal,0)</f>
        <v>0</v>
      </c>
      <c r="G356" s="829"/>
      <c r="H356" s="412" t="s">
        <v>2620</v>
      </c>
      <c r="I356" s="1258"/>
      <c r="J356" s="2" t="str">
        <f>IF(Table5[[#This Row],[Entered]]&lt;&gt;Table5[[#This Row],[Quantity]],"Check","")</f>
        <v/>
      </c>
    </row>
    <row r="357" spans="1:10" ht="15" x14ac:dyDescent="0.2">
      <c r="A357" s="324" t="s">
        <v>2475</v>
      </c>
      <c r="B357" s="324" t="str">
        <f t="shared" si="22"/>
        <v>0520</v>
      </c>
      <c r="C357" s="324">
        <v>52382</v>
      </c>
      <c r="D357" s="324" t="str">
        <f>"0317"</f>
        <v>0317</v>
      </c>
      <c r="E357" s="324">
        <v>4</v>
      </c>
      <c r="F357" s="827">
        <f>IF(SUMPRODUCT(--ISNUMBER(SEARCH("MANJIMUP",Address)))&gt;0,DuraclayRender+DuraclayInternal+VerticlayInternal,0)</f>
        <v>0</v>
      </c>
      <c r="G357" s="829"/>
      <c r="H357" s="412" t="s">
        <v>2593</v>
      </c>
      <c r="I357" s="1258"/>
      <c r="J357" s="2" t="str">
        <f>IF(Table5[[#This Row],[Entered]]&lt;&gt;Table5[[#This Row],[Quantity]],"Check","")</f>
        <v/>
      </c>
    </row>
    <row r="358" spans="1:10" ht="15" x14ac:dyDescent="0.2">
      <c r="A358" s="324" t="s">
        <v>2475</v>
      </c>
      <c r="B358" s="324" t="str">
        <f t="shared" si="22"/>
        <v>0520</v>
      </c>
      <c r="C358" s="324">
        <v>52382</v>
      </c>
      <c r="D358" s="324" t="str">
        <f>"0307"</f>
        <v>0307</v>
      </c>
      <c r="E358" s="324">
        <v>4</v>
      </c>
      <c r="F358" s="827">
        <f>IF(SUMPRODUCT(--ISNUMBER(SEARCH("NANNUP",Address)))&gt;0,DuraclayRender+DuraclayInternal+VerticlayInternal,0)</f>
        <v>0</v>
      </c>
      <c r="G358" s="829"/>
      <c r="H358" s="412" t="s">
        <v>2621</v>
      </c>
      <c r="I358" s="1258"/>
      <c r="J358" s="2" t="str">
        <f>IF(Table5[[#This Row],[Entered]]&lt;&gt;Table5[[#This Row],[Quantity]],"Check","")</f>
        <v/>
      </c>
    </row>
    <row r="359" spans="1:10" ht="15" x14ac:dyDescent="0.2">
      <c r="A359" s="324" t="s">
        <v>2475</v>
      </c>
      <c r="B359" s="324" t="str">
        <f t="shared" si="22"/>
        <v>0520</v>
      </c>
      <c r="C359" s="324">
        <v>52382</v>
      </c>
      <c r="D359" s="324" t="str">
        <f>"0319"</f>
        <v>0319</v>
      </c>
      <c r="E359" s="324">
        <v>4</v>
      </c>
      <c r="F359" s="827">
        <f>IF(SUMPRODUCT(--ISNUMBER(SEARCH("PEMBERTON",Address)))&gt;0,DuraclayRender+DuraclayInternal+VerticlayInternal,0)</f>
        <v>0</v>
      </c>
      <c r="G359" s="829"/>
      <c r="H359" s="412" t="s">
        <v>2622</v>
      </c>
      <c r="I359" s="1258"/>
      <c r="J359" s="2" t="str">
        <f>IF(Table5[[#This Row],[Entered]]&lt;&gt;Table5[[#This Row],[Quantity]],"Check","")</f>
        <v/>
      </c>
    </row>
    <row r="360" spans="1:10" ht="15" x14ac:dyDescent="0.2">
      <c r="A360" s="324" t="s">
        <v>2475</v>
      </c>
      <c r="B360" s="324" t="str">
        <f t="shared" si="22"/>
        <v>0520</v>
      </c>
      <c r="C360" s="324">
        <v>52382</v>
      </c>
      <c r="D360" s="324" t="str">
        <f>"0309"</f>
        <v>0309</v>
      </c>
      <c r="E360" s="324">
        <v>4</v>
      </c>
      <c r="F360" s="827">
        <f>IF(SUMPRODUCT(--ISNUMBER(SEARCH("YALLINGUP",Address)))&gt;0,DuraclayRender+DuraclayInternal+VerticlayInternal,0)</f>
        <v>0</v>
      </c>
      <c r="G360" s="829"/>
      <c r="H360" s="412" t="s">
        <v>2623</v>
      </c>
      <c r="I360" s="1258"/>
      <c r="J360" s="2" t="str">
        <f>IF(Table5[[#This Row],[Entered]]&lt;&gt;Table5[[#This Row],[Quantity]],"Check","")</f>
        <v/>
      </c>
    </row>
    <row r="361" spans="1:10" ht="15" x14ac:dyDescent="0.2">
      <c r="A361" s="324" t="s">
        <v>2475</v>
      </c>
      <c r="B361" s="324" t="str">
        <f t="shared" si="22"/>
        <v>0520</v>
      </c>
      <c r="C361" s="324">
        <v>52382</v>
      </c>
      <c r="D361" s="324" t="str">
        <f>"0412"</f>
        <v>0412</v>
      </c>
      <c r="E361" s="324">
        <v>4</v>
      </c>
      <c r="F361" s="827">
        <f>IF(SUMPRODUCT(--ISNUMBER(SEARCH("MANJIMUP",Address)))&gt;0,LongreachFaceBlockCored+LongreachFaceBlockSolid+LongreachRender+LongreachInternal,0)</f>
        <v>0</v>
      </c>
      <c r="G361" s="829"/>
      <c r="H361" s="412" t="s">
        <v>3084</v>
      </c>
      <c r="I361" s="1258"/>
      <c r="J361" s="2" t="str">
        <f>IF(Table5[[#This Row],[Entered]]&lt;&gt;Table5[[#This Row],[Quantity]],"Check","")</f>
        <v/>
      </c>
    </row>
    <row r="362" spans="1:10" ht="15" x14ac:dyDescent="0.2">
      <c r="A362" s="324" t="s">
        <v>2475</v>
      </c>
      <c r="B362" s="324" t="str">
        <f t="shared" si="22"/>
        <v>0520</v>
      </c>
      <c r="C362" s="324">
        <v>52382</v>
      </c>
      <c r="D362" s="324" t="str">
        <f>"0420"</f>
        <v>0420</v>
      </c>
      <c r="E362" s="324">
        <v>4</v>
      </c>
      <c r="F362" s="827">
        <f>IF(SUMPRODUCT(--ISNUMBER(SEARCH("BOYUP BROOK",Address)))&gt;0,LongreachFaceBlockCored+LongreachFaceBlockSolid+LongreachRender+LongreachInternal,0)</f>
        <v>0</v>
      </c>
      <c r="G362" s="829"/>
      <c r="H362" s="412" t="s">
        <v>3085</v>
      </c>
      <c r="I362" s="1258"/>
      <c r="J362" s="2" t="str">
        <f>IF(Table5[[#This Row],[Entered]]&lt;&gt;Table5[[#This Row],[Quantity]],"Check","")</f>
        <v/>
      </c>
    </row>
    <row r="363" spans="1:10" ht="15" x14ac:dyDescent="0.2">
      <c r="A363" s="324" t="s">
        <v>2475</v>
      </c>
      <c r="B363" s="324" t="str">
        <f t="shared" si="22"/>
        <v>0520</v>
      </c>
      <c r="C363" s="324">
        <v>52382</v>
      </c>
      <c r="D363" s="324" t="str">
        <f>"0406"</f>
        <v>0406</v>
      </c>
      <c r="E363" s="324">
        <v>4</v>
      </c>
      <c r="F363" s="827" cm="1">
        <f t="array" ref="F363">IF(SUMPRODUCT(--ISNUMBER(SEARCH(KDPowerBusseltonArea,Address)))&gt;0,LongreachFaceBlockCored+LongreachFaceBlockSolid+LongreachRender+LongreachInternal,0)</f>
        <v>0</v>
      </c>
      <c r="G363" s="829">
        <v>123.6</v>
      </c>
      <c r="H363" s="412" t="s">
        <v>3086</v>
      </c>
      <c r="I363" s="1258"/>
      <c r="J363" s="2" t="str">
        <f>IF(Table5[[#This Row],[Entered]]&lt;&gt;Table5[[#This Row],[Quantity]],"Check","")</f>
        <v/>
      </c>
    </row>
    <row r="364" spans="1:10" ht="15" x14ac:dyDescent="0.2">
      <c r="A364" s="324" t="s">
        <v>2475</v>
      </c>
      <c r="B364" s="324" t="str">
        <f t="shared" si="22"/>
        <v>0520</v>
      </c>
      <c r="C364" s="324">
        <v>52382</v>
      </c>
      <c r="D364" s="324" t="str">
        <f>"0411"</f>
        <v>0411</v>
      </c>
      <c r="E364" s="324">
        <v>4</v>
      </c>
      <c r="F364" s="827" cm="1">
        <f t="array" ref="F364">IF(SUMPRODUCT(--ISNUMBER(SEARCH(KDPowerMargaretRiverCowaramup,Address)))&gt;0,LongreachFaceBlockCored+LongreachFaceBlockSolid+LongreachRender+LongreachInternal,0)</f>
        <v>0</v>
      </c>
      <c r="G364" s="829"/>
      <c r="H364" s="412" t="s">
        <v>3087</v>
      </c>
      <c r="I364" s="1258"/>
      <c r="J364" s="2" t="str">
        <f>IF(Table5[[#This Row],[Entered]]&lt;&gt;Table5[[#This Row],[Quantity]],"Check","")</f>
        <v/>
      </c>
    </row>
    <row r="365" spans="1:10" ht="15" x14ac:dyDescent="0.2">
      <c r="A365" s="324" t="s">
        <v>2475</v>
      </c>
      <c r="B365" s="324" t="str">
        <f t="shared" si="22"/>
        <v>0520</v>
      </c>
      <c r="C365" s="324">
        <v>52382</v>
      </c>
      <c r="D365" s="324" t="str">
        <f>"0408"</f>
        <v>0408</v>
      </c>
      <c r="E365" s="324">
        <v>4</v>
      </c>
      <c r="F365" s="827" cm="1">
        <f t="array" ref="F365">IF(SUMPRODUCT(--ISNUMBER(SEARCH(KDPowerDunsboroughArea,Address)))&gt;0,LongreachFaceBlockCored+LongreachFaceBlockSolid+LongreachRender+LongreachInternal,0)</f>
        <v>0</v>
      </c>
      <c r="G365" s="829"/>
      <c r="H365" s="412" t="s">
        <v>3089</v>
      </c>
      <c r="I365" s="1258"/>
      <c r="J365" s="2" t="str">
        <f>IF(Table5[[#This Row],[Entered]]&lt;&gt;Table5[[#This Row],[Quantity]],"Check","")</f>
        <v/>
      </c>
    </row>
    <row r="366" spans="1:10" ht="15" x14ac:dyDescent="0.2">
      <c r="A366" s="324" t="s">
        <v>2475</v>
      </c>
      <c r="B366" s="324" t="str">
        <f t="shared" si="22"/>
        <v>0520</v>
      </c>
      <c r="C366" s="324">
        <v>52382</v>
      </c>
      <c r="D366" s="324" t="str">
        <f>"0409"</f>
        <v>0409</v>
      </c>
      <c r="E366" s="324">
        <v>4</v>
      </c>
      <c r="F366" s="827">
        <f>IF(SUMPRODUCT(--ISNUMBER(SEARCH("YALLINGUP",Address)))&gt;0,LongreachFaceBlockCored+LongreachFaceBlockSolid+LongreachRender+LongreachInternal,0)</f>
        <v>0</v>
      </c>
      <c r="G366" s="829"/>
      <c r="H366" s="412" t="s">
        <v>3088</v>
      </c>
      <c r="I366" s="1258"/>
      <c r="J366" s="2" t="str">
        <f>IF(Table5[[#This Row],[Entered]]&lt;&gt;Table5[[#This Row],[Quantity]],"Check","")</f>
        <v/>
      </c>
    </row>
    <row r="367" spans="1:10" ht="15" x14ac:dyDescent="0.2">
      <c r="A367" s="324" t="s">
        <v>2475</v>
      </c>
      <c r="B367" s="324" t="str">
        <f t="shared" si="22"/>
        <v>0520</v>
      </c>
      <c r="C367" s="324">
        <v>52382</v>
      </c>
      <c r="D367" s="324" t="str">
        <f>"0417"</f>
        <v>0417</v>
      </c>
      <c r="E367" s="324">
        <v>4</v>
      </c>
      <c r="F367" s="827">
        <f>IF(SUMPRODUCT(--ISNUMBER(SEARCH("MANJIMUP",Address)))&gt;0,LongreachFaceBlockCored+LongreachFaceBlockSolid+LongreachRender+LongreachInternal,0)</f>
        <v>0</v>
      </c>
      <c r="G367" s="829"/>
      <c r="H367" s="412" t="s">
        <v>2594</v>
      </c>
      <c r="I367" s="1258"/>
      <c r="J367" s="2" t="str">
        <f>IF(Table5[[#This Row],[Entered]]&lt;&gt;Table5[[#This Row],[Quantity]],"Check","")</f>
        <v/>
      </c>
    </row>
    <row r="368" spans="1:10" ht="15" x14ac:dyDescent="0.2">
      <c r="A368" s="324" t="s">
        <v>2475</v>
      </c>
      <c r="B368" s="324" t="str">
        <f t="shared" si="22"/>
        <v>0520</v>
      </c>
      <c r="C368" s="324">
        <v>52382</v>
      </c>
      <c r="D368" s="324" t="str">
        <f>"1117"</f>
        <v>1117</v>
      </c>
      <c r="E368" s="324">
        <v>1</v>
      </c>
      <c r="F368" s="827">
        <f>IF(SUMPRODUCT(--ISNUMBER(SEARCH("AUGUSTA",Address)))&gt;0,COUNTIF(Name,"Brick Lintel"),0)</f>
        <v>0</v>
      </c>
      <c r="G368" s="829"/>
      <c r="H368" s="412" t="s">
        <v>3062</v>
      </c>
      <c r="I368" s="1258"/>
      <c r="J368" s="2" t="str">
        <f>IF(Table5[[#This Row],[Entered]]&lt;&gt;Table5[[#This Row],[Quantity]],"Check","")</f>
        <v/>
      </c>
    </row>
    <row r="369" spans="1:10" ht="15" x14ac:dyDescent="0.2">
      <c r="A369" s="324" t="s">
        <v>2475</v>
      </c>
      <c r="B369" s="324" t="str">
        <f t="shared" si="22"/>
        <v>0520</v>
      </c>
      <c r="C369" s="324">
        <v>52382</v>
      </c>
      <c r="D369" s="324" t="str">
        <f>"1122"</f>
        <v>1122</v>
      </c>
      <c r="E369" s="324">
        <v>1</v>
      </c>
      <c r="F369" s="827">
        <f>IF(SUMPRODUCT(--ISNUMBER(SEARCH("BOYUP BROOK",Address)))&gt;0,COUNTIF(Name,"Brick Lintel"),0)</f>
        <v>0</v>
      </c>
      <c r="G369" s="829"/>
      <c r="H369" s="412" t="s">
        <v>3063</v>
      </c>
      <c r="I369" s="1258"/>
      <c r="J369" s="2" t="str">
        <f>IF(Table5[[#This Row],[Entered]]&lt;&gt;Table5[[#This Row],[Quantity]],"Check","")</f>
        <v/>
      </c>
    </row>
    <row r="370" spans="1:10" ht="15" x14ac:dyDescent="0.2">
      <c r="A370" s="324" t="s">
        <v>2475</v>
      </c>
      <c r="B370" s="324" t="str">
        <f t="shared" si="22"/>
        <v>0520</v>
      </c>
      <c r="C370" s="324">
        <v>52382</v>
      </c>
      <c r="D370" s="324" t="str">
        <f>"1118"</f>
        <v>1118</v>
      </c>
      <c r="E370" s="324">
        <v>1</v>
      </c>
      <c r="F370" s="827">
        <f>IF(SUMPRODUCT(--ISNUMBER(SEARCH("BRIDGETOWN",Address)))&gt;0,COUNTIF(Name,"Brick Lintel"),0)</f>
        <v>0</v>
      </c>
      <c r="G370" s="829"/>
      <c r="H370" s="412" t="s">
        <v>3064</v>
      </c>
      <c r="I370" s="1258"/>
      <c r="J370" s="2" t="str">
        <f>IF(Table5[[#This Row],[Entered]]&lt;&gt;Table5[[#This Row],[Quantity]],"Check","")</f>
        <v/>
      </c>
    </row>
    <row r="371" spans="1:10" ht="15" x14ac:dyDescent="0.2">
      <c r="A371" s="324" t="s">
        <v>2475</v>
      </c>
      <c r="B371" s="324" t="str">
        <f t="shared" si="22"/>
        <v>0520</v>
      </c>
      <c r="C371" s="324">
        <v>52382</v>
      </c>
      <c r="D371" s="324" t="str">
        <f>"1112"</f>
        <v>1112</v>
      </c>
      <c r="E371" s="324">
        <v>1</v>
      </c>
      <c r="F371" s="827" cm="1">
        <f t="array" ref="F371">IF(SUMPRODUCT(--ISNUMBER(SEARCH(KDPowerBusseltonArea,Address)))&gt;0,COUNTIF(Name,"Brick Lintel"),0)</f>
        <v>0</v>
      </c>
      <c r="G371" s="829">
        <v>8.6999999999999993</v>
      </c>
      <c r="H371" s="412" t="s">
        <v>3061</v>
      </c>
      <c r="I371" s="1258"/>
      <c r="J371" s="2" t="str">
        <f>IF(Table5[[#This Row],[Entered]]&lt;&gt;Table5[[#This Row],[Quantity]],"Check","")</f>
        <v/>
      </c>
    </row>
    <row r="372" spans="1:10" ht="15" x14ac:dyDescent="0.2">
      <c r="A372" s="324" t="s">
        <v>2475</v>
      </c>
      <c r="B372" s="324" t="str">
        <f t="shared" si="22"/>
        <v>0520</v>
      </c>
      <c r="C372" s="324">
        <v>52382</v>
      </c>
      <c r="D372" s="324" t="str">
        <f>"1116"</f>
        <v>1116</v>
      </c>
      <c r="E372" s="324">
        <v>1</v>
      </c>
      <c r="F372" s="827" cm="1">
        <f t="array" ref="F372">IF(SUMPRODUCT(--ISNUMBER(SEARCH(KDPowerMargaretRiverCowaramup,Address)))&gt;0,COUNTIF(Name,"Brick Lintel"),0)</f>
        <v>0</v>
      </c>
      <c r="G372" s="829"/>
      <c r="H372" s="412" t="s">
        <v>3065</v>
      </c>
      <c r="I372" s="1258"/>
      <c r="J372" s="2" t="str">
        <f>IF(Table5[[#This Row],[Entered]]&lt;&gt;Table5[[#This Row],[Quantity]],"Check","")</f>
        <v/>
      </c>
    </row>
    <row r="373" spans="1:10" ht="15" x14ac:dyDescent="0.2">
      <c r="A373" s="324" t="s">
        <v>2475</v>
      </c>
      <c r="B373" s="324" t="str">
        <f t="shared" si="22"/>
        <v>0520</v>
      </c>
      <c r="C373" s="324">
        <v>52382</v>
      </c>
      <c r="D373" s="324" t="str">
        <f>"1113"</f>
        <v>1113</v>
      </c>
      <c r="E373" s="324">
        <v>1</v>
      </c>
      <c r="F373" s="827" cm="1">
        <f t="array" ref="F373">IF(SUMPRODUCT(--ISNUMBER(SEARCH(KDPowerDunsboroughArea,Address)))&gt;0,COUNTIF(Name,"Brick Lintel"),0)</f>
        <v>0</v>
      </c>
      <c r="G373" s="829"/>
      <c r="H373" s="412" t="s">
        <v>3066</v>
      </c>
      <c r="I373" s="1258"/>
      <c r="J373" s="2" t="str">
        <f>IF(Table5[[#This Row],[Entered]]&lt;&gt;Table5[[#This Row],[Quantity]],"Check","")</f>
        <v/>
      </c>
    </row>
    <row r="374" spans="1:10" ht="15" x14ac:dyDescent="0.2">
      <c r="A374" s="324" t="s">
        <v>2475</v>
      </c>
      <c r="B374" s="324" t="str">
        <f t="shared" si="22"/>
        <v>0520</v>
      </c>
      <c r="C374" s="324">
        <v>52382</v>
      </c>
      <c r="D374" s="324" t="str">
        <f>"1121"</f>
        <v>1121</v>
      </c>
      <c r="E374" s="324">
        <v>1</v>
      </c>
      <c r="F374" s="827">
        <f>IF(SUMPRODUCT(--ISNUMBER(SEARCH("MANJIMUP",Address)))&gt;0,COUNTIF(Name,"Brick Lintel"),0)</f>
        <v>0</v>
      </c>
      <c r="G374" s="829"/>
      <c r="H374" s="412" t="s">
        <v>2649</v>
      </c>
      <c r="I374" s="1258"/>
      <c r="J374" s="2" t="str">
        <f>IF(Table5[[#This Row],[Entered]]&lt;&gt;Table5[[#This Row],[Quantity]],"Check","")</f>
        <v/>
      </c>
    </row>
    <row r="375" spans="1:10" ht="15" x14ac:dyDescent="0.2">
      <c r="A375" s="324" t="s">
        <v>2475</v>
      </c>
      <c r="B375" s="324" t="str">
        <f t="shared" si="22"/>
        <v>0520</v>
      </c>
      <c r="C375" s="324">
        <v>52382</v>
      </c>
      <c r="D375" s="324" t="str">
        <f>"1119"</f>
        <v>1119</v>
      </c>
      <c r="E375" s="324">
        <v>1</v>
      </c>
      <c r="F375" s="827">
        <f>IF(SUMPRODUCT(--ISNUMBER(SEARCH("NANNUP",Address)))&gt;0,COUNTIF(Name,"Brick Lintel"),0)</f>
        <v>0</v>
      </c>
      <c r="G375" s="829"/>
      <c r="H375" s="412" t="s">
        <v>3067</v>
      </c>
      <c r="I375" s="1258"/>
      <c r="J375" s="2" t="str">
        <f>IF(Table5[[#This Row],[Entered]]&lt;&gt;Table5[[#This Row],[Quantity]],"Check","")</f>
        <v/>
      </c>
    </row>
    <row r="376" spans="1:10" ht="15" x14ac:dyDescent="0.2">
      <c r="A376" s="324" t="s">
        <v>2475</v>
      </c>
      <c r="B376" s="324" t="str">
        <f t="shared" si="22"/>
        <v>0520</v>
      </c>
      <c r="C376" s="324">
        <v>52382</v>
      </c>
      <c r="D376" s="324" t="str">
        <f>"1120"</f>
        <v>1120</v>
      </c>
      <c r="E376" s="324">
        <v>1</v>
      </c>
      <c r="F376" s="827">
        <f>IF(SUMPRODUCT(--ISNUMBER(SEARCH("PEMBERTON",Address)))&gt;0,COUNTIF(Name,"Brick Lintel"),0)</f>
        <v>0</v>
      </c>
      <c r="G376" s="829"/>
      <c r="H376" s="412" t="s">
        <v>3068</v>
      </c>
      <c r="I376" s="1258"/>
      <c r="J376" s="2" t="str">
        <f>IF(Table5[[#This Row],[Entered]]&lt;&gt;Table5[[#This Row],[Quantity]],"Check","")</f>
        <v/>
      </c>
    </row>
    <row r="377" spans="1:10" ht="15" x14ac:dyDescent="0.2">
      <c r="A377" s="324" t="s">
        <v>2475</v>
      </c>
      <c r="B377" s="324" t="str">
        <f t="shared" si="22"/>
        <v>0520</v>
      </c>
      <c r="C377" s="324">
        <v>52382</v>
      </c>
      <c r="D377" s="324" t="str">
        <f>"1114"</f>
        <v>1114</v>
      </c>
      <c r="E377" s="324">
        <v>1</v>
      </c>
      <c r="F377" s="827">
        <f>IF(SUMPRODUCT(--ISNUMBER(SEARCH("YALLINGUP",Address)))&gt;0,COUNTIF(Name,"Brick Lintel"),0)</f>
        <v>0</v>
      </c>
      <c r="G377" s="829"/>
      <c r="H377" s="412" t="s">
        <v>3069</v>
      </c>
      <c r="I377" s="1258"/>
      <c r="J377" s="2" t="str">
        <f>IF(Table5[[#This Row],[Entered]]&lt;&gt;Table5[[#This Row],[Quantity]],"Check","")</f>
        <v/>
      </c>
    </row>
    <row r="378" spans="1:10" ht="15" x14ac:dyDescent="0.2">
      <c r="A378" s="324"/>
      <c r="B378" s="324"/>
      <c r="C378" s="324"/>
      <c r="D378" s="324"/>
      <c r="E378" s="324"/>
      <c r="F378" s="827"/>
      <c r="G378" s="829"/>
      <c r="H378" s="412"/>
      <c r="I378" s="1258"/>
      <c r="J378" s="2" t="str">
        <f>IF(Table5[[#This Row],[Entered]]&lt;&gt;Table5[[#This Row],[Quantity]],"Check","")</f>
        <v/>
      </c>
    </row>
    <row r="379" spans="1:10" ht="15" x14ac:dyDescent="0.2">
      <c r="A379" s="324" t="str">
        <f>IF(Brick_type&lt;&gt;"Timber Frame","BRICK1","WFRAME1")</f>
        <v>BRICK1</v>
      </c>
      <c r="B379" s="324" t="str">
        <f>"0530"</f>
        <v>0530</v>
      </c>
      <c r="C379" s="324" t="str">
        <f>"04467"</f>
        <v>04467</v>
      </c>
      <c r="D379" s="324">
        <f>7000</f>
        <v>7000</v>
      </c>
      <c r="E379" s="324">
        <v>1</v>
      </c>
      <c r="F379" s="827">
        <v>1</v>
      </c>
      <c r="G379" s="829">
        <v>0</v>
      </c>
      <c r="H379" s="412" t="s">
        <v>2731</v>
      </c>
      <c r="I379" s="1258"/>
      <c r="J379" s="2" t="str">
        <f>IF(Table5[[#This Row],[Entered]]&lt;&gt;Table5[[#This Row],[Quantity]],"Check","")</f>
        <v>Check</v>
      </c>
    </row>
    <row r="380" spans="1:10" ht="15" x14ac:dyDescent="0.2">
      <c r="A380" s="324"/>
      <c r="B380" s="324"/>
      <c r="C380" s="324"/>
      <c r="D380" s="324"/>
      <c r="E380" s="324"/>
      <c r="F380" s="827"/>
      <c r="G380" s="829"/>
      <c r="H380" s="412"/>
      <c r="I380" s="1258"/>
      <c r="J380" s="2" t="str">
        <f>IF(Table5[[#This Row],[Entered]]&lt;&gt;Table5[[#This Row],[Quantity]],"Check","")</f>
        <v/>
      </c>
    </row>
    <row r="381" spans="1:10" ht="15" x14ac:dyDescent="0.2">
      <c r="A381" s="324" t="str">
        <f t="shared" ref="A381:A418" si="23">IF(Brick_type="Timber Frame","WFRAME1","BRICK1")</f>
        <v>BRICK1</v>
      </c>
      <c r="B381" s="324" t="str">
        <f t="shared" ref="B381:B418" si="24">"0540"</f>
        <v>0540</v>
      </c>
      <c r="C381" s="324">
        <v>52640</v>
      </c>
      <c r="D381" s="830" t="str">
        <f>"0031"</f>
        <v>0031</v>
      </c>
      <c r="E381" s="324">
        <v>1</v>
      </c>
      <c r="F381" s="827">
        <f>COUNTIFS(Name,"Door Entry",Length,"=1.200")-COUNTIFS(Addenda!A:A,"*1200mm*",Addenda!A:A,"*pivot*")</f>
        <v>0</v>
      </c>
      <c r="G381" s="829"/>
      <c r="H381" s="412" t="s">
        <v>3380</v>
      </c>
      <c r="I381" s="1258"/>
      <c r="J381" s="2" t="str">
        <f>IF(Table5[[#This Row],[Entered]]&lt;&gt;Table5[[#This Row],[Quantity]],"Check","")</f>
        <v/>
      </c>
    </row>
    <row r="382" spans="1:10" ht="15" x14ac:dyDescent="0.2">
      <c r="A382" s="324" t="str">
        <f t="shared" si="23"/>
        <v>BRICK1</v>
      </c>
      <c r="B382" s="324" t="str">
        <f t="shared" si="24"/>
        <v>0540</v>
      </c>
      <c r="C382" s="324">
        <v>52640</v>
      </c>
      <c r="D382" s="324" t="str">
        <f>"0410"</f>
        <v>0410</v>
      </c>
      <c r="E382" s="324">
        <v>1</v>
      </c>
      <c r="F382" s="827">
        <f>COUNTIFS(Name,"Door Entry Dbl")</f>
        <v>0</v>
      </c>
      <c r="G382" s="829"/>
      <c r="H382" s="412" t="s">
        <v>2735</v>
      </c>
      <c r="I382" s="1258"/>
      <c r="J382" s="2" t="str">
        <f>IF(Table5[[#This Row],[Entered]]&lt;&gt;Table5[[#This Row],[Quantity]],"Check","")</f>
        <v/>
      </c>
    </row>
    <row r="383" spans="1:10" ht="15" x14ac:dyDescent="0.2">
      <c r="A383" s="324" t="str">
        <f t="shared" si="23"/>
        <v>BRICK1</v>
      </c>
      <c r="B383" s="324" t="str">
        <f t="shared" si="24"/>
        <v>0540</v>
      </c>
      <c r="C383" s="324">
        <v>52640</v>
      </c>
      <c r="D383" s="324" t="str">
        <f>"0445"</f>
        <v>0445</v>
      </c>
      <c r="E383" s="324">
        <v>1</v>
      </c>
      <c r="F383" s="827">
        <f>IF(BAL=0,COUNTIFS(Name,"Door Entry",Length,"=0.82"),0)</f>
        <v>0</v>
      </c>
      <c r="G383" s="829">
        <v>272.83999999999997</v>
      </c>
      <c r="H383" s="412" t="s">
        <v>2732</v>
      </c>
      <c r="I383" s="1258"/>
      <c r="J383" s="2" t="str">
        <f>IF(Table5[[#This Row],[Entered]]&lt;&gt;Table5[[#This Row],[Quantity]],"Check","")</f>
        <v/>
      </c>
    </row>
    <row r="384" spans="1:10" ht="15" x14ac:dyDescent="0.2">
      <c r="A384" s="324" t="str">
        <f t="shared" si="23"/>
        <v>BRICK1</v>
      </c>
      <c r="B384" s="324" t="str">
        <f t="shared" si="24"/>
        <v>0540</v>
      </c>
      <c r="C384" s="324">
        <v>52640</v>
      </c>
      <c r="D384" s="324" t="str">
        <f>"0450"</f>
        <v>0450</v>
      </c>
      <c r="E384" s="324">
        <v>1</v>
      </c>
      <c r="F384" s="827">
        <f>IF(BAL=0,COUNTIFS(Name,"Door Entry",Length,"=0.87"),0)</f>
        <v>0</v>
      </c>
      <c r="G384" s="829"/>
      <c r="H384" s="412" t="s">
        <v>2733</v>
      </c>
      <c r="I384" s="1258"/>
      <c r="J384" s="2" t="str">
        <f>IF(Table5[[#This Row],[Entered]]&lt;&gt;Table5[[#This Row],[Quantity]],"Check","")</f>
        <v/>
      </c>
    </row>
    <row r="385" spans="1:10" ht="15" x14ac:dyDescent="0.2">
      <c r="A385" s="324" t="str">
        <f t="shared" si="23"/>
        <v>BRICK1</v>
      </c>
      <c r="B385" s="324" t="str">
        <f t="shared" si="24"/>
        <v>0540</v>
      </c>
      <c r="C385" s="324">
        <v>52640</v>
      </c>
      <c r="D385" s="324" t="str">
        <f>"0480"</f>
        <v>0480</v>
      </c>
      <c r="E385" s="324">
        <v>1</v>
      </c>
      <c r="F385" s="827">
        <f>IF(BAL=0,COUNTIFS(Name,"Door Entry",Length,"=0.92"),0)</f>
        <v>0</v>
      </c>
      <c r="G385" s="829"/>
      <c r="H385" s="412" t="s">
        <v>2734</v>
      </c>
      <c r="I385" s="1258"/>
      <c r="J385" s="2" t="str">
        <f>IF(Table5[[#This Row],[Entered]]&lt;&gt;Table5[[#This Row],[Quantity]],"Check","")</f>
        <v/>
      </c>
    </row>
    <row r="386" spans="1:10" ht="15" x14ac:dyDescent="0.2">
      <c r="A386" s="324" t="str">
        <f t="shared" si="23"/>
        <v>BRICK1</v>
      </c>
      <c r="B386" s="324" t="str">
        <f t="shared" si="24"/>
        <v>0540</v>
      </c>
      <c r="C386" s="324">
        <v>52640</v>
      </c>
      <c r="D386" s="1107">
        <v>7000</v>
      </c>
      <c r="E386" s="1103">
        <v>1</v>
      </c>
      <c r="F386" s="1104">
        <f>IF(SUM(F400)&gt;0,COUNTIFS(Name,"Door Entry",Length,"=0.820"),0)</f>
        <v>0</v>
      </c>
      <c r="G386" s="1105">
        <v>244.66</v>
      </c>
      <c r="H386" s="1111" t="s">
        <v>1717</v>
      </c>
      <c r="I386" s="1205"/>
      <c r="J386" s="2" t="str">
        <f>IF(Table5[[#This Row],[Entered]]&lt;&gt;Table5[[#This Row],[Quantity]],"Check","")</f>
        <v/>
      </c>
    </row>
    <row r="387" spans="1:10" ht="15" x14ac:dyDescent="0.2">
      <c r="A387" s="324" t="str">
        <f t="shared" si="23"/>
        <v>BRICK1</v>
      </c>
      <c r="B387" s="324" t="str">
        <f t="shared" si="24"/>
        <v>0540</v>
      </c>
      <c r="C387" s="324">
        <v>52640</v>
      </c>
      <c r="D387" s="1107">
        <v>7001</v>
      </c>
      <c r="E387" s="1103">
        <v>1</v>
      </c>
      <c r="F387" s="1104">
        <f>IF(SUM(F401)&gt;0,COUNTIFS(Name,"Door Entry",Length,"=0.820"),0)</f>
        <v>0</v>
      </c>
      <c r="G387" s="1105">
        <v>570.33000000000004</v>
      </c>
      <c r="H387" s="1111" t="s">
        <v>1718</v>
      </c>
      <c r="I387" s="1205"/>
      <c r="J387" s="2" t="str">
        <f>IF(Table5[[#This Row],[Entered]]&lt;&gt;Table5[[#This Row],[Quantity]],"Check","")</f>
        <v/>
      </c>
    </row>
    <row r="388" spans="1:10" ht="15" x14ac:dyDescent="0.2">
      <c r="A388" s="324" t="str">
        <f t="shared" si="23"/>
        <v>BRICK1</v>
      </c>
      <c r="B388" s="324" t="str">
        <f t="shared" si="24"/>
        <v>0540</v>
      </c>
      <c r="C388" s="324">
        <v>52640</v>
      </c>
      <c r="D388" s="1107">
        <v>7002</v>
      </c>
      <c r="E388" s="1103">
        <v>1</v>
      </c>
      <c r="F388" s="1104">
        <f>IF(SUM(F402)&gt;0,COUNTIFS(Name,"Door Entry",Length,"=0.820"),0)</f>
        <v>0</v>
      </c>
      <c r="G388" s="1105">
        <v>603.20000000000005</v>
      </c>
      <c r="H388" s="1111" t="s">
        <v>1719</v>
      </c>
      <c r="I388" s="1205"/>
      <c r="J388" s="2" t="str">
        <f>IF(Table5[[#This Row],[Entered]]&lt;&gt;Table5[[#This Row],[Quantity]],"Check","")</f>
        <v/>
      </c>
    </row>
    <row r="389" spans="1:10" ht="15" x14ac:dyDescent="0.2">
      <c r="A389" s="324" t="str">
        <f t="shared" si="23"/>
        <v>BRICK1</v>
      </c>
      <c r="B389" s="324" t="str">
        <f t="shared" si="24"/>
        <v>0540</v>
      </c>
      <c r="C389" s="324">
        <v>52640</v>
      </c>
      <c r="D389" s="1107">
        <v>7003</v>
      </c>
      <c r="E389" s="1103">
        <v>1</v>
      </c>
      <c r="F389" s="1104">
        <f>COUNTIFS(Name,"Door Entry RH S/L",Length,"&lt;=1.31")</f>
        <v>0</v>
      </c>
      <c r="G389" s="1105"/>
      <c r="H389" s="1111" t="s">
        <v>1909</v>
      </c>
      <c r="I389" s="1205"/>
      <c r="J389" s="2" t="str">
        <f>IF(Table5[[#This Row],[Entered]]&lt;&gt;Table5[[#This Row],[Quantity]],"Check","")</f>
        <v/>
      </c>
    </row>
    <row r="390" spans="1:10" ht="15" x14ac:dyDescent="0.2">
      <c r="A390" s="324" t="str">
        <f t="shared" si="23"/>
        <v>BRICK1</v>
      </c>
      <c r="B390" s="324" t="str">
        <f t="shared" si="24"/>
        <v>0540</v>
      </c>
      <c r="C390" s="324">
        <v>52640</v>
      </c>
      <c r="D390" s="1107">
        <v>7004</v>
      </c>
      <c r="E390" s="1103">
        <v>1</v>
      </c>
      <c r="F390" s="1104">
        <f>COUNTIFS(Name,"Door Entry LH S/L",Length,"&lt;=1.31")</f>
        <v>0</v>
      </c>
      <c r="G390" s="1105"/>
      <c r="H390" s="1111" t="s">
        <v>1910</v>
      </c>
      <c r="I390" s="1205"/>
      <c r="J390" s="2" t="str">
        <f>IF(Table5[[#This Row],[Entered]]&lt;&gt;Table5[[#This Row],[Quantity]],"Check","")</f>
        <v/>
      </c>
    </row>
    <row r="391" spans="1:10" ht="15" x14ac:dyDescent="0.2">
      <c r="A391" s="324" t="str">
        <f t="shared" si="23"/>
        <v>BRICK1</v>
      </c>
      <c r="B391" s="324" t="str">
        <f t="shared" si="24"/>
        <v>0540</v>
      </c>
      <c r="C391" s="324">
        <v>52640</v>
      </c>
      <c r="D391" s="1107">
        <v>7005</v>
      </c>
      <c r="E391" s="1103">
        <v>1</v>
      </c>
      <c r="F391" s="1104">
        <f>COUNTIFS(Name,"Door Entry 2 S/L",Length,"&lt;=1.74")</f>
        <v>0</v>
      </c>
      <c r="G391" s="1105"/>
      <c r="H391" s="1111" t="s">
        <v>1911</v>
      </c>
      <c r="I391" s="1205"/>
      <c r="J391" s="2" t="str">
        <f>IF(Table5[[#This Row],[Entered]]&lt;&gt;Table5[[#This Row],[Quantity]],"Check","")</f>
        <v/>
      </c>
    </row>
    <row r="392" spans="1:10" ht="15" x14ac:dyDescent="0.2">
      <c r="A392" s="324" t="str">
        <f t="shared" si="23"/>
        <v>BRICK1</v>
      </c>
      <c r="B392" s="324" t="str">
        <f t="shared" si="24"/>
        <v>0540</v>
      </c>
      <c r="C392" s="324">
        <v>52640</v>
      </c>
      <c r="D392" s="1107">
        <v>7006</v>
      </c>
      <c r="E392" s="1103">
        <v>1</v>
      </c>
      <c r="F392" s="1104">
        <f>COUNTIFS(Name,"Door Entry",Length,"=1.020")</f>
        <v>0</v>
      </c>
      <c r="G392" s="1105"/>
      <c r="H392" s="1111" t="s">
        <v>2318</v>
      </c>
      <c r="I392" s="1205"/>
      <c r="J392" s="2" t="str">
        <f>IF(Table5[[#This Row],[Entered]]&lt;&gt;Table5[[#This Row],[Quantity]],"Check","")</f>
        <v/>
      </c>
    </row>
    <row r="393" spans="1:10" ht="15" x14ac:dyDescent="0.2">
      <c r="A393" s="324" t="str">
        <f t="shared" si="23"/>
        <v>BRICK1</v>
      </c>
      <c r="B393" s="324" t="str">
        <f t="shared" si="24"/>
        <v>0540</v>
      </c>
      <c r="C393" s="324">
        <v>52640</v>
      </c>
      <c r="D393" s="1107">
        <v>7007</v>
      </c>
      <c r="E393" s="1103">
        <v>1</v>
      </c>
      <c r="F393" s="1104">
        <f>IF(BAL=12.5,COUNTIFS(Name,"Door Entry",Length,"=0.82"),0)</f>
        <v>0</v>
      </c>
      <c r="G393" s="1105"/>
      <c r="H393" s="1111" t="s">
        <v>2442</v>
      </c>
      <c r="I393" s="1205"/>
      <c r="J393" s="2" t="str">
        <f>IF(Table5[[#This Row],[Entered]]&lt;&gt;Table5[[#This Row],[Quantity]],"Check","")</f>
        <v/>
      </c>
    </row>
    <row r="394" spans="1:10" ht="15" x14ac:dyDescent="0.2">
      <c r="A394" s="324" t="str">
        <f t="shared" si="23"/>
        <v>BRICK1</v>
      </c>
      <c r="B394" s="324" t="str">
        <f t="shared" si="24"/>
        <v>0540</v>
      </c>
      <c r="C394" s="324">
        <v>52640</v>
      </c>
      <c r="D394" s="1107">
        <v>7008</v>
      </c>
      <c r="E394" s="1103">
        <v>1</v>
      </c>
      <c r="F394" s="1104">
        <f>IF(OR(BAL=40,BAL=19),COUNTIFS(Name,"Door Entry",Length,"=0.82"),0)</f>
        <v>0</v>
      </c>
      <c r="G394" s="1105"/>
      <c r="H394" s="1111" t="s">
        <v>2443</v>
      </c>
      <c r="I394" s="1205"/>
      <c r="J394" s="2" t="str">
        <f>IF(Table5[[#This Row],[Entered]]&lt;&gt;Table5[[#This Row],[Quantity]],"Check","")</f>
        <v/>
      </c>
    </row>
    <row r="395" spans="1:10" ht="15" x14ac:dyDescent="0.2">
      <c r="A395" s="324" t="str">
        <f t="shared" si="23"/>
        <v>BRICK1</v>
      </c>
      <c r="B395" s="324" t="str">
        <f t="shared" si="24"/>
        <v>0540</v>
      </c>
      <c r="C395" s="324">
        <v>52640</v>
      </c>
      <c r="D395" s="1107">
        <v>7009</v>
      </c>
      <c r="E395" s="1103">
        <v>1</v>
      </c>
      <c r="F395" s="1104">
        <f>COUNTIFS(Name,"Door Entry LH S/L",Length,"&gt;1.31")</f>
        <v>0</v>
      </c>
      <c r="G395" s="1105"/>
      <c r="H395" s="1111" t="s">
        <v>1912</v>
      </c>
      <c r="I395" s="1205"/>
      <c r="J395" s="2" t="str">
        <f>IF(Table5[[#This Row],[Entered]]&lt;&gt;Table5[[#This Row],[Quantity]],"Check","")</f>
        <v/>
      </c>
    </row>
    <row r="396" spans="1:10" ht="15" x14ac:dyDescent="0.2">
      <c r="A396" s="324" t="str">
        <f t="shared" si="23"/>
        <v>BRICK1</v>
      </c>
      <c r="B396" s="324" t="str">
        <f t="shared" si="24"/>
        <v>0540</v>
      </c>
      <c r="C396" s="324">
        <v>52640</v>
      </c>
      <c r="D396" s="1107">
        <v>7010</v>
      </c>
      <c r="E396" s="1103"/>
      <c r="F396" s="1104">
        <f>COUNTIFS(Name,"Door Entry RH S/L",Length,"&gt;1.31")</f>
        <v>0</v>
      </c>
      <c r="G396" s="1105"/>
      <c r="H396" s="1111" t="s">
        <v>1913</v>
      </c>
      <c r="I396" s="1205"/>
      <c r="J396" s="2" t="str">
        <f>IF(Table5[[#This Row],[Entered]]&lt;&gt;Table5[[#This Row],[Quantity]],"Check","")</f>
        <v/>
      </c>
    </row>
    <row r="397" spans="1:10" ht="15" x14ac:dyDescent="0.2">
      <c r="A397" s="324" t="str">
        <f t="shared" si="23"/>
        <v>BRICK1</v>
      </c>
      <c r="B397" s="324" t="str">
        <f t="shared" si="24"/>
        <v>0540</v>
      </c>
      <c r="C397" s="324">
        <v>52640</v>
      </c>
      <c r="D397" s="1107">
        <v>7012</v>
      </c>
      <c r="E397" s="1103">
        <v>1</v>
      </c>
      <c r="F397" s="1104">
        <f>COUNTIFS(Addenda!A:A,"*1200mm*",Addenda!A:A,"*pivot*")</f>
        <v>0</v>
      </c>
      <c r="G397" s="1105"/>
      <c r="H397" s="1111" t="s">
        <v>1016</v>
      </c>
      <c r="I397" s="1205"/>
      <c r="J397" s="2" t="str">
        <f>IF(Table5[[#This Row],[Entered]]&lt;&gt;Table5[[#This Row],[Quantity]],"Check","")</f>
        <v/>
      </c>
    </row>
    <row r="398" spans="1:10" ht="15" x14ac:dyDescent="0.2">
      <c r="A398" s="324" t="str">
        <f t="shared" si="23"/>
        <v>BRICK1</v>
      </c>
      <c r="B398" s="324" t="str">
        <f t="shared" si="24"/>
        <v>0540</v>
      </c>
      <c r="C398" s="324">
        <v>52640</v>
      </c>
      <c r="D398" s="1107">
        <v>7013</v>
      </c>
      <c r="E398" s="1103">
        <v>1</v>
      </c>
      <c r="F398" s="1104">
        <f>IF(Brick_type="Timber Frame",COUNTIFS(Name,"DOOR PA RH",Length,".82")+COUNTIFS(Name,"DOOR PA LH",Length,".82"),0)</f>
        <v>0</v>
      </c>
      <c r="G398" s="1105">
        <v>297.39</v>
      </c>
      <c r="H398" s="1111" t="s">
        <v>1573</v>
      </c>
      <c r="I398" s="1205"/>
      <c r="J398" s="2" t="str">
        <f>IF(Table5[[#This Row],[Entered]]&lt;&gt;Table5[[#This Row],[Quantity]],"Check","")</f>
        <v/>
      </c>
    </row>
    <row r="399" spans="1:10" ht="15" x14ac:dyDescent="0.2">
      <c r="A399" s="324" t="str">
        <f t="shared" si="23"/>
        <v>BRICK1</v>
      </c>
      <c r="B399" s="324" t="str">
        <f t="shared" si="24"/>
        <v>0540</v>
      </c>
      <c r="C399" s="324">
        <v>52640</v>
      </c>
      <c r="D399" s="1107">
        <v>7014</v>
      </c>
      <c r="E399" s="1103">
        <v>0</v>
      </c>
      <c r="F399" s="1104">
        <f>IF(BAL=12.5,1,0)</f>
        <v>0</v>
      </c>
      <c r="G399" s="1105"/>
      <c r="H399" s="1111" t="s">
        <v>1586</v>
      </c>
      <c r="I399" s="1205"/>
      <c r="J399" s="2" t="str">
        <f>IF(Table5[[#This Row],[Entered]]&lt;&gt;Table5[[#This Row],[Quantity]],"Check","")</f>
        <v/>
      </c>
    </row>
    <row r="400" spans="1:10" ht="15" x14ac:dyDescent="0.2">
      <c r="A400" s="324" t="str">
        <f t="shared" si="23"/>
        <v>BRICK1</v>
      </c>
      <c r="B400" s="324" t="str">
        <f t="shared" si="24"/>
        <v>0540</v>
      </c>
      <c r="C400" s="324">
        <v>52640</v>
      </c>
      <c r="D400" s="1107">
        <v>7015</v>
      </c>
      <c r="E400" s="1103">
        <v>0</v>
      </c>
      <c r="F400" s="1104">
        <f>IF(BAL=19,1,0)</f>
        <v>0</v>
      </c>
      <c r="G400" s="1105"/>
      <c r="H400" s="1111" t="s">
        <v>1716</v>
      </c>
      <c r="I400" s="1205"/>
      <c r="J400" s="2" t="str">
        <f>IF(Table5[[#This Row],[Entered]]&lt;&gt;Table5[[#This Row],[Quantity]],"Check","")</f>
        <v/>
      </c>
    </row>
    <row r="401" spans="1:10" ht="15" x14ac:dyDescent="0.2">
      <c r="A401" s="324" t="str">
        <f t="shared" si="23"/>
        <v>BRICK1</v>
      </c>
      <c r="B401" s="324" t="str">
        <f t="shared" si="24"/>
        <v>0540</v>
      </c>
      <c r="C401" s="324">
        <v>52640</v>
      </c>
      <c r="D401" s="1107">
        <v>7016</v>
      </c>
      <c r="E401" s="1103">
        <v>0</v>
      </c>
      <c r="F401" s="1104">
        <f>IF(BAL=29,1,0)</f>
        <v>0</v>
      </c>
      <c r="G401" s="1105"/>
      <c r="H401" s="1111" t="s">
        <v>1720</v>
      </c>
      <c r="I401" s="1258"/>
      <c r="J401" s="2" t="str">
        <f>IF(Table5[[#This Row],[Entered]]&lt;&gt;Table5[[#This Row],[Quantity]],"Check","")</f>
        <v/>
      </c>
    </row>
    <row r="402" spans="1:10" ht="15" x14ac:dyDescent="0.2">
      <c r="A402" s="324" t="str">
        <f t="shared" si="23"/>
        <v>BRICK1</v>
      </c>
      <c r="B402" s="324" t="str">
        <f t="shared" si="24"/>
        <v>0540</v>
      </c>
      <c r="C402" s="324">
        <v>52640</v>
      </c>
      <c r="D402" s="1107">
        <v>7017</v>
      </c>
      <c r="E402" s="1103">
        <v>0</v>
      </c>
      <c r="F402" s="1104">
        <f>IF(BAL=40,1,0)</f>
        <v>0</v>
      </c>
      <c r="G402" s="1105"/>
      <c r="H402" s="1111" t="s">
        <v>1721</v>
      </c>
      <c r="I402" s="1205"/>
      <c r="J402" s="2" t="str">
        <f>IF(Table5[[#This Row],[Entered]]&lt;&gt;Table5[[#This Row],[Quantity]],"Check","")</f>
        <v/>
      </c>
    </row>
    <row r="403" spans="1:10" ht="15" x14ac:dyDescent="0.2">
      <c r="A403" s="324" t="str">
        <f t="shared" si="23"/>
        <v>BRICK1</v>
      </c>
      <c r="B403" s="324" t="str">
        <f t="shared" si="24"/>
        <v>0540</v>
      </c>
      <c r="C403" s="324">
        <v>52640</v>
      </c>
      <c r="D403" s="324">
        <v>9010</v>
      </c>
      <c r="E403" s="324">
        <v>1</v>
      </c>
      <c r="F403" s="827">
        <f>IF(SUM($F$382:$F$398)&gt;0,IF(COUNTIF(Address,"*ALBANY*")&gt;0,1,0),0)</f>
        <v>0</v>
      </c>
      <c r="G403" s="829"/>
      <c r="H403" s="412" t="s">
        <v>2827</v>
      </c>
      <c r="I403" s="1258"/>
      <c r="J403" s="2" t="str">
        <f>IF(Table5[[#This Row],[Entered]]&lt;&gt;Table5[[#This Row],[Quantity]],"Check","")</f>
        <v/>
      </c>
    </row>
    <row r="404" spans="1:10" ht="15" x14ac:dyDescent="0.2">
      <c r="A404" s="324" t="str">
        <f t="shared" si="23"/>
        <v>BRICK1</v>
      </c>
      <c r="B404" s="324" t="str">
        <f t="shared" si="24"/>
        <v>0540</v>
      </c>
      <c r="C404" s="324">
        <v>52640</v>
      </c>
      <c r="D404" s="324">
        <v>9015</v>
      </c>
      <c r="E404" s="324">
        <v>1</v>
      </c>
      <c r="F404" s="827">
        <f>IF(SUM($F$382:$F$398)&gt;0,IF(COUNTIF(Address,"*AUSTRALIND*")&gt;0,1,0),0)</f>
        <v>0</v>
      </c>
      <c r="G404" s="829"/>
      <c r="H404" s="412" t="s">
        <v>2809</v>
      </c>
      <c r="I404" s="1258"/>
      <c r="J404" s="2" t="str">
        <f>IF(Table5[[#This Row],[Entered]]&lt;&gt;Table5[[#This Row],[Quantity]],"Check","")</f>
        <v/>
      </c>
    </row>
    <row r="405" spans="1:10" ht="15" x14ac:dyDescent="0.2">
      <c r="A405" s="324" t="str">
        <f t="shared" si="23"/>
        <v>BRICK1</v>
      </c>
      <c r="B405" s="324" t="str">
        <f t="shared" si="24"/>
        <v>0540</v>
      </c>
      <c r="C405" s="324">
        <v>52640</v>
      </c>
      <c r="D405" s="324">
        <v>9098</v>
      </c>
      <c r="E405" s="324">
        <v>1</v>
      </c>
      <c r="F405" s="827">
        <f>IF(SUM($F$382:$F$398)&gt;0,IF(COUNTIF(Address,"*BINNINGUP*")&gt;0,1,0),0)</f>
        <v>0</v>
      </c>
      <c r="G405" s="829"/>
      <c r="H405" s="412" t="s">
        <v>2810</v>
      </c>
      <c r="I405" s="1258"/>
      <c r="J405" s="2" t="str">
        <f>IF(Table5[[#This Row],[Entered]]&lt;&gt;Table5[[#This Row],[Quantity]],"Check","")</f>
        <v/>
      </c>
    </row>
    <row r="406" spans="1:10" ht="15" x14ac:dyDescent="0.2">
      <c r="A406" s="324" t="str">
        <f t="shared" si="23"/>
        <v>BRICK1</v>
      </c>
      <c r="B406" s="324" t="str">
        <f t="shared" si="24"/>
        <v>0540</v>
      </c>
      <c r="C406" s="324">
        <v>52640</v>
      </c>
      <c r="D406" s="324">
        <v>9023</v>
      </c>
      <c r="E406" s="324">
        <v>1</v>
      </c>
      <c r="F406" s="827">
        <f>IF(SUM($F$382:$F$398)&gt;0,IF(COUNTIF(Address,"*BOYUP BROOK*")&gt;0,1,0),0)</f>
        <v>0</v>
      </c>
      <c r="G406" s="829"/>
      <c r="H406" s="412" t="s">
        <v>2828</v>
      </c>
      <c r="I406" s="1258"/>
      <c r="J406" s="2" t="str">
        <f>IF(Table5[[#This Row],[Entered]]&lt;&gt;Table5[[#This Row],[Quantity]],"Check","")</f>
        <v/>
      </c>
    </row>
    <row r="407" spans="1:10" ht="15" x14ac:dyDescent="0.2">
      <c r="A407" s="324" t="str">
        <f t="shared" si="23"/>
        <v>BRICK1</v>
      </c>
      <c r="B407" s="324" t="str">
        <f t="shared" si="24"/>
        <v>0540</v>
      </c>
      <c r="C407" s="324">
        <v>52640</v>
      </c>
      <c r="D407" s="324">
        <v>9024</v>
      </c>
      <c r="E407" s="324">
        <v>1</v>
      </c>
      <c r="F407" s="827">
        <f>IF(SUM($F$382:$F$398)&gt;0,IF(COUNTIF(Address,"*BRIDGETOWN*")&gt;0,1,0),0)</f>
        <v>0</v>
      </c>
      <c r="G407" s="829"/>
      <c r="H407" s="412" t="s">
        <v>2560</v>
      </c>
      <c r="I407" s="1258"/>
      <c r="J407" s="2" t="str">
        <f>IF(Table5[[#This Row],[Entered]]&lt;&gt;Table5[[#This Row],[Quantity]],"Check","")</f>
        <v/>
      </c>
    </row>
    <row r="408" spans="1:10" ht="15" x14ac:dyDescent="0.2">
      <c r="A408" s="324" t="str">
        <f t="shared" si="23"/>
        <v>BRICK1</v>
      </c>
      <c r="B408" s="324" t="str">
        <f t="shared" si="24"/>
        <v>0540</v>
      </c>
      <c r="C408" s="324">
        <v>52640</v>
      </c>
      <c r="D408" s="324">
        <v>9029</v>
      </c>
      <c r="E408" s="324">
        <v>1</v>
      </c>
      <c r="F408" s="827">
        <f>IF(SUM($F$382:$F$398)&gt;0,IF(COUNTIF(Address,"*BUNBURY*")&gt;0,1,0),0)</f>
        <v>0</v>
      </c>
      <c r="G408" s="829"/>
      <c r="H408" s="412" t="s">
        <v>2829</v>
      </c>
      <c r="I408" s="1258"/>
      <c r="J408" s="2" t="str">
        <f>IF(Table5[[#This Row],[Entered]]&lt;&gt;Table5[[#This Row],[Quantity]],"Check","")</f>
        <v/>
      </c>
    </row>
    <row r="409" spans="1:10" ht="15" x14ac:dyDescent="0.2">
      <c r="A409" s="324" t="str">
        <f t="shared" si="23"/>
        <v>BRICK1</v>
      </c>
      <c r="B409" s="324" t="str">
        <f t="shared" si="24"/>
        <v>0540</v>
      </c>
      <c r="C409" s="324">
        <v>52640</v>
      </c>
      <c r="D409" s="324">
        <v>9031</v>
      </c>
      <c r="E409" s="324">
        <v>1</v>
      </c>
      <c r="F409" s="827" cm="1">
        <f t="array" ref="F409">IF(SUM($F$381:$F$398)&gt;0,IF(SUM(COUNTIF(Address,{"*BUSSSELTON*","*VASSE*"}))&gt;0,1,0),0)</f>
        <v>0</v>
      </c>
      <c r="G409" s="829"/>
      <c r="H409" s="412" t="s">
        <v>2551</v>
      </c>
      <c r="I409" s="1258"/>
      <c r="J409" s="2" t="str">
        <f>IF(Table5[[#This Row],[Entered]]&lt;&gt;Table5[[#This Row],[Quantity]],"Check","")</f>
        <v/>
      </c>
    </row>
    <row r="410" spans="1:10" ht="15" x14ac:dyDescent="0.2">
      <c r="A410" s="324" t="str">
        <f t="shared" si="23"/>
        <v>BRICK1</v>
      </c>
      <c r="B410" s="324" t="str">
        <f t="shared" si="24"/>
        <v>0540</v>
      </c>
      <c r="C410" s="324">
        <v>52640</v>
      </c>
      <c r="D410" s="324">
        <v>9032</v>
      </c>
      <c r="E410" s="324">
        <v>1</v>
      </c>
      <c r="F410" s="827">
        <f>IF(SUM($F$382:$F$398)&gt;0,IF(COUNTIF(Address,"*AUSTRALIND*")&gt;0,1,0),0)</f>
        <v>0</v>
      </c>
      <c r="G410" s="829"/>
      <c r="H410" s="412" t="s">
        <v>2565</v>
      </c>
      <c r="I410" s="1258"/>
      <c r="J410" s="2" t="str">
        <f>IF(Table5[[#This Row],[Entered]]&lt;&gt;Table5[[#This Row],[Quantity]],"Check","")</f>
        <v/>
      </c>
    </row>
    <row r="411" spans="1:10" ht="15" x14ac:dyDescent="0.2">
      <c r="A411" s="324" t="str">
        <f t="shared" si="23"/>
        <v>BRICK1</v>
      </c>
      <c r="B411" s="324" t="str">
        <f t="shared" si="24"/>
        <v>0540</v>
      </c>
      <c r="C411" s="324">
        <v>52640</v>
      </c>
      <c r="D411" s="324">
        <v>9035</v>
      </c>
      <c r="E411" s="324">
        <v>1</v>
      </c>
      <c r="F411" s="827">
        <f>IF(SUM($F$382:$F$398)&gt;0,IF(COUNTIF(Address,"*COLLIE*")&gt;0,1,0),0)</f>
        <v>0</v>
      </c>
      <c r="G411" s="829"/>
      <c r="H411" s="412" t="s">
        <v>2814</v>
      </c>
      <c r="I411" s="1258"/>
      <c r="J411" s="2" t="str">
        <f>IF(Table5[[#This Row],[Entered]]&lt;&gt;Table5[[#This Row],[Quantity]],"Check","")</f>
        <v/>
      </c>
    </row>
    <row r="412" spans="1:10" ht="15" x14ac:dyDescent="0.2">
      <c r="A412" s="324" t="str">
        <f t="shared" si="23"/>
        <v>BRICK1</v>
      </c>
      <c r="B412" s="324" t="str">
        <f t="shared" si="24"/>
        <v>0540</v>
      </c>
      <c r="C412" s="324">
        <v>52640</v>
      </c>
      <c r="D412" s="324">
        <v>9043</v>
      </c>
      <c r="E412" s="324">
        <v>1</v>
      </c>
      <c r="F412" s="827">
        <f>IF(SUM($F$382:$F$398)&gt;0,IF(COUNTIF(Address,"*DONNYBROOK*")&gt;0,1,0),0)</f>
        <v>0</v>
      </c>
      <c r="G412" s="829"/>
      <c r="H412" s="412" t="s">
        <v>2563</v>
      </c>
      <c r="I412" s="1258"/>
      <c r="J412" s="2" t="str">
        <f>IF(Table5[[#This Row],[Entered]]&lt;&gt;Table5[[#This Row],[Quantity]],"Check","")</f>
        <v/>
      </c>
    </row>
    <row r="413" spans="1:10" ht="15" x14ac:dyDescent="0.2">
      <c r="A413" s="324" t="str">
        <f t="shared" si="23"/>
        <v>BRICK1</v>
      </c>
      <c r="B413" s="324" t="str">
        <f t="shared" si="24"/>
        <v>0540</v>
      </c>
      <c r="C413" s="324">
        <v>52640</v>
      </c>
      <c r="D413" s="324">
        <v>9044</v>
      </c>
      <c r="E413" s="324">
        <v>1</v>
      </c>
      <c r="F413" s="827">
        <f>IF(SUM($F$382:$F$398)&gt;0,IF(COUNTIF(Address,"*DUNSBOROUGH*")&gt;0,1,0),0)</f>
        <v>0</v>
      </c>
      <c r="G413" s="829">
        <v>60</v>
      </c>
      <c r="H413" s="412" t="s">
        <v>2564</v>
      </c>
      <c r="I413" s="1258"/>
      <c r="J413" s="2" t="str">
        <f>IF(Table5[[#This Row],[Entered]]&lt;&gt;Table5[[#This Row],[Quantity]],"Check","")</f>
        <v/>
      </c>
    </row>
    <row r="414" spans="1:10" ht="15" x14ac:dyDescent="0.2">
      <c r="A414" s="324" t="str">
        <f t="shared" si="23"/>
        <v>BRICK1</v>
      </c>
      <c r="B414" s="324" t="str">
        <f t="shared" si="24"/>
        <v>0540</v>
      </c>
      <c r="C414" s="324">
        <v>52640</v>
      </c>
      <c r="D414" s="324">
        <v>9046</v>
      </c>
      <c r="E414" s="324">
        <v>1</v>
      </c>
      <c r="F414" s="827">
        <f>IF(SUM($F$382:$F$398)&gt;0,IF(COUNTIF(Address,"*EATON*")&gt;0,1,0),0)</f>
        <v>0</v>
      </c>
      <c r="G414" s="829"/>
      <c r="H414" s="412" t="s">
        <v>2830</v>
      </c>
      <c r="I414" s="1258"/>
      <c r="J414" s="2" t="str">
        <f>IF(Table5[[#This Row],[Entered]]&lt;&gt;Table5[[#This Row],[Quantity]],"Check","")</f>
        <v/>
      </c>
    </row>
    <row r="415" spans="1:10" ht="15" x14ac:dyDescent="0.2">
      <c r="A415" s="324" t="str">
        <f t="shared" si="23"/>
        <v>BRICK1</v>
      </c>
      <c r="B415" s="324" t="str">
        <f t="shared" si="24"/>
        <v>0540</v>
      </c>
      <c r="C415" s="324">
        <v>52640</v>
      </c>
      <c r="D415" s="324">
        <v>9222</v>
      </c>
      <c r="E415" s="324">
        <v>1</v>
      </c>
      <c r="F415" s="827">
        <f>IF(SUM($F$382:$F$398)&gt;0,IF(COUNTIF(Address,"*HARVEY*")&gt;0,1,0),0)</f>
        <v>0</v>
      </c>
      <c r="G415" s="829"/>
      <c r="H415" s="412" t="s">
        <v>2817</v>
      </c>
      <c r="I415" s="1258"/>
      <c r="J415" s="2" t="str">
        <f>IF(Table5[[#This Row],[Entered]]&lt;&gt;Table5[[#This Row],[Quantity]],"Check","")</f>
        <v/>
      </c>
    </row>
    <row r="416" spans="1:10" ht="15" x14ac:dyDescent="0.2">
      <c r="A416" s="324" t="str">
        <f t="shared" si="23"/>
        <v>BRICK1</v>
      </c>
      <c r="B416" s="324" t="str">
        <f t="shared" si="24"/>
        <v>0540</v>
      </c>
      <c r="C416" s="324">
        <v>52640</v>
      </c>
      <c r="D416" s="324">
        <v>9067</v>
      </c>
      <c r="E416" s="324">
        <v>1</v>
      </c>
      <c r="F416" s="827">
        <f>IF(SUM($F$382:$F$398)&gt;0,IF(COUNTIF(Address,"*MANJIMUP*")&gt;0,1,0),0)</f>
        <v>0</v>
      </c>
      <c r="G416" s="829"/>
      <c r="H416" s="412" t="s">
        <v>2559</v>
      </c>
      <c r="I416" s="1258"/>
      <c r="J416" s="2" t="str">
        <f>IF(Table5[[#This Row],[Entered]]&lt;&gt;Table5[[#This Row],[Quantity]],"Check","")</f>
        <v/>
      </c>
    </row>
    <row r="417" spans="1:10" ht="15" x14ac:dyDescent="0.2">
      <c r="A417" s="324" t="str">
        <f t="shared" si="23"/>
        <v>BRICK1</v>
      </c>
      <c r="B417" s="324" t="str">
        <f t="shared" si="24"/>
        <v>0540</v>
      </c>
      <c r="C417" s="324">
        <v>52640</v>
      </c>
      <c r="D417" s="324">
        <v>9068</v>
      </c>
      <c r="E417" s="324">
        <v>1</v>
      </c>
      <c r="F417" s="827" cm="1">
        <f t="array" ref="F417">IF(SUM($F$381:$F$398)&gt;0,IF(SUM(COUNTIF(Address,{"*MARGARET RIVER*","*COWARAMUP*"}))&gt;0,1,0),0)</f>
        <v>0</v>
      </c>
      <c r="G417" s="829"/>
      <c r="H417" s="412" t="s">
        <v>2831</v>
      </c>
      <c r="I417" s="1258"/>
      <c r="J417" s="2" t="str">
        <f>IF(Table5[[#This Row],[Entered]]&lt;&gt;Table5[[#This Row],[Quantity]],"Check","")</f>
        <v/>
      </c>
    </row>
    <row r="418" spans="1:10" ht="15" x14ac:dyDescent="0.2">
      <c r="A418" s="324" t="str">
        <f t="shared" si="23"/>
        <v>BRICK1</v>
      </c>
      <c r="B418" s="324" t="str">
        <f t="shared" si="24"/>
        <v>0540</v>
      </c>
      <c r="C418" s="324">
        <v>52640</v>
      </c>
      <c r="D418" s="324">
        <v>9073</v>
      </c>
      <c r="E418" s="324">
        <v>1</v>
      </c>
      <c r="F418" s="827">
        <f>IF(SUM($F$382:$F$398)&gt;0,IF(COUNTIF(Address,"*NANNUP*")&gt;0,1,0),0)</f>
        <v>0</v>
      </c>
      <c r="G418" s="829"/>
      <c r="H418" s="412" t="s">
        <v>2832</v>
      </c>
      <c r="I418" s="1258"/>
      <c r="J418" s="2" t="str">
        <f>IF(Table5[[#This Row],[Entered]]&lt;&gt;Table5[[#This Row],[Quantity]],"Check","")</f>
        <v/>
      </c>
    </row>
    <row r="419" spans="1:10" ht="15" x14ac:dyDescent="0.2">
      <c r="A419" s="324"/>
      <c r="B419" s="324"/>
      <c r="C419" s="324"/>
      <c r="D419" s="324"/>
      <c r="E419" s="324"/>
      <c r="F419" s="827"/>
      <c r="G419" s="829"/>
      <c r="H419" s="412"/>
      <c r="I419" s="1258"/>
      <c r="J419" s="2" t="str">
        <f>IF(Table5[[#This Row],[Entered]]&lt;&gt;Table5[[#This Row],[Quantity]],"Check","")</f>
        <v/>
      </c>
    </row>
    <row r="420" spans="1:10" ht="15" x14ac:dyDescent="0.2">
      <c r="A420" s="324" t="str">
        <f t="shared" ref="A420:A483" si="25">IF(Brick_type&lt;&gt;"Timber Frame","BRICK1","WFRAME1")</f>
        <v>BRICK1</v>
      </c>
      <c r="B420" s="324" t="str">
        <f t="shared" ref="B420:B483" si="26">"0550"</f>
        <v>0550</v>
      </c>
      <c r="C420" s="324" t="str">
        <f t="shared" ref="C420:C483" si="27">"04359"</f>
        <v>04359</v>
      </c>
      <c r="D420" s="324" t="str">
        <f>"0301"</f>
        <v>0301</v>
      </c>
      <c r="E420" s="324">
        <v>1</v>
      </c>
      <c r="F420" s="827">
        <f>(COUNTIFS(Material,"T1",Name,"*UB*")*2)+COUNTIFS(Material,"T2",Name,"*UB*")+(COUNTIFS(Material,"T3",Name,"*UB*")*2)+COUNTIFS(Material,"T4",Name,"*UB*")+COUNTIFS(Material,"T6",Name,"*UB*")+COUNTIFS(Material,"T7",Name,"*UB*")+(COUNTIFS(Material,"T8",Name,"*UB*")*2)</f>
        <v>0</v>
      </c>
      <c r="G420" s="829">
        <v>5</v>
      </c>
      <c r="H420" s="412" t="s">
        <v>2851</v>
      </c>
      <c r="I420" s="1258"/>
      <c r="J420" s="2" t="str">
        <f>IF(Table5[[#This Row],[Entered]]&lt;&gt;Table5[[#This Row],[Quantity]],"Check","")</f>
        <v/>
      </c>
    </row>
    <row r="421" spans="1:10" ht="15" x14ac:dyDescent="0.2">
      <c r="A421" s="324" t="str">
        <f t="shared" si="25"/>
        <v>BRICK1</v>
      </c>
      <c r="B421" s="324" t="str">
        <f t="shared" si="26"/>
        <v>0550</v>
      </c>
      <c r="C421" s="324" t="str">
        <f t="shared" si="27"/>
        <v>04359</v>
      </c>
      <c r="D421" s="324" t="str">
        <f>"0305"</f>
        <v>0305</v>
      </c>
      <c r="E421" s="324">
        <v>1</v>
      </c>
      <c r="F421" s="827">
        <f>COUNTIFS(Material,"T6",Name,"*UB*")+COUNTIFS(Material,"T7",Name,"*UB*")+(COUNTIFS(Material,"T8",Name,"*UB*")*2)</f>
        <v>0</v>
      </c>
      <c r="G421" s="829">
        <v>30</v>
      </c>
      <c r="H421" s="412" t="s">
        <v>3070</v>
      </c>
      <c r="I421" s="1258"/>
      <c r="J421" s="2" t="str">
        <f>IF(Table5[[#This Row],[Entered]]&lt;&gt;Table5[[#This Row],[Quantity]],"Check","")</f>
        <v/>
      </c>
    </row>
    <row r="422" spans="1:10" ht="15" x14ac:dyDescent="0.2">
      <c r="A422" s="324" t="str">
        <f t="shared" ref="A422:A459" si="28">IF(Brick_type&lt;&gt;"Timber Frame","BRICK1","WFRAME1")</f>
        <v>BRICK1</v>
      </c>
      <c r="B422" s="324" t="str">
        <f t="shared" ref="B422:B459" si="29">"0550"</f>
        <v>0550</v>
      </c>
      <c r="C422" s="324" t="str">
        <f t="shared" ref="C422:C459" si="30">"04359"</f>
        <v>04359</v>
      </c>
      <c r="D422" s="324" t="str">
        <f>"0440"</f>
        <v>0440</v>
      </c>
      <c r="E422" s="324">
        <v>7</v>
      </c>
      <c r="F422" s="827">
        <f>ROUND('Lintel Sheet'!I71,0)</f>
        <v>0</v>
      </c>
      <c r="G422" s="829">
        <v>3</v>
      </c>
      <c r="H422" s="412" t="s">
        <v>3047</v>
      </c>
      <c r="I422" s="1258"/>
      <c r="J422" s="2" t="str">
        <f>IF(Table5[[#This Row],[Entered]]&lt;&gt;Table5[[#This Row],[Quantity]],"Check","")</f>
        <v/>
      </c>
    </row>
    <row r="423" spans="1:10" ht="15" x14ac:dyDescent="0.2">
      <c r="A423" s="324" t="str">
        <f t="shared" si="28"/>
        <v>BRICK1</v>
      </c>
      <c r="B423" s="324" t="str">
        <f t="shared" si="29"/>
        <v>0550</v>
      </c>
      <c r="C423" s="324" t="str">
        <f t="shared" si="30"/>
        <v>04359</v>
      </c>
      <c r="D423" s="324" t="str">
        <f>"0010"</f>
        <v>0010</v>
      </c>
      <c r="E423" s="324" t="s">
        <v>2893</v>
      </c>
      <c r="F423" s="827">
        <f>IF(Coastal="No",SUMIFS('Lintel Sheet'!I:I,'Lintel Sheet'!$H:$H,"75*8 Flat Bar",'Lintel Sheet'!B:B,"Ground"),0)</f>
        <v>0</v>
      </c>
      <c r="G423" s="829"/>
      <c r="H423" s="412" t="s">
        <v>2737</v>
      </c>
      <c r="I423" s="1258"/>
      <c r="J423" s="2" t="str">
        <f>IF(Table5[[#This Row],[Entered]]&lt;&gt;Table5[[#This Row],[Quantity]],"Check","")</f>
        <v/>
      </c>
    </row>
    <row r="424" spans="1:10" ht="15" x14ac:dyDescent="0.2">
      <c r="A424" s="324" t="str">
        <f t="shared" si="28"/>
        <v>BRICK1</v>
      </c>
      <c r="B424" s="324" t="str">
        <f t="shared" si="29"/>
        <v>0550</v>
      </c>
      <c r="C424" s="324" t="str">
        <f t="shared" si="30"/>
        <v>04359</v>
      </c>
      <c r="D424" s="324" t="str">
        <f>"0080"</f>
        <v>0080</v>
      </c>
      <c r="E424" s="324" t="s">
        <v>2893</v>
      </c>
      <c r="F424" s="827">
        <f>IF(Coastal="No",SUMIFS('Lintel Sheet'!I:I,'Lintel Sheet'!$H:$H,"75*75*8 Lintel",'Lintel Sheet'!B:B,"Ground"),0)</f>
        <v>0</v>
      </c>
      <c r="G424" s="829">
        <v>29.82</v>
      </c>
      <c r="H424" s="412" t="s">
        <v>2739</v>
      </c>
      <c r="I424" s="1258"/>
      <c r="J424" s="2" t="str">
        <f>IF(Table5[[#This Row],[Entered]]&lt;&gt;Table5[[#This Row],[Quantity]],"Check","")</f>
        <v/>
      </c>
    </row>
    <row r="425" spans="1:10" ht="15" x14ac:dyDescent="0.2">
      <c r="A425" s="324" t="str">
        <f t="shared" si="28"/>
        <v>BRICK1</v>
      </c>
      <c r="B425" s="324" t="str">
        <f t="shared" si="29"/>
        <v>0550</v>
      </c>
      <c r="C425" s="324" t="str">
        <f t="shared" si="30"/>
        <v>04359</v>
      </c>
      <c r="D425" s="324" t="str">
        <f>"0090"</f>
        <v>0090</v>
      </c>
      <c r="E425" s="324" t="s">
        <v>2893</v>
      </c>
      <c r="F425" s="827">
        <f>IF(Coastal="No",SUMIFS('Lintel Sheet'!I:I,'Lintel Sheet'!$H:$H,"100*75*8 Lintel",'Lintel Sheet'!B:B,"Ground"),0)</f>
        <v>0</v>
      </c>
      <c r="G425" s="829">
        <v>35.18</v>
      </c>
      <c r="H425" s="412" t="s">
        <v>2740</v>
      </c>
      <c r="I425" s="1258"/>
      <c r="J425" s="2" t="str">
        <f>IF(Table5[[#This Row],[Entered]]&lt;&gt;Table5[[#This Row],[Quantity]],"Check","")</f>
        <v/>
      </c>
    </row>
    <row r="426" spans="1:10" ht="15" x14ac:dyDescent="0.2">
      <c r="A426" s="324" t="str">
        <f t="shared" si="28"/>
        <v>BRICK1</v>
      </c>
      <c r="B426" s="324" t="str">
        <f t="shared" si="29"/>
        <v>0550</v>
      </c>
      <c r="C426" s="324" t="str">
        <f t="shared" si="30"/>
        <v>04359</v>
      </c>
      <c r="D426" s="324" t="str">
        <f>"0100"</f>
        <v>0100</v>
      </c>
      <c r="E426" s="324" t="s">
        <v>2893</v>
      </c>
      <c r="F426" s="827">
        <f>IF(Coastal="No",SUMIFS('Lintel Sheet'!I:I,'Lintel Sheet'!$H:$H,"125*75*8 Lintel",'Lintel Sheet'!B:B,"Ground"),0)</f>
        <v>0</v>
      </c>
      <c r="G426" s="829">
        <v>44.78</v>
      </c>
      <c r="H426" s="412" t="s">
        <v>2742</v>
      </c>
      <c r="I426" s="1258"/>
      <c r="J426" s="2" t="str">
        <f>IF(Table5[[#This Row],[Entered]]&lt;&gt;Table5[[#This Row],[Quantity]],"Check","")</f>
        <v/>
      </c>
    </row>
    <row r="427" spans="1:10" ht="15" x14ac:dyDescent="0.2">
      <c r="A427" s="324" t="str">
        <f t="shared" si="28"/>
        <v>BRICK1</v>
      </c>
      <c r="B427" s="324" t="str">
        <f t="shared" si="29"/>
        <v>0550</v>
      </c>
      <c r="C427" s="324" t="str">
        <f t="shared" si="30"/>
        <v>04359</v>
      </c>
      <c r="D427" s="324" t="str">
        <f>"0110"</f>
        <v>0110</v>
      </c>
      <c r="E427" s="324" t="s">
        <v>2893</v>
      </c>
      <c r="F427" s="827">
        <f>IF(Coastal="No",SUMIFS('Lintel Sheet'!I:I,'Lintel Sheet'!$H:$H,"100*100*8 Lintel",'Lintel Sheet'!B:B,"Ground"),0)</f>
        <v>0</v>
      </c>
      <c r="G427" s="829">
        <v>40.299999999999997</v>
      </c>
      <c r="H427" s="412" t="s">
        <v>2741</v>
      </c>
      <c r="I427" s="1258"/>
      <c r="J427" s="2" t="str">
        <f>IF(Table5[[#This Row],[Entered]]&lt;&gt;Table5[[#This Row],[Quantity]],"Check","")</f>
        <v/>
      </c>
    </row>
    <row r="428" spans="1:10" ht="15" x14ac:dyDescent="0.2">
      <c r="A428" s="324" t="str">
        <f t="shared" si="28"/>
        <v>BRICK1</v>
      </c>
      <c r="B428" s="324" t="str">
        <f t="shared" si="29"/>
        <v>0550</v>
      </c>
      <c r="C428" s="324" t="str">
        <f t="shared" si="30"/>
        <v>04359</v>
      </c>
      <c r="D428" s="324" t="str">
        <f>"0120"</f>
        <v>0120</v>
      </c>
      <c r="E428" s="324" t="s">
        <v>2893</v>
      </c>
      <c r="F428" s="827">
        <f>IF(Coastal="No",SUMIFS('Lintel Sheet'!I:I,'Lintel Sheet'!$H:$H,"150*90*8 Lintel",'Lintel Sheet'!B:B,"Ground"),0)</f>
        <v>0</v>
      </c>
      <c r="G428" s="829"/>
      <c r="H428" s="412" t="s">
        <v>2743</v>
      </c>
      <c r="I428" s="1258"/>
      <c r="J428" s="2" t="str">
        <f>IF(Table5[[#This Row],[Entered]]&lt;&gt;Table5[[#This Row],[Quantity]],"Check","")</f>
        <v/>
      </c>
    </row>
    <row r="429" spans="1:10" ht="15" x14ac:dyDescent="0.2">
      <c r="A429" s="324" t="str">
        <f t="shared" si="28"/>
        <v>BRICK1</v>
      </c>
      <c r="B429" s="324" t="str">
        <f t="shared" si="29"/>
        <v>0550</v>
      </c>
      <c r="C429" s="324" t="str">
        <f t="shared" si="30"/>
        <v>04359</v>
      </c>
      <c r="D429" s="324" t="str">
        <f>"0130"</f>
        <v>0130</v>
      </c>
      <c r="E429" s="324" t="s">
        <v>2893</v>
      </c>
      <c r="F429" s="827">
        <f>IF(Coastal="No",SUMIFS('Lintel Sheet'!I:I,'Lintel Sheet'!$H:$H,"150*100*10 Lintel",'Lintel Sheet'!B:B,"Ground"),0)</f>
        <v>0</v>
      </c>
      <c r="G429" s="829"/>
      <c r="H429" s="412" t="s">
        <v>2744</v>
      </c>
      <c r="I429" s="1258"/>
      <c r="J429" s="2" t="str">
        <f>IF(Table5[[#This Row],[Entered]]&lt;&gt;Table5[[#This Row],[Quantity]],"Check","")</f>
        <v/>
      </c>
    </row>
    <row r="430" spans="1:10" ht="15" x14ac:dyDescent="0.2">
      <c r="A430" s="324" t="str">
        <f t="shared" si="28"/>
        <v>BRICK1</v>
      </c>
      <c r="B430" s="324" t="str">
        <f t="shared" si="29"/>
        <v>0550</v>
      </c>
      <c r="C430" s="324" t="str">
        <f t="shared" si="30"/>
        <v>04359</v>
      </c>
      <c r="D430" s="324" t="str">
        <f>"0460"</f>
        <v>0460</v>
      </c>
      <c r="E430" s="324" t="s">
        <v>2893</v>
      </c>
      <c r="F430" s="827">
        <f>IF(Coastal="No",SUMIFS('Lintel Sheet'!I:I,'Lintel Sheet'!$H:$H,"200*150*10 T-Bar",'Lintel Sheet'!B:B,"Ground"),0)</f>
        <v>0</v>
      </c>
      <c r="G430" s="829"/>
      <c r="H430" s="412" t="s">
        <v>2745</v>
      </c>
      <c r="I430" s="1258"/>
      <c r="J430" s="2" t="str">
        <f>IF(Table5[[#This Row],[Entered]]&lt;&gt;Table5[[#This Row],[Quantity]],"Check","")</f>
        <v/>
      </c>
    </row>
    <row r="431" spans="1:10" ht="15" x14ac:dyDescent="0.2">
      <c r="A431" s="324" t="str">
        <f t="shared" si="28"/>
        <v>BRICK1</v>
      </c>
      <c r="B431" s="324" t="str">
        <f t="shared" si="29"/>
        <v>0550</v>
      </c>
      <c r="C431" s="324" t="str">
        <f t="shared" si="30"/>
        <v>04359</v>
      </c>
      <c r="D431" s="324" t="str">
        <f>"0463"</f>
        <v>0463</v>
      </c>
      <c r="E431" s="324" t="s">
        <v>2893</v>
      </c>
      <c r="F431" s="827">
        <f>IF(Coastal="No",SUMIFS('Lintel Sheet'!I:I,'Lintel Sheet'!$H:$H,"180*200*10 T-Bar",'Lintel Sheet'!B:B,"Ground"),0)</f>
        <v>0</v>
      </c>
      <c r="G431" s="829"/>
      <c r="H431" s="412" t="s">
        <v>2748</v>
      </c>
      <c r="I431" s="1258"/>
      <c r="J431" s="2" t="str">
        <f>IF(Table5[[#This Row],[Entered]]&lt;&gt;Table5[[#This Row],[Quantity]],"Check","")</f>
        <v/>
      </c>
    </row>
    <row r="432" spans="1:10" ht="15" x14ac:dyDescent="0.2">
      <c r="A432" s="324" t="str">
        <f t="shared" si="28"/>
        <v>BRICK1</v>
      </c>
      <c r="B432" s="324" t="str">
        <f t="shared" si="29"/>
        <v>0550</v>
      </c>
      <c r="C432" s="324" t="str">
        <f t="shared" si="30"/>
        <v>04359</v>
      </c>
      <c r="D432" s="324" t="str">
        <f>"0465"</f>
        <v>0465</v>
      </c>
      <c r="E432" s="324" t="s">
        <v>2893</v>
      </c>
      <c r="F432" s="827">
        <f>IF(Coastal="No",SUMIFS('Lintel Sheet'!I:I,'Lintel Sheet'!$H:$H,"200*200*10 T-Bar",'Lintel Sheet'!B:B,"Ground"),0)</f>
        <v>0</v>
      </c>
      <c r="G432" s="829"/>
      <c r="H432" s="412" t="s">
        <v>2747</v>
      </c>
      <c r="I432" s="1258"/>
      <c r="J432" s="2" t="str">
        <f>IF(Table5[[#This Row],[Entered]]&lt;&gt;Table5[[#This Row],[Quantity]],"Check","")</f>
        <v/>
      </c>
    </row>
    <row r="433" spans="1:10" ht="15" x14ac:dyDescent="0.2">
      <c r="A433" s="324" t="str">
        <f t="shared" si="28"/>
        <v>BRICK1</v>
      </c>
      <c r="B433" s="324" t="str">
        <f t="shared" si="29"/>
        <v>0550</v>
      </c>
      <c r="C433" s="324" t="str">
        <f t="shared" si="30"/>
        <v>04359</v>
      </c>
      <c r="D433" s="324" t="str">
        <f>"0467"</f>
        <v>0467</v>
      </c>
      <c r="E433" s="324" t="s">
        <v>2893</v>
      </c>
      <c r="F433" s="827">
        <f>IF(Coastal="No",SUMIFS('Lintel Sheet'!I:I,'Lintel Sheet'!$H:$H,"180*150*10 T-Bar",'Lintel Sheet'!B:B,"Ground"),0)</f>
        <v>0</v>
      </c>
      <c r="G433" s="829"/>
      <c r="H433" s="412" t="s">
        <v>2746</v>
      </c>
      <c r="I433" s="1258"/>
      <c r="J433" s="2" t="str">
        <f>IF(Table5[[#This Row],[Entered]]&lt;&gt;Table5[[#This Row],[Quantity]],"Check","")</f>
        <v/>
      </c>
    </row>
    <row r="434" spans="1:10" ht="15" x14ac:dyDescent="0.2">
      <c r="A434" s="324" t="str">
        <f t="shared" si="28"/>
        <v>BRICK1</v>
      </c>
      <c r="B434" s="324" t="str">
        <f t="shared" si="29"/>
        <v>0550</v>
      </c>
      <c r="C434" s="324" t="str">
        <f t="shared" si="30"/>
        <v>04359</v>
      </c>
      <c r="D434" s="324" t="str">
        <f>"0468"</f>
        <v>0468</v>
      </c>
      <c r="E434" s="324" t="s">
        <v>2893</v>
      </c>
      <c r="F434" s="827">
        <f>IF(Coastal="No",SUMIFS('Lintel Sheet'!I:I,'Lintel Sheet'!$H:$H,"180*250*10 T-Bar",'Lintel Sheet'!B:B,"Ground"),0)</f>
        <v>0</v>
      </c>
      <c r="G434" s="829"/>
      <c r="H434" s="412" t="s">
        <v>2750</v>
      </c>
      <c r="I434" s="1258"/>
      <c r="J434" s="2" t="str">
        <f>IF(Table5[[#This Row],[Entered]]&lt;&gt;Table5[[#This Row],[Quantity]],"Check","")</f>
        <v/>
      </c>
    </row>
    <row r="435" spans="1:10" ht="15" x14ac:dyDescent="0.2">
      <c r="A435" s="324" t="str">
        <f t="shared" si="28"/>
        <v>BRICK1</v>
      </c>
      <c r="B435" s="324" t="str">
        <f t="shared" si="29"/>
        <v>0550</v>
      </c>
      <c r="C435" s="324" t="str">
        <f t="shared" si="30"/>
        <v>04359</v>
      </c>
      <c r="D435" s="324" t="str">
        <f>"0481"</f>
        <v>0481</v>
      </c>
      <c r="E435" s="324" t="s">
        <v>2893</v>
      </c>
      <c r="F435" s="827">
        <f>IF(Coastal="No",SUMIFS('Lintel Sheet'!I:I,'Lintel Sheet'!$H:$H,"200*250*10 T-Bar",'Lintel Sheet'!B:B,"Ground"),0)</f>
        <v>0</v>
      </c>
      <c r="G435" s="829"/>
      <c r="H435" s="412" t="s">
        <v>2749</v>
      </c>
      <c r="I435" s="1258"/>
      <c r="J435" s="2" t="str">
        <f>IF(Table5[[#This Row],[Entered]]&lt;&gt;Table5[[#This Row],[Quantity]],"Check","")</f>
        <v/>
      </c>
    </row>
    <row r="436" spans="1:10" ht="15" x14ac:dyDescent="0.2">
      <c r="A436" s="324" t="str">
        <f t="shared" si="28"/>
        <v>BRICK1</v>
      </c>
      <c r="B436" s="324" t="str">
        <f t="shared" si="29"/>
        <v>0550</v>
      </c>
      <c r="C436" s="324" t="str">
        <f t="shared" si="30"/>
        <v>04359</v>
      </c>
      <c r="D436" s="324" t="str">
        <f>"0310"</f>
        <v>0310</v>
      </c>
      <c r="E436" s="324" t="s">
        <v>2893</v>
      </c>
      <c r="F436" s="827"/>
      <c r="G436" s="829"/>
      <c r="H436" s="412" t="s">
        <v>2751</v>
      </c>
      <c r="I436" s="1258"/>
      <c r="J436" s="2" t="str">
        <f>IF(Table5[[#This Row],[Entered]]&lt;&gt;Table5[[#This Row],[Quantity]],"Check","")</f>
        <v/>
      </c>
    </row>
    <row r="437" spans="1:10" ht="15" x14ac:dyDescent="0.2">
      <c r="A437" s="324" t="str">
        <f t="shared" si="28"/>
        <v>BRICK1</v>
      </c>
      <c r="B437" s="324" t="str">
        <f t="shared" si="29"/>
        <v>0550</v>
      </c>
      <c r="C437" s="324" t="str">
        <f t="shared" si="30"/>
        <v>04359</v>
      </c>
      <c r="D437" s="324" t="str">
        <f>"1010"</f>
        <v>1010</v>
      </c>
      <c r="E437" s="324" t="s">
        <v>2893</v>
      </c>
      <c r="F437" s="827">
        <f>IF(Coastal="No",0,SUMIFS('Lintel Sheet'!I:I,'Lintel Sheet'!$H:$H,"75*8 Flat Bar",'Lintel Sheet'!B:B,"Ground"))</f>
        <v>0</v>
      </c>
      <c r="G437" s="829"/>
      <c r="H437" s="412" t="s">
        <v>2754</v>
      </c>
      <c r="I437" s="1258"/>
      <c r="J437" s="2" t="str">
        <f>IF(Table5[[#This Row],[Entered]]&lt;&gt;Table5[[#This Row],[Quantity]],"Check","")</f>
        <v/>
      </c>
    </row>
    <row r="438" spans="1:10" ht="15" x14ac:dyDescent="0.2">
      <c r="A438" s="324" t="str">
        <f t="shared" si="28"/>
        <v>BRICK1</v>
      </c>
      <c r="B438" s="324" t="str">
        <f t="shared" si="29"/>
        <v>0550</v>
      </c>
      <c r="C438" s="324" t="str">
        <f t="shared" si="30"/>
        <v>04359</v>
      </c>
      <c r="D438" s="324" t="str">
        <f>"1080"</f>
        <v>1080</v>
      </c>
      <c r="E438" s="324" t="s">
        <v>2893</v>
      </c>
      <c r="F438" s="827">
        <f>IF(Coastal="No",0,SUMIFS('Lintel Sheet'!I:I,'Lintel Sheet'!$H:$H,"75*75*6 Lintel",'Lintel Sheet'!B:B,"Ground"))</f>
        <v>0</v>
      </c>
      <c r="G438" s="829"/>
      <c r="H438" s="412" t="s">
        <v>2753</v>
      </c>
      <c r="I438" s="1258"/>
      <c r="J438" s="2" t="str">
        <f>IF(Table5[[#This Row],[Entered]]&lt;&gt;Table5[[#This Row],[Quantity]],"Check","")</f>
        <v/>
      </c>
    </row>
    <row r="439" spans="1:10" ht="15" x14ac:dyDescent="0.2">
      <c r="A439" s="324" t="str">
        <f t="shared" si="28"/>
        <v>BRICK1</v>
      </c>
      <c r="B439" s="324" t="str">
        <f t="shared" si="29"/>
        <v>0550</v>
      </c>
      <c r="C439" s="324" t="str">
        <f t="shared" si="30"/>
        <v>04359</v>
      </c>
      <c r="D439" s="324" t="str">
        <f>"1090"</f>
        <v>1090</v>
      </c>
      <c r="E439" s="324" t="s">
        <v>2893</v>
      </c>
      <c r="F439" s="827">
        <f>IF(Coastal="No",0,SUMIFS('Lintel Sheet'!I:I,'Lintel Sheet'!$H:$H,"100*75*8 Lintel",'Lintel Sheet'!B:B,"Ground"))</f>
        <v>0</v>
      </c>
      <c r="G439" s="829"/>
      <c r="H439" s="412" t="s">
        <v>2755</v>
      </c>
      <c r="I439" s="1258"/>
      <c r="J439" s="2" t="str">
        <f>IF(Table5[[#This Row],[Entered]]&lt;&gt;Table5[[#This Row],[Quantity]],"Check","")</f>
        <v/>
      </c>
    </row>
    <row r="440" spans="1:10" ht="15" x14ac:dyDescent="0.2">
      <c r="A440" s="324" t="str">
        <f t="shared" si="28"/>
        <v>BRICK1</v>
      </c>
      <c r="B440" s="324" t="str">
        <f t="shared" si="29"/>
        <v>0550</v>
      </c>
      <c r="C440" s="324" t="str">
        <f t="shared" si="30"/>
        <v>04359</v>
      </c>
      <c r="D440" s="324" t="str">
        <f>"1110"</f>
        <v>1110</v>
      </c>
      <c r="E440" s="324" t="s">
        <v>2893</v>
      </c>
      <c r="F440" s="827">
        <f>IF(Coastal="No",0,SUMIFS('Lintel Sheet'!I:I,'Lintel Sheet'!$H:$H,"100*100*8 Lintel",'Lintel Sheet'!B:B,"Ground"))</f>
        <v>0</v>
      </c>
      <c r="G440" s="829"/>
      <c r="H440" s="412" t="s">
        <v>2756</v>
      </c>
      <c r="I440" s="1258"/>
      <c r="J440" s="2" t="str">
        <f>IF(Table5[[#This Row],[Entered]]&lt;&gt;Table5[[#This Row],[Quantity]],"Check","")</f>
        <v/>
      </c>
    </row>
    <row r="441" spans="1:10" ht="15" x14ac:dyDescent="0.2">
      <c r="A441" s="324" t="str">
        <f t="shared" si="28"/>
        <v>BRICK1</v>
      </c>
      <c r="B441" s="324" t="str">
        <f t="shared" si="29"/>
        <v>0550</v>
      </c>
      <c r="C441" s="324" t="str">
        <f t="shared" si="30"/>
        <v>04359</v>
      </c>
      <c r="D441" s="324" t="str">
        <f>"1100"</f>
        <v>1100</v>
      </c>
      <c r="E441" s="324" t="s">
        <v>2893</v>
      </c>
      <c r="F441" s="827">
        <f>IF(Coastal="No",0,SUMIFS('Lintel Sheet'!I:I,'Lintel Sheet'!$H:$H,"125*75*8 Lintel",'Lintel Sheet'!B:B,"Ground"))</f>
        <v>0</v>
      </c>
      <c r="G441" s="829"/>
      <c r="H441" s="412" t="s">
        <v>2757</v>
      </c>
      <c r="I441" s="1258"/>
      <c r="J441" s="2" t="str">
        <f>IF(Table5[[#This Row],[Entered]]&lt;&gt;Table5[[#This Row],[Quantity]],"Check","")</f>
        <v/>
      </c>
    </row>
    <row r="442" spans="1:10" ht="15" x14ac:dyDescent="0.2">
      <c r="A442" s="324" t="str">
        <f t="shared" si="28"/>
        <v>BRICK1</v>
      </c>
      <c r="B442" s="324" t="str">
        <f t="shared" si="29"/>
        <v>0550</v>
      </c>
      <c r="C442" s="324" t="str">
        <f t="shared" si="30"/>
        <v>04359</v>
      </c>
      <c r="D442" s="324" t="str">
        <f>"1120"</f>
        <v>1120</v>
      </c>
      <c r="E442" s="324" t="s">
        <v>2893</v>
      </c>
      <c r="F442" s="827">
        <f>IF(Coastal="No",0,SUMIFS('Lintel Sheet'!I:I,'Lintel Sheet'!$H:$H,"150*90*8 Lintel",'Lintel Sheet'!B:B,"Ground"))</f>
        <v>0</v>
      </c>
      <c r="G442" s="829"/>
      <c r="H442" s="412" t="s">
        <v>2758</v>
      </c>
      <c r="I442" s="1258"/>
      <c r="J442" s="2" t="str">
        <f>IF(Table5[[#This Row],[Entered]]&lt;&gt;Table5[[#This Row],[Quantity]],"Check","")</f>
        <v/>
      </c>
    </row>
    <row r="443" spans="1:10" ht="15" x14ac:dyDescent="0.2">
      <c r="A443" s="324" t="str">
        <f t="shared" si="28"/>
        <v>BRICK1</v>
      </c>
      <c r="B443" s="324" t="str">
        <f t="shared" si="29"/>
        <v>0550</v>
      </c>
      <c r="C443" s="324" t="str">
        <f t="shared" si="30"/>
        <v>04359</v>
      </c>
      <c r="D443" s="324" t="str">
        <f>"1130"</f>
        <v>1130</v>
      </c>
      <c r="E443" s="324" t="s">
        <v>2893</v>
      </c>
      <c r="F443" s="827">
        <f>IF(Coastal="No",0,SUMIFS('Lintel Sheet'!I:I,'Lintel Sheet'!$H:$H,"150*100*10 Lintel",'Lintel Sheet'!B:B,"Ground"))</f>
        <v>0</v>
      </c>
      <c r="G443" s="829"/>
      <c r="H443" s="412" t="s">
        <v>2759</v>
      </c>
      <c r="I443" s="1258"/>
      <c r="J443" s="2" t="str">
        <f>IF(Table5[[#This Row],[Entered]]&lt;&gt;Table5[[#This Row],[Quantity]],"Check","")</f>
        <v/>
      </c>
    </row>
    <row r="444" spans="1:10" ht="15" x14ac:dyDescent="0.2">
      <c r="A444" s="324" t="str">
        <f t="shared" si="28"/>
        <v>BRICK1</v>
      </c>
      <c r="B444" s="324" t="str">
        <f t="shared" si="29"/>
        <v>0550</v>
      </c>
      <c r="C444" s="324" t="str">
        <f t="shared" si="30"/>
        <v>04359</v>
      </c>
      <c r="D444" s="324" t="str">
        <f>"1460"</f>
        <v>1460</v>
      </c>
      <c r="E444" s="324" t="s">
        <v>2893</v>
      </c>
      <c r="F444" s="827">
        <f>IF(Coastal="No",0,SUMIFS('Lintel Sheet'!I:I,'Lintel Sheet'!$H:$H,"200*150*10 T-Bar",'Lintel Sheet'!B:B,"Ground"))</f>
        <v>0</v>
      </c>
      <c r="G444" s="829"/>
      <c r="H444" s="412" t="s">
        <v>2760</v>
      </c>
      <c r="I444" s="1258"/>
      <c r="J444" s="2" t="str">
        <f>IF(Table5[[#This Row],[Entered]]&lt;&gt;Table5[[#This Row],[Quantity]],"Check","")</f>
        <v/>
      </c>
    </row>
    <row r="445" spans="1:10" ht="15" x14ac:dyDescent="0.2">
      <c r="A445" s="324" t="str">
        <f t="shared" si="28"/>
        <v>BRICK1</v>
      </c>
      <c r="B445" s="324" t="str">
        <f t="shared" si="29"/>
        <v>0550</v>
      </c>
      <c r="C445" s="324" t="str">
        <f t="shared" si="30"/>
        <v>04359</v>
      </c>
      <c r="D445" s="324" t="str">
        <f>"1467"</f>
        <v>1467</v>
      </c>
      <c r="E445" s="324" t="s">
        <v>2893</v>
      </c>
      <c r="F445" s="827">
        <f>IF(Coastal="No",0,SUMIFS('Lintel Sheet'!I:I,'Lintel Sheet'!$H:$H,"180*150*10 T-Bar",'Lintel Sheet'!B:B,"Ground"))</f>
        <v>0</v>
      </c>
      <c r="G445" s="829"/>
      <c r="H445" s="412" t="s">
        <v>2761</v>
      </c>
      <c r="I445" s="1258"/>
      <c r="J445" s="2" t="str">
        <f>IF(Table5[[#This Row],[Entered]]&lt;&gt;Table5[[#This Row],[Quantity]],"Check","")</f>
        <v/>
      </c>
    </row>
    <row r="446" spans="1:10" ht="15" x14ac:dyDescent="0.2">
      <c r="A446" s="324" t="str">
        <f t="shared" si="28"/>
        <v>BRICK1</v>
      </c>
      <c r="B446" s="324" t="str">
        <f t="shared" si="29"/>
        <v>0550</v>
      </c>
      <c r="C446" s="324" t="str">
        <f t="shared" si="30"/>
        <v>04359</v>
      </c>
      <c r="D446" s="324" t="str">
        <f>"1465"</f>
        <v>1465</v>
      </c>
      <c r="E446" s="324" t="s">
        <v>2893</v>
      </c>
      <c r="F446" s="827">
        <f>IF(Coastal="No",0,SUMIFS('Lintel Sheet'!I:I,'Lintel Sheet'!$H:$H,"200*200*10 T-Bar",'Lintel Sheet'!B:B,"Ground"))</f>
        <v>0</v>
      </c>
      <c r="G446" s="829"/>
      <c r="H446" s="412" t="s">
        <v>2762</v>
      </c>
      <c r="I446" s="1258"/>
      <c r="J446" s="2" t="str">
        <f>IF(Table5[[#This Row],[Entered]]&lt;&gt;Table5[[#This Row],[Quantity]],"Check","")</f>
        <v/>
      </c>
    </row>
    <row r="447" spans="1:10" ht="15" x14ac:dyDescent="0.2">
      <c r="A447" s="324" t="str">
        <f t="shared" si="28"/>
        <v>BRICK1</v>
      </c>
      <c r="B447" s="324" t="str">
        <f t="shared" si="29"/>
        <v>0550</v>
      </c>
      <c r="C447" s="324" t="str">
        <f t="shared" si="30"/>
        <v>04359</v>
      </c>
      <c r="D447" s="324" t="str">
        <f>"1463"</f>
        <v>1463</v>
      </c>
      <c r="E447" s="324" t="s">
        <v>2893</v>
      </c>
      <c r="F447" s="827">
        <f>IF(Coastal="No",0,SUMIFS('Lintel Sheet'!I:I,'Lintel Sheet'!$H:$H,"180*200*10 T-Bar",'Lintel Sheet'!B:B,"Ground"))</f>
        <v>0</v>
      </c>
      <c r="G447" s="829"/>
      <c r="H447" s="412" t="s">
        <v>2763</v>
      </c>
      <c r="I447" s="1258"/>
      <c r="J447" s="2" t="str">
        <f>IF(Table5[[#This Row],[Entered]]&lt;&gt;Table5[[#This Row],[Quantity]],"Check","")</f>
        <v/>
      </c>
    </row>
    <row r="448" spans="1:10" ht="15" x14ac:dyDescent="0.2">
      <c r="A448" s="324" t="str">
        <f t="shared" si="28"/>
        <v>BRICK1</v>
      </c>
      <c r="B448" s="324" t="str">
        <f t="shared" si="29"/>
        <v>0550</v>
      </c>
      <c r="C448" s="324" t="str">
        <f t="shared" si="30"/>
        <v>04359</v>
      </c>
      <c r="D448" s="324" t="str">
        <f>"1481"</f>
        <v>1481</v>
      </c>
      <c r="E448" s="324" t="s">
        <v>2893</v>
      </c>
      <c r="F448" s="827">
        <f>IF(Coastal="No",0,SUMIFS('Lintel Sheet'!I:I,'Lintel Sheet'!$H:$H,"200*250*10 T-Bar",'Lintel Sheet'!B:B,"Ground"))</f>
        <v>0</v>
      </c>
      <c r="G448" s="829"/>
      <c r="H448" s="412" t="s">
        <v>2764</v>
      </c>
      <c r="I448" s="1258"/>
      <c r="J448" s="2" t="str">
        <f>IF(Table5[[#This Row],[Entered]]&lt;&gt;Table5[[#This Row],[Quantity]],"Check","")</f>
        <v/>
      </c>
    </row>
    <row r="449" spans="1:10" ht="15" x14ac:dyDescent="0.2">
      <c r="A449" s="324" t="str">
        <f t="shared" si="28"/>
        <v>BRICK1</v>
      </c>
      <c r="B449" s="324" t="str">
        <f t="shared" si="29"/>
        <v>0550</v>
      </c>
      <c r="C449" s="324" t="str">
        <f t="shared" si="30"/>
        <v>04359</v>
      </c>
      <c r="D449" s="324" t="str">
        <f>"1468"</f>
        <v>1468</v>
      </c>
      <c r="E449" s="324" t="s">
        <v>2893</v>
      </c>
      <c r="F449" s="827">
        <f>IF(Coastal="No",0,SUMIFS('Lintel Sheet'!I:I,'Lintel Sheet'!$H:$H,"180*250*10 T-Bar",'Lintel Sheet'!B:B,"Ground"))</f>
        <v>0</v>
      </c>
      <c r="G449" s="829"/>
      <c r="H449" s="412" t="s">
        <v>2765</v>
      </c>
      <c r="I449" s="1258"/>
      <c r="J449" s="2" t="str">
        <f>IF(Table5[[#This Row],[Entered]]&lt;&gt;Table5[[#This Row],[Quantity]],"Check","")</f>
        <v/>
      </c>
    </row>
    <row r="450" spans="1:10" ht="15" x14ac:dyDescent="0.2">
      <c r="A450" s="324" t="str">
        <f t="shared" si="28"/>
        <v>BRICK1</v>
      </c>
      <c r="B450" s="324" t="str">
        <f t="shared" si="29"/>
        <v>0550</v>
      </c>
      <c r="C450" s="324" t="str">
        <f t="shared" si="30"/>
        <v>04359</v>
      </c>
      <c r="D450" s="324" t="str">
        <f>"0201"</f>
        <v>0201</v>
      </c>
      <c r="E450" s="324" t="s">
        <v>2893</v>
      </c>
      <c r="F450" s="1130">
        <f>IF(Corrosion_Classification="R4",0,SUMIF(Name,"150UB14",Length))</f>
        <v>0</v>
      </c>
      <c r="G450" s="829"/>
      <c r="H450" s="412" t="s">
        <v>2833</v>
      </c>
      <c r="I450" s="1258"/>
      <c r="J450" s="2" t="str">
        <f>IF(Table5[[#This Row],[Entered]]&lt;&gt;Table5[[#This Row],[Quantity]],"Check","")</f>
        <v/>
      </c>
    </row>
    <row r="451" spans="1:10" ht="15" x14ac:dyDescent="0.2">
      <c r="A451" s="324" t="str">
        <f t="shared" si="28"/>
        <v>BRICK1</v>
      </c>
      <c r="B451" s="324" t="str">
        <f t="shared" si="29"/>
        <v>0550</v>
      </c>
      <c r="C451" s="324" t="str">
        <f t="shared" si="30"/>
        <v>04359</v>
      </c>
      <c r="D451" s="324" t="str">
        <f>"0211"</f>
        <v>0211</v>
      </c>
      <c r="E451" s="324" t="s">
        <v>2893</v>
      </c>
      <c r="F451" s="1130">
        <f>ROUNDUP(IF(Corrosion_Classification="R4",0,SUMIF(Name,"180UB16",Length)),2)</f>
        <v>0</v>
      </c>
      <c r="G451" s="829">
        <v>57.34</v>
      </c>
      <c r="H451" s="412" t="s">
        <v>2834</v>
      </c>
      <c r="I451" s="1258"/>
      <c r="J451" s="2" t="str">
        <f>IF(Table5[[#This Row],[Entered]]&lt;&gt;Table5[[#This Row],[Quantity]],"Check","")</f>
        <v/>
      </c>
    </row>
    <row r="452" spans="1:10" ht="15" x14ac:dyDescent="0.2">
      <c r="A452" s="324" t="str">
        <f t="shared" si="28"/>
        <v>BRICK1</v>
      </c>
      <c r="B452" s="324" t="str">
        <f t="shared" si="29"/>
        <v>0550</v>
      </c>
      <c r="C452" s="324" t="str">
        <f t="shared" si="30"/>
        <v>04359</v>
      </c>
      <c r="D452" s="324" t="str">
        <f>"0221"</f>
        <v>0221</v>
      </c>
      <c r="E452" s="324" t="s">
        <v>2893</v>
      </c>
      <c r="F452" s="1130">
        <f>ROUNDUP(IF(Corrosion_Classification="R4",0,SUMIF(Name,"200UB18",Length)),2)</f>
        <v>0</v>
      </c>
      <c r="G452" s="829"/>
      <c r="H452" s="412" t="s">
        <v>2835</v>
      </c>
      <c r="I452" s="1258"/>
      <c r="J452" s="2" t="str">
        <f>IF(Table5[[#This Row],[Entered]]&lt;&gt;Table5[[#This Row],[Quantity]],"Check","")</f>
        <v/>
      </c>
    </row>
    <row r="453" spans="1:10" ht="15" x14ac:dyDescent="0.2">
      <c r="A453" s="324" t="str">
        <f t="shared" si="25"/>
        <v>BRICK1</v>
      </c>
      <c r="B453" s="324" t="str">
        <f t="shared" si="26"/>
        <v>0550</v>
      </c>
      <c r="C453" s="324" t="str">
        <f t="shared" si="27"/>
        <v>04359</v>
      </c>
      <c r="D453" s="324" t="str">
        <f>"0225"</f>
        <v>0225</v>
      </c>
      <c r="E453" s="324" t="s">
        <v>2893</v>
      </c>
      <c r="F453" s="1130">
        <f>IF(Corrosion_Classification="R4",0,SUMIF(Name,"200UB22",Length))</f>
        <v>0</v>
      </c>
      <c r="G453" s="829"/>
      <c r="H453" s="412" t="s">
        <v>2836</v>
      </c>
      <c r="I453" s="1258"/>
      <c r="J453" s="2" t="str">
        <f>IF(Table5[[#This Row],[Entered]]&lt;&gt;Table5[[#This Row],[Quantity]],"Check","")</f>
        <v/>
      </c>
    </row>
    <row r="454" spans="1:10" ht="15" x14ac:dyDescent="0.2">
      <c r="A454" s="324" t="str">
        <f t="shared" si="25"/>
        <v>BRICK1</v>
      </c>
      <c r="B454" s="324" t="str">
        <f t="shared" si="26"/>
        <v>0550</v>
      </c>
      <c r="C454" s="324" t="str">
        <f t="shared" si="27"/>
        <v>04359</v>
      </c>
      <c r="D454" s="324" t="str">
        <f>"0230"</f>
        <v>0230</v>
      </c>
      <c r="E454" s="324" t="s">
        <v>2893</v>
      </c>
      <c r="F454" s="1130">
        <f>IF(Corrosion_Classification="R4",0,SUMIF(Name,"200UB25",Length))</f>
        <v>0</v>
      </c>
      <c r="G454" s="829"/>
      <c r="H454" s="412" t="s">
        <v>2837</v>
      </c>
      <c r="I454" s="1258"/>
      <c r="J454" s="2" t="str">
        <f>IF(Table5[[#This Row],[Entered]]&lt;&gt;Table5[[#This Row],[Quantity]],"Check","")</f>
        <v/>
      </c>
    </row>
    <row r="455" spans="1:10" ht="15" x14ac:dyDescent="0.2">
      <c r="A455" s="324" t="str">
        <f t="shared" si="25"/>
        <v>BRICK1</v>
      </c>
      <c r="B455" s="324" t="str">
        <f t="shared" si="26"/>
        <v>0550</v>
      </c>
      <c r="C455" s="324" t="str">
        <f t="shared" si="27"/>
        <v>04359</v>
      </c>
      <c r="D455" s="324" t="str">
        <f>"0245"</f>
        <v>0245</v>
      </c>
      <c r="E455" s="324" t="s">
        <v>2893</v>
      </c>
      <c r="F455" s="1130">
        <f>ROUNDUP(IF(Corrosion_Classification="R4",0,SUMIF(Name,"250UB25",Length)),2)</f>
        <v>0</v>
      </c>
      <c r="G455" s="829"/>
      <c r="H455" s="412" t="s">
        <v>2838</v>
      </c>
      <c r="I455" s="1258"/>
      <c r="J455" s="2" t="str">
        <f>IF(Table5[[#This Row],[Entered]]&lt;&gt;Table5[[#This Row],[Quantity]],"Check","")</f>
        <v/>
      </c>
    </row>
    <row r="456" spans="1:10" ht="15" x14ac:dyDescent="0.2">
      <c r="A456" s="324" t="str">
        <f t="shared" si="25"/>
        <v>BRICK1</v>
      </c>
      <c r="B456" s="324" t="str">
        <f t="shared" si="26"/>
        <v>0550</v>
      </c>
      <c r="C456" s="324" t="str">
        <f t="shared" si="27"/>
        <v>04359</v>
      </c>
      <c r="D456" s="324" t="str">
        <f>"0250"</f>
        <v>0250</v>
      </c>
      <c r="E456" s="324" t="s">
        <v>2893</v>
      </c>
      <c r="F456" s="1130">
        <f>IF(Corrosion_Classification="R4",0,SUMIF(Name,"250UB31",Length))</f>
        <v>0</v>
      </c>
      <c r="G456" s="829"/>
      <c r="H456" s="412" t="s">
        <v>2839</v>
      </c>
      <c r="I456" s="1258"/>
      <c r="J456" s="2" t="str">
        <f>IF(Table5[[#This Row],[Entered]]&lt;&gt;Table5[[#This Row],[Quantity]],"Check","")</f>
        <v/>
      </c>
    </row>
    <row r="457" spans="1:10" ht="15" x14ac:dyDescent="0.2">
      <c r="A457" s="324" t="str">
        <f t="shared" si="25"/>
        <v>BRICK1</v>
      </c>
      <c r="B457" s="324" t="str">
        <f t="shared" si="26"/>
        <v>0550</v>
      </c>
      <c r="C457" s="324" t="str">
        <f t="shared" si="27"/>
        <v>04359</v>
      </c>
      <c r="D457" s="324" t="str">
        <f>"0251"</f>
        <v>0251</v>
      </c>
      <c r="E457" s="324" t="s">
        <v>2893</v>
      </c>
      <c r="F457" s="1130">
        <f>IF(Corrosion_Classification="R4",0,SUMIF(Name,"250UB37",Length))</f>
        <v>0</v>
      </c>
      <c r="G457" s="829"/>
      <c r="H457" s="412" t="s">
        <v>2840</v>
      </c>
      <c r="I457" s="1258"/>
      <c r="J457" s="2" t="str">
        <f>IF(Table5[[#This Row],[Entered]]&lt;&gt;Table5[[#This Row],[Quantity]],"Check","")</f>
        <v/>
      </c>
    </row>
    <row r="458" spans="1:10" ht="15" x14ac:dyDescent="0.2">
      <c r="A458" s="324" t="str">
        <f t="shared" si="25"/>
        <v>BRICK1</v>
      </c>
      <c r="B458" s="324" t="str">
        <f t="shared" si="26"/>
        <v>0550</v>
      </c>
      <c r="C458" s="324" t="str">
        <f t="shared" si="27"/>
        <v>04359</v>
      </c>
      <c r="D458" s="324" t="str">
        <f>"0260"</f>
        <v>0260</v>
      </c>
      <c r="E458" s="324" t="s">
        <v>2893</v>
      </c>
      <c r="F458" s="1130">
        <f>IF(Corrosion_Classification="R4",0,SUMIF(Name,"310UB40",Length))</f>
        <v>0</v>
      </c>
      <c r="G458" s="829"/>
      <c r="H458" s="412" t="s">
        <v>2841</v>
      </c>
      <c r="I458" s="1258"/>
      <c r="J458" s="2" t="str">
        <f>IF(Table5[[#This Row],[Entered]]&lt;&gt;Table5[[#This Row],[Quantity]],"Check","")</f>
        <v/>
      </c>
    </row>
    <row r="459" spans="1:10" ht="15" x14ac:dyDescent="0.2">
      <c r="A459" s="324" t="str">
        <f t="shared" si="28"/>
        <v>BRICK1</v>
      </c>
      <c r="B459" s="324" t="str">
        <f t="shared" si="29"/>
        <v>0550</v>
      </c>
      <c r="C459" s="324" t="str">
        <f t="shared" si="30"/>
        <v>04359</v>
      </c>
      <c r="D459" s="324" t="str">
        <f>"0570"</f>
        <v>0570</v>
      </c>
      <c r="E459" s="324" t="s">
        <v>2893</v>
      </c>
      <c r="F459" s="827">
        <f>SUMIFS('Lintel Sheet'!I:I,'Lintel Sheet'!$H:$H,"Type 'A' Lintel",'Lintel Sheet'!B:B,"Ground")</f>
        <v>0</v>
      </c>
      <c r="G459" s="829"/>
      <c r="H459" s="412" t="s">
        <v>2752</v>
      </c>
      <c r="I459" s="1258"/>
      <c r="J459" s="2" t="str">
        <f>IF(Table5[[#This Row],[Entered]]&lt;&gt;Table5[[#This Row],[Quantity]],"Check","")</f>
        <v/>
      </c>
    </row>
    <row r="460" spans="1:10" ht="15" x14ac:dyDescent="0.2">
      <c r="A460" s="324" t="str">
        <f t="shared" si="25"/>
        <v>BRICK1</v>
      </c>
      <c r="B460" s="324" t="str">
        <f t="shared" si="26"/>
        <v>0550</v>
      </c>
      <c r="C460" s="324" t="str">
        <f t="shared" si="27"/>
        <v>04359</v>
      </c>
      <c r="D460" s="324" t="str">
        <f>"1201"</f>
        <v>1201</v>
      </c>
      <c r="E460" s="324" t="s">
        <v>2893</v>
      </c>
      <c r="F460" s="1130">
        <f>IF(Corrosion_Classification="R4",SUMIF(Name,"150UB14",Length),0)</f>
        <v>0</v>
      </c>
      <c r="G460" s="829"/>
      <c r="H460" s="412" t="s">
        <v>2842</v>
      </c>
      <c r="I460" s="1258"/>
      <c r="J460" s="2" t="str">
        <f>IF(Table5[[#This Row],[Entered]]&lt;&gt;Table5[[#This Row],[Quantity]],"Check","")</f>
        <v/>
      </c>
    </row>
    <row r="461" spans="1:10" ht="15" x14ac:dyDescent="0.2">
      <c r="A461" s="324" t="str">
        <f t="shared" si="25"/>
        <v>BRICK1</v>
      </c>
      <c r="B461" s="324" t="str">
        <f t="shared" si="26"/>
        <v>0550</v>
      </c>
      <c r="C461" s="324" t="str">
        <f t="shared" si="27"/>
        <v>04359</v>
      </c>
      <c r="D461" s="324" t="str">
        <f>"1211"</f>
        <v>1211</v>
      </c>
      <c r="E461" s="324" t="s">
        <v>2893</v>
      </c>
      <c r="F461" s="1130">
        <f>IF(Corrosion_Classification="R4",SUMIF(Name,"180UB16",Length),0)</f>
        <v>0</v>
      </c>
      <c r="G461" s="829"/>
      <c r="H461" s="412" t="s">
        <v>2843</v>
      </c>
      <c r="I461" s="1258"/>
      <c r="J461" s="2" t="str">
        <f>IF(Table5[[#This Row],[Entered]]&lt;&gt;Table5[[#This Row],[Quantity]],"Check","")</f>
        <v/>
      </c>
    </row>
    <row r="462" spans="1:10" ht="15" x14ac:dyDescent="0.2">
      <c r="A462" s="324" t="str">
        <f t="shared" si="25"/>
        <v>BRICK1</v>
      </c>
      <c r="B462" s="324" t="str">
        <f t="shared" si="26"/>
        <v>0550</v>
      </c>
      <c r="C462" s="324" t="str">
        <f t="shared" si="27"/>
        <v>04359</v>
      </c>
      <c r="D462" s="324" t="str">
        <f>"1221"</f>
        <v>1221</v>
      </c>
      <c r="E462" s="324" t="s">
        <v>2893</v>
      </c>
      <c r="F462" s="1130">
        <f>IF(Corrosion_Classification="R4",SUMIF(Name,"200UB18",Length),0)</f>
        <v>0</v>
      </c>
      <c r="G462" s="829"/>
      <c r="H462" s="412" t="s">
        <v>2844</v>
      </c>
      <c r="I462" s="1258"/>
      <c r="J462" s="2" t="str">
        <f>IF(Table5[[#This Row],[Entered]]&lt;&gt;Table5[[#This Row],[Quantity]],"Check","")</f>
        <v/>
      </c>
    </row>
    <row r="463" spans="1:10" ht="15" x14ac:dyDescent="0.2">
      <c r="A463" s="324" t="str">
        <f t="shared" si="25"/>
        <v>BRICK1</v>
      </c>
      <c r="B463" s="324" t="str">
        <f t="shared" si="26"/>
        <v>0550</v>
      </c>
      <c r="C463" s="324" t="str">
        <f t="shared" si="27"/>
        <v>04359</v>
      </c>
      <c r="D463" s="324" t="str">
        <f>"1225"</f>
        <v>1225</v>
      </c>
      <c r="E463" s="324" t="s">
        <v>2893</v>
      </c>
      <c r="F463" s="1130">
        <f>IF(Corrosion_Classification="R4",SUMIF(Name,"200UB22",Length),0)</f>
        <v>0</v>
      </c>
      <c r="G463" s="829"/>
      <c r="H463" s="412" t="s">
        <v>2845</v>
      </c>
      <c r="I463" s="1258"/>
      <c r="J463" s="2" t="str">
        <f>IF(Table5[[#This Row],[Entered]]&lt;&gt;Table5[[#This Row],[Quantity]],"Check","")</f>
        <v/>
      </c>
    </row>
    <row r="464" spans="1:10" ht="15" x14ac:dyDescent="0.2">
      <c r="A464" s="324" t="str">
        <f t="shared" si="25"/>
        <v>BRICK1</v>
      </c>
      <c r="B464" s="324" t="str">
        <f t="shared" si="26"/>
        <v>0550</v>
      </c>
      <c r="C464" s="324" t="str">
        <f t="shared" si="27"/>
        <v>04359</v>
      </c>
      <c r="D464" s="324" t="str">
        <f>"1230"</f>
        <v>1230</v>
      </c>
      <c r="E464" s="324" t="s">
        <v>2893</v>
      </c>
      <c r="F464" s="1130">
        <f>IF(Corrosion_Classification="R4",SUMIF(Name,"200UB25",Length),0)</f>
        <v>0</v>
      </c>
      <c r="G464" s="829"/>
      <c r="H464" s="412" t="s">
        <v>2846</v>
      </c>
      <c r="I464" s="1258"/>
      <c r="J464" s="2" t="str">
        <f>IF(Table5[[#This Row],[Entered]]&lt;&gt;Table5[[#This Row],[Quantity]],"Check","")</f>
        <v/>
      </c>
    </row>
    <row r="465" spans="1:10" ht="15" x14ac:dyDescent="0.2">
      <c r="A465" s="324" t="str">
        <f t="shared" si="25"/>
        <v>BRICK1</v>
      </c>
      <c r="B465" s="324" t="str">
        <f t="shared" si="26"/>
        <v>0550</v>
      </c>
      <c r="C465" s="324" t="str">
        <f t="shared" si="27"/>
        <v>04359</v>
      </c>
      <c r="D465" s="324" t="str">
        <f>"1245"</f>
        <v>1245</v>
      </c>
      <c r="E465" s="324" t="s">
        <v>2893</v>
      </c>
      <c r="F465" s="1130">
        <f>IF(Corrosion_Classification="R4",SUMIF(Name,"250UB25",Length),0)</f>
        <v>0</v>
      </c>
      <c r="G465" s="829"/>
      <c r="H465" s="412" t="s">
        <v>2847</v>
      </c>
      <c r="I465" s="1258"/>
      <c r="J465" s="2" t="str">
        <f>IF(Table5[[#This Row],[Entered]]&lt;&gt;Table5[[#This Row],[Quantity]],"Check","")</f>
        <v/>
      </c>
    </row>
    <row r="466" spans="1:10" ht="15" x14ac:dyDescent="0.2">
      <c r="A466" s="324" t="str">
        <f t="shared" si="25"/>
        <v>BRICK1</v>
      </c>
      <c r="B466" s="324" t="str">
        <f t="shared" si="26"/>
        <v>0550</v>
      </c>
      <c r="C466" s="324" t="str">
        <f t="shared" si="27"/>
        <v>04359</v>
      </c>
      <c r="D466" s="324" t="str">
        <f>"1250"</f>
        <v>1250</v>
      </c>
      <c r="E466" s="324" t="s">
        <v>2893</v>
      </c>
      <c r="F466" s="1130">
        <f>IF(Corrosion_Classification="R4",SUMIF(Name,"250UB31",Length),0)</f>
        <v>0</v>
      </c>
      <c r="G466" s="829"/>
      <c r="H466" s="412" t="s">
        <v>2848</v>
      </c>
      <c r="I466" s="1258"/>
      <c r="J466" s="2" t="str">
        <f>IF(Table5[[#This Row],[Entered]]&lt;&gt;Table5[[#This Row],[Quantity]],"Check","")</f>
        <v/>
      </c>
    </row>
    <row r="467" spans="1:10" ht="15" x14ac:dyDescent="0.2">
      <c r="A467" s="324" t="str">
        <f t="shared" si="25"/>
        <v>BRICK1</v>
      </c>
      <c r="B467" s="324" t="str">
        <f t="shared" si="26"/>
        <v>0550</v>
      </c>
      <c r="C467" s="324" t="str">
        <f t="shared" si="27"/>
        <v>04359</v>
      </c>
      <c r="D467" s="324" t="str">
        <f>"1251"</f>
        <v>1251</v>
      </c>
      <c r="E467" s="324" t="s">
        <v>2893</v>
      </c>
      <c r="F467" s="1130">
        <f>IF(Corrosion_Classification="R4",SUMIF(Name,"250UB37",Length),0)</f>
        <v>0</v>
      </c>
      <c r="G467" s="829"/>
      <c r="H467" s="412" t="s">
        <v>2849</v>
      </c>
      <c r="I467" s="1258"/>
      <c r="J467" s="2" t="str">
        <f>IF(Table5[[#This Row],[Entered]]&lt;&gt;Table5[[#This Row],[Quantity]],"Check","")</f>
        <v/>
      </c>
    </row>
    <row r="468" spans="1:10" ht="15" x14ac:dyDescent="0.2">
      <c r="A468" s="324" t="str">
        <f t="shared" si="25"/>
        <v>BRICK1</v>
      </c>
      <c r="B468" s="324" t="str">
        <f t="shared" si="26"/>
        <v>0550</v>
      </c>
      <c r="C468" s="324" t="str">
        <f t="shared" si="27"/>
        <v>04359</v>
      </c>
      <c r="D468" s="324" t="str">
        <f>"1260"</f>
        <v>1260</v>
      </c>
      <c r="E468" s="324" t="s">
        <v>2893</v>
      </c>
      <c r="F468" s="1130">
        <f>IF(Corrosion_Classification="R4",SUMIF(Name,"310UB40",Length),0)</f>
        <v>0</v>
      </c>
      <c r="G468" s="829"/>
      <c r="H468" s="412" t="s">
        <v>2850</v>
      </c>
      <c r="I468" s="1258"/>
      <c r="J468" s="2" t="str">
        <f>IF(Table5[[#This Row],[Entered]]&lt;&gt;Table5[[#This Row],[Quantity]],"Check","")</f>
        <v/>
      </c>
    </row>
    <row r="469" spans="1:10" ht="15" x14ac:dyDescent="0.2">
      <c r="A469" s="324" t="str">
        <f t="shared" si="25"/>
        <v>BRICK1</v>
      </c>
      <c r="B469" s="324" t="str">
        <f t="shared" si="26"/>
        <v>0550</v>
      </c>
      <c r="C469" s="324" t="str">
        <f t="shared" si="27"/>
        <v>04359</v>
      </c>
      <c r="D469" s="324" t="str">
        <f>"0732"</f>
        <v>0732</v>
      </c>
      <c r="E469" s="324">
        <v>1</v>
      </c>
      <c r="F469" s="827">
        <f>COUNTIF(Name,"Tie Down Rod")</f>
        <v>0</v>
      </c>
      <c r="G469" s="829">
        <v>20</v>
      </c>
      <c r="H469" s="412" t="s">
        <v>3381</v>
      </c>
      <c r="I469" s="1258"/>
      <c r="J469" s="2" t="str">
        <f>IF(Table5[[#This Row],[Entered]]&lt;&gt;Table5[[#This Row],[Quantity]],"Check","")</f>
        <v/>
      </c>
    </row>
    <row r="470" spans="1:10" ht="15" x14ac:dyDescent="0.2">
      <c r="A470" s="324" t="str">
        <f t="shared" si="25"/>
        <v>BRICK1</v>
      </c>
      <c r="B470" s="324" t="str">
        <f t="shared" si="26"/>
        <v>0550</v>
      </c>
      <c r="C470" s="324" t="str">
        <f t="shared" si="27"/>
        <v>04359</v>
      </c>
      <c r="D470" s="324" t="str">
        <f>"0736"</f>
        <v>0736</v>
      </c>
      <c r="E470" s="324">
        <v>1</v>
      </c>
      <c r="F470" s="827">
        <f>COUNTIF(Name,"Tie Down Rod")</f>
        <v>0</v>
      </c>
      <c r="G470" s="829">
        <v>15</v>
      </c>
      <c r="H470" s="412" t="s">
        <v>3071</v>
      </c>
      <c r="I470" s="1258"/>
      <c r="J470" s="2" t="str">
        <f>IF(Table5[[#This Row],[Entered]]&lt;&gt;Table5[[#This Row],[Quantity]],"Check","")</f>
        <v/>
      </c>
    </row>
    <row r="471" spans="1:10" ht="15" x14ac:dyDescent="0.2">
      <c r="A471" s="324" t="str">
        <f t="shared" si="25"/>
        <v>BRICK1</v>
      </c>
      <c r="B471" s="324" t="str">
        <f t="shared" si="26"/>
        <v>0550</v>
      </c>
      <c r="C471" s="324" t="str">
        <f t="shared" si="27"/>
        <v>04359</v>
      </c>
      <c r="D471" s="324" t="str">
        <f>"0737"</f>
        <v>0737</v>
      </c>
      <c r="E471" s="324">
        <v>1</v>
      </c>
      <c r="F471" s="1128"/>
      <c r="G471" s="829">
        <v>10</v>
      </c>
      <c r="H471" s="412" t="s">
        <v>3072</v>
      </c>
      <c r="I471" s="1258"/>
      <c r="J471" s="2" t="str">
        <f>IF(Table5[[#This Row],[Entered]]&lt;&gt;Table5[[#This Row],[Quantity]],"Check","")</f>
        <v/>
      </c>
    </row>
    <row r="472" spans="1:10" ht="15" x14ac:dyDescent="0.2">
      <c r="A472" s="324" t="str">
        <f t="shared" si="25"/>
        <v>BRICK1</v>
      </c>
      <c r="B472" s="324" t="str">
        <f t="shared" si="26"/>
        <v>0550</v>
      </c>
      <c r="C472" s="324" t="str">
        <f t="shared" si="27"/>
        <v>04359</v>
      </c>
      <c r="D472" s="324" t="str">
        <f>"9015"</f>
        <v>9015</v>
      </c>
      <c r="E472" s="324">
        <v>1</v>
      </c>
      <c r="F472" s="827">
        <f>IF(SUM($F$423:$F$471)&gt;0,IF(COUNTIF(Address,"*AUSTRALIND*")&gt;0,1,0),0)</f>
        <v>0</v>
      </c>
      <c r="G472" s="829"/>
      <c r="H472" s="412" t="s">
        <v>2766</v>
      </c>
      <c r="I472" s="1258"/>
      <c r="J472" s="2" t="str">
        <f>IF(Table5[[#This Row],[Entered]]&lt;&gt;Table5[[#This Row],[Quantity]],"Check","")</f>
        <v/>
      </c>
    </row>
    <row r="473" spans="1:10" ht="15" x14ac:dyDescent="0.2">
      <c r="A473" s="324" t="str">
        <f t="shared" si="25"/>
        <v>BRICK1</v>
      </c>
      <c r="B473" s="324" t="str">
        <f t="shared" si="26"/>
        <v>0550</v>
      </c>
      <c r="C473" s="324" t="str">
        <f t="shared" si="27"/>
        <v>04359</v>
      </c>
      <c r="D473" s="324" t="str">
        <f>"9098"</f>
        <v>9098</v>
      </c>
      <c r="E473" s="324">
        <v>1</v>
      </c>
      <c r="F473" s="827">
        <f>IF(SUM($F$423:$F$471)&gt;0,IF(COUNTIF(Address,"*BINNINGUP*")&gt;0,1,0),0)</f>
        <v>0</v>
      </c>
      <c r="G473" s="829"/>
      <c r="H473" s="412" t="s">
        <v>2767</v>
      </c>
      <c r="I473" s="1258"/>
      <c r="J473" s="2" t="str">
        <f>IF(Table5[[#This Row],[Entered]]&lt;&gt;Table5[[#This Row],[Quantity]],"Check","")</f>
        <v/>
      </c>
    </row>
    <row r="474" spans="1:10" ht="15" x14ac:dyDescent="0.2">
      <c r="A474" s="324" t="str">
        <f t="shared" si="25"/>
        <v>BRICK1</v>
      </c>
      <c r="B474" s="324" t="str">
        <f t="shared" si="26"/>
        <v>0550</v>
      </c>
      <c r="C474" s="324" t="str">
        <f t="shared" si="27"/>
        <v>04359</v>
      </c>
      <c r="D474" s="324" t="str">
        <f>"9022"</f>
        <v>9022</v>
      </c>
      <c r="E474" s="324">
        <v>1</v>
      </c>
      <c r="F474" s="827">
        <f>IF(SUM($F$423:$F$471)&gt;0,IF(COUNTIF(Address,"*BOYANUP*")&gt;0,1,0),0)</f>
        <v>0</v>
      </c>
      <c r="G474" s="829"/>
      <c r="H474" s="412" t="s">
        <v>2768</v>
      </c>
      <c r="I474" s="1258"/>
      <c r="J474" s="2" t="str">
        <f>IF(Table5[[#This Row],[Entered]]&lt;&gt;Table5[[#This Row],[Quantity]],"Check","")</f>
        <v/>
      </c>
    </row>
    <row r="475" spans="1:10" ht="15" x14ac:dyDescent="0.2">
      <c r="A475" s="324" t="str">
        <f t="shared" si="25"/>
        <v>BRICK1</v>
      </c>
      <c r="B475" s="324" t="str">
        <f t="shared" si="26"/>
        <v>0550</v>
      </c>
      <c r="C475" s="324" t="str">
        <f t="shared" si="27"/>
        <v>04359</v>
      </c>
      <c r="D475" s="324" t="str">
        <f>"9024"</f>
        <v>9024</v>
      </c>
      <c r="E475" s="324">
        <v>1</v>
      </c>
      <c r="F475" s="827">
        <f>IF(SUM($F$423:$F$471)&gt;0,IF(COUNTIF(Address,"*BRIDGETOWN*")&gt;0,1,0),0)</f>
        <v>0</v>
      </c>
      <c r="G475" s="829"/>
      <c r="H475" s="412" t="s">
        <v>2769</v>
      </c>
      <c r="I475" s="1258"/>
      <c r="J475" s="2" t="str">
        <f>IF(Table5[[#This Row],[Entered]]&lt;&gt;Table5[[#This Row],[Quantity]],"Check","")</f>
        <v/>
      </c>
    </row>
    <row r="476" spans="1:10" ht="15" x14ac:dyDescent="0.2">
      <c r="A476" s="324" t="str">
        <f t="shared" si="25"/>
        <v>BRICK1</v>
      </c>
      <c r="B476" s="324" t="str">
        <f t="shared" si="26"/>
        <v>0550</v>
      </c>
      <c r="C476" s="324" t="str">
        <f t="shared" si="27"/>
        <v>04359</v>
      </c>
      <c r="D476" s="324" t="str">
        <f>"9029"</f>
        <v>9029</v>
      </c>
      <c r="E476" s="324">
        <v>1</v>
      </c>
      <c r="F476" s="827">
        <f>IF(SUM($F$423:$F$471)&gt;0,IF(COUNTIF(Address,"*BUNBURY*")&gt;0,1,0),0)</f>
        <v>0</v>
      </c>
      <c r="G476" s="829"/>
      <c r="H476" s="412" t="s">
        <v>2770</v>
      </c>
      <c r="I476" s="1258"/>
      <c r="J476" s="2" t="str">
        <f>IF(Table5[[#This Row],[Entered]]&lt;&gt;Table5[[#This Row],[Quantity]],"Check","")</f>
        <v/>
      </c>
    </row>
    <row r="477" spans="1:10" ht="15" x14ac:dyDescent="0.2">
      <c r="A477" s="324" t="str">
        <f t="shared" si="25"/>
        <v>BRICK1</v>
      </c>
      <c r="B477" s="324" t="str">
        <f t="shared" si="26"/>
        <v>0550</v>
      </c>
      <c r="C477" s="324" t="str">
        <f t="shared" si="27"/>
        <v>04359</v>
      </c>
      <c r="D477" s="324" t="str">
        <f>"9060"</f>
        <v>9060</v>
      </c>
      <c r="E477" s="324">
        <v>1</v>
      </c>
      <c r="F477" s="827">
        <f>IF(SUM($F$423:$F$471)&gt;0,IF(COUNTIF(Address,"*BUREKUP*")&gt;0,1,0),0)</f>
        <v>0</v>
      </c>
      <c r="G477" s="829"/>
      <c r="H477" s="412" t="s">
        <v>2771</v>
      </c>
      <c r="I477" s="1258"/>
      <c r="J477" s="2" t="str">
        <f>IF(Table5[[#This Row],[Entered]]&lt;&gt;Table5[[#This Row],[Quantity]],"Check","")</f>
        <v/>
      </c>
    </row>
    <row r="478" spans="1:10" ht="15" x14ac:dyDescent="0.2">
      <c r="A478" s="324" t="str">
        <f t="shared" si="25"/>
        <v>BRICK1</v>
      </c>
      <c r="B478" s="324" t="str">
        <f t="shared" si="26"/>
        <v>0550</v>
      </c>
      <c r="C478" s="324" t="str">
        <f t="shared" si="27"/>
        <v>04359</v>
      </c>
      <c r="D478" s="324" t="str">
        <f>"9031"</f>
        <v>9031</v>
      </c>
      <c r="E478" s="324">
        <v>1</v>
      </c>
      <c r="F478" s="827" cm="1">
        <f t="array" ref="F478">IF(SUM($F$423:$F$470)&gt;0,IF(SUM(COUNTIF(Address,{"*BUSSELTON*","*VASSE*"}))&gt;0,1,0),0)</f>
        <v>0</v>
      </c>
      <c r="G478" s="829">
        <v>150</v>
      </c>
      <c r="H478" s="412" t="s">
        <v>2773</v>
      </c>
      <c r="I478" s="1258"/>
      <c r="J478" s="2" t="str">
        <f>IF(Table5[[#This Row],[Entered]]&lt;&gt;Table5[[#This Row],[Quantity]],"Check","")</f>
        <v/>
      </c>
    </row>
    <row r="479" spans="1:10" ht="15" x14ac:dyDescent="0.2">
      <c r="A479" s="324" t="str">
        <f t="shared" si="25"/>
        <v>BRICK1</v>
      </c>
      <c r="B479" s="324" t="str">
        <f t="shared" si="26"/>
        <v>0550</v>
      </c>
      <c r="C479" s="324" t="str">
        <f t="shared" si="27"/>
        <v>04359</v>
      </c>
      <c r="D479" s="324" t="str">
        <f>"9032"</f>
        <v>9032</v>
      </c>
      <c r="E479" s="324">
        <v>1</v>
      </c>
      <c r="F479" s="827">
        <f>IF(SUM($F$423:$F$471)&gt;0,IF(COUNTIF(Address,"*CAPEL*")&gt;0,1,0),0)</f>
        <v>0</v>
      </c>
      <c r="G479" s="829"/>
      <c r="H479" s="412" t="s">
        <v>2774</v>
      </c>
      <c r="I479" s="1258"/>
      <c r="J479" s="2" t="str">
        <f>IF(Table5[[#This Row],[Entered]]&lt;&gt;Table5[[#This Row],[Quantity]],"Check","")</f>
        <v/>
      </c>
    </row>
    <row r="480" spans="1:10" ht="15" x14ac:dyDescent="0.2">
      <c r="A480" s="324" t="str">
        <f t="shared" si="25"/>
        <v>BRICK1</v>
      </c>
      <c r="B480" s="324" t="str">
        <f t="shared" si="26"/>
        <v>0550</v>
      </c>
      <c r="C480" s="324" t="str">
        <f t="shared" si="27"/>
        <v>04359</v>
      </c>
      <c r="D480" s="324" t="str">
        <f>"9084"</f>
        <v>9084</v>
      </c>
      <c r="E480" s="324">
        <v>1</v>
      </c>
      <c r="F480" s="827">
        <f>IF(SUM($F$423:$F$471)&gt;0,IF(COUNTIF(Address,"*CHITTERING*")&gt;0,1,0),0)</f>
        <v>0</v>
      </c>
      <c r="G480" s="829"/>
      <c r="H480" s="412" t="s">
        <v>2775</v>
      </c>
      <c r="I480" s="1258"/>
      <c r="J480" s="2" t="str">
        <f>IF(Table5[[#This Row],[Entered]]&lt;&gt;Table5[[#This Row],[Quantity]],"Check","")</f>
        <v/>
      </c>
    </row>
    <row r="481" spans="1:10" ht="15" x14ac:dyDescent="0.2">
      <c r="A481" s="324" t="str">
        <f t="shared" si="25"/>
        <v>BRICK1</v>
      </c>
      <c r="B481" s="324" t="str">
        <f t="shared" si="26"/>
        <v>0550</v>
      </c>
      <c r="C481" s="324" t="str">
        <f t="shared" si="27"/>
        <v>04359</v>
      </c>
      <c r="D481" s="324" t="str">
        <f>"9035"</f>
        <v>9035</v>
      </c>
      <c r="E481" s="324">
        <v>1</v>
      </c>
      <c r="F481" s="827">
        <f>IF(SUM($F$423:$F$471)&gt;0,IF(COUNTIF(Address,"*COLLIE*")&gt;0,1,0),0)</f>
        <v>0</v>
      </c>
      <c r="G481" s="829"/>
      <c r="H481" s="412" t="s">
        <v>2776</v>
      </c>
      <c r="I481" s="1258"/>
      <c r="J481" s="2" t="str">
        <f>IF(Table5[[#This Row],[Entered]]&lt;&gt;Table5[[#This Row],[Quantity]],"Check","")</f>
        <v/>
      </c>
    </row>
    <row r="482" spans="1:10" ht="15" x14ac:dyDescent="0.2">
      <c r="A482" s="324" t="str">
        <f t="shared" si="25"/>
        <v>BRICK1</v>
      </c>
      <c r="B482" s="324" t="str">
        <f t="shared" si="26"/>
        <v>0550</v>
      </c>
      <c r="C482" s="324" t="str">
        <f t="shared" si="27"/>
        <v>04359</v>
      </c>
      <c r="D482" s="324" t="str">
        <f>"9055"</f>
        <v>9055</v>
      </c>
      <c r="E482" s="324">
        <v>1</v>
      </c>
      <c r="F482" s="827">
        <f>IF(SUM($F$423:$F$471)&gt;0,IF(COUNTIF(Address,"*DARDENUP*")&gt;0,1,0),0)</f>
        <v>0</v>
      </c>
      <c r="G482" s="829"/>
      <c r="H482" s="412" t="s">
        <v>2772</v>
      </c>
      <c r="I482" s="1258"/>
      <c r="J482" s="2" t="str">
        <f>IF(Table5[[#This Row],[Entered]]&lt;&gt;Table5[[#This Row],[Quantity]],"Check","")</f>
        <v/>
      </c>
    </row>
    <row r="483" spans="1:10" ht="15" x14ac:dyDescent="0.2">
      <c r="A483" s="324" t="str">
        <f t="shared" si="25"/>
        <v>BRICK1</v>
      </c>
      <c r="B483" s="324" t="str">
        <f t="shared" si="26"/>
        <v>0550</v>
      </c>
      <c r="C483" s="324" t="str">
        <f t="shared" si="27"/>
        <v>04359</v>
      </c>
      <c r="D483" s="324" t="str">
        <f>"9043"</f>
        <v>9043</v>
      </c>
      <c r="E483" s="324">
        <v>1</v>
      </c>
      <c r="F483" s="827">
        <f>IF(SUM($F$423:$F$471)&gt;0,IF(COUNTIF(Address,"*DONNYBROOK*")&gt;0,1,0),0)</f>
        <v>0</v>
      </c>
      <c r="G483" s="829"/>
      <c r="H483" s="412" t="s">
        <v>2777</v>
      </c>
      <c r="I483" s="1258"/>
      <c r="J483" s="2" t="str">
        <f>IF(Table5[[#This Row],[Entered]]&lt;&gt;Table5[[#This Row],[Quantity]],"Check","")</f>
        <v/>
      </c>
    </row>
    <row r="484" spans="1:10" ht="15" x14ac:dyDescent="0.2">
      <c r="A484" s="324" t="str">
        <f t="shared" ref="A484:A491" si="31">IF(Brick_type&lt;&gt;"Timber Frame","BRICK1","WFRAME1")</f>
        <v>BRICK1</v>
      </c>
      <c r="B484" s="324" t="str">
        <f t="shared" ref="B484:B491" si="32">"0550"</f>
        <v>0550</v>
      </c>
      <c r="C484" s="324" t="str">
        <f t="shared" ref="C484:C491" si="33">"04359"</f>
        <v>04359</v>
      </c>
      <c r="D484" s="324" t="str">
        <f>"9044"</f>
        <v>9044</v>
      </c>
      <c r="E484" s="324">
        <v>1</v>
      </c>
      <c r="F484" s="827">
        <f>IF(SUM($F$423:$F$471)&gt;0,IF(COUNTIF(Address,"*DUNSBOROUGH*")&gt;0,1,0),0)</f>
        <v>0</v>
      </c>
      <c r="G484" s="829">
        <v>150</v>
      </c>
      <c r="H484" s="412" t="s">
        <v>2778</v>
      </c>
      <c r="I484" s="1258"/>
      <c r="J484" s="2" t="str">
        <f>IF(Table5[[#This Row],[Entered]]&lt;&gt;Table5[[#This Row],[Quantity]],"Check","")</f>
        <v/>
      </c>
    </row>
    <row r="485" spans="1:10" ht="15" x14ac:dyDescent="0.2">
      <c r="A485" s="324" t="str">
        <f t="shared" si="31"/>
        <v>BRICK1</v>
      </c>
      <c r="B485" s="324" t="str">
        <f t="shared" si="32"/>
        <v>0550</v>
      </c>
      <c r="C485" s="324" t="str">
        <f t="shared" si="33"/>
        <v>04359</v>
      </c>
      <c r="D485" s="324" t="str">
        <f>"9046"</f>
        <v>9046</v>
      </c>
      <c r="E485" s="324">
        <v>1</v>
      </c>
      <c r="F485" s="827">
        <f>IF(SUM($F$423:$F$471)&gt;0,IF(COUNTIF(Address,"*EATON*")&gt;0,1,0),0)</f>
        <v>0</v>
      </c>
      <c r="G485" s="829"/>
      <c r="H485" s="412" t="s">
        <v>2779</v>
      </c>
      <c r="I485" s="1258"/>
      <c r="J485" s="2" t="str">
        <f>IF(Table5[[#This Row],[Entered]]&lt;&gt;Table5[[#This Row],[Quantity]],"Check","")</f>
        <v/>
      </c>
    </row>
    <row r="486" spans="1:10" ht="15" x14ac:dyDescent="0.2">
      <c r="A486" s="324" t="str">
        <f t="shared" si="31"/>
        <v>BRICK1</v>
      </c>
      <c r="B486" s="324" t="str">
        <f t="shared" si="32"/>
        <v>0550</v>
      </c>
      <c r="C486" s="324" t="str">
        <f t="shared" si="33"/>
        <v>04359</v>
      </c>
      <c r="D486" s="324" t="str">
        <f>"9050"</f>
        <v>9050</v>
      </c>
      <c r="E486" s="324">
        <v>1</v>
      </c>
      <c r="F486" s="827">
        <f>IF(SUM($F$423:$F$471)&gt;0,IF(COUNTIF(Address,"*GELORUP*")&gt;0,1,0),0)</f>
        <v>0</v>
      </c>
      <c r="G486" s="829"/>
      <c r="H486" s="412" t="s">
        <v>2780</v>
      </c>
      <c r="I486" s="1258"/>
      <c r="J486" s="2" t="str">
        <f>IF(Table5[[#This Row],[Entered]]&lt;&gt;Table5[[#This Row],[Quantity]],"Check","")</f>
        <v/>
      </c>
    </row>
    <row r="487" spans="1:10" ht="15" x14ac:dyDescent="0.2">
      <c r="A487" s="324" t="str">
        <f t="shared" si="31"/>
        <v>BRICK1</v>
      </c>
      <c r="B487" s="324" t="str">
        <f t="shared" si="32"/>
        <v>0550</v>
      </c>
      <c r="C487" s="324" t="str">
        <f t="shared" si="33"/>
        <v>04359</v>
      </c>
      <c r="D487" s="324" t="str">
        <f>"9058"</f>
        <v>9058</v>
      </c>
      <c r="E487" s="324">
        <v>1</v>
      </c>
      <c r="F487" s="827">
        <f>IF(SUM($F$423:$F$471)&gt;0,IF(COUNTIF(Address,"*HARVEY*")&gt;0,1,0),0)</f>
        <v>0</v>
      </c>
      <c r="G487" s="829"/>
      <c r="H487" s="412" t="s">
        <v>2781</v>
      </c>
      <c r="I487" s="1258"/>
      <c r="J487" s="2" t="str">
        <f>IF(Table5[[#This Row],[Entered]]&lt;&gt;Table5[[#This Row],[Quantity]],"Check","")</f>
        <v/>
      </c>
    </row>
    <row r="488" spans="1:10" ht="15" x14ac:dyDescent="0.2">
      <c r="A488" s="324" t="str">
        <f t="shared" si="31"/>
        <v>BRICK1</v>
      </c>
      <c r="B488" s="324" t="str">
        <f t="shared" si="32"/>
        <v>0550</v>
      </c>
      <c r="C488" s="324" t="str">
        <f t="shared" si="33"/>
        <v>04359</v>
      </c>
      <c r="D488" s="324" t="str">
        <f>"9067"</f>
        <v>9067</v>
      </c>
      <c r="E488" s="324">
        <v>1</v>
      </c>
      <c r="F488" s="827">
        <f>IF(SUM($F$423:$F$471)&gt;0,IF(COUNTIF(Address,"*MANJIMUP*")&gt;0,1,0),0)</f>
        <v>0</v>
      </c>
      <c r="G488" s="829"/>
      <c r="H488" s="412" t="s">
        <v>2785</v>
      </c>
      <c r="I488" s="1258"/>
      <c r="J488" s="2" t="str">
        <f>IF(Table5[[#This Row],[Entered]]&lt;&gt;Table5[[#This Row],[Quantity]],"Check","")</f>
        <v/>
      </c>
    </row>
    <row r="489" spans="1:10" ht="15" x14ac:dyDescent="0.2">
      <c r="A489" s="324" t="str">
        <f t="shared" si="31"/>
        <v>BRICK1</v>
      </c>
      <c r="B489" s="324" t="str">
        <f t="shared" si="32"/>
        <v>0550</v>
      </c>
      <c r="C489" s="324" t="str">
        <f t="shared" si="33"/>
        <v>04359</v>
      </c>
      <c r="D489" s="324" t="str">
        <f>"9068"</f>
        <v>9068</v>
      </c>
      <c r="E489" s="324">
        <v>1</v>
      </c>
      <c r="F489" s="1132">
        <f>IF(SUM(COUNTIF(Address,{"*MARGARET RIVER*","*COWARAMUP*"}))&gt;0,1,0)</f>
        <v>0</v>
      </c>
      <c r="G489" s="829"/>
      <c r="H489" s="412" t="s">
        <v>2782</v>
      </c>
      <c r="I489" s="1258"/>
      <c r="J489" s="2" t="str">
        <f>IF(Table5[[#This Row],[Entered]]&lt;&gt;Table5[[#This Row],[Quantity]],"Check","")</f>
        <v/>
      </c>
    </row>
    <row r="490" spans="1:10" ht="15" x14ac:dyDescent="0.2">
      <c r="A490" s="324" t="str">
        <f t="shared" si="31"/>
        <v>BRICK1</v>
      </c>
      <c r="B490" s="324" t="str">
        <f t="shared" si="32"/>
        <v>0550</v>
      </c>
      <c r="C490" s="324" t="str">
        <f t="shared" si="33"/>
        <v>04359</v>
      </c>
      <c r="D490" s="324" t="str">
        <f>"9073"</f>
        <v>9073</v>
      </c>
      <c r="E490" s="324">
        <v>1</v>
      </c>
      <c r="F490" s="827">
        <f>IF(SUM($F$423:$F$471)&gt;0,IF(COUNTIF(Address,"*NANNUP*")&gt;0,1,0),0)</f>
        <v>0</v>
      </c>
      <c r="G490" s="829"/>
      <c r="H490" s="412" t="s">
        <v>2783</v>
      </c>
      <c r="I490" s="1258"/>
      <c r="J490" s="2" t="str">
        <f>IF(Table5[[#This Row],[Entered]]&lt;&gt;Table5[[#This Row],[Quantity]],"Check","")</f>
        <v/>
      </c>
    </row>
    <row r="491" spans="1:10" ht="15" x14ac:dyDescent="0.2">
      <c r="A491" s="324" t="str">
        <f t="shared" si="31"/>
        <v>BRICK1</v>
      </c>
      <c r="B491" s="324" t="str">
        <f t="shared" si="32"/>
        <v>0550</v>
      </c>
      <c r="C491" s="324" t="str">
        <f t="shared" si="33"/>
        <v>04359</v>
      </c>
      <c r="D491" s="324" t="str">
        <f>"9078"</f>
        <v>9078</v>
      </c>
      <c r="E491" s="324">
        <v>1</v>
      </c>
      <c r="F491" s="827">
        <f>IF(SUM($F$423:$F$471)&gt;0,IF(COUNTIF(Address,"*PEMBERTON*")&gt;0,1,0),0)</f>
        <v>0</v>
      </c>
      <c r="G491" s="829"/>
      <c r="H491" s="412" t="s">
        <v>2784</v>
      </c>
      <c r="I491" s="1258"/>
      <c r="J491" s="2" t="str">
        <f>IF(Table5[[#This Row],[Entered]]&lt;&gt;Table5[[#This Row],[Quantity]],"Check","")</f>
        <v/>
      </c>
    </row>
    <row r="492" spans="1:10" ht="15" x14ac:dyDescent="0.2">
      <c r="A492" s="324"/>
      <c r="B492" s="324"/>
      <c r="C492" s="324"/>
      <c r="D492" s="324"/>
      <c r="E492" s="324"/>
      <c r="F492" s="827"/>
      <c r="G492" s="829"/>
      <c r="H492" s="412"/>
      <c r="I492" s="1258"/>
      <c r="J492" s="2" t="str">
        <f>IF(Table5[[#This Row],[Entered]]&lt;&gt;Table5[[#This Row],[Quantity]],"Check","")</f>
        <v/>
      </c>
    </row>
    <row r="493" spans="1:10" ht="15" x14ac:dyDescent="0.2">
      <c r="A493" s="324" t="str">
        <f>IF(Brick_type&lt;&gt;"Timber Frame","BRICK1","WFRAME1")</f>
        <v>BRICK1</v>
      </c>
      <c r="B493" s="324" t="str">
        <f>"0555"</f>
        <v>0555</v>
      </c>
      <c r="C493" s="324" t="str">
        <f>"50001"</f>
        <v>50001</v>
      </c>
      <c r="D493" s="324" t="str">
        <f>"0421"</f>
        <v>0421</v>
      </c>
      <c r="E493" s="324">
        <v>1</v>
      </c>
      <c r="F493" s="827">
        <v>500</v>
      </c>
      <c r="G493" s="829">
        <v>1</v>
      </c>
      <c r="H493" s="412" t="s">
        <v>3073</v>
      </c>
      <c r="I493" s="1258"/>
      <c r="J493" s="2" t="str">
        <f>IF(Table5[[#This Row],[Entered]]&lt;&gt;Table5[[#This Row],[Quantity]],"Check","")</f>
        <v>Check</v>
      </c>
    </row>
    <row r="494" spans="1:10" ht="15" x14ac:dyDescent="0.2">
      <c r="A494" s="324"/>
      <c r="B494" s="324"/>
      <c r="C494" s="324"/>
      <c r="D494" s="324"/>
      <c r="E494" s="324"/>
      <c r="F494" s="827"/>
      <c r="G494" s="829"/>
      <c r="H494" s="412"/>
      <c r="I494" s="1258"/>
      <c r="J494" s="2" t="str">
        <f>IF(Table5[[#This Row],[Entered]]&lt;&gt;Table5[[#This Row],[Quantity]],"Check","")</f>
        <v/>
      </c>
    </row>
    <row r="495" spans="1:10" ht="15" x14ac:dyDescent="0.2">
      <c r="A495" s="324" t="str">
        <f>IF(Brick_type&lt;&gt;"Timber Frame","BRICK1","WFRAME1")</f>
        <v>BRICK1</v>
      </c>
      <c r="B495" s="324" t="str">
        <f>"0560"</f>
        <v>0560</v>
      </c>
      <c r="C495" s="324">
        <v>11091500</v>
      </c>
      <c r="D495" s="324">
        <v>7000</v>
      </c>
      <c r="E495" s="324">
        <v>1</v>
      </c>
      <c r="F495" s="827">
        <f>IF(COUNTIF(Addenda!A:A,"*FIREPLACE*")&gt;0,1,0)</f>
        <v>0</v>
      </c>
      <c r="G495" s="829">
        <f>Quotes!B23</f>
        <v>0</v>
      </c>
      <c r="H495" s="412" t="s">
        <v>3374</v>
      </c>
      <c r="I495" s="1258"/>
      <c r="J495" s="2" t="str">
        <f>IF(Table5[[#This Row],[Entered]]&lt;&gt;Table5[[#This Row],[Quantity]],"Check","")</f>
        <v/>
      </c>
    </row>
    <row r="496" spans="1:10" ht="15" x14ac:dyDescent="0.2">
      <c r="A496" s="324"/>
      <c r="B496" s="324"/>
      <c r="C496" s="324"/>
      <c r="D496" s="324"/>
      <c r="E496" s="324"/>
      <c r="F496" s="827"/>
      <c r="G496" s="829"/>
      <c r="H496" s="412"/>
      <c r="I496" s="1258"/>
      <c r="J496" s="2" t="str">
        <f>IF(Table5[[#This Row],[Entered]]&lt;&gt;Table5[[#This Row],[Quantity]],"Check","")</f>
        <v/>
      </c>
    </row>
    <row r="497" spans="1:10" ht="15" x14ac:dyDescent="0.2">
      <c r="A497" s="324" t="s">
        <v>2475</v>
      </c>
      <c r="B497" s="324" t="str">
        <f t="shared" ref="B497:B530" si="34">"0570"</f>
        <v>0570</v>
      </c>
      <c r="C497" s="324">
        <v>10013750</v>
      </c>
      <c r="D497" s="324" t="str">
        <f>"0003"</f>
        <v>0003</v>
      </c>
      <c r="E497" s="324">
        <v>0</v>
      </c>
      <c r="F497" s="827">
        <f>IF(OR(Brick_type="Timber Frame",Brick_type="Brick Veneer"),0,IF(COUNTIF(Addenda!A:A,"*DELUXE PROFILE*")&gt;0,1,0))</f>
        <v>0</v>
      </c>
      <c r="G497" s="829"/>
      <c r="H497" s="412" t="s">
        <v>2786</v>
      </c>
      <c r="I497" s="1258"/>
      <c r="J497" s="2" t="str">
        <f>IF(Table5[[#This Row],[Entered]]&lt;&gt;Table5[[#This Row],[Quantity]],"Check","")</f>
        <v/>
      </c>
    </row>
    <row r="498" spans="1:10" ht="15" x14ac:dyDescent="0.2">
      <c r="A498" s="324" t="s">
        <v>2475</v>
      </c>
      <c r="B498" s="324" t="str">
        <f t="shared" si="34"/>
        <v>0570</v>
      </c>
      <c r="C498" s="324">
        <v>10013750</v>
      </c>
      <c r="D498" s="324" t="str">
        <f>"0004"</f>
        <v>0004</v>
      </c>
      <c r="E498" s="324">
        <v>0</v>
      </c>
      <c r="F498" s="827">
        <f>IF(OR(Brick_type="Timber Frame",Brick_type="Brick Veneer"),0,IF(COUNTIF(Addenda!A:A,"*REGAL PROFILE*")&gt;0,1,0))</f>
        <v>0</v>
      </c>
      <c r="G498" s="829"/>
      <c r="H498" s="412" t="s">
        <v>2787</v>
      </c>
      <c r="I498" s="1258"/>
      <c r="J498" s="2" t="str">
        <f>IF(Table5[[#This Row],[Entered]]&lt;&gt;Table5[[#This Row],[Quantity]],"Check","")</f>
        <v/>
      </c>
    </row>
    <row r="499" spans="1:10" ht="15" x14ac:dyDescent="0.2">
      <c r="A499" s="324" t="s">
        <v>2475</v>
      </c>
      <c r="B499" s="324" t="str">
        <f t="shared" si="34"/>
        <v>0570</v>
      </c>
      <c r="C499" s="324">
        <v>10013750</v>
      </c>
      <c r="D499" s="324" t="str">
        <f>"0030"</f>
        <v>0030</v>
      </c>
      <c r="E499" s="324">
        <v>1</v>
      </c>
      <c r="F499" s="827">
        <f>IF(Brick_type&lt;&gt;"Timber Frame",COUNTIFS(Name,"DOOR LH",Length,".52")+COUNTIFS(Name,"DFO LH",Length,".52"),0)</f>
        <v>0</v>
      </c>
      <c r="G499" s="829"/>
      <c r="H499" s="412" t="s">
        <v>2799</v>
      </c>
      <c r="I499" s="1258"/>
      <c r="J499" s="2" t="str">
        <f>IF(Table5[[#This Row],[Entered]]&lt;&gt;Table5[[#This Row],[Quantity]],"Check","")</f>
        <v/>
      </c>
    </row>
    <row r="500" spans="1:10" ht="15" x14ac:dyDescent="0.2">
      <c r="A500" s="324" t="s">
        <v>2475</v>
      </c>
      <c r="B500" s="324" t="str">
        <f t="shared" si="34"/>
        <v>0570</v>
      </c>
      <c r="C500" s="324">
        <v>10013750</v>
      </c>
      <c r="D500" s="324" t="str">
        <f>"0040"</f>
        <v>0040</v>
      </c>
      <c r="E500" s="324">
        <v>1</v>
      </c>
      <c r="F500" s="827">
        <f>IF(Brick_type&lt;&gt;"Timber Frame",COUNTIFS(Name,"DOOR RH",Length,".52")+COUNTIFS(Name,"DFO RH",Length,".52"),0)</f>
        <v>0</v>
      </c>
      <c r="G500" s="829"/>
      <c r="H500" s="412" t="s">
        <v>2800</v>
      </c>
      <c r="I500" s="1258"/>
      <c r="J500" s="2" t="str">
        <f>IF(Table5[[#This Row],[Entered]]&lt;&gt;Table5[[#This Row],[Quantity]],"Check","")</f>
        <v/>
      </c>
    </row>
    <row r="501" spans="1:10" ht="15" x14ac:dyDescent="0.2">
      <c r="A501" s="324" t="s">
        <v>2475</v>
      </c>
      <c r="B501" s="324" t="str">
        <f t="shared" si="34"/>
        <v>0570</v>
      </c>
      <c r="C501" s="324">
        <v>10013750</v>
      </c>
      <c r="D501" s="324" t="str">
        <f>"0050"</f>
        <v>0050</v>
      </c>
      <c r="E501" s="324">
        <v>1</v>
      </c>
      <c r="F501" s="827">
        <f>IF(Brick_type&lt;&gt;"Timber Frame",COUNTIFS(Name,"DOOR LH",Length,".62")+COUNTIFS(Name,"DFO LH",Length,".62"),0)</f>
        <v>0</v>
      </c>
      <c r="G501" s="829"/>
      <c r="H501" s="412" t="s">
        <v>2797</v>
      </c>
      <c r="I501" s="1258"/>
      <c r="J501" s="2" t="str">
        <f>IF(Table5[[#This Row],[Entered]]&lt;&gt;Table5[[#This Row],[Quantity]],"Check","")</f>
        <v/>
      </c>
    </row>
    <row r="502" spans="1:10" ht="15" x14ac:dyDescent="0.2">
      <c r="A502" s="324" t="s">
        <v>2475</v>
      </c>
      <c r="B502" s="324" t="str">
        <f t="shared" si="34"/>
        <v>0570</v>
      </c>
      <c r="C502" s="324">
        <v>10013750</v>
      </c>
      <c r="D502" s="324" t="str">
        <f>"0060"</f>
        <v>0060</v>
      </c>
      <c r="E502" s="324">
        <v>1</v>
      </c>
      <c r="F502" s="827">
        <f>IF(Brick_type&lt;&gt;"Timber Frame",COUNTIFS(Name,"DOOR WC LH",Length,".62")+COUNTIFS(Name,"DFO WC LH",Length,".62"),0)</f>
        <v>0</v>
      </c>
      <c r="G502" s="829"/>
      <c r="H502" s="412" t="s">
        <v>2803</v>
      </c>
      <c r="I502" s="1258"/>
      <c r="J502" s="2" t="str">
        <f>IF(Table5[[#This Row],[Entered]]&lt;&gt;Table5[[#This Row],[Quantity]],"Check","")</f>
        <v/>
      </c>
    </row>
    <row r="503" spans="1:10" ht="15" x14ac:dyDescent="0.2">
      <c r="A503" s="324" t="s">
        <v>2475</v>
      </c>
      <c r="B503" s="324" t="str">
        <f t="shared" si="34"/>
        <v>0570</v>
      </c>
      <c r="C503" s="324">
        <v>10013750</v>
      </c>
      <c r="D503" s="324" t="str">
        <f>"0070"</f>
        <v>0070</v>
      </c>
      <c r="E503" s="324">
        <v>1</v>
      </c>
      <c r="F503" s="827">
        <f>IF(Brick_type&lt;&gt;"Timber Frame",COUNTIFS(Name,"DOOR RH",Length,".62")+COUNTIFS(Name,"DFO RH",Length,".62"),0)</f>
        <v>0</v>
      </c>
      <c r="G503" s="829"/>
      <c r="H503" s="412" t="s">
        <v>2798</v>
      </c>
      <c r="I503" s="1258"/>
      <c r="J503" s="2" t="str">
        <f>IF(Table5[[#This Row],[Entered]]&lt;&gt;Table5[[#This Row],[Quantity]],"Check","")</f>
        <v/>
      </c>
    </row>
    <row r="504" spans="1:10" ht="15" x14ac:dyDescent="0.2">
      <c r="A504" s="324" t="s">
        <v>2475</v>
      </c>
      <c r="B504" s="324" t="str">
        <f t="shared" si="34"/>
        <v>0570</v>
      </c>
      <c r="C504" s="324">
        <v>10013750</v>
      </c>
      <c r="D504" s="324" t="str">
        <f>"0080"</f>
        <v>0080</v>
      </c>
      <c r="E504" s="324">
        <v>1</v>
      </c>
      <c r="F504" s="827">
        <f>IF(Brick_type&lt;&gt;"Timber Frame",COUNTIFS(Name,"DOOR WC RH",Length,".62")+COUNTIFS(Name,"DFO WC RH",Length,".62"),0)</f>
        <v>0</v>
      </c>
      <c r="G504" s="829"/>
      <c r="H504" s="412" t="s">
        <v>2802</v>
      </c>
      <c r="I504" s="1258"/>
      <c r="J504" s="2" t="str">
        <f>IF(Table5[[#This Row],[Entered]]&lt;&gt;Table5[[#This Row],[Quantity]],"Check","")</f>
        <v/>
      </c>
    </row>
    <row r="505" spans="1:10" ht="15" x14ac:dyDescent="0.2">
      <c r="A505" s="324" t="s">
        <v>2475</v>
      </c>
      <c r="B505" s="324" t="str">
        <f t="shared" si="34"/>
        <v>0570</v>
      </c>
      <c r="C505" s="324">
        <v>10013750</v>
      </c>
      <c r="D505" s="324" t="str">
        <f>"0090"</f>
        <v>0090</v>
      </c>
      <c r="E505" s="324">
        <v>1</v>
      </c>
      <c r="F505" s="827">
        <f>IF(Brick_type&lt;&gt;"Timber Frame",COUNTIFS(Name,"DOOR LH",Length,".72")+COUNTIFS(Name,"DFO LH",Length,".72"),0)</f>
        <v>0</v>
      </c>
      <c r="G505" s="829">
        <v>96.12</v>
      </c>
      <c r="H505" s="412" t="s">
        <v>2793</v>
      </c>
      <c r="I505" s="1258"/>
      <c r="J505" s="2" t="str">
        <f>IF(Table5[[#This Row],[Entered]]&lt;&gt;Table5[[#This Row],[Quantity]],"Check","")</f>
        <v/>
      </c>
    </row>
    <row r="506" spans="1:10" ht="15" x14ac:dyDescent="0.2">
      <c r="A506" s="324" t="s">
        <v>2475</v>
      </c>
      <c r="B506" s="324" t="str">
        <f t="shared" si="34"/>
        <v>0570</v>
      </c>
      <c r="C506" s="324">
        <v>10013750</v>
      </c>
      <c r="D506" s="324" t="str">
        <f>"0091"</f>
        <v>0091</v>
      </c>
      <c r="E506" s="324">
        <v>1</v>
      </c>
      <c r="F506" s="827">
        <f>IF(Brick_type&lt;&gt;"Timber Frame",COUNTIFS(Name,"DOOR WC LH",Length,".72")+COUNTIFS(Name,"DFO WC LH",Length,".72"),0)</f>
        <v>0</v>
      </c>
      <c r="G506" s="829">
        <v>96.12</v>
      </c>
      <c r="H506" s="412" t="s">
        <v>2796</v>
      </c>
      <c r="I506" s="1258"/>
      <c r="J506" s="2" t="str">
        <f>IF(Table5[[#This Row],[Entered]]&lt;&gt;Table5[[#This Row],[Quantity]],"Check","")</f>
        <v/>
      </c>
    </row>
    <row r="507" spans="1:10" ht="15" x14ac:dyDescent="0.2">
      <c r="A507" s="324" t="s">
        <v>2475</v>
      </c>
      <c r="B507" s="324" t="str">
        <f t="shared" si="34"/>
        <v>0570</v>
      </c>
      <c r="C507" s="324">
        <v>10013750</v>
      </c>
      <c r="D507" s="324" t="str">
        <f>"0092"</f>
        <v>0092</v>
      </c>
      <c r="E507" s="324">
        <v>1</v>
      </c>
      <c r="F507" s="827">
        <f>IF(Brick_type&lt;&gt;"Timber Frame",COUNTIFS(Name,"DOOR WC RH",Length,".72")+COUNTIFS(Name,"DFO WC RH",Length,".72"),0)</f>
        <v>0</v>
      </c>
      <c r="G507" s="829"/>
      <c r="H507" s="412" t="s">
        <v>2794</v>
      </c>
      <c r="I507" s="1258"/>
      <c r="J507" s="2" t="str">
        <f>IF(Table5[[#This Row],[Entered]]&lt;&gt;Table5[[#This Row],[Quantity]],"Check","")</f>
        <v/>
      </c>
    </row>
    <row r="508" spans="1:10" ht="15" x14ac:dyDescent="0.2">
      <c r="A508" s="324" t="s">
        <v>2475</v>
      </c>
      <c r="B508" s="324" t="str">
        <f t="shared" si="34"/>
        <v>0570</v>
      </c>
      <c r="C508" s="324">
        <v>10013750</v>
      </c>
      <c r="D508" s="324" t="str">
        <f>"0100"</f>
        <v>0100</v>
      </c>
      <c r="E508" s="324">
        <v>1</v>
      </c>
      <c r="F508" s="827">
        <f>IF(Brick_type&lt;&gt;"Timber Frame",COUNTIFS(Name,"DOOR RH",Length,".72")+COUNTIFS(Name,"DFO RH",Length,".72"),0)</f>
        <v>0</v>
      </c>
      <c r="G508" s="829">
        <v>96.12</v>
      </c>
      <c r="H508" s="412" t="s">
        <v>2795</v>
      </c>
      <c r="I508" s="1258"/>
      <c r="J508" s="2" t="str">
        <f>IF(Table5[[#This Row],[Entered]]&lt;&gt;Table5[[#This Row],[Quantity]],"Check","")</f>
        <v/>
      </c>
    </row>
    <row r="509" spans="1:10" ht="15" x14ac:dyDescent="0.2">
      <c r="A509" s="324" t="s">
        <v>2475</v>
      </c>
      <c r="B509" s="324" t="str">
        <f t="shared" si="34"/>
        <v>0570</v>
      </c>
      <c r="C509" s="324">
        <v>10013750</v>
      </c>
      <c r="D509" s="324" t="str">
        <f>"0110"</f>
        <v>0110</v>
      </c>
      <c r="E509" s="324">
        <v>1</v>
      </c>
      <c r="F509" s="827">
        <f>IF(Brick_type&lt;&gt;"Timber Frame",COUNTIFS(Name,"DOOR LH",Length,".82")+COUNTIFS(Name,"DFO LH",Length,".82"),0)</f>
        <v>0</v>
      </c>
      <c r="G509" s="829">
        <v>96.12</v>
      </c>
      <c r="H509" s="412" t="s">
        <v>2792</v>
      </c>
      <c r="I509" s="1258"/>
      <c r="J509" s="2" t="str">
        <f>IF(Table5[[#This Row],[Entered]]&lt;&gt;Table5[[#This Row],[Quantity]],"Check","")</f>
        <v/>
      </c>
    </row>
    <row r="510" spans="1:10" ht="15" x14ac:dyDescent="0.2">
      <c r="A510" s="324" t="s">
        <v>2475</v>
      </c>
      <c r="B510" s="324" t="str">
        <f t="shared" si="34"/>
        <v>0570</v>
      </c>
      <c r="C510" s="324">
        <v>10013750</v>
      </c>
      <c r="D510" s="324" t="str">
        <f>"0111"</f>
        <v>0111</v>
      </c>
      <c r="E510" s="324">
        <v>1</v>
      </c>
      <c r="F510" s="827">
        <f>IF(OR(Brick_type="Timber Frame",Brick_type="Brick Veneer"),0,COUNTIFS(Name,"DOOR SHPR LH*",Length,".82")+COUNTIFS(Name,"DOOR PA LH*",Length,".82"))+IF(OR(Brick_type="Timber Frame",Brick_type="Brick Veneer"),0,COUNTIFS(Name,"DFO SHPR LH*",Length,".82")+COUNTIFS(Name,"DFO PA LH*",Length,".82"))</f>
        <v>0</v>
      </c>
      <c r="G510" s="829">
        <v>96.12</v>
      </c>
      <c r="H510" s="412" t="s">
        <v>2807</v>
      </c>
      <c r="I510" s="1258"/>
      <c r="J510" s="2" t="str">
        <f>IF(Table5[[#This Row],[Entered]]&lt;&gt;Table5[[#This Row],[Quantity]],"Check","")</f>
        <v/>
      </c>
    </row>
    <row r="511" spans="1:10" ht="15" x14ac:dyDescent="0.2">
      <c r="A511" s="324" t="s">
        <v>2475</v>
      </c>
      <c r="B511" s="324" t="str">
        <f t="shared" si="34"/>
        <v>0570</v>
      </c>
      <c r="C511" s="324">
        <v>10013750</v>
      </c>
      <c r="D511" s="324" t="str">
        <f>"0120"</f>
        <v>0120</v>
      </c>
      <c r="E511" s="324">
        <v>1</v>
      </c>
      <c r="F511" s="827">
        <f>IF(Brick_type&lt;&gt;"Timber Frame",COUNTIFS(Name,"DOOR RH",Length,".82")+COUNTIFS(Name,"DFO RH",Length,".82"),0)</f>
        <v>0</v>
      </c>
      <c r="G511" s="829">
        <v>96.12</v>
      </c>
      <c r="H511" s="412" t="s">
        <v>2808</v>
      </c>
      <c r="I511" s="1258"/>
      <c r="J511" s="2" t="str">
        <f>IF(Table5[[#This Row],[Entered]]&lt;&gt;Table5[[#This Row],[Quantity]],"Check","")</f>
        <v/>
      </c>
    </row>
    <row r="512" spans="1:10" ht="15" x14ac:dyDescent="0.2">
      <c r="A512" s="324" t="s">
        <v>2475</v>
      </c>
      <c r="B512" s="324" t="str">
        <f t="shared" ref="B512:B563" si="35">"0570"</f>
        <v>0570</v>
      </c>
      <c r="C512" s="324">
        <v>10013750</v>
      </c>
      <c r="D512" s="324" t="str">
        <f>"0121"</f>
        <v>0121</v>
      </c>
      <c r="E512" s="324">
        <v>1</v>
      </c>
      <c r="F512" s="827">
        <f>IF(OR(Brick_type="Timber Frame",Brick_type="Brick Veneer"),0,COUNTIFS(Name,"DOOR SHPR RH*",Length,".82")+COUNTIFS(Name,"DOOR PA RH*",Length,".82"))+IF(OR(Brick_type="Timber Frame",Brick_type="Brick Veneer"),0,COUNTIFS(Name,"DFO SHPR RH*",Length,".82")+COUNTIFS(Name,"DFO PA RH*",Length,".82"))</f>
        <v>0</v>
      </c>
      <c r="G512" s="829"/>
      <c r="H512" s="412" t="s">
        <v>2808</v>
      </c>
      <c r="I512" s="1258"/>
      <c r="J512" s="2" t="str">
        <f>IF(Table5[[#This Row],[Entered]]&lt;&gt;Table5[[#This Row],[Quantity]],"Check","")</f>
        <v/>
      </c>
    </row>
    <row r="513" spans="1:10" ht="15" x14ac:dyDescent="0.2">
      <c r="A513" s="324" t="s">
        <v>2475</v>
      </c>
      <c r="B513" s="324" t="str">
        <f t="shared" si="34"/>
        <v>0570</v>
      </c>
      <c r="C513" s="324">
        <v>10013750</v>
      </c>
      <c r="D513" s="324" t="str">
        <f>"0130"</f>
        <v>0130</v>
      </c>
      <c r="E513" s="324">
        <v>1</v>
      </c>
      <c r="F513" s="827">
        <f>IF(Brick_type&lt;&gt;"Timber Frame",COUNTIFS(Name,"DOOR SLD",Length,".67")+COUNTIFS(Name,"DFO SLD",Length,".67"),0)</f>
        <v>0</v>
      </c>
      <c r="G513" s="829"/>
      <c r="H513" s="412" t="s">
        <v>2806</v>
      </c>
      <c r="I513" s="1258"/>
      <c r="J513" s="2" t="str">
        <f>IF(Table5[[#This Row],[Entered]]&lt;&gt;Table5[[#This Row],[Quantity]],"Check","")</f>
        <v/>
      </c>
    </row>
    <row r="514" spans="1:10" ht="15" x14ac:dyDescent="0.2">
      <c r="A514" s="324" t="s">
        <v>2475</v>
      </c>
      <c r="B514" s="324" t="str">
        <f t="shared" si="34"/>
        <v>0570</v>
      </c>
      <c r="C514" s="324">
        <v>10013750</v>
      </c>
      <c r="D514" s="324" t="str">
        <f>"0140"</f>
        <v>0140</v>
      </c>
      <c r="E514" s="324">
        <v>1</v>
      </c>
      <c r="F514" s="827">
        <f>IF(Brick_type&lt;&gt;"Timber Frame",COUNTIFS(Name,"DOOR SLD",Length,".77")+COUNTIFS(Name,"DFO SLD",Length,".77"),0)</f>
        <v>0</v>
      </c>
      <c r="G514" s="829"/>
      <c r="H514" s="412" t="s">
        <v>2805</v>
      </c>
      <c r="I514" s="1258"/>
      <c r="J514" s="2" t="str">
        <f>IF(Table5[[#This Row],[Entered]]&lt;&gt;Table5[[#This Row],[Quantity]],"Check","")</f>
        <v/>
      </c>
    </row>
    <row r="515" spans="1:10" ht="15" x14ac:dyDescent="0.2">
      <c r="A515" s="324" t="s">
        <v>2475</v>
      </c>
      <c r="B515" s="324" t="str">
        <f t="shared" si="34"/>
        <v>0570</v>
      </c>
      <c r="C515" s="324">
        <v>10013750</v>
      </c>
      <c r="D515" s="324" t="str">
        <f>"0150"</f>
        <v>0150</v>
      </c>
      <c r="E515" s="324">
        <v>1</v>
      </c>
      <c r="F515" s="827">
        <f>IF(Brick_type&lt;&gt;"Timber Frame",COUNTIFS(Name,"DOOR SLD",Length,".87")+COUNTIFS(Name,"DFO SLD",Length,".87"),0)</f>
        <v>0</v>
      </c>
      <c r="G515" s="829"/>
      <c r="H515" s="412" t="s">
        <v>2804</v>
      </c>
      <c r="I515" s="1258"/>
      <c r="J515" s="2" t="str">
        <f>IF(Table5[[#This Row],[Entered]]&lt;&gt;Table5[[#This Row],[Quantity]],"Check","")</f>
        <v/>
      </c>
    </row>
    <row r="516" spans="1:10" ht="15" x14ac:dyDescent="0.2">
      <c r="A516" s="324" t="s">
        <v>2475</v>
      </c>
      <c r="B516" s="324" t="str">
        <f t="shared" si="34"/>
        <v>0570</v>
      </c>
      <c r="C516" s="324">
        <v>10013750</v>
      </c>
      <c r="D516" s="324" t="str">
        <f>"0170"</f>
        <v>0170</v>
      </c>
      <c r="E516" s="324">
        <v>1</v>
      </c>
      <c r="F516" s="827">
        <f>IF(Brick_type&lt;&gt;"Timber Frame",COUNTIFS(Name,"DOOR DBL",Length,".52")+COUNTIFS(Name,"DFO DBL",Length,".52"),0)</f>
        <v>0</v>
      </c>
      <c r="G516" s="829"/>
      <c r="H516" s="412" t="s">
        <v>2788</v>
      </c>
      <c r="I516" s="1258"/>
      <c r="J516" s="2" t="str">
        <f>IF(Table5[[#This Row],[Entered]]&lt;&gt;Table5[[#This Row],[Quantity]],"Check","")</f>
        <v/>
      </c>
    </row>
    <row r="517" spans="1:10" ht="15" x14ac:dyDescent="0.2">
      <c r="A517" s="324" t="s">
        <v>2475</v>
      </c>
      <c r="B517" s="324" t="str">
        <f t="shared" si="34"/>
        <v>0570</v>
      </c>
      <c r="C517" s="324">
        <v>10013750</v>
      </c>
      <c r="D517" s="324" t="str">
        <f>"0180"</f>
        <v>0180</v>
      </c>
      <c r="E517" s="324">
        <v>1</v>
      </c>
      <c r="F517" s="827">
        <f>IF(Brick_type&lt;&gt;"Timber Frame",COUNTIFS(Name,"DOOR DBL",Length,".62")+COUNTIFS(Name,"DFO DBL",Length,".62"),0)</f>
        <v>0</v>
      </c>
      <c r="G517" s="829"/>
      <c r="H517" s="412" t="s">
        <v>2789</v>
      </c>
      <c r="I517" s="1258"/>
      <c r="J517" s="2" t="str">
        <f>IF(Table5[[#This Row],[Entered]]&lt;&gt;Table5[[#This Row],[Quantity]],"Check","")</f>
        <v/>
      </c>
    </row>
    <row r="518" spans="1:10" ht="15" x14ac:dyDescent="0.2">
      <c r="A518" s="324" t="s">
        <v>2475</v>
      </c>
      <c r="B518" s="324" t="str">
        <f t="shared" si="34"/>
        <v>0570</v>
      </c>
      <c r="C518" s="324">
        <v>10013750</v>
      </c>
      <c r="D518" s="324" t="str">
        <f>"0190"</f>
        <v>0190</v>
      </c>
      <c r="E518" s="324">
        <v>1</v>
      </c>
      <c r="F518" s="827">
        <f>IF(Brick_type&lt;&gt;"Timber Frame",COUNTIFS(Name,"DOOR DBL",Length,".72")+COUNTIFS(Name,"DFO DBL",Length,".72"),0)</f>
        <v>0</v>
      </c>
      <c r="G518" s="829"/>
      <c r="H518" s="412" t="s">
        <v>2790</v>
      </c>
      <c r="I518" s="1258"/>
      <c r="J518" s="2" t="str">
        <f>IF(Table5[[#This Row],[Entered]]&lt;&gt;Table5[[#This Row],[Quantity]],"Check","")</f>
        <v/>
      </c>
    </row>
    <row r="519" spans="1:10" ht="15" x14ac:dyDescent="0.2">
      <c r="A519" s="324" t="s">
        <v>2475</v>
      </c>
      <c r="B519" s="324" t="str">
        <f t="shared" si="34"/>
        <v>0570</v>
      </c>
      <c r="C519" s="324">
        <v>10013750</v>
      </c>
      <c r="D519" s="324" t="str">
        <f>"0200"</f>
        <v>0200</v>
      </c>
      <c r="E519" s="324">
        <v>1</v>
      </c>
      <c r="F519" s="827">
        <f>IF(Brick_type&lt;&gt;"Timber Frame",COUNTIFS(Name,"DOOR DBL",Length,".82")+COUNTIFS(Name,"DFO DBL",Length,".82"),0)</f>
        <v>0</v>
      </c>
      <c r="G519" s="829"/>
      <c r="H519" s="412" t="s">
        <v>2791</v>
      </c>
      <c r="I519" s="1258"/>
      <c r="J519" s="2" t="str">
        <f>IF(Table5[[#This Row],[Entered]]&lt;&gt;Table5[[#This Row],[Quantity]],"Check","")</f>
        <v/>
      </c>
    </row>
    <row r="520" spans="1:10" ht="15" x14ac:dyDescent="0.2">
      <c r="A520" s="324" t="s">
        <v>2475</v>
      </c>
      <c r="B520" s="324" t="str">
        <f t="shared" si="34"/>
        <v>0570</v>
      </c>
      <c r="C520" s="324">
        <v>10013750</v>
      </c>
      <c r="D520" s="324" t="str">
        <f>"0750"</f>
        <v>0750</v>
      </c>
      <c r="E520" s="324">
        <v>1</v>
      </c>
      <c r="F520" s="827">
        <f>IF(OR(Brick_type="Timber Frame",Brick_type="Brick Veneer"),0,COUNTIFS(Name,"180 HINGE")*3)</f>
        <v>0</v>
      </c>
      <c r="G520" s="829"/>
      <c r="H520" s="412" t="s">
        <v>2801</v>
      </c>
      <c r="I520" s="1258"/>
      <c r="J520" s="2" t="str">
        <f>IF(Table5[[#This Row],[Entered]]&lt;&gt;Table5[[#This Row],[Quantity]],"Check","")</f>
        <v/>
      </c>
    </row>
    <row r="521" spans="1:10" ht="15" x14ac:dyDescent="0.2">
      <c r="A521" s="324" t="s">
        <v>2475</v>
      </c>
      <c r="B521" s="324" t="str">
        <f t="shared" si="35"/>
        <v>0570</v>
      </c>
      <c r="C521" s="324">
        <v>10013750</v>
      </c>
      <c r="D521" s="324" t="str">
        <f>"0753"</f>
        <v>0753</v>
      </c>
      <c r="E521" s="324">
        <v>1</v>
      </c>
      <c r="F521" s="1128">
        <f>COUNTIF(Addenda!A:A,"*deadbolt double*")</f>
        <v>0</v>
      </c>
      <c r="G521" s="829"/>
      <c r="H521" s="412" t="s">
        <v>3074</v>
      </c>
      <c r="I521" s="1258"/>
      <c r="J521" s="2" t="str">
        <f>IF(Table5[[#This Row],[Entered]]&lt;&gt;Table5[[#This Row],[Quantity]],"Check","")</f>
        <v/>
      </c>
    </row>
    <row r="522" spans="1:10" ht="15" x14ac:dyDescent="0.2">
      <c r="A522" s="324" t="s">
        <v>2475</v>
      </c>
      <c r="B522" s="324" t="str">
        <f t="shared" si="34"/>
        <v>0570</v>
      </c>
      <c r="C522" s="324">
        <v>10013750</v>
      </c>
      <c r="D522" s="1103" t="str">
        <f>"7000"</f>
        <v>7000</v>
      </c>
      <c r="E522" s="324">
        <v>1</v>
      </c>
      <c r="F522" s="827">
        <f>IF(Brick_type&lt;&gt;"Timber Frame",COUNTIFS(Name,"DOOR WC RH",Length,".92")+COUNTIFS(Name,"DFO WC RH",Length,".92"),0)</f>
        <v>0</v>
      </c>
      <c r="G522" s="829">
        <v>61.59</v>
      </c>
      <c r="H522" s="1111" t="s">
        <v>2444</v>
      </c>
      <c r="I522" s="1205"/>
      <c r="J522" s="2" t="str">
        <f>IF(Table5[[#This Row],[Entered]]&lt;&gt;Table5[[#This Row],[Quantity]],"Check","")</f>
        <v/>
      </c>
    </row>
    <row r="523" spans="1:10" ht="15" x14ac:dyDescent="0.2">
      <c r="A523" s="324" t="s">
        <v>2475</v>
      </c>
      <c r="B523" s="324" t="str">
        <f t="shared" si="34"/>
        <v>0570</v>
      </c>
      <c r="C523" s="324">
        <v>10013750</v>
      </c>
      <c r="D523" s="1103" t="str">
        <f>"7001"</f>
        <v>7001</v>
      </c>
      <c r="E523" s="324">
        <v>1</v>
      </c>
      <c r="F523" s="827">
        <f>IF(Brick_type&lt;&gt;"Timber Frame",COUNTIFS(Name,"DOOR WC LH",Length,".92")+COUNTIFS(Name,"DFO WC LH",Length,".92"),0)</f>
        <v>0</v>
      </c>
      <c r="G523" s="829">
        <v>61.59</v>
      </c>
      <c r="H523" s="1111" t="s">
        <v>2445</v>
      </c>
      <c r="I523" s="1205"/>
      <c r="J523" s="2" t="str">
        <f>IF(Table5[[#This Row],[Entered]]&lt;&gt;Table5[[#This Row],[Quantity]],"Check","")</f>
        <v/>
      </c>
    </row>
    <row r="524" spans="1:10" ht="15" x14ac:dyDescent="0.2">
      <c r="A524" s="324" t="s">
        <v>2475</v>
      </c>
      <c r="B524" s="324" t="str">
        <f t="shared" si="34"/>
        <v>0570</v>
      </c>
      <c r="C524" s="324">
        <v>10013750</v>
      </c>
      <c r="D524" s="1103" t="str">
        <f>"7002"</f>
        <v>7002</v>
      </c>
      <c r="E524" s="324">
        <v>1</v>
      </c>
      <c r="F524" s="827">
        <f>IF(Brick_type&lt;&gt;"Timber Frame",COUNTIFS(Name,"DOOR WC RH",Length,".82")+COUNTIFS(Name,"DFO WC RH",Length,".82"),0)</f>
        <v>0</v>
      </c>
      <c r="G524" s="829"/>
      <c r="H524" s="1111" t="s">
        <v>2419</v>
      </c>
      <c r="I524" s="1205"/>
      <c r="J524" s="2" t="str">
        <f>IF(Table5[[#This Row],[Entered]]&lt;&gt;Table5[[#This Row],[Quantity]],"Check","")</f>
        <v/>
      </c>
    </row>
    <row r="525" spans="1:10" ht="15" x14ac:dyDescent="0.2">
      <c r="A525" s="324" t="s">
        <v>2475</v>
      </c>
      <c r="B525" s="324" t="str">
        <f t="shared" si="34"/>
        <v>0570</v>
      </c>
      <c r="C525" s="324">
        <v>10013750</v>
      </c>
      <c r="D525" s="1103" t="str">
        <f>"7003"</f>
        <v>7003</v>
      </c>
      <c r="E525" s="324">
        <v>1</v>
      </c>
      <c r="F525" s="827">
        <f>IF(Brick_type&lt;&gt;"Timber Frame",COUNTIFS(Name,"DOOR WC LH",Length,".82")+COUNTIFS(Name,"DFO WC LH",Length,".82"),0)</f>
        <v>0</v>
      </c>
      <c r="G525" s="829"/>
      <c r="H525" s="1111" t="s">
        <v>2420</v>
      </c>
      <c r="I525" s="1205"/>
      <c r="J525" s="2" t="str">
        <f>IF(Table5[[#This Row],[Entered]]&lt;&gt;Table5[[#This Row],[Quantity]],"Check","")</f>
        <v/>
      </c>
    </row>
    <row r="526" spans="1:10" ht="15" x14ac:dyDescent="0.2">
      <c r="A526" s="324" t="s">
        <v>2475</v>
      </c>
      <c r="B526" s="324" t="str">
        <f t="shared" si="34"/>
        <v>0570</v>
      </c>
      <c r="C526" s="324">
        <v>10013750</v>
      </c>
      <c r="D526" s="1103" t="str">
        <f>"7004"</f>
        <v>7004</v>
      </c>
      <c r="E526" s="324">
        <v>1</v>
      </c>
      <c r="F526" s="827">
        <f>IF(Brick_type&lt;&gt;"Timber Frame",COUNTIFS(Name,"DOOR SLD DBL",Length,".87")+COUNTIFS(Name,"DFO SLD DBL",Length,".87"),0)</f>
        <v>0</v>
      </c>
      <c r="G526" s="829"/>
      <c r="H526" s="1111" t="s">
        <v>2421</v>
      </c>
      <c r="I526" s="1205"/>
      <c r="J526" s="2" t="str">
        <f>IF(Table5[[#This Row],[Entered]]&lt;&gt;Table5[[#This Row],[Quantity]],"Check","")</f>
        <v/>
      </c>
    </row>
    <row r="527" spans="1:10" ht="15" x14ac:dyDescent="0.2">
      <c r="A527" s="324" t="s">
        <v>2475</v>
      </c>
      <c r="B527" s="324" t="str">
        <f t="shared" si="34"/>
        <v>0570</v>
      </c>
      <c r="C527" s="324">
        <v>10013750</v>
      </c>
      <c r="D527" s="1103" t="str">
        <f>"7005"</f>
        <v>7005</v>
      </c>
      <c r="E527" s="324">
        <v>1</v>
      </c>
      <c r="F527" s="827">
        <f>IF(Brick_type&lt;&gt;"Timber Frame",COUNTIFS(Name,"DOOR SLD DBL",Length,".77")+COUNTIFS(Name,"DFO SLD DBL",Length,".77"),0)</f>
        <v>0</v>
      </c>
      <c r="G527" s="829"/>
      <c r="H527" s="1111" t="s">
        <v>2422</v>
      </c>
      <c r="I527" s="1205"/>
      <c r="J527" s="2" t="str">
        <f>IF(Table5[[#This Row],[Entered]]&lt;&gt;Table5[[#This Row],[Quantity]],"Check","")</f>
        <v/>
      </c>
    </row>
    <row r="528" spans="1:10" ht="15" x14ac:dyDescent="0.2">
      <c r="A528" s="324" t="s">
        <v>2475</v>
      </c>
      <c r="B528" s="324" t="str">
        <f t="shared" si="34"/>
        <v>0570</v>
      </c>
      <c r="C528" s="324">
        <v>10013750</v>
      </c>
      <c r="D528" s="1103" t="str">
        <f>"7006"</f>
        <v>7006</v>
      </c>
      <c r="E528" s="324">
        <v>1</v>
      </c>
      <c r="F528" s="827">
        <f>IF(Brick_type&lt;&gt;"Timber Frame",COUNTIFS(Name,"DOOR SLD DBL",Length,".67")+COUNTIFS(Name,"DFO SLD DBL",Length,".67"),0)</f>
        <v>0</v>
      </c>
      <c r="G528" s="829"/>
      <c r="H528" s="1111" t="s">
        <v>2423</v>
      </c>
      <c r="I528" s="1205"/>
      <c r="J528" s="2" t="str">
        <f>IF(Table5[[#This Row],[Entered]]&lt;&gt;Table5[[#This Row],[Quantity]],"Check","")</f>
        <v/>
      </c>
    </row>
    <row r="529" spans="1:10" ht="15" x14ac:dyDescent="0.2">
      <c r="A529" s="324" t="s">
        <v>2475</v>
      </c>
      <c r="B529" s="324" t="str">
        <f t="shared" si="34"/>
        <v>0570</v>
      </c>
      <c r="C529" s="324">
        <v>10013750</v>
      </c>
      <c r="D529" s="324" t="str">
        <f>"7007"</f>
        <v>7007</v>
      </c>
      <c r="E529" s="324">
        <v>1</v>
      </c>
      <c r="F529" s="827">
        <f>IF(Brick_type&lt;&gt;"Timber Frame",COUNTIFS(Name,"DOOR RH",Length,".92")+COUNTIFS(Name,"DFO RH",Length,".92"),0)</f>
        <v>0</v>
      </c>
      <c r="G529" s="829">
        <v>107.7</v>
      </c>
      <c r="H529" s="412" t="s">
        <v>3383</v>
      </c>
      <c r="I529" s="1258"/>
      <c r="J529" s="2" t="str">
        <f>IF(Table5[[#This Row],[Entered]]&lt;&gt;Table5[[#This Row],[Quantity]],"Check","")</f>
        <v/>
      </c>
    </row>
    <row r="530" spans="1:10" ht="15" x14ac:dyDescent="0.2">
      <c r="A530" s="324" t="s">
        <v>2475</v>
      </c>
      <c r="B530" s="324" t="str">
        <f t="shared" si="34"/>
        <v>0570</v>
      </c>
      <c r="C530" s="324">
        <v>10013750</v>
      </c>
      <c r="D530" s="324" t="str">
        <f>"7008"</f>
        <v>7008</v>
      </c>
      <c r="E530" s="324">
        <v>1</v>
      </c>
      <c r="F530" s="827">
        <f>IF(Brick_type&lt;&gt;"Timber Frame",COUNTIFS(Name,"DOOR LH",Length,".92")+COUNTIFS(Name,"DFO LH",Length,".92"),0)</f>
        <v>0</v>
      </c>
      <c r="G530" s="829">
        <v>107.7</v>
      </c>
      <c r="H530" s="412" t="s">
        <v>3382</v>
      </c>
      <c r="I530" s="1258"/>
      <c r="J530" s="2" t="str">
        <f>IF(Table5[[#This Row],[Entered]]&lt;&gt;Table5[[#This Row],[Quantity]],"Check","")</f>
        <v/>
      </c>
    </row>
    <row r="531" spans="1:10" ht="15" x14ac:dyDescent="0.2">
      <c r="A531" s="324" t="s">
        <v>2475</v>
      </c>
      <c r="B531" s="324" t="str">
        <f t="shared" si="35"/>
        <v>0570</v>
      </c>
      <c r="C531" s="324">
        <v>10013750</v>
      </c>
      <c r="D531" s="1103">
        <f>7009</f>
        <v>7009</v>
      </c>
      <c r="E531" s="324">
        <v>1</v>
      </c>
      <c r="F531" s="827">
        <f>IF(OR(Brick_type="Timber Frame",Brick_type="Brick Veneer"),0,COUNTIFS(Name,"DOOR RH",Length,".87"))+IF(OR(Brick_type="Timber Frame",Brick_type="Brick Veneer"),0,COUNTIFS(Name,"DFO RH",Length,".87"))</f>
        <v>0</v>
      </c>
      <c r="G531" s="829"/>
      <c r="H531" s="1111" t="s">
        <v>1175</v>
      </c>
      <c r="I531" s="1205"/>
      <c r="J531" s="2" t="str">
        <f>IF(Table5[[#This Row],[Entered]]&lt;&gt;Table5[[#This Row],[Quantity]],"Check","")</f>
        <v/>
      </c>
    </row>
    <row r="532" spans="1:10" ht="15" x14ac:dyDescent="0.2">
      <c r="A532" s="324" t="s">
        <v>2475</v>
      </c>
      <c r="B532" s="324" t="str">
        <f t="shared" si="35"/>
        <v>0570</v>
      </c>
      <c r="C532" s="324">
        <v>10013750</v>
      </c>
      <c r="D532" s="1103">
        <f>7010</f>
        <v>7010</v>
      </c>
      <c r="E532" s="324">
        <v>1</v>
      </c>
      <c r="F532" s="827">
        <f>IF(OR(Brick_type="Timber Frame",Brick_type="Brick Veneer"),0,COUNTIFS(Name,"DOOR LH",Length,".87"))+IF(OR(Brick_type="Timber Frame",Brick_type="Brick Veneer"),0,COUNTIFS(Name,"DFO LH",Length,".87"))</f>
        <v>0</v>
      </c>
      <c r="G532" s="829"/>
      <c r="H532" s="1111" t="s">
        <v>1176</v>
      </c>
      <c r="I532" s="1205"/>
      <c r="J532" s="2" t="str">
        <f>IF(Table5[[#This Row],[Entered]]&lt;&gt;Table5[[#This Row],[Quantity]],"Check","")</f>
        <v/>
      </c>
    </row>
    <row r="533" spans="1:10" ht="15" x14ac:dyDescent="0.2">
      <c r="A533" s="324" t="s">
        <v>2475</v>
      </c>
      <c r="B533" s="324" t="str">
        <f t="shared" si="35"/>
        <v>0570</v>
      </c>
      <c r="C533" s="324">
        <v>10013750</v>
      </c>
      <c r="D533" s="1103">
        <f>7011</f>
        <v>7011</v>
      </c>
      <c r="E533" s="324">
        <v>1</v>
      </c>
      <c r="F533" s="827">
        <f>IF(OR(Brick_type="Timber Frame",Brick_type="Brick Veneer"),0,COUNTIFS(Name,"DOOR WC RH",Length,".87"))+IF(OR(Brick_type="Timber Frame",Brick_type="Brick Veneer"),0,COUNTIFS(Name,"DFO WC RH",Length,".87"))</f>
        <v>0</v>
      </c>
      <c r="G533" s="829"/>
      <c r="H533" s="1111" t="s">
        <v>1177</v>
      </c>
      <c r="I533" s="1205"/>
      <c r="J533" s="2" t="str">
        <f>IF(Table5[[#This Row],[Entered]]&lt;&gt;Table5[[#This Row],[Quantity]],"Check","")</f>
        <v/>
      </c>
    </row>
    <row r="534" spans="1:10" ht="15" x14ac:dyDescent="0.2">
      <c r="A534" s="324" t="s">
        <v>2475</v>
      </c>
      <c r="B534" s="324" t="str">
        <f t="shared" si="35"/>
        <v>0570</v>
      </c>
      <c r="C534" s="324">
        <v>10013750</v>
      </c>
      <c r="D534" s="1103">
        <f>7012</f>
        <v>7012</v>
      </c>
      <c r="E534" s="324">
        <v>1</v>
      </c>
      <c r="F534" s="827">
        <f>IF(OR(Brick_type="Timber Frame",Brick_type="Brick Veneer"),0,COUNTIFS(Name,"DOOR WC LH",Length,".87"))+IF(OR(Brick_type="Timber Frame",Brick_type="Brick Veneer"),0,COUNTIFS(Name,"DFO WC LH",Length,".87"))</f>
        <v>0</v>
      </c>
      <c r="G534" s="829"/>
      <c r="H534" s="1111" t="s">
        <v>1178</v>
      </c>
      <c r="I534" s="1205"/>
      <c r="J534" s="2" t="str">
        <f>IF(Table5[[#This Row],[Entered]]&lt;&gt;Table5[[#This Row],[Quantity]],"Check","")</f>
        <v/>
      </c>
    </row>
    <row r="535" spans="1:10" ht="15" x14ac:dyDescent="0.2">
      <c r="A535" s="324" t="s">
        <v>2475</v>
      </c>
      <c r="B535" s="324" t="str">
        <f t="shared" si="35"/>
        <v>0570</v>
      </c>
      <c r="C535" s="324">
        <v>10013750</v>
      </c>
      <c r="D535" s="1103" t="str">
        <f>"7013"</f>
        <v>7013</v>
      </c>
      <c r="E535" s="324">
        <v>1</v>
      </c>
      <c r="F535" s="827">
        <f>IF(OR(Brick_type="Timber Frame",Brick_type="Brick Veneer"),0,COUNTIFS(Name,"DOOR SHPR LH*",Length,".92")+COUNTIFS(Name,"DOOR PA LH*",Length,".92"))+IF(OR(Brick_type="Timber Frame",Brick_type="Brick Veneer"),0,COUNTIFS(Name,"DFO SHPR LH*",Length,".92")+COUNTIFS(Name,"DFO PA LH*",Length,".92"))</f>
        <v>0</v>
      </c>
      <c r="G535" s="829">
        <v>118.21</v>
      </c>
      <c r="H535" s="412" t="s">
        <v>3826</v>
      </c>
      <c r="I535" s="1205"/>
      <c r="J535" s="2" t="str">
        <f>IF(Table5[[#This Row],[Entered]]&lt;&gt;Table5[[#This Row],[Quantity]],"Check","")</f>
        <v/>
      </c>
    </row>
    <row r="536" spans="1:10" ht="15" x14ac:dyDescent="0.2">
      <c r="A536" s="324" t="s">
        <v>2475</v>
      </c>
      <c r="B536" s="324" t="str">
        <f t="shared" si="35"/>
        <v>0570</v>
      </c>
      <c r="C536" s="324">
        <v>10013750</v>
      </c>
      <c r="D536" s="1103" t="str">
        <f>"7014"</f>
        <v>7014</v>
      </c>
      <c r="E536" s="324">
        <v>1</v>
      </c>
      <c r="F536" s="827">
        <f>IF(OR(Brick_type="Timber Frame",Brick_type="Brick Veneer"),0,COUNTIFS(Name,"DOOR SHPR RH*",Length,".92")+COUNTIFS(Name,"DOOR PA RH*",Length,".92"))+IF(OR(Brick_type="Timber Frame",Brick_type="Brick Veneer"),0,COUNTIFS(Name,"DFO SHPR RH*",Length,".92")+COUNTIFS(Name,"DFO PA RH*",Length,".92"))</f>
        <v>0</v>
      </c>
      <c r="G536" s="829">
        <v>118.21</v>
      </c>
      <c r="H536" s="412" t="s">
        <v>3827</v>
      </c>
      <c r="I536" s="1207"/>
      <c r="J536" s="73" t="str">
        <f>IF(Table5[[#This Row],[Entered]]&lt;&gt;Table5[[#This Row],[Quantity]],"Check","")</f>
        <v/>
      </c>
    </row>
    <row r="537" spans="1:10" ht="15" x14ac:dyDescent="0.2">
      <c r="A537" s="324" t="s">
        <v>2475</v>
      </c>
      <c r="B537" s="324" t="str">
        <f t="shared" si="35"/>
        <v>0570</v>
      </c>
      <c r="C537" s="324">
        <v>10013750</v>
      </c>
      <c r="D537" s="324" t="str">
        <f>"9014"</f>
        <v>9014</v>
      </c>
      <c r="E537" s="324">
        <v>1</v>
      </c>
      <c r="F537" s="827">
        <f>IF(OR(Brick_type="Timber Frame",Brick_type="Brick Veneer"),0,IF(COUNTIF(Name,"DOOR*")&gt;0,IF(COUNTIF(Address,"*AUGUSTA*")&gt;0,1,0),0))</f>
        <v>0</v>
      </c>
      <c r="G537" s="829"/>
      <c r="H537" s="412" t="s">
        <v>2483</v>
      </c>
      <c r="I537" s="1258"/>
      <c r="J537" s="2" t="str">
        <f>IF(Table5[[#This Row],[Entered]]&lt;&gt;Table5[[#This Row],[Quantity]],"Check","")</f>
        <v/>
      </c>
    </row>
    <row r="538" spans="1:10" ht="15" x14ac:dyDescent="0.2">
      <c r="A538" s="324" t="s">
        <v>2475</v>
      </c>
      <c r="B538" s="324" t="str">
        <f t="shared" si="35"/>
        <v>0570</v>
      </c>
      <c r="C538" s="324">
        <v>10013750</v>
      </c>
      <c r="D538" s="324" t="str">
        <f>"9015"</f>
        <v>9015</v>
      </c>
      <c r="E538" s="324">
        <v>1</v>
      </c>
      <c r="F538" s="827">
        <f>IF(OR(Brick_type="Timber Frame",Brick_type="Brick Veneer"),0,IF(COUNTIF(Name,"DOOR*")&gt;0,IF(COUNTIF(Address,"*AUSTRALIND*")&gt;0,1,0),0))</f>
        <v>0</v>
      </c>
      <c r="G538" s="829"/>
      <c r="H538" s="412" t="s">
        <v>2809</v>
      </c>
      <c r="I538" s="1258"/>
      <c r="J538" s="2" t="str">
        <f>IF(Table5[[#This Row],[Entered]]&lt;&gt;Table5[[#This Row],[Quantity]],"Check","")</f>
        <v/>
      </c>
    </row>
    <row r="539" spans="1:10" ht="15" x14ac:dyDescent="0.2">
      <c r="A539" s="324" t="s">
        <v>2475</v>
      </c>
      <c r="B539" s="324" t="str">
        <f t="shared" si="35"/>
        <v>0570</v>
      </c>
      <c r="C539" s="324">
        <v>10013750</v>
      </c>
      <c r="D539" s="324" t="str">
        <f>"9022"</f>
        <v>9022</v>
      </c>
      <c r="E539" s="324">
        <v>1</v>
      </c>
      <c r="F539" s="827">
        <f>IF(OR(Brick_type="Timber Frame",Brick_type="Brick Veneer"),0,IF(COUNTIF(Name,"DOOR*")&gt;0,IF(COUNTIF(Address,"*BOYANUP*")&gt;0,1,0),0))</f>
        <v>0</v>
      </c>
      <c r="G539" s="829"/>
      <c r="H539" s="412" t="s">
        <v>2811</v>
      </c>
      <c r="I539" s="1258"/>
      <c r="J539" s="2" t="str">
        <f>IF(Table5[[#This Row],[Entered]]&lt;&gt;Table5[[#This Row],[Quantity]],"Check","")</f>
        <v/>
      </c>
    </row>
    <row r="540" spans="1:10" ht="15" x14ac:dyDescent="0.2">
      <c r="A540" s="324" t="s">
        <v>2475</v>
      </c>
      <c r="B540" s="324" t="str">
        <f t="shared" si="35"/>
        <v>0570</v>
      </c>
      <c r="C540" s="324">
        <v>10013750</v>
      </c>
      <c r="D540" s="324" t="str">
        <f>"9024"</f>
        <v>9024</v>
      </c>
      <c r="E540" s="324">
        <v>1</v>
      </c>
      <c r="F540" s="827">
        <f>IF(OR(Brick_type="Timber Frame",Brick_type="Brick Veneer"),0,IF(COUNTIF(Name,"DOOR*")&gt;0,IF(COUNTIF(Address,"*BRIDGETOWN*")&gt;0,1,0),0))</f>
        <v>0</v>
      </c>
      <c r="G540" s="829"/>
      <c r="H540" s="412" t="s">
        <v>2560</v>
      </c>
      <c r="I540" s="1258"/>
      <c r="J540" s="2" t="str">
        <f>IF(Table5[[#This Row],[Entered]]&lt;&gt;Table5[[#This Row],[Quantity]],"Check","")</f>
        <v/>
      </c>
    </row>
    <row r="541" spans="1:10" ht="15" x14ac:dyDescent="0.2">
      <c r="A541" s="324" t="s">
        <v>2475</v>
      </c>
      <c r="B541" s="324" t="str">
        <f t="shared" si="35"/>
        <v>0570</v>
      </c>
      <c r="C541" s="324">
        <v>10013750</v>
      </c>
      <c r="D541" s="324" t="str">
        <f>"9027"</f>
        <v>9027</v>
      </c>
      <c r="E541" s="324">
        <v>1</v>
      </c>
      <c r="F541" s="827">
        <f>IF(OR(Brick_type="Timber Frame",Brick_type="Brick Veneer"),0,IF(COUNTIF(Name,"DOOR*")&gt;0,IF(COUNTIF(Address,"*BRUNSWICK*")&gt;0,1,0),0))</f>
        <v>0</v>
      </c>
      <c r="G541" s="829"/>
      <c r="H541" s="412" t="s">
        <v>2812</v>
      </c>
      <c r="I541" s="1258"/>
      <c r="J541" s="2" t="str">
        <f>IF(Table5[[#This Row],[Entered]]&lt;&gt;Table5[[#This Row],[Quantity]],"Check","")</f>
        <v/>
      </c>
    </row>
    <row r="542" spans="1:10" ht="15" x14ac:dyDescent="0.2">
      <c r="A542" s="324" t="s">
        <v>2475</v>
      </c>
      <c r="B542" s="324" t="str">
        <f t="shared" si="35"/>
        <v>0570</v>
      </c>
      <c r="C542" s="324">
        <v>10013750</v>
      </c>
      <c r="D542" s="324" t="str">
        <f>"9028"</f>
        <v>9028</v>
      </c>
      <c r="E542" s="324">
        <v>1</v>
      </c>
      <c r="F542" s="827">
        <f>IF(OR(Brick_type="Timber Frame",Brick_type="Brick Veneer"),0,IF(COUNTIF(Name,"DOOR*")&gt;0,IF(COUNTIF(Address,"*VASSE*")&gt;0,1,0),0))</f>
        <v>0</v>
      </c>
      <c r="G542" s="829">
        <v>95</v>
      </c>
      <c r="H542" s="412" t="s">
        <v>2822</v>
      </c>
      <c r="I542" s="1258"/>
      <c r="J542" s="2" t="str">
        <f>IF(Table5[[#This Row],[Entered]]&lt;&gt;Table5[[#This Row],[Quantity]],"Check","")</f>
        <v/>
      </c>
    </row>
    <row r="543" spans="1:10" ht="15" x14ac:dyDescent="0.2">
      <c r="A543" s="324" t="s">
        <v>2475</v>
      </c>
      <c r="B543" s="324" t="str">
        <f t="shared" si="35"/>
        <v>0570</v>
      </c>
      <c r="C543" s="324">
        <v>10013750</v>
      </c>
      <c r="D543" s="324" t="str">
        <f>"9029"</f>
        <v>9029</v>
      </c>
      <c r="E543" s="324">
        <v>1</v>
      </c>
      <c r="F543" s="827">
        <f>IF(OR(Brick_type="Timber Frame",Brick_type="Brick Veneer"),0,IF(COUNTIF(Name,"DOOR*")&gt;0,IF(COUNTIF(Address,"*BUNBURY*")&gt;0,1,0),0))</f>
        <v>0</v>
      </c>
      <c r="G543" s="829"/>
      <c r="H543" s="412" t="s">
        <v>2561</v>
      </c>
      <c r="I543" s="1258"/>
      <c r="J543" s="2" t="str">
        <f>IF(Table5[[#This Row],[Entered]]&lt;&gt;Table5[[#This Row],[Quantity]],"Check","")</f>
        <v/>
      </c>
    </row>
    <row r="544" spans="1:10" ht="15" x14ac:dyDescent="0.2">
      <c r="A544" s="324" t="s">
        <v>2475</v>
      </c>
      <c r="B544" s="324" t="str">
        <f t="shared" si="35"/>
        <v>0570</v>
      </c>
      <c r="C544" s="324">
        <v>10013750</v>
      </c>
      <c r="D544" s="324" t="str">
        <f>+"9031"</f>
        <v>9031</v>
      </c>
      <c r="E544" s="324">
        <v>1</v>
      </c>
      <c r="F544" s="1132" cm="1">
        <f t="array" ref="F544">IF(OR(Brick_type="Timber Frame",Brick_type="Brick Veneer"),0,IF(COUNTIF(Name,"DOOR*")&gt;0,IF(SUM(COUNTIF(Address,{"*BUSSELTON*"}))&gt;0,1,0),0))</f>
        <v>0</v>
      </c>
      <c r="G544" s="829">
        <v>95</v>
      </c>
      <c r="H544" s="412" t="s">
        <v>2551</v>
      </c>
      <c r="I544" s="1258"/>
      <c r="J544" s="2" t="str">
        <f>IF(Table5[[#This Row],[Entered]]&lt;&gt;Table5[[#This Row],[Quantity]],"Check","")</f>
        <v/>
      </c>
    </row>
    <row r="545" spans="1:10" ht="15" x14ac:dyDescent="0.2">
      <c r="A545" s="324" t="s">
        <v>2475</v>
      </c>
      <c r="B545" s="324" t="str">
        <f t="shared" si="35"/>
        <v>0570</v>
      </c>
      <c r="C545" s="324">
        <v>10013750</v>
      </c>
      <c r="D545" s="324" t="str">
        <f>"9032"</f>
        <v>9032</v>
      </c>
      <c r="E545" s="324">
        <v>1</v>
      </c>
      <c r="F545" s="827">
        <f>IF(OR(Brick_type="Timber Frame",Brick_type="Brick Veneer"),0,IF(COUNTIF(Name,"DOOR*")&gt;0,IF(COUNTIF(Address,"*CAPEL*")&gt;0,1,0),0))</f>
        <v>0</v>
      </c>
      <c r="G545" s="829"/>
      <c r="H545" s="412" t="s">
        <v>2565</v>
      </c>
      <c r="I545" s="1258"/>
      <c r="J545" s="2" t="str">
        <f>IF(Table5[[#This Row],[Entered]]&lt;&gt;Table5[[#This Row],[Quantity]],"Check","")</f>
        <v/>
      </c>
    </row>
    <row r="546" spans="1:10" ht="15" x14ac:dyDescent="0.2">
      <c r="A546" s="324" t="s">
        <v>2475</v>
      </c>
      <c r="B546" s="324" t="str">
        <f t="shared" si="35"/>
        <v>0570</v>
      </c>
      <c r="C546" s="324">
        <v>10013750</v>
      </c>
      <c r="D546" s="324" t="str">
        <f>"9034"</f>
        <v>9034</v>
      </c>
      <c r="E546" s="324">
        <v>1</v>
      </c>
      <c r="F546" s="827">
        <f>IF(OR(Brick_type="Timber Frame",Brick_type="Brick Veneer"),0,IF(COUNTIF(Name,"DOOR*")&gt;0,IF(COUNTIF(Address,"*PREVELLY PARK*")&gt;0,1,0),0))</f>
        <v>0</v>
      </c>
      <c r="G546" s="829"/>
      <c r="H546" s="412" t="s">
        <v>2820</v>
      </c>
      <c r="I546" s="1258"/>
      <c r="J546" s="2" t="str">
        <f>IF(Table5[[#This Row],[Entered]]&lt;&gt;Table5[[#This Row],[Quantity]],"Check","")</f>
        <v/>
      </c>
    </row>
    <row r="547" spans="1:10" ht="15" x14ac:dyDescent="0.2">
      <c r="A547" s="324" t="s">
        <v>2475</v>
      </c>
      <c r="B547" s="324" t="str">
        <f t="shared" si="35"/>
        <v>0570</v>
      </c>
      <c r="C547" s="324">
        <v>10013750</v>
      </c>
      <c r="D547" s="324" t="str">
        <f>"9035"</f>
        <v>9035</v>
      </c>
      <c r="E547" s="324">
        <v>1</v>
      </c>
      <c r="F547" s="827">
        <f>IF(OR(Brick_type="Timber Frame",Brick_type="Brick Veneer"),0,IF(COUNTIF(Name,"DOOR*")&gt;0,IF(COUNTIF(Address,"*COLLIE*")&gt;0,1,0),0))</f>
        <v>0</v>
      </c>
      <c r="G547" s="829"/>
      <c r="H547" s="412" t="s">
        <v>2814</v>
      </c>
      <c r="I547" s="1258"/>
      <c r="J547" s="2" t="str">
        <f>IF(Table5[[#This Row],[Entered]]&lt;&gt;Table5[[#This Row],[Quantity]],"Check","")</f>
        <v/>
      </c>
    </row>
    <row r="548" spans="1:10" ht="15" x14ac:dyDescent="0.2">
      <c r="A548" s="324" t="s">
        <v>2475</v>
      </c>
      <c r="B548" s="324" t="str">
        <f t="shared" si="35"/>
        <v>0570</v>
      </c>
      <c r="C548" s="324">
        <v>10013750</v>
      </c>
      <c r="D548" s="324" t="str">
        <f>"9038"</f>
        <v>9038</v>
      </c>
      <c r="E548" s="324">
        <v>1</v>
      </c>
      <c r="F548" s="827">
        <f>IF(OR(Brick_type="Timber Frame",Brick_type="Brick Veneer"),0,IF(COUNTIF(Name,"DOOR*")&gt;0,IF(COUNTIF(Address,"*WITCHCLIFFE*")&gt;0,1,0),0))</f>
        <v>0</v>
      </c>
      <c r="G548" s="829"/>
      <c r="H548" s="412" t="s">
        <v>2823</v>
      </c>
      <c r="I548" s="1258"/>
      <c r="J548" s="2" t="str">
        <f>IF(Table5[[#This Row],[Entered]]&lt;&gt;Table5[[#This Row],[Quantity]],"Check","")</f>
        <v/>
      </c>
    </row>
    <row r="549" spans="1:10" ht="15" x14ac:dyDescent="0.2">
      <c r="A549" s="324" t="s">
        <v>2475</v>
      </c>
      <c r="B549" s="324" t="str">
        <f t="shared" si="35"/>
        <v>0570</v>
      </c>
      <c r="C549" s="324">
        <v>10013750</v>
      </c>
      <c r="D549" s="324" t="str">
        <f>"9039"</f>
        <v>9039</v>
      </c>
      <c r="E549" s="324">
        <v>1</v>
      </c>
      <c r="F549" s="827">
        <f>IF(OR(Brick_type="Timber Frame",Brick_type="Brick Veneer"),0,IF(COUNTIF(Name,"DOOR*")&gt;0,IF(COUNTIF(Address,"*DARDANUP*")&gt;0,1,0),0))</f>
        <v>0</v>
      </c>
      <c r="G549" s="829"/>
      <c r="H549" s="412" t="s">
        <v>2815</v>
      </c>
      <c r="I549" s="1258"/>
      <c r="J549" s="2" t="str">
        <f>IF(Table5[[#This Row],[Entered]]&lt;&gt;Table5[[#This Row],[Quantity]],"Check","")</f>
        <v/>
      </c>
    </row>
    <row r="550" spans="1:10" ht="15" x14ac:dyDescent="0.2">
      <c r="A550" s="324" t="s">
        <v>2475</v>
      </c>
      <c r="B550" s="324" t="str">
        <f t="shared" si="35"/>
        <v>0570</v>
      </c>
      <c r="C550" s="324">
        <v>10013750</v>
      </c>
      <c r="D550" s="324" t="str">
        <f>"9043"</f>
        <v>9043</v>
      </c>
      <c r="E550" s="324">
        <v>1</v>
      </c>
      <c r="F550" s="827">
        <f>IF(OR(Brick_type="Timber Frame",Brick_type="Brick Veneer"),0,IF(COUNTIF(Name,"DOOR*")&gt;0,IF(COUNTIF(Address,"*DONNYBROOK*")&gt;0,1,0),0))</f>
        <v>0</v>
      </c>
      <c r="G550" s="829"/>
      <c r="H550" s="412" t="s">
        <v>2563</v>
      </c>
      <c r="I550" s="1258"/>
      <c r="J550" s="2" t="str">
        <f>IF(Table5[[#This Row],[Entered]]&lt;&gt;Table5[[#This Row],[Quantity]],"Check","")</f>
        <v/>
      </c>
    </row>
    <row r="551" spans="1:10" ht="15" x14ac:dyDescent="0.2">
      <c r="A551" s="324" t="s">
        <v>2475</v>
      </c>
      <c r="B551" s="324" t="str">
        <f t="shared" si="35"/>
        <v>0570</v>
      </c>
      <c r="C551" s="324">
        <v>10013750</v>
      </c>
      <c r="D551" s="324" t="str">
        <f>"9044"</f>
        <v>9044</v>
      </c>
      <c r="E551" s="324">
        <v>1</v>
      </c>
      <c r="F551" s="827">
        <f>IF(OR(Brick_type="Timber Frame",Brick_type="Brick Veneer"),0,IF(COUNTIF(Name,"DOOR*")&gt;0,IF(COUNTIF(Address,"*DUNSBOROUGH*")&gt;0,1,0),0))</f>
        <v>0</v>
      </c>
      <c r="G551" s="829"/>
      <c r="H551" s="412" t="s">
        <v>2564</v>
      </c>
      <c r="I551" s="1258"/>
      <c r="J551" s="2" t="str">
        <f>IF(Table5[[#This Row],[Entered]]&lt;&gt;Table5[[#This Row],[Quantity]],"Check","")</f>
        <v/>
      </c>
    </row>
    <row r="552" spans="1:10" ht="15" x14ac:dyDescent="0.2">
      <c r="A552" s="324" t="s">
        <v>2475</v>
      </c>
      <c r="B552" s="324" t="str">
        <f t="shared" si="35"/>
        <v>0570</v>
      </c>
      <c r="C552" s="324">
        <v>10013750</v>
      </c>
      <c r="D552" s="324" t="str">
        <f>"9053"</f>
        <v>9053</v>
      </c>
      <c r="E552" s="324">
        <v>1</v>
      </c>
      <c r="F552" s="827">
        <f>IF(OR(Brick_type="Timber Frame",Brick_type="Brick Veneer"),0,IF(COUNTIF(Name,"DOOR*")&gt;0,IF(COUNTIF(Address,"*GRACETOWN*")&gt;0,1,0),0))</f>
        <v>0</v>
      </c>
      <c r="G552" s="829"/>
      <c r="H552" s="412" t="s">
        <v>2816</v>
      </c>
      <c r="I552" s="1258"/>
      <c r="J552" s="2" t="str">
        <f>IF(Table5[[#This Row],[Entered]]&lt;&gt;Table5[[#This Row],[Quantity]],"Check","")</f>
        <v/>
      </c>
    </row>
    <row r="553" spans="1:10" ht="15" x14ac:dyDescent="0.2">
      <c r="A553" s="324" t="s">
        <v>2475</v>
      </c>
      <c r="B553" s="324" t="str">
        <f t="shared" si="35"/>
        <v>0570</v>
      </c>
      <c r="C553" s="324">
        <v>10013750</v>
      </c>
      <c r="D553" s="324" t="str">
        <f>"9058"</f>
        <v>9058</v>
      </c>
      <c r="E553" s="324">
        <v>1</v>
      </c>
      <c r="F553" s="827">
        <f>IF(OR(Brick_type="Timber Frame",Brick_type="Brick Veneer"),0,IF(COUNTIF(Name,"DOOR*")&gt;0,IF(COUNTIF(Address,"*HARVEY*")&gt;0,1,0),0))</f>
        <v>0</v>
      </c>
      <c r="G553" s="829"/>
      <c r="H553" s="412" t="s">
        <v>2817</v>
      </c>
      <c r="I553" s="1258"/>
      <c r="J553" s="2" t="str">
        <f>IF(Table5[[#This Row],[Entered]]&lt;&gt;Table5[[#This Row],[Quantity]],"Check","")</f>
        <v/>
      </c>
    </row>
    <row r="554" spans="1:10" ht="15" x14ac:dyDescent="0.2">
      <c r="A554" s="324" t="s">
        <v>2475</v>
      </c>
      <c r="B554" s="324" t="str">
        <f t="shared" si="35"/>
        <v>0570</v>
      </c>
      <c r="C554" s="324">
        <v>10013750</v>
      </c>
      <c r="D554" s="324" t="str">
        <f>"9060"</f>
        <v>9060</v>
      </c>
      <c r="E554" s="324">
        <v>1</v>
      </c>
      <c r="F554" s="827">
        <f>IF(OR(Brick_type="Timber Frame",Brick_type="Brick Veneer"),0,IF(COUNTIF(Name,"DOOR*")&gt;0,IF(COUNTIF(Address,"*BUREKUP*")&gt;0,1,0),0))</f>
        <v>0</v>
      </c>
      <c r="G554" s="829"/>
      <c r="H554" s="412" t="s">
        <v>2813</v>
      </c>
      <c r="I554" s="1258"/>
      <c r="J554" s="2" t="str">
        <f>IF(Table5[[#This Row],[Entered]]&lt;&gt;Table5[[#This Row],[Quantity]],"Check","")</f>
        <v/>
      </c>
    </row>
    <row r="555" spans="1:10" ht="15" x14ac:dyDescent="0.2">
      <c r="A555" s="324" t="s">
        <v>2475</v>
      </c>
      <c r="B555" s="324" t="str">
        <f t="shared" si="35"/>
        <v>0570</v>
      </c>
      <c r="C555" s="324">
        <v>10013750</v>
      </c>
      <c r="D555" s="324" t="str">
        <f>"9068"</f>
        <v>9068</v>
      </c>
      <c r="E555" s="324">
        <v>1</v>
      </c>
      <c r="F555" s="1132" cm="1">
        <f t="array" ref="F555">IF(OR(Brick_type="Timber Frame",Brick_type="Brick Veneer"),0,IF(COUNTIF(Name,"DOOR*")&gt;0,IF(SUM(COUNTIF(Address,{"*MARGARET RIVER*","*COWARAMUP*"}))&gt;0,1,0),0))</f>
        <v>0</v>
      </c>
      <c r="G555" s="829"/>
      <c r="H555" s="412" t="s">
        <v>2566</v>
      </c>
      <c r="I555" s="1258"/>
      <c r="J555" s="2" t="str">
        <f>IF(Table5[[#This Row],[Entered]]&lt;&gt;Table5[[#This Row],[Quantity]],"Check","")</f>
        <v/>
      </c>
    </row>
    <row r="556" spans="1:10" ht="15" x14ac:dyDescent="0.2">
      <c r="A556" s="324" t="s">
        <v>2475</v>
      </c>
      <c r="B556" s="324" t="str">
        <f t="shared" si="35"/>
        <v>0570</v>
      </c>
      <c r="C556" s="324">
        <v>10013750</v>
      </c>
      <c r="D556" s="324" t="str">
        <f>"9072"</f>
        <v>9072</v>
      </c>
      <c r="E556" s="324">
        <v>1</v>
      </c>
      <c r="F556" s="827">
        <f>IF(OR(Brick_type="Timber Frame",Brick_type="Brick Veneer"),0,IF(COUNTIF(Name,"DOOR*")&gt;0,IF(COUNTIF(Address,"*MYALUP*")&gt;0,1,0),0))</f>
        <v>0</v>
      </c>
      <c r="G556" s="829"/>
      <c r="H556" s="412" t="s">
        <v>2819</v>
      </c>
      <c r="I556" s="1258"/>
      <c r="J556" s="2" t="str">
        <f>IF(Table5[[#This Row],[Entered]]&lt;&gt;Table5[[#This Row],[Quantity]],"Check","")</f>
        <v/>
      </c>
    </row>
    <row r="557" spans="1:10" ht="15" x14ac:dyDescent="0.2">
      <c r="A557" s="324" t="s">
        <v>2475</v>
      </c>
      <c r="B557" s="324" t="str">
        <f t="shared" si="35"/>
        <v>0570</v>
      </c>
      <c r="C557" s="324">
        <v>10013750</v>
      </c>
      <c r="D557" s="324" t="str">
        <f>"9079"</f>
        <v>9079</v>
      </c>
      <c r="E557" s="324">
        <v>1</v>
      </c>
      <c r="F557" s="827">
        <f>IF(OR(Brick_type="Timber Frame",Brick_type="Brick Veneer"),0,IF(COUNTIF(Name,"DOOR*")&gt;0,IF(COUNTIF(Address,"*KARRIDALE*")&gt;0,1,0),0))</f>
        <v>0</v>
      </c>
      <c r="G557" s="829"/>
      <c r="H557" s="412" t="s">
        <v>2818</v>
      </c>
      <c r="I557" s="1258"/>
      <c r="J557" s="2" t="str">
        <f>IF(Table5[[#This Row],[Entered]]&lt;&gt;Table5[[#This Row],[Quantity]],"Check","")</f>
        <v/>
      </c>
    </row>
    <row r="558" spans="1:10" ht="15" x14ac:dyDescent="0.2">
      <c r="A558" s="324" t="s">
        <v>2475</v>
      </c>
      <c r="B558" s="324" t="str">
        <f t="shared" si="35"/>
        <v>0570</v>
      </c>
      <c r="C558" s="324">
        <v>10013750</v>
      </c>
      <c r="D558" s="324" t="str">
        <f>"9098"</f>
        <v>9098</v>
      </c>
      <c r="E558" s="324">
        <v>1</v>
      </c>
      <c r="F558" s="827">
        <f>IF(OR(Brick_type="Timber Frame",Brick_type="Brick Veneer"),0,IF(COUNTIF(Name,"DOOR*")&gt;0,IF(COUNTIF(Address,"*BINNINGUP*")&gt;0,1,0),0))</f>
        <v>0</v>
      </c>
      <c r="G558" s="829"/>
      <c r="H558" s="412" t="s">
        <v>2810</v>
      </c>
      <c r="I558" s="1258"/>
      <c r="J558" s="2" t="str">
        <f>IF(Table5[[#This Row],[Entered]]&lt;&gt;Table5[[#This Row],[Quantity]],"Check","")</f>
        <v/>
      </c>
    </row>
    <row r="559" spans="1:10" ht="15" x14ac:dyDescent="0.2">
      <c r="A559" s="324" t="s">
        <v>2475</v>
      </c>
      <c r="B559" s="324" t="str">
        <f t="shared" si="35"/>
        <v>0570</v>
      </c>
      <c r="C559" s="324">
        <v>10013750</v>
      </c>
      <c r="D559" s="324" t="str">
        <f>"9186"</f>
        <v>9186</v>
      </c>
      <c r="E559" s="324">
        <v>1</v>
      </c>
      <c r="F559" s="827">
        <f>IF(OR(Brick_type="Timber Frame",Brick_type="Brick Veneer"),0,IF(COUNTIF(Name,"DOOR*")&gt;0,IF(COUNTIF(Address,"*QUINDALUP*")&gt;0,1,0),0))</f>
        <v>0</v>
      </c>
      <c r="G559" s="829"/>
      <c r="H559" s="412" t="s">
        <v>2821</v>
      </c>
      <c r="I559" s="1258"/>
      <c r="J559" s="2" t="str">
        <f>IF(Table5[[#This Row],[Entered]]&lt;&gt;Table5[[#This Row],[Quantity]],"Check","")</f>
        <v/>
      </c>
    </row>
    <row r="562" spans="1:10" ht="15" x14ac:dyDescent="0.2">
      <c r="A562" s="324" t="s">
        <v>2475</v>
      </c>
      <c r="B562" s="324" t="str">
        <f t="shared" si="35"/>
        <v>0570</v>
      </c>
      <c r="C562" s="324">
        <v>10013750</v>
      </c>
      <c r="D562" s="324" t="str">
        <f>"9192"</f>
        <v>9192</v>
      </c>
      <c r="E562" s="324">
        <v>1</v>
      </c>
      <c r="F562" s="827">
        <f>IF(OR(Brick_type="Timber Frame",Brick_type="Brick Veneer"),0,IF(COUNTIF(Name,"DOOR*")&gt;0,IF(COUNTIF(Address,"*WONNERUP*")&gt;0,1,0),0))</f>
        <v>0</v>
      </c>
      <c r="G562" s="829"/>
      <c r="H562" s="412" t="s">
        <v>2824</v>
      </c>
      <c r="I562" s="1258"/>
      <c r="J562" s="2" t="str">
        <f>IF(Table5[[#This Row],[Entered]]&lt;&gt;Table5[[#This Row],[Quantity]],"Check","")</f>
        <v/>
      </c>
    </row>
    <row r="563" spans="1:10" ht="15" x14ac:dyDescent="0.2">
      <c r="A563" s="324" t="s">
        <v>2475</v>
      </c>
      <c r="B563" s="324" t="str">
        <f t="shared" si="35"/>
        <v>0570</v>
      </c>
      <c r="C563" s="324">
        <v>10013750</v>
      </c>
      <c r="D563" s="324" t="str">
        <f>"9094"</f>
        <v>9094</v>
      </c>
      <c r="E563" s="324">
        <v>1</v>
      </c>
      <c r="F563" s="827">
        <f>IF(OR(Brick_type="Timber Frame",Brick_type="Brick Veneer"),0,IF(COUNTIF(Name,"DOOR*")&gt;0,IF(COUNTIF(Address,"*YALLINGUP*")&gt;0,1,0),0))</f>
        <v>0</v>
      </c>
      <c r="G563" s="829"/>
      <c r="H563" s="412" t="s">
        <v>2825</v>
      </c>
      <c r="I563" s="1258"/>
      <c r="J563" s="2" t="str">
        <f>IF(Table5[[#This Row],[Entered]]&lt;&gt;Table5[[#This Row],[Quantity]],"Check","")</f>
        <v/>
      </c>
    </row>
    <row r="564" spans="1:10" ht="15" x14ac:dyDescent="0.2">
      <c r="A564" s="324"/>
      <c r="B564" s="324"/>
      <c r="C564" s="324"/>
      <c r="D564" s="324"/>
      <c r="E564" s="324"/>
      <c r="F564" s="827"/>
      <c r="G564" s="829"/>
      <c r="H564" s="412"/>
      <c r="I564" s="1258"/>
      <c r="J564" s="2" t="str">
        <f>IF(Table5[[#This Row],[Entered]]&lt;&gt;Table5[[#This Row],[Quantity]],"Check","")</f>
        <v/>
      </c>
    </row>
    <row r="565" spans="1:10" ht="15" x14ac:dyDescent="0.2">
      <c r="A565" s="324" t="s">
        <v>2475</v>
      </c>
      <c r="B565" s="324" t="str">
        <f t="shared" ref="B565:B604" si="36">"0600"</f>
        <v>0600</v>
      </c>
      <c r="C565" s="324" t="str">
        <f t="shared" ref="C565:C604" si="37">"50062"</f>
        <v>50062</v>
      </c>
      <c r="D565" s="324" t="str">
        <f>"0013"</f>
        <v>0013</v>
      </c>
      <c r="E565" s="324">
        <v>4</v>
      </c>
      <c r="F565" s="827">
        <f>CEILING(((FaceBlocksM2+FinishingBrickM2)*18.5)+SnapsCount,1)</f>
        <v>0</v>
      </c>
      <c r="G565" s="829">
        <v>2600</v>
      </c>
      <c r="H565" s="412" t="s">
        <v>2853</v>
      </c>
      <c r="I565" s="1258"/>
      <c r="J565" s="2" t="str">
        <f>IF(Table5[[#This Row],[Entered]]&lt;&gt;Table5[[#This Row],[Quantity]],"Check","")</f>
        <v/>
      </c>
    </row>
    <row r="566" spans="1:10" ht="15" x14ac:dyDescent="0.2">
      <c r="A566" s="324" t="s">
        <v>2475</v>
      </c>
      <c r="B566" s="324" t="str">
        <f t="shared" si="36"/>
        <v>0600</v>
      </c>
      <c r="C566" s="324" t="str">
        <f t="shared" si="37"/>
        <v>50062</v>
      </c>
      <c r="D566" s="324" t="str">
        <f>"0014"</f>
        <v>0014</v>
      </c>
      <c r="E566" s="324">
        <v>4</v>
      </c>
      <c r="F566" s="827">
        <f>CEILING((FaceVert76CoredM2+FaceVert76SolidM2)*37,1)</f>
        <v>0</v>
      </c>
      <c r="G566" s="829">
        <v>1950</v>
      </c>
      <c r="H566" s="412" t="s">
        <v>2854</v>
      </c>
      <c r="I566" s="1258"/>
      <c r="J566" s="2" t="str">
        <f>IF(Table5[[#This Row],[Entered]]&lt;&gt;Table5[[#This Row],[Quantity]],"Check","")</f>
        <v/>
      </c>
    </row>
    <row r="567" spans="1:10" ht="15" x14ac:dyDescent="0.2">
      <c r="A567" s="324" t="s">
        <v>2475</v>
      </c>
      <c r="B567" s="324" t="str">
        <f t="shared" si="36"/>
        <v>0600</v>
      </c>
      <c r="C567" s="324" t="str">
        <f t="shared" si="37"/>
        <v>50062</v>
      </c>
      <c r="D567" s="324" t="str">
        <f>"0055"</f>
        <v>0055</v>
      </c>
      <c r="E567" s="324">
        <v>4</v>
      </c>
      <c r="F567" s="827">
        <f ca="1">CEILING((DuraclayInternalM2+VerticlayInternalM2+DuraclayVCRenderM2)*18.5,1)</f>
        <v>0</v>
      </c>
      <c r="G567" s="829">
        <v>2100</v>
      </c>
      <c r="H567" s="412" t="s">
        <v>2855</v>
      </c>
      <c r="I567" s="1258"/>
      <c r="J567" s="2" t="str">
        <f ca="1">IF(Table5[[#This Row],[Entered]]&lt;&gt;Table5[[#This Row],[Quantity]],"Check","")</f>
        <v/>
      </c>
    </row>
    <row r="568" spans="1:10" ht="15" x14ac:dyDescent="0.2">
      <c r="A568" s="324" t="s">
        <v>2475</v>
      </c>
      <c r="B568" s="324" t="str">
        <f t="shared" si="36"/>
        <v>0600</v>
      </c>
      <c r="C568" s="324" t="str">
        <f t="shared" si="37"/>
        <v>50062</v>
      </c>
      <c r="D568" s="324" t="str">
        <f>"0050"</f>
        <v>0050</v>
      </c>
      <c r="E568" s="324">
        <v>4</v>
      </c>
      <c r="F568" s="827">
        <f>CEILING((CommonsFaceM2+CommonsRenderM2)*48.5,1)</f>
        <v>0</v>
      </c>
      <c r="G568" s="829"/>
      <c r="H568" s="412" t="s">
        <v>2856</v>
      </c>
      <c r="I568" s="1258"/>
      <c r="J568" s="2" t="str">
        <f>IF(Table5[[#This Row],[Entered]]&lt;&gt;Table5[[#This Row],[Quantity]],"Check","")</f>
        <v/>
      </c>
    </row>
    <row r="569" spans="1:10" ht="15" x14ac:dyDescent="0.2">
      <c r="A569" s="324" t="s">
        <v>2475</v>
      </c>
      <c r="B569" s="324" t="str">
        <f t="shared" si="36"/>
        <v>0600</v>
      </c>
      <c r="C569" s="324" t="str">
        <f t="shared" si="37"/>
        <v>50062</v>
      </c>
      <c r="D569" s="324" t="str">
        <f>"0056"</f>
        <v>0056</v>
      </c>
      <c r="E569" s="324">
        <v>4</v>
      </c>
      <c r="F569" s="827">
        <f>CEILING((LongreachCoredRenderM2+LongreachInternalM2)*37,1)</f>
        <v>0</v>
      </c>
      <c r="G569" s="829">
        <v>2100</v>
      </c>
      <c r="H569" s="412" t="s">
        <v>2857</v>
      </c>
      <c r="I569" s="1258"/>
      <c r="J569" s="2" t="str">
        <f>IF(Table5[[#This Row],[Entered]]&lt;&gt;Table5[[#This Row],[Quantity]],"Check","")</f>
        <v/>
      </c>
    </row>
    <row r="570" spans="1:10" ht="15" x14ac:dyDescent="0.2">
      <c r="A570" s="324" t="s">
        <v>2475</v>
      </c>
      <c r="B570" s="324" t="str">
        <f t="shared" si="36"/>
        <v>0600</v>
      </c>
      <c r="C570" s="324" t="str">
        <f t="shared" si="37"/>
        <v>50062</v>
      </c>
      <c r="D570" s="324" t="str">
        <f>"0010"</f>
        <v>0010</v>
      </c>
      <c r="E570" s="324">
        <v>4</v>
      </c>
      <c r="F570" s="827">
        <f>CEILING((StandardFaceCoredM2+StandardFaceSolidM2+Header2cM2)*48.5,1)</f>
        <v>0</v>
      </c>
      <c r="G570" s="829">
        <v>1950</v>
      </c>
      <c r="H570" s="412" t="s">
        <v>2858</v>
      </c>
      <c r="I570" s="1258"/>
      <c r="J570" s="2" t="str">
        <f>IF(Table5[[#This Row],[Entered]]&lt;&gt;Table5[[#This Row],[Quantity]],"Check","")</f>
        <v/>
      </c>
    </row>
    <row r="571" spans="1:10" ht="15" x14ac:dyDescent="0.2">
      <c r="A571" s="324" t="s">
        <v>2475</v>
      </c>
      <c r="B571" s="324" t="str">
        <f t="shared" si="36"/>
        <v>0600</v>
      </c>
      <c r="C571" s="324" t="str">
        <f t="shared" si="37"/>
        <v>50062</v>
      </c>
      <c r="D571" s="324" t="str">
        <f>"0116"</f>
        <v>0116</v>
      </c>
      <c r="E571" s="324">
        <v>1</v>
      </c>
      <c r="F571" s="827">
        <f>COUNTIF(Name,"Brick Lintel")</f>
        <v>0</v>
      </c>
      <c r="G571" s="829">
        <v>5</v>
      </c>
      <c r="H571" s="412" t="s">
        <v>2859</v>
      </c>
      <c r="I571" s="1258"/>
      <c r="J571" s="2" t="str">
        <f>IF(Table5[[#This Row],[Entered]]&lt;&gt;Table5[[#This Row],[Quantity]],"Check","")</f>
        <v/>
      </c>
    </row>
    <row r="572" spans="1:10" ht="15" x14ac:dyDescent="0.2">
      <c r="A572" s="324" t="s">
        <v>2475</v>
      </c>
      <c r="B572" s="324" t="str">
        <f t="shared" si="36"/>
        <v>0600</v>
      </c>
      <c r="C572" s="324" t="str">
        <f t="shared" si="37"/>
        <v>50062</v>
      </c>
      <c r="D572" s="324" t="str">
        <f>"0150"</f>
        <v>0150</v>
      </c>
      <c r="E572" s="324">
        <v>1</v>
      </c>
      <c r="F572" s="827">
        <f>IF(Brick_type&lt;&gt;"Timber Frame",COUNTIF(Name,"DOOR*"),0)</f>
        <v>0</v>
      </c>
      <c r="G572" s="829">
        <v>20</v>
      </c>
      <c r="H572" s="412" t="s">
        <v>2860</v>
      </c>
      <c r="I572" s="1258"/>
      <c r="J572" s="2" t="str">
        <f>IF(Table5[[#This Row],[Entered]]&lt;&gt;Table5[[#This Row],[Quantity]],"Check","")</f>
        <v/>
      </c>
    </row>
    <row r="573" spans="1:10" ht="15" x14ac:dyDescent="0.2">
      <c r="A573" s="324" t="s">
        <v>2475</v>
      </c>
      <c r="B573" s="324" t="str">
        <f t="shared" si="36"/>
        <v>0600</v>
      </c>
      <c r="C573" s="324" t="str">
        <f t="shared" si="37"/>
        <v>50062</v>
      </c>
      <c r="D573" s="324" t="str">
        <f>"0160"</f>
        <v>0160</v>
      </c>
      <c r="E573" s="324">
        <v>1</v>
      </c>
      <c r="F573" s="827">
        <f>IF(Brick_type&lt;&gt;"Timber Frame",COUNTIF(Name,"OPENING*"),0)</f>
        <v>0</v>
      </c>
      <c r="G573" s="829">
        <v>20</v>
      </c>
      <c r="H573" s="412" t="s">
        <v>1021</v>
      </c>
      <c r="I573" s="1258"/>
      <c r="J573" s="2" t="str">
        <f>IF(Table5[[#This Row],[Entered]]&lt;&gt;Table5[[#This Row],[Quantity]],"Check","")</f>
        <v/>
      </c>
    </row>
    <row r="574" spans="1:10" ht="15" x14ac:dyDescent="0.2">
      <c r="A574" s="324" t="s">
        <v>2475</v>
      </c>
      <c r="B574" s="324" t="str">
        <f t="shared" si="36"/>
        <v>0600</v>
      </c>
      <c r="C574" s="324" t="str">
        <f t="shared" si="37"/>
        <v>50062</v>
      </c>
      <c r="D574" s="324" t="str">
        <f>"0190"</f>
        <v>0190</v>
      </c>
      <c r="E574" s="324">
        <v>1</v>
      </c>
      <c r="F574" s="1128">
        <f>IF(Brick_type&lt;&gt;"Timber Frame",IF(COUNTIF(Addenda!A:A,"*meter box*")&gt;0,1,0),0)</f>
        <v>0</v>
      </c>
      <c r="G574" s="829">
        <v>20</v>
      </c>
      <c r="H574" s="412" t="s">
        <v>1025</v>
      </c>
      <c r="I574" s="1258"/>
      <c r="J574" s="2" t="str">
        <f>IF(Table5[[#This Row],[Entered]]&lt;&gt;Table5[[#This Row],[Quantity]],"Check","")</f>
        <v/>
      </c>
    </row>
    <row r="575" spans="1:10" ht="15" x14ac:dyDescent="0.2">
      <c r="A575" s="324" t="s">
        <v>2475</v>
      </c>
      <c r="B575" s="324" t="str">
        <f t="shared" si="36"/>
        <v>0600</v>
      </c>
      <c r="C575" s="324" t="str">
        <f t="shared" si="37"/>
        <v>50062</v>
      </c>
      <c r="D575" s="324" t="str">
        <f>"0200"</f>
        <v>0200</v>
      </c>
      <c r="E575" s="324">
        <v>7</v>
      </c>
      <c r="F575" s="827">
        <f>SUMIFS(Length,Name,"Gable,Material,""Brick")</f>
        <v>0</v>
      </c>
      <c r="G575" s="829">
        <v>8</v>
      </c>
      <c r="H575" s="412" t="s">
        <v>2861</v>
      </c>
      <c r="I575" s="1258"/>
      <c r="J575" s="2" t="str">
        <f>IF(Table5[[#This Row],[Entered]]&lt;&gt;Table5[[#This Row],[Quantity]],"Check","")</f>
        <v/>
      </c>
    </row>
    <row r="576" spans="1:10" ht="15" x14ac:dyDescent="0.2">
      <c r="A576" s="324" t="s">
        <v>2475</v>
      </c>
      <c r="B576" s="324" t="str">
        <f t="shared" si="36"/>
        <v>0600</v>
      </c>
      <c r="C576" s="324" t="str">
        <f t="shared" si="37"/>
        <v>50062</v>
      </c>
      <c r="D576" s="324" t="str">
        <f>"0210"</f>
        <v>0210</v>
      </c>
      <c r="E576" s="324">
        <v>1</v>
      </c>
      <c r="F576" s="827">
        <f>COUNTIFS(Name,"Gable",Material,"Brick")</f>
        <v>0</v>
      </c>
      <c r="G576" s="829">
        <v>25</v>
      </c>
      <c r="H576" s="412" t="s">
        <v>2862</v>
      </c>
      <c r="I576" s="1258"/>
      <c r="J576" s="2" t="str">
        <f>IF(Table5[[#This Row],[Entered]]&lt;&gt;Table5[[#This Row],[Quantity]],"Check","")</f>
        <v/>
      </c>
    </row>
    <row r="577" spans="1:10" ht="15" x14ac:dyDescent="0.2">
      <c r="A577" s="324" t="s">
        <v>2475</v>
      </c>
      <c r="B577" s="324" t="str">
        <f t="shared" si="36"/>
        <v>0600</v>
      </c>
      <c r="C577" s="324" t="str">
        <f t="shared" si="37"/>
        <v>50062</v>
      </c>
      <c r="D577" s="324" t="str">
        <f>"0211"</f>
        <v>0211</v>
      </c>
      <c r="E577" s="324">
        <v>1</v>
      </c>
      <c r="F577" s="827">
        <f>IF(InternalWallHeightCourses&gt;28,1,0)</f>
        <v>0</v>
      </c>
      <c r="G577" s="829">
        <v>50</v>
      </c>
      <c r="H577" s="412" t="s">
        <v>2863</v>
      </c>
      <c r="I577" s="1258"/>
      <c r="J577" s="2" t="str">
        <f>IF(Table5[[#This Row],[Entered]]&lt;&gt;Table5[[#This Row],[Quantity]],"Check","")</f>
        <v/>
      </c>
    </row>
    <row r="578" spans="1:10" ht="15" x14ac:dyDescent="0.2">
      <c r="A578" s="324" t="s">
        <v>2475</v>
      </c>
      <c r="B578" s="324" t="str">
        <f t="shared" si="36"/>
        <v>0600</v>
      </c>
      <c r="C578" s="324" t="str">
        <f t="shared" si="37"/>
        <v>50062</v>
      </c>
      <c r="D578" s="324" t="str">
        <f>"0220"</f>
        <v>0220</v>
      </c>
      <c r="E578" s="324">
        <v>1</v>
      </c>
      <c r="F578" s="827">
        <f>COUNTIF(Name,"Pad Footing")</f>
        <v>0</v>
      </c>
      <c r="G578" s="829">
        <v>45</v>
      </c>
      <c r="H578" s="412" t="s">
        <v>2864</v>
      </c>
      <c r="I578" s="1258"/>
      <c r="J578" s="2" t="str">
        <f>IF(Table5[[#This Row],[Entered]]&lt;&gt;Table5[[#This Row],[Quantity]],"Check","")</f>
        <v/>
      </c>
    </row>
    <row r="579" spans="1:10" ht="15" x14ac:dyDescent="0.2">
      <c r="A579" s="324" t="s">
        <v>2475</v>
      </c>
      <c r="B579" s="324" t="str">
        <f t="shared" si="36"/>
        <v>0600</v>
      </c>
      <c r="C579" s="324" t="str">
        <f t="shared" si="37"/>
        <v>50062</v>
      </c>
      <c r="D579" s="324" t="str">
        <f>"0224"</f>
        <v>0224</v>
      </c>
      <c r="E579" s="324">
        <v>1</v>
      </c>
      <c r="F579" s="827">
        <f>COUNTIF(Name,"Attached Pier")</f>
        <v>0</v>
      </c>
      <c r="G579" s="829">
        <v>20</v>
      </c>
      <c r="H579" s="412" t="s">
        <v>910</v>
      </c>
      <c r="I579" s="1258"/>
      <c r="J579" s="2" t="str">
        <f>IF(Table5[[#This Row],[Entered]]&lt;&gt;Table5[[#This Row],[Quantity]],"Check","")</f>
        <v/>
      </c>
    </row>
    <row r="580" spans="1:10" ht="15" x14ac:dyDescent="0.2">
      <c r="A580" s="324" t="s">
        <v>2475</v>
      </c>
      <c r="B580" s="324" t="str">
        <f t="shared" si="36"/>
        <v>0600</v>
      </c>
      <c r="C580" s="324" t="str">
        <f t="shared" si="37"/>
        <v>50062</v>
      </c>
      <c r="D580" s="324" t="str">
        <f>"0230"</f>
        <v>0230</v>
      </c>
      <c r="E580" s="324">
        <v>1</v>
      </c>
      <c r="F580" s="1131"/>
      <c r="G580" s="829"/>
      <c r="H580" s="412" t="s">
        <v>2865</v>
      </c>
      <c r="I580" s="1258"/>
      <c r="J580" s="2" t="str">
        <f>IF(Table5[[#This Row],[Entered]]&lt;&gt;Table5[[#This Row],[Quantity]],"Check","")</f>
        <v/>
      </c>
    </row>
    <row r="581" spans="1:10" ht="15" x14ac:dyDescent="0.2">
      <c r="A581" s="324" t="s">
        <v>2475</v>
      </c>
      <c r="B581" s="324" t="str">
        <f t="shared" si="36"/>
        <v>0600</v>
      </c>
      <c r="C581" s="324" t="str">
        <f t="shared" si="37"/>
        <v>50062</v>
      </c>
      <c r="D581" s="324" t="str">
        <f>"0235"</f>
        <v>0235</v>
      </c>
      <c r="E581" s="324">
        <v>7</v>
      </c>
      <c r="F581" s="827">
        <f>ROUND(SUMIF(Name,"Projected Band",Length),1)</f>
        <v>0</v>
      </c>
      <c r="G581" s="829"/>
      <c r="H581" s="412" t="s">
        <v>2885</v>
      </c>
      <c r="I581" s="1258"/>
      <c r="J581" s="2" t="str">
        <f>IF(Table5[[#This Row],[Entered]]&lt;&gt;Table5[[#This Row],[Quantity]],"Check","")</f>
        <v/>
      </c>
    </row>
    <row r="582" spans="1:10" ht="15" x14ac:dyDescent="0.2">
      <c r="A582" s="324" t="s">
        <v>2475</v>
      </c>
      <c r="B582" s="324" t="str">
        <f t="shared" si="36"/>
        <v>0600</v>
      </c>
      <c r="C582" s="324" t="str">
        <f t="shared" si="37"/>
        <v>50062</v>
      </c>
      <c r="D582" s="324" t="str">
        <f>"0250"</f>
        <v>0250</v>
      </c>
      <c r="E582" s="324">
        <v>7</v>
      </c>
      <c r="F582" s="1131"/>
      <c r="G582" s="829"/>
      <c r="H582" s="412" t="s">
        <v>2866</v>
      </c>
      <c r="I582" s="1258"/>
      <c r="J582" s="2" t="str">
        <f>IF(Table5[[#This Row],[Entered]]&lt;&gt;Table5[[#This Row],[Quantity]],"Check","")</f>
        <v/>
      </c>
    </row>
    <row r="583" spans="1:10" ht="15" x14ac:dyDescent="0.2">
      <c r="A583" s="324" t="s">
        <v>2475</v>
      </c>
      <c r="B583" s="324" t="str">
        <f t="shared" si="36"/>
        <v>0600</v>
      </c>
      <c r="C583" s="324" t="str">
        <f t="shared" si="37"/>
        <v>50062</v>
      </c>
      <c r="D583" s="324" t="str">
        <f>"0273"</f>
        <v>0273</v>
      </c>
      <c r="E583" s="324">
        <v>1</v>
      </c>
      <c r="F583" s="827">
        <f>COUNTIF(Name,"PWP")+COUNTIF(Name,"Pier Rod")</f>
        <v>0</v>
      </c>
      <c r="G583" s="829">
        <v>10</v>
      </c>
      <c r="H583" s="412" t="s">
        <v>2867</v>
      </c>
      <c r="I583" s="1258"/>
      <c r="J583" s="2" t="str">
        <f>IF(Table5[[#This Row],[Entered]]&lt;&gt;Table5[[#This Row],[Quantity]],"Check","")</f>
        <v/>
      </c>
    </row>
    <row r="584" spans="1:10" ht="15" x14ac:dyDescent="0.2">
      <c r="A584" s="324" t="s">
        <v>2475</v>
      </c>
      <c r="B584" s="324" t="str">
        <f t="shared" si="36"/>
        <v>0600</v>
      </c>
      <c r="C584" s="324" t="str">
        <f t="shared" si="37"/>
        <v>50062</v>
      </c>
      <c r="D584" s="324" t="str">
        <f>"0275"</f>
        <v>0275</v>
      </c>
      <c r="E584" s="324">
        <v>7</v>
      </c>
      <c r="F584" s="1131"/>
      <c r="G584" s="829"/>
      <c r="H584" s="412" t="s">
        <v>2868</v>
      </c>
      <c r="I584" s="1258"/>
      <c r="J584" s="2" t="str">
        <f>IF(Table5[[#This Row],[Entered]]&lt;&gt;Table5[[#This Row],[Quantity]],"Check","")</f>
        <v/>
      </c>
    </row>
    <row r="585" spans="1:10" ht="15" x14ac:dyDescent="0.2">
      <c r="A585" s="324" t="s">
        <v>2475</v>
      </c>
      <c r="B585" s="324" t="str">
        <f t="shared" si="36"/>
        <v>0600</v>
      </c>
      <c r="C585" s="324" t="str">
        <f t="shared" si="37"/>
        <v>50062</v>
      </c>
      <c r="D585" s="324" t="str">
        <f>"0280"</f>
        <v>0280</v>
      </c>
      <c r="E585" s="324">
        <v>7</v>
      </c>
      <c r="F585" s="1131"/>
      <c r="G585" s="829"/>
      <c r="H585" s="412" t="s">
        <v>2869</v>
      </c>
      <c r="I585" s="1258"/>
      <c r="J585" s="2" t="str">
        <f>IF(Table5[[#This Row],[Entered]]&lt;&gt;Table5[[#This Row],[Quantity]],"Check","")</f>
        <v/>
      </c>
    </row>
    <row r="586" spans="1:10" ht="15" x14ac:dyDescent="0.2">
      <c r="A586" s="324" t="s">
        <v>2475</v>
      </c>
      <c r="B586" s="324" t="str">
        <f t="shared" si="36"/>
        <v>0600</v>
      </c>
      <c r="C586" s="324" t="str">
        <f t="shared" si="37"/>
        <v>50062</v>
      </c>
      <c r="D586" s="324" t="str">
        <f>"0290"</f>
        <v>0290</v>
      </c>
      <c r="E586" s="324">
        <v>1</v>
      </c>
      <c r="F586" s="1131"/>
      <c r="G586" s="829"/>
      <c r="H586" s="412" t="s">
        <v>2870</v>
      </c>
      <c r="I586" s="1258"/>
      <c r="J586" s="2" t="str">
        <f>IF(Table5[[#This Row],[Entered]]&lt;&gt;Table5[[#This Row],[Quantity]],"Check","")</f>
        <v/>
      </c>
    </row>
    <row r="587" spans="1:10" ht="15" x14ac:dyDescent="0.2">
      <c r="A587" s="324" t="s">
        <v>2475</v>
      </c>
      <c r="B587" s="324" t="str">
        <f t="shared" si="36"/>
        <v>0600</v>
      </c>
      <c r="C587" s="324" t="str">
        <f t="shared" si="37"/>
        <v>50062</v>
      </c>
      <c r="D587" s="324" t="str">
        <f>"0310"</f>
        <v>0310</v>
      </c>
      <c r="E587" s="324">
        <v>4</v>
      </c>
      <c r="F587" s="827">
        <f>ROUNDUP(IF(Brick_type="2c Face",(SUMIF(Name,"Garage Wall",Length)-SUMIF(Name,"Attached Pier",Length))*20,0),0)</f>
        <v>0</v>
      </c>
      <c r="G587" s="829">
        <v>60</v>
      </c>
      <c r="H587" s="412" t="s">
        <v>2871</v>
      </c>
      <c r="I587" s="1258"/>
      <c r="J587" s="2" t="str">
        <f>IF(Table5[[#This Row],[Entered]]&lt;&gt;Table5[[#This Row],[Quantity]],"Check","")</f>
        <v/>
      </c>
    </row>
    <row r="588" spans="1:10" ht="15" x14ac:dyDescent="0.2">
      <c r="A588" s="324" t="s">
        <v>2475</v>
      </c>
      <c r="B588" s="324" t="str">
        <f t="shared" si="36"/>
        <v>0600</v>
      </c>
      <c r="C588" s="324" t="str">
        <f t="shared" si="37"/>
        <v>50062</v>
      </c>
      <c r="D588" s="324" t="str">
        <f>"0370"</f>
        <v>0370</v>
      </c>
      <c r="E588" s="324">
        <v>7</v>
      </c>
      <c r="F588" s="1131"/>
      <c r="G588" s="829"/>
      <c r="H588" s="412" t="s">
        <v>2872</v>
      </c>
      <c r="I588" s="1258"/>
      <c r="J588" s="2" t="str">
        <f>IF(Table5[[#This Row],[Entered]]&lt;&gt;Table5[[#This Row],[Quantity]],"Check","")</f>
        <v/>
      </c>
    </row>
    <row r="589" spans="1:10" ht="15" x14ac:dyDescent="0.2">
      <c r="A589" s="324" t="s">
        <v>2475</v>
      </c>
      <c r="B589" s="324" t="str">
        <f t="shared" si="36"/>
        <v>0600</v>
      </c>
      <c r="C589" s="324" t="str">
        <f t="shared" si="37"/>
        <v>50062</v>
      </c>
      <c r="D589" s="324" t="str">
        <f>"0380"</f>
        <v>0380</v>
      </c>
      <c r="E589" s="324">
        <v>1</v>
      </c>
      <c r="F589" s="827">
        <f>IF(COUNTIF(Addenda!A:A,"*FIREPLACE*")&gt;0,1,0)</f>
        <v>0</v>
      </c>
      <c r="G589" s="829"/>
      <c r="H589" s="412" t="s">
        <v>2873</v>
      </c>
      <c r="I589" s="1258"/>
      <c r="J589" s="2" t="str">
        <f>IF(Table5[[#This Row],[Entered]]&lt;&gt;Table5[[#This Row],[Quantity]],"Check","")</f>
        <v/>
      </c>
    </row>
    <row r="590" spans="1:10" ht="15" x14ac:dyDescent="0.2">
      <c r="A590" s="324" t="s">
        <v>2475</v>
      </c>
      <c r="B590" s="324" t="str">
        <f t="shared" si="36"/>
        <v>0600</v>
      </c>
      <c r="C590" s="324" t="str">
        <f t="shared" si="37"/>
        <v>50062</v>
      </c>
      <c r="D590" s="324" t="str">
        <f>"0401"</f>
        <v>0401</v>
      </c>
      <c r="E590" s="324">
        <v>1</v>
      </c>
      <c r="F590" s="827">
        <f>$F$185+$F$186</f>
        <v>0</v>
      </c>
      <c r="G590" s="829">
        <v>1</v>
      </c>
      <c r="H590" s="412" t="s">
        <v>2874</v>
      </c>
      <c r="I590" s="1258"/>
      <c r="J590" s="2" t="str">
        <f>IF(Table5[[#This Row],[Entered]]&lt;&gt;Table5[[#This Row],[Quantity]],"Check","")</f>
        <v/>
      </c>
    </row>
    <row r="591" spans="1:10" ht="15" x14ac:dyDescent="0.2">
      <c r="A591" s="324" t="s">
        <v>2475</v>
      </c>
      <c r="B591" s="324" t="str">
        <f t="shared" si="36"/>
        <v>0600</v>
      </c>
      <c r="C591" s="324" t="str">
        <f t="shared" si="37"/>
        <v>50062</v>
      </c>
      <c r="D591" s="324" t="str">
        <f>"0406"</f>
        <v>0406</v>
      </c>
      <c r="E591" s="324">
        <v>1</v>
      </c>
      <c r="F591" s="827">
        <f>COUNTIFS(Lintel_Selection,"*T-Bar*",Lintel_Length,"&gt;4")</f>
        <v>0</v>
      </c>
      <c r="G591" s="829">
        <v>30</v>
      </c>
      <c r="H591" s="412" t="s">
        <v>2877</v>
      </c>
      <c r="I591" s="1258"/>
      <c r="J591" s="2" t="str">
        <f>IF(Table5[[#This Row],[Entered]]&lt;&gt;Table5[[#This Row],[Quantity]],"Check","")</f>
        <v/>
      </c>
    </row>
    <row r="592" spans="1:10" ht="15" x14ac:dyDescent="0.2">
      <c r="A592" s="324" t="s">
        <v>2475</v>
      </c>
      <c r="B592" s="324" t="str">
        <f t="shared" si="36"/>
        <v>0600</v>
      </c>
      <c r="C592" s="324" t="str">
        <f t="shared" si="37"/>
        <v>50062</v>
      </c>
      <c r="D592" s="324" t="str">
        <f>"0407"</f>
        <v>0407</v>
      </c>
      <c r="E592" s="324">
        <v>1</v>
      </c>
      <c r="F592" s="827">
        <f>COUNTIFS(Lintel_Selection,"*T-Bar*",Lintel_Length,"&lt;4")</f>
        <v>0</v>
      </c>
      <c r="G592" s="829">
        <v>15</v>
      </c>
      <c r="H592" s="412" t="s">
        <v>2878</v>
      </c>
      <c r="I592" s="1258"/>
      <c r="J592" s="2" t="str">
        <f>IF(Table5[[#This Row],[Entered]]&lt;&gt;Table5[[#This Row],[Quantity]],"Check","")</f>
        <v/>
      </c>
    </row>
    <row r="593" spans="1:10" ht="15" x14ac:dyDescent="0.2">
      <c r="A593" s="324" t="s">
        <v>2475</v>
      </c>
      <c r="B593" s="324" t="str">
        <f t="shared" si="36"/>
        <v>0600</v>
      </c>
      <c r="C593" s="324" t="str">
        <f t="shared" si="37"/>
        <v>50062</v>
      </c>
      <c r="D593" s="324" t="str">
        <f>"0411"</f>
        <v>0411</v>
      </c>
      <c r="E593" s="324">
        <v>7</v>
      </c>
      <c r="F593" s="827">
        <f>IF(Rods_Required="Yes",ROUNDUP('Brickwork GF'!$D$115/1000,0),0)</f>
        <v>0</v>
      </c>
      <c r="G593" s="829">
        <v>0.7</v>
      </c>
      <c r="H593" s="412" t="s">
        <v>2875</v>
      </c>
      <c r="I593" s="1258"/>
      <c r="J593" s="2" t="str">
        <f>IF(Table5[[#This Row],[Entered]]&lt;&gt;Table5[[#This Row],[Quantity]],"Check","")</f>
        <v/>
      </c>
    </row>
    <row r="594" spans="1:10" ht="15" x14ac:dyDescent="0.2">
      <c r="A594" s="324" t="s">
        <v>2475</v>
      </c>
      <c r="B594" s="324" t="str">
        <f t="shared" si="36"/>
        <v>0600</v>
      </c>
      <c r="C594" s="324" t="str">
        <f t="shared" si="37"/>
        <v>50062</v>
      </c>
      <c r="D594" s="324" t="str">
        <f>"0420"</f>
        <v>0420</v>
      </c>
      <c r="E594" s="324">
        <v>1</v>
      </c>
      <c r="F594" s="1131"/>
      <c r="G594" s="829"/>
      <c r="H594" s="412" t="s">
        <v>2879</v>
      </c>
      <c r="I594" s="1258"/>
      <c r="J594" s="2" t="str">
        <f>IF(Table5[[#This Row],[Entered]]&lt;&gt;Table5[[#This Row],[Quantity]],"Check","")</f>
        <v/>
      </c>
    </row>
    <row r="595" spans="1:10" ht="15" x14ac:dyDescent="0.2">
      <c r="A595" s="324" t="s">
        <v>2475</v>
      </c>
      <c r="B595" s="324" t="str">
        <f t="shared" si="36"/>
        <v>0600</v>
      </c>
      <c r="C595" s="324" t="str">
        <f t="shared" si="37"/>
        <v>50062</v>
      </c>
      <c r="D595" s="324" t="str">
        <f>"0475"</f>
        <v>0475</v>
      </c>
      <c r="E595" s="324">
        <v>7</v>
      </c>
      <c r="F595" s="827">
        <f>ROUNDUP(SUMIF('Lintel Sheet'!J:J,"External",'Lintel Sheet'!M:M),0)</f>
        <v>0</v>
      </c>
      <c r="G595" s="829">
        <v>2</v>
      </c>
      <c r="H595" s="412" t="s">
        <v>2880</v>
      </c>
      <c r="I595" s="1258"/>
      <c r="J595" s="2" t="str">
        <f>IF(Table5[[#This Row],[Entered]]&lt;&gt;Table5[[#This Row],[Quantity]],"Check","")</f>
        <v/>
      </c>
    </row>
    <row r="596" spans="1:10" ht="15" x14ac:dyDescent="0.2">
      <c r="A596" s="324" t="s">
        <v>2475</v>
      </c>
      <c r="B596" s="324" t="str">
        <f t="shared" si="36"/>
        <v>0600</v>
      </c>
      <c r="C596" s="324" t="str">
        <f t="shared" si="37"/>
        <v>50062</v>
      </c>
      <c r="D596" s="324" t="str">
        <f>"0482"</f>
        <v>0482</v>
      </c>
      <c r="E596" s="324">
        <v>1</v>
      </c>
      <c r="F596" s="1131"/>
      <c r="G596" s="829"/>
      <c r="H596" s="412" t="s">
        <v>2881</v>
      </c>
      <c r="I596" s="1258"/>
      <c r="J596" s="2" t="str">
        <f>IF(Table5[[#This Row],[Entered]]&lt;&gt;Table5[[#This Row],[Quantity]],"Check","")</f>
        <v/>
      </c>
    </row>
    <row r="597" spans="1:10" ht="15" x14ac:dyDescent="0.2">
      <c r="A597" s="324" t="s">
        <v>2475</v>
      </c>
      <c r="B597" s="324" t="str">
        <f t="shared" si="36"/>
        <v>0600</v>
      </c>
      <c r="C597" s="324" t="str">
        <f t="shared" si="37"/>
        <v>50062</v>
      </c>
      <c r="D597" s="324" t="str">
        <f>"0490"</f>
        <v>0490</v>
      </c>
      <c r="E597" s="324">
        <v>1</v>
      </c>
      <c r="F597" s="827">
        <f>COUNTIF(Name,"Pad Footing")</f>
        <v>0</v>
      </c>
      <c r="G597" s="829">
        <v>10</v>
      </c>
      <c r="H597" s="412" t="s">
        <v>2882</v>
      </c>
      <c r="I597" s="1258"/>
      <c r="J597" s="2" t="str">
        <f>IF(Table5[[#This Row],[Entered]]&lt;&gt;Table5[[#This Row],[Quantity]],"Check","")</f>
        <v/>
      </c>
    </row>
    <row r="598" spans="1:10" ht="15" x14ac:dyDescent="0.2">
      <c r="A598" s="324" t="s">
        <v>2475</v>
      </c>
      <c r="B598" s="324" t="str">
        <f t="shared" si="36"/>
        <v>0600</v>
      </c>
      <c r="C598" s="324" t="str">
        <f t="shared" si="37"/>
        <v>50062</v>
      </c>
      <c r="D598" s="324" t="str">
        <f>"0600"</f>
        <v>0600</v>
      </c>
      <c r="E598" s="324">
        <v>1</v>
      </c>
      <c r="F598" s="827">
        <f>IF(Brick_type&lt;&gt;"Timber Frame",1,0)</f>
        <v>1</v>
      </c>
      <c r="G598" s="829">
        <v>180</v>
      </c>
      <c r="H598" s="412" t="s">
        <v>2884</v>
      </c>
      <c r="I598" s="1258"/>
      <c r="J598" s="2" t="str">
        <f>IF(Table5[[#This Row],[Entered]]&lt;&gt;Table5[[#This Row],[Quantity]],"Check","")</f>
        <v>Check</v>
      </c>
    </row>
    <row r="599" spans="1:10" ht="15" x14ac:dyDescent="0.2">
      <c r="A599" s="324" t="s">
        <v>2475</v>
      </c>
      <c r="B599" s="324" t="str">
        <f t="shared" si="36"/>
        <v>0600</v>
      </c>
      <c r="C599" s="324" t="str">
        <f t="shared" si="37"/>
        <v>50062</v>
      </c>
      <c r="D599" s="324" t="str">
        <f>"0605"</f>
        <v>0605</v>
      </c>
      <c r="E599" s="324">
        <v>1</v>
      </c>
      <c r="F599" s="827">
        <f>IF(InternalWallHeightCourses&gt;=31,1,0)</f>
        <v>0</v>
      </c>
      <c r="G599" s="1105"/>
      <c r="H599" s="412" t="s">
        <v>2883</v>
      </c>
      <c r="I599" s="1258"/>
      <c r="J599" s="2" t="str">
        <f>IF(Table5[[#This Row],[Entered]]&lt;&gt;Table5[[#This Row],[Quantity]],"Check","")</f>
        <v/>
      </c>
    </row>
    <row r="600" spans="1:10" ht="15" x14ac:dyDescent="0.2">
      <c r="A600" s="324" t="s">
        <v>2475</v>
      </c>
      <c r="B600" s="324" t="str">
        <f t="shared" si="36"/>
        <v>0600</v>
      </c>
      <c r="C600" s="324" t="str">
        <f t="shared" si="37"/>
        <v>50062</v>
      </c>
      <c r="D600" s="324" t="str">
        <f>"0925"</f>
        <v>0925</v>
      </c>
      <c r="E600" s="324">
        <v>7</v>
      </c>
      <c r="F600" s="827">
        <f>ROUNDUP(SUMIF(Name,"Wall Insulation",Length),0)</f>
        <v>0</v>
      </c>
      <c r="G600" s="829">
        <v>5</v>
      </c>
      <c r="H600" s="412" t="s">
        <v>2876</v>
      </c>
      <c r="I600" s="1258"/>
      <c r="J600" s="2" t="str">
        <f>IF(Table5[[#This Row],[Entered]]&lt;&gt;Table5[[#This Row],[Quantity]],"Check","")</f>
        <v/>
      </c>
    </row>
    <row r="601" spans="1:10" ht="15" x14ac:dyDescent="0.2">
      <c r="A601" s="324" t="s">
        <v>2475</v>
      </c>
      <c r="B601" s="324" t="str">
        <f t="shared" si="36"/>
        <v>0600</v>
      </c>
      <c r="C601" s="324" t="str">
        <f t="shared" si="37"/>
        <v>50062</v>
      </c>
      <c r="D601" s="324" t="str">
        <f>"8000"</f>
        <v>8000</v>
      </c>
      <c r="E601" s="324">
        <v>0</v>
      </c>
      <c r="F601" s="827">
        <f>IF(Brick_type&lt;&gt;"Timber Frame",1,0)</f>
        <v>1</v>
      </c>
      <c r="G601" s="829">
        <v>0</v>
      </c>
      <c r="H601" s="412" t="s">
        <v>3375</v>
      </c>
      <c r="I601" s="1258"/>
      <c r="J601" s="2" t="str">
        <f>IF(Table5[[#This Row],[Entered]]&lt;&gt;Table5[[#This Row],[Quantity]],"Check","")</f>
        <v>Check</v>
      </c>
    </row>
    <row r="602" spans="1:10" ht="15" x14ac:dyDescent="0.2">
      <c r="A602" s="324" t="s">
        <v>2475</v>
      </c>
      <c r="B602" s="324" t="str">
        <f t="shared" si="36"/>
        <v>0600</v>
      </c>
      <c r="C602" s="324" t="str">
        <f t="shared" si="37"/>
        <v>50062</v>
      </c>
      <c r="D602" s="324" t="str">
        <f>"8001"</f>
        <v>8001</v>
      </c>
      <c r="E602" s="324">
        <v>0</v>
      </c>
      <c r="F602" s="827">
        <f>IF(Brick_type&lt;&gt;"Timber Frame",1,0)</f>
        <v>1</v>
      </c>
      <c r="G602" s="829">
        <v>0</v>
      </c>
      <c r="H602" s="412" t="s">
        <v>3376</v>
      </c>
      <c r="I602" s="1258"/>
      <c r="J602" s="2" t="str">
        <f>IF(Table5[[#This Row],[Entered]]&lt;&gt;Table5[[#This Row],[Quantity]],"Check","")</f>
        <v>Check</v>
      </c>
    </row>
    <row r="603" spans="1:10" ht="15" x14ac:dyDescent="0.2">
      <c r="A603" s="324" t="s">
        <v>2475</v>
      </c>
      <c r="B603" s="324" t="str">
        <f t="shared" si="36"/>
        <v>0600</v>
      </c>
      <c r="C603" s="324" t="str">
        <f t="shared" si="37"/>
        <v>50062</v>
      </c>
      <c r="D603" s="324" t="str">
        <f>"8002"</f>
        <v>8002</v>
      </c>
      <c r="E603" s="324">
        <v>0</v>
      </c>
      <c r="F603" s="827">
        <f>IF(Brick_type&lt;&gt;"Timber Frame",1,0)</f>
        <v>1</v>
      </c>
      <c r="G603" s="829">
        <v>0</v>
      </c>
      <c r="H603" s="412" t="s">
        <v>3377</v>
      </c>
      <c r="I603" s="1258"/>
      <c r="J603" s="2" t="str">
        <f>IF(Table5[[#This Row],[Entered]]&lt;&gt;Table5[[#This Row],[Quantity]],"Check","")</f>
        <v>Check</v>
      </c>
    </row>
    <row r="604" spans="1:10" ht="15" x14ac:dyDescent="0.2">
      <c r="A604" s="324" t="s">
        <v>2475</v>
      </c>
      <c r="B604" s="324" t="str">
        <f t="shared" si="36"/>
        <v>0600</v>
      </c>
      <c r="C604" s="324" t="str">
        <f t="shared" si="37"/>
        <v>50062</v>
      </c>
      <c r="D604" s="324" t="str">
        <f>"9900"</f>
        <v>9900</v>
      </c>
      <c r="E604" s="324">
        <v>0</v>
      </c>
      <c r="F604" s="827">
        <f>IF(Brick_type&lt;&gt;"Timber Frame",1,0)</f>
        <v>1</v>
      </c>
      <c r="G604" s="829">
        <v>0</v>
      </c>
      <c r="H604" s="412" t="s">
        <v>3315</v>
      </c>
      <c r="I604" s="1258"/>
      <c r="J604" s="2" t="str">
        <f>IF(Table5[[#This Row],[Entered]]&lt;&gt;Table5[[#This Row],[Quantity]],"Check","")</f>
        <v>Check</v>
      </c>
    </row>
    <row r="605" spans="1:10" ht="15" x14ac:dyDescent="0.2">
      <c r="A605" s="324"/>
      <c r="B605" s="324"/>
      <c r="C605" s="324"/>
      <c r="D605" s="324"/>
      <c r="E605" s="324"/>
      <c r="F605" s="827"/>
      <c r="G605" s="829"/>
      <c r="H605" s="412"/>
      <c r="I605" s="1258"/>
      <c r="J605" s="2" t="str">
        <f>IF(Table5[[#This Row],[Entered]]&lt;&gt;Table5[[#This Row],[Quantity]],"Check","")</f>
        <v/>
      </c>
    </row>
    <row r="606" spans="1:10" ht="15" x14ac:dyDescent="0.2">
      <c r="A606" s="324" t="s">
        <v>2475</v>
      </c>
      <c r="B606" s="324" t="str">
        <f t="shared" ref="B606:B612" si="38">"1130"</f>
        <v>1130</v>
      </c>
      <c r="C606" s="324">
        <v>50062</v>
      </c>
      <c r="D606" s="324" t="str">
        <f>"0010"</f>
        <v>0010</v>
      </c>
      <c r="E606" s="324">
        <v>4</v>
      </c>
      <c r="F606" s="973">
        <f>$F$566+$F$570</f>
        <v>0</v>
      </c>
      <c r="G606" s="829">
        <v>55</v>
      </c>
      <c r="H606" s="412" t="s">
        <v>2886</v>
      </c>
      <c r="I606" s="1258"/>
      <c r="J606" s="2" t="str">
        <f>IF(Table5[[#This Row],[Entered]]&lt;&gt;Table5[[#This Row],[Quantity]],"Check","")</f>
        <v/>
      </c>
    </row>
    <row r="607" spans="1:10" ht="15" x14ac:dyDescent="0.2">
      <c r="A607" s="324" t="s">
        <v>2475</v>
      </c>
      <c r="B607" s="324" t="str">
        <f t="shared" si="38"/>
        <v>1130</v>
      </c>
      <c r="C607" s="324">
        <v>50062</v>
      </c>
      <c r="D607" s="324" t="str">
        <f>"0015"</f>
        <v>0015</v>
      </c>
      <c r="E607" s="324">
        <v>4</v>
      </c>
      <c r="F607" s="973">
        <f>$F$565</f>
        <v>0</v>
      </c>
      <c r="G607" s="829">
        <v>110</v>
      </c>
      <c r="H607" s="412" t="s">
        <v>2887</v>
      </c>
      <c r="I607" s="1258"/>
      <c r="J607" s="2" t="str">
        <f>IF(Table5[[#This Row],[Entered]]&lt;&gt;Table5[[#This Row],[Quantity]],"Check","")</f>
        <v/>
      </c>
    </row>
    <row r="608" spans="1:10" ht="15" x14ac:dyDescent="0.2">
      <c r="A608" s="324" t="s">
        <v>2475</v>
      </c>
      <c r="B608" s="324" t="str">
        <f t="shared" si="38"/>
        <v>1130</v>
      </c>
      <c r="C608" s="324">
        <v>50062</v>
      </c>
      <c r="D608" s="324" t="str">
        <f>"0030"</f>
        <v>0030</v>
      </c>
      <c r="E608" s="324">
        <v>4</v>
      </c>
      <c r="F608" s="973">
        <f>ROUNDUP(IF(Brick_type="Standard Face",(SUMIF(Name,"Garage Wall",Length)-SUMIF(Name,"Attached Pier",Length))*48.5,0),0)</f>
        <v>0</v>
      </c>
      <c r="G608" s="829"/>
      <c r="H608" s="412" t="s">
        <v>2890</v>
      </c>
      <c r="I608" s="1258"/>
      <c r="J608" s="2" t="str">
        <f>IF(Table5[[#This Row],[Entered]]&lt;&gt;Table5[[#This Row],[Quantity]],"Check","")</f>
        <v/>
      </c>
    </row>
    <row r="609" spans="1:10" ht="15" x14ac:dyDescent="0.2">
      <c r="A609" s="324" t="s">
        <v>2475</v>
      </c>
      <c r="B609" s="324" t="str">
        <f t="shared" si="38"/>
        <v>1130</v>
      </c>
      <c r="C609" s="324">
        <v>50062</v>
      </c>
      <c r="D609" s="324" t="str">
        <f>"0031"</f>
        <v>0031</v>
      </c>
      <c r="E609" s="324">
        <v>4</v>
      </c>
      <c r="F609" s="973">
        <f>ROUNDUP(IF(Brick_type="2c Face",(SUMIF(Name,"Garage Wall",Length)-SUMIF(Name,"Attached Pier",Length))*18.5,0),0)</f>
        <v>0</v>
      </c>
      <c r="G609" s="829">
        <v>110</v>
      </c>
      <c r="H609" s="412" t="s">
        <v>2889</v>
      </c>
      <c r="I609" s="1258"/>
      <c r="J609" s="2" t="str">
        <f>IF(Table5[[#This Row],[Entered]]&lt;&gt;Table5[[#This Row],[Quantity]],"Check","")</f>
        <v/>
      </c>
    </row>
    <row r="610" spans="1:10" ht="15" x14ac:dyDescent="0.2">
      <c r="A610" s="324" t="s">
        <v>2475</v>
      </c>
      <c r="B610" s="324" t="str">
        <f t="shared" si="38"/>
        <v>1130</v>
      </c>
      <c r="C610" s="324">
        <v>50062</v>
      </c>
      <c r="D610" s="324" t="str">
        <f>"0500"</f>
        <v>0500</v>
      </c>
      <c r="E610" s="324">
        <v>1</v>
      </c>
      <c r="F610" s="973" cm="1">
        <f t="array" ref="F610">IF(OR(SUMIFS(F:F,B:B,"0490",H:H,"*"&amp;RedBricks&amp;"*")&gt;0),1,0)</f>
        <v>0</v>
      </c>
      <c r="G610" s="829"/>
      <c r="H610" s="412" t="s">
        <v>2888</v>
      </c>
      <c r="I610" s="1258"/>
      <c r="J610" s="2" t="str">
        <f>IF(Table5[[#This Row],[Entered]]&lt;&gt;Table5[[#This Row],[Quantity]],"Check","")</f>
        <v/>
      </c>
    </row>
    <row r="611" spans="1:10" ht="15" x14ac:dyDescent="0.2">
      <c r="A611" s="324" t="s">
        <v>2475</v>
      </c>
      <c r="B611" s="324" t="str">
        <f t="shared" si="38"/>
        <v>1130</v>
      </c>
      <c r="C611" s="324">
        <v>50062</v>
      </c>
      <c r="D611" s="324" t="str">
        <f>"9014"</f>
        <v>9014</v>
      </c>
      <c r="E611" s="324">
        <v>1</v>
      </c>
      <c r="F611" s="973">
        <f>COUNTIF(Address,"*Augusta*")</f>
        <v>0</v>
      </c>
      <c r="G611" s="829"/>
      <c r="H611" s="412" t="s">
        <v>2891</v>
      </c>
      <c r="I611" s="1258"/>
      <c r="J611" s="2" t="str">
        <f>IF(Table5[[#This Row],[Entered]]&lt;&gt;Table5[[#This Row],[Quantity]],"Check","")</f>
        <v/>
      </c>
    </row>
    <row r="612" spans="1:10" ht="15" x14ac:dyDescent="0.2">
      <c r="A612" s="324" t="s">
        <v>2475</v>
      </c>
      <c r="B612" s="324" t="str">
        <f t="shared" si="38"/>
        <v>1130</v>
      </c>
      <c r="C612" s="324">
        <v>50062</v>
      </c>
      <c r="D612" s="324" t="str">
        <f>"9068"</f>
        <v>9068</v>
      </c>
      <c r="E612" s="324">
        <v>1</v>
      </c>
      <c r="F612" s="1170" cm="1">
        <f t="array" ref="F612">IF(SUM(COUNTIF(Address,{"*MARGARET RIVER*","*COWARAMUP*"}))&gt;0,1,0)</f>
        <v>0</v>
      </c>
      <c r="G612" s="829"/>
      <c r="H612" s="412" t="s">
        <v>2892</v>
      </c>
      <c r="I612" s="1258"/>
      <c r="J612" s="2" t="str">
        <f>IF(Table5[[#This Row],[Entered]]&lt;&gt;Table5[[#This Row],[Quantity]],"Check","")</f>
        <v/>
      </c>
    </row>
    <row r="613" spans="1:10" ht="15" x14ac:dyDescent="0.2">
      <c r="A613" s="324"/>
      <c r="B613" s="324"/>
      <c r="C613" s="324"/>
      <c r="D613" s="324"/>
      <c r="E613" s="324"/>
      <c r="F613" s="973"/>
      <c r="G613" s="829"/>
      <c r="H613" s="412"/>
      <c r="I613" s="1258"/>
      <c r="J613" s="2" t="str">
        <f>IF(Table5[[#This Row],[Entered]]&lt;&gt;Table5[[#This Row],[Quantity]],"Check","")</f>
        <v/>
      </c>
    </row>
    <row r="614" spans="1:10" ht="15" x14ac:dyDescent="0.2">
      <c r="A614" s="324" t="s">
        <v>2475</v>
      </c>
      <c r="B614" s="324" t="str">
        <f>"1170"</f>
        <v>1170</v>
      </c>
      <c r="C614" s="324">
        <v>50061</v>
      </c>
      <c r="D614" s="324" t="str">
        <f>"0015"</f>
        <v>0015</v>
      </c>
      <c r="E614" s="324">
        <v>1</v>
      </c>
      <c r="F614" s="827">
        <f>IF(Brick_type&lt;&gt;"Timber Frame",1,0)</f>
        <v>1</v>
      </c>
      <c r="G614" s="829">
        <v>250</v>
      </c>
      <c r="H614" s="412" t="s">
        <v>2826</v>
      </c>
      <c r="I614" s="1258"/>
      <c r="J614" s="2" t="str">
        <f>IF(Table5[[#This Row],[Entered]]&lt;&gt;Table5[[#This Row],[Quantity]],"Check","")</f>
        <v>Check</v>
      </c>
    </row>
    <row r="615" spans="1:10" ht="15" x14ac:dyDescent="0.2">
      <c r="A615" s="324"/>
      <c r="B615" s="324"/>
      <c r="C615" s="324"/>
      <c r="D615" s="324"/>
      <c r="E615" s="324"/>
      <c r="F615" s="827"/>
      <c r="G615" s="829"/>
      <c r="H615" s="412"/>
      <c r="I615" s="1258"/>
      <c r="J615" s="2" t="str">
        <f>IF(Table5[[#This Row],[Entered]]&lt;&gt;Table5[[#This Row],[Quantity]],"Check","")</f>
        <v/>
      </c>
    </row>
    <row r="616" spans="1:10" ht="15" x14ac:dyDescent="0.2">
      <c r="A616" s="324" t="s">
        <v>3164</v>
      </c>
      <c r="B616" s="324" t="str">
        <f>"0580"</f>
        <v>0580</v>
      </c>
      <c r="C616" s="324">
        <f>IF(Quotes!C17="SRG Global",10642751,50001)</f>
        <v>10642751</v>
      </c>
      <c r="D616" s="324" t="str">
        <f>"7000"</f>
        <v>7000</v>
      </c>
      <c r="E616" s="324">
        <v>1</v>
      </c>
      <c r="F616" s="827">
        <f>IF(COUNTIF(Name,"Raked Ceiling*")+COUNTIF(Name,"Gable*")&gt;0,1,0)</f>
        <v>0</v>
      </c>
      <c r="G616" s="829">
        <f>Quotes!B17</f>
        <v>0</v>
      </c>
      <c r="H616" s="412" t="s">
        <v>3165</v>
      </c>
      <c r="I616" s="1258"/>
      <c r="J616" s="2" t="str">
        <f>IF(Table5[[#This Row],[Entered]]&lt;&gt;Table5[[#This Row],[Quantity]],"Check","")</f>
        <v/>
      </c>
    </row>
    <row r="617" spans="1:10" ht="15" x14ac:dyDescent="0.2">
      <c r="A617" s="324"/>
      <c r="B617" s="324"/>
      <c r="C617" s="324"/>
      <c r="D617" s="324"/>
      <c r="E617" s="324"/>
      <c r="F617" s="827"/>
      <c r="G617" s="829"/>
      <c r="H617" s="412"/>
      <c r="I617" s="1258"/>
      <c r="J617" s="2" t="str">
        <f>IF(Table5[[#This Row],[Entered]]&lt;&gt;Table5[[#This Row],[Quantity]],"Check","")</f>
        <v/>
      </c>
    </row>
    <row r="618" spans="1:10" ht="15" x14ac:dyDescent="0.2">
      <c r="A618" s="324" t="s">
        <v>3580</v>
      </c>
      <c r="B618" s="324" t="str">
        <f>"0785"</f>
        <v>0785</v>
      </c>
      <c r="C618" s="324" t="str">
        <f>"03083"</f>
        <v>03083</v>
      </c>
      <c r="D618" s="324">
        <v>7000</v>
      </c>
      <c r="E618" s="324">
        <v>1</v>
      </c>
      <c r="F618" s="827">
        <f>IF(Brick_type="Timber Frame",1,0)</f>
        <v>0</v>
      </c>
      <c r="G618" s="829">
        <f>Quotes!B24</f>
        <v>0</v>
      </c>
      <c r="H618" s="412" t="s">
        <v>3581</v>
      </c>
      <c r="I618" s="1258"/>
      <c r="J618" s="2" t="str">
        <f>IF(Table5[[#This Row],[Entered]]&lt;&gt;Table5[[#This Row],[Quantity]],"Check","")</f>
        <v/>
      </c>
    </row>
    <row r="619" spans="1:10" ht="15" x14ac:dyDescent="0.2">
      <c r="A619" s="324"/>
      <c r="B619" s="324"/>
      <c r="C619" s="324"/>
      <c r="D619" s="324"/>
      <c r="E619" s="324"/>
      <c r="F619" s="827"/>
      <c r="G619" s="829"/>
      <c r="H619" s="412"/>
      <c r="I619" s="1207"/>
      <c r="J619" s="73" t="str">
        <f>IF(Table5[[#This Row],[Entered]]&lt;&gt;Table5[[#This Row],[Quantity]],"Check","")</f>
        <v/>
      </c>
    </row>
    <row r="620" spans="1:10" ht="15" x14ac:dyDescent="0.2">
      <c r="A620" s="324" t="str">
        <f>IF(Brick_type="Timber Frame","ECLAD1","WFRAME1")</f>
        <v>WFRAME1</v>
      </c>
      <c r="B620" s="324" t="str">
        <f t="shared" ref="B620:B625" si="39">"0820"</f>
        <v>0820</v>
      </c>
      <c r="C620" s="324" t="str">
        <f>"52014"</f>
        <v>52014</v>
      </c>
      <c r="D620" s="324" t="str">
        <f>"0651"</f>
        <v>0651</v>
      </c>
      <c r="E620" s="324">
        <v>1</v>
      </c>
      <c r="F620" s="827">
        <f>IF(OR(Brick_type="Timber Frame",Brick_type="Reverse Brick Veneer"),1,0)</f>
        <v>0</v>
      </c>
      <c r="G620" s="829">
        <v>63.3</v>
      </c>
      <c r="H620" s="412" t="s">
        <v>3586</v>
      </c>
      <c r="I620" s="1207"/>
      <c r="J620" s="73" t="str">
        <f>IF(Table5[[#This Row],[Entered]]&lt;&gt;Table5[[#This Row],[Quantity]],"Check","")</f>
        <v/>
      </c>
    </row>
    <row r="621" spans="1:10" ht="15" x14ac:dyDescent="0.2">
      <c r="A621" s="324" t="str">
        <f>IF(Brick_type="Timber Frame","ECLAD1","WFRAME1")</f>
        <v>WFRAME1</v>
      </c>
      <c r="B621" s="324" t="str">
        <f t="shared" si="39"/>
        <v>0820</v>
      </c>
      <c r="C621" s="324">
        <v>52014</v>
      </c>
      <c r="D621" s="324" t="str">
        <f>"9029"</f>
        <v>9029</v>
      </c>
      <c r="E621" s="324">
        <v>1</v>
      </c>
      <c r="F621" s="827" cm="1">
        <f t="array" ref="F621">IF(Brick_type="Timber Frame",IF(SUMPRODUCT(--ISNUMBER(SEARCH(BunningsZone1,Address)))&gt;0,1,0),0)</f>
        <v>0</v>
      </c>
      <c r="G621" s="829">
        <v>55</v>
      </c>
      <c r="H621" s="412" t="s">
        <v>2916</v>
      </c>
      <c r="I621" s="324"/>
      <c r="J621" s="73" t="str">
        <f>IF(Table5[[#This Row],[Entered]]&lt;&gt;Table5[[#This Row],[Quantity]],"Check","")</f>
        <v/>
      </c>
    </row>
    <row r="622" spans="1:10" ht="15" x14ac:dyDescent="0.2">
      <c r="A622" s="324" t="str">
        <f>IF(Brick_type="Timber Frame","ECLAD1","WFRAME1")</f>
        <v>WFRAME1</v>
      </c>
      <c r="B622" s="324" t="str">
        <f t="shared" si="39"/>
        <v>0820</v>
      </c>
      <c r="C622" s="324">
        <v>52014</v>
      </c>
      <c r="D622" s="324" t="str">
        <f>"9031"</f>
        <v>9031</v>
      </c>
      <c r="E622" s="324">
        <v>1</v>
      </c>
      <c r="F622" s="827" cm="1">
        <f t="array" ref="F622">IF(Brick_type="Timber Frame",IF(SUMPRODUCT(--ISNUMBER(SEARCH(BunningsZone2,Address)))&gt;0,1,0),0)</f>
        <v>0</v>
      </c>
      <c r="G622" s="829">
        <v>55</v>
      </c>
      <c r="H622" s="412" t="s">
        <v>2917</v>
      </c>
      <c r="I622" s="324"/>
      <c r="J622" s="73" t="str">
        <f>IF(Table5[[#This Row],[Entered]]&lt;&gt;Table5[[#This Row],[Quantity]],"Check","")</f>
        <v/>
      </c>
    </row>
    <row r="623" spans="1:10" ht="15" x14ac:dyDescent="0.2">
      <c r="A623" s="324" t="s">
        <v>3580</v>
      </c>
      <c r="B623" s="324" t="str">
        <f t="shared" si="39"/>
        <v>0820</v>
      </c>
      <c r="C623" s="324">
        <v>52014</v>
      </c>
      <c r="D623" s="324" t="str">
        <f>"9044"</f>
        <v>9044</v>
      </c>
      <c r="E623" s="324">
        <v>1</v>
      </c>
      <c r="F623" s="827" cm="1">
        <f t="array" ref="F623">IF(Brick_type="Timber Frame",IF(SUMPRODUCT(--ISNUMBER(SEARCH(BunningsZone3,Address)))&gt;0,1,0),0)</f>
        <v>0</v>
      </c>
      <c r="G623" s="829"/>
      <c r="H623" s="412" t="s">
        <v>2918</v>
      </c>
      <c r="I623" s="324"/>
      <c r="J623" s="73" t="str">
        <f>IF(Table5[[#This Row],[Entered]]&lt;&gt;Table5[[#This Row],[Quantity]],"Check","")</f>
        <v/>
      </c>
    </row>
    <row r="624" spans="1:10" ht="15" x14ac:dyDescent="0.2">
      <c r="A624" s="324" t="s">
        <v>3580</v>
      </c>
      <c r="B624" s="324" t="str">
        <f t="shared" si="39"/>
        <v>0820</v>
      </c>
      <c r="C624" s="324">
        <v>52014</v>
      </c>
      <c r="D624" s="324" t="str">
        <f>"9068"</f>
        <v>9068</v>
      </c>
      <c r="E624" s="324">
        <v>1</v>
      </c>
      <c r="F624" s="827" cm="1">
        <f t="array" ref="F624">IF(Brick_type="Timber Frame",IF(SUMPRODUCT(--ISNUMBER(SEARCH(BunningsZone4,Address)))&gt;0,1,0),0)</f>
        <v>0</v>
      </c>
      <c r="G624" s="829"/>
      <c r="H624" s="412" t="s">
        <v>2919</v>
      </c>
      <c r="I624" s="324"/>
      <c r="J624" s="73" t="str">
        <f>IF(Table5[[#This Row],[Entered]]&lt;&gt;Table5[[#This Row],[Quantity]],"Check","")</f>
        <v/>
      </c>
    </row>
    <row r="625" spans="1:10" ht="15" x14ac:dyDescent="0.2">
      <c r="A625" s="324" t="s">
        <v>3580</v>
      </c>
      <c r="B625" s="324" t="str">
        <f t="shared" si="39"/>
        <v>0820</v>
      </c>
      <c r="C625" s="324">
        <v>52014</v>
      </c>
      <c r="D625" s="324" t="str">
        <f>"9024"</f>
        <v>9024</v>
      </c>
      <c r="E625" s="324">
        <v>1</v>
      </c>
      <c r="F625" s="827" cm="1">
        <f t="array" ref="F625">IF(Brick_type="Timber Frame",IF(SUMPRODUCT(--ISNUMBER(SEARCH(BunningsZone5,Address)))&gt;0,1,0),0)</f>
        <v>0</v>
      </c>
      <c r="G625" s="829"/>
      <c r="H625" s="412" t="s">
        <v>2920</v>
      </c>
      <c r="I625" s="324"/>
      <c r="J625" s="73" t="str">
        <f>IF(Table5[[#This Row],[Entered]]&lt;&gt;Table5[[#This Row],[Quantity]],"Check","")</f>
        <v/>
      </c>
    </row>
    <row r="626" spans="1:10" ht="15" x14ac:dyDescent="0.2">
      <c r="A626" s="324"/>
      <c r="B626" s="324"/>
      <c r="C626" s="324"/>
      <c r="D626" s="324"/>
      <c r="E626" s="324"/>
      <c r="F626" s="827"/>
      <c r="G626" s="829"/>
      <c r="H626" s="412"/>
      <c r="I626" s="1207"/>
      <c r="J626" s="73" t="str">
        <f>IF(Table5[[#This Row],[Entered]]&lt;&gt;Table5[[#This Row],[Quantity]],"Check","")</f>
        <v/>
      </c>
    </row>
    <row r="627" spans="1:10" ht="15" x14ac:dyDescent="0.2">
      <c r="A627" s="324" t="s">
        <v>3580</v>
      </c>
      <c r="B627" s="324" t="str">
        <f t="shared" ref="B627:B633" si="40">"0850"</f>
        <v>0850</v>
      </c>
      <c r="C627" s="324" t="str">
        <f t="shared" ref="C627:C633" si="41">"50062"</f>
        <v>50062</v>
      </c>
      <c r="D627" s="324" t="str">
        <f>"0057"</f>
        <v>0057</v>
      </c>
      <c r="E627" s="324">
        <v>7</v>
      </c>
      <c r="F627" s="827">
        <f>IF(OR(Brick_type="Timber Frame",Brick_type="Brick Veneer"),ROUNDUP(H_Perim,1),IF(Brick_type="Reverse Brick Veneer",ROUNDUP(H_Perim,1),0))</f>
        <v>0</v>
      </c>
      <c r="G627" s="829">
        <v>1.2</v>
      </c>
      <c r="H627" s="412" t="s">
        <v>3582</v>
      </c>
      <c r="I627" s="1207"/>
      <c r="J627" s="73" t="str">
        <f>IF(Table5[[#This Row],[Entered]]&lt;&gt;Table5[[#This Row],[Quantity]],"Check","")</f>
        <v/>
      </c>
    </row>
    <row r="628" spans="1:10" ht="15" x14ac:dyDescent="0.2">
      <c r="A628" s="324" t="s">
        <v>3580</v>
      </c>
      <c r="B628" s="324" t="str">
        <f t="shared" si="40"/>
        <v>0850</v>
      </c>
      <c r="C628" s="324" t="str">
        <f t="shared" si="41"/>
        <v>50062</v>
      </c>
      <c r="D628" s="324" t="str">
        <f>"0315"</f>
        <v>0315</v>
      </c>
      <c r="E628" s="324">
        <v>7</v>
      </c>
      <c r="F628" s="827">
        <f>IF(OR(Brick_type="Timber Frame",Brick_type="Brick Veneer"),ROUNDUP(((H_Perim*1000)+GarageWallLength+InternalWallLengthGround)/1000,0),IF(Brick_type="Reverse Brick Veneer",ROUNDUP(((H_Perim*1000)+GarageWallLength)/1000,0),0))</f>
        <v>0</v>
      </c>
      <c r="G628" s="829">
        <v>20</v>
      </c>
      <c r="H628" s="412" t="s">
        <v>3516</v>
      </c>
      <c r="I628" s="1258"/>
      <c r="J628" s="2" t="str">
        <f>IF(Table5[[#This Row],[Entered]]&lt;&gt;Table5[[#This Row],[Quantity]],"Check","")</f>
        <v/>
      </c>
    </row>
    <row r="629" spans="1:10" ht="15" x14ac:dyDescent="0.2">
      <c r="A629" s="324" t="s">
        <v>3580</v>
      </c>
      <c r="B629" s="324" t="str">
        <f t="shared" si="40"/>
        <v>0850</v>
      </c>
      <c r="C629" s="324" t="str">
        <f t="shared" si="41"/>
        <v>50062</v>
      </c>
      <c r="D629" s="324" t="str">
        <f>"0317"</f>
        <v>0317</v>
      </c>
      <c r="E629" s="324">
        <v>1</v>
      </c>
      <c r="F629" s="827">
        <f>IF(Brick_type="Timber Frame",IF(CEILING(SUMIF(Name,"Studwork",Length)+SUMIF(Name,"Reverse Brick Veneer",Length)+SUMIF(Name,"Wall Stud Int",Length),10)&gt;0,CEILING(SUMIF(Name,"Studwork",Length)+SUMIF(Name,"Reverse Brick Veneer",Length)+SUMIF(Name,"Wall Stud Int",Length),10),0),0)</f>
        <v>0</v>
      </c>
      <c r="G629" s="829">
        <v>3</v>
      </c>
      <c r="H629" s="412" t="s">
        <v>2939</v>
      </c>
      <c r="I629" s="1258"/>
      <c r="J629" s="2" t="str">
        <f>IF(Table5[[#This Row],[Entered]]&lt;&gt;Table5[[#This Row],[Quantity]],"Check","")</f>
        <v/>
      </c>
    </row>
    <row r="630" spans="1:10" ht="15" x14ac:dyDescent="0.2">
      <c r="A630" s="324" t="s">
        <v>3580</v>
      </c>
      <c r="B630" s="324" t="str">
        <f t="shared" si="40"/>
        <v>0850</v>
      </c>
      <c r="C630" s="324" t="str">
        <f t="shared" si="41"/>
        <v>50062</v>
      </c>
      <c r="D630" s="324" t="str">
        <f>"0334"</f>
        <v>0334</v>
      </c>
      <c r="E630" s="324">
        <v>8</v>
      </c>
      <c r="F630" s="827" cm="1">
        <f t="array" ref="F630">ROUNDUP(SUMPRODUCT(--(Name="Plywood Bracing"),Length,SUMIF(Lists!$T$2:$T$150,Height,Lists!$W$2:$W$150))/1000,1)</f>
        <v>0</v>
      </c>
      <c r="G630" s="829">
        <v>9</v>
      </c>
      <c r="H630" s="412" t="s">
        <v>3585</v>
      </c>
      <c r="I630" s="1258"/>
      <c r="J630" s="2" t="str">
        <f>IF(Table5[[#This Row],[Entered]]&lt;&gt;Table5[[#This Row],[Quantity]],"Check","")</f>
        <v/>
      </c>
    </row>
    <row r="631" spans="1:10" ht="15" x14ac:dyDescent="0.2">
      <c r="A631" s="324" t="s">
        <v>3580</v>
      </c>
      <c r="B631" s="324" t="str">
        <f t="shared" si="40"/>
        <v>0850</v>
      </c>
      <c r="C631" s="324" t="str">
        <f t="shared" si="41"/>
        <v>50062</v>
      </c>
      <c r="D631" s="324" t="str">
        <f>"0336"</f>
        <v>0336</v>
      </c>
      <c r="E631" s="324">
        <v>1</v>
      </c>
      <c r="F631" s="827">
        <f>IF(OR(Brick_type="Timber Frame",Brick_type="Reverse Brick Veneer"),1,0)</f>
        <v>0</v>
      </c>
      <c r="G631" s="829">
        <v>30</v>
      </c>
      <c r="H631" s="412" t="s">
        <v>3583</v>
      </c>
      <c r="I631" s="1207"/>
      <c r="J631" s="73" t="str">
        <f>IF(Table5[[#This Row],[Entered]]&lt;&gt;Table5[[#This Row],[Quantity]],"Check","")</f>
        <v/>
      </c>
    </row>
    <row r="632" spans="1:10" ht="15" x14ac:dyDescent="0.2">
      <c r="A632" s="324" t="s">
        <v>3580</v>
      </c>
      <c r="B632" s="324" t="str">
        <f t="shared" si="40"/>
        <v>0850</v>
      </c>
      <c r="C632" s="324" t="str">
        <f t="shared" si="41"/>
        <v>50062</v>
      </c>
      <c r="D632" s="324" t="str">
        <f>"0338"</f>
        <v>0338</v>
      </c>
      <c r="E632" s="324">
        <v>1</v>
      </c>
      <c r="F632" s="827">
        <f>IF(Brick_type="Timber Frame",1,0)</f>
        <v>0</v>
      </c>
      <c r="G632" s="829">
        <v>180</v>
      </c>
      <c r="H632" s="412" t="s">
        <v>3584</v>
      </c>
      <c r="I632" s="1207"/>
      <c r="J632" s="73" t="str">
        <f>IF(Table5[[#This Row],[Entered]]&lt;&gt;Table5[[#This Row],[Quantity]],"Check","")</f>
        <v/>
      </c>
    </row>
    <row r="633" spans="1:10" ht="15" x14ac:dyDescent="0.2">
      <c r="A633" s="324" t="s">
        <v>3580</v>
      </c>
      <c r="B633" s="324" t="str">
        <f t="shared" si="40"/>
        <v>0850</v>
      </c>
      <c r="C633" s="324" t="str">
        <f t="shared" si="41"/>
        <v>50062</v>
      </c>
      <c r="D633" s="324" t="str">
        <f>"0360"</f>
        <v>0360</v>
      </c>
      <c r="E633" s="324">
        <v>1</v>
      </c>
      <c r="F633" s="827">
        <f>IF(Brick_type="Timber Frame",COUNTIF(Name,"OPENING RBV*")+COUNTIF(Name,"OPENING STUD*"),0)</f>
        <v>0</v>
      </c>
      <c r="G633" s="829">
        <v>30</v>
      </c>
      <c r="H633" s="412" t="s">
        <v>2945</v>
      </c>
      <c r="I633" s="1258"/>
      <c r="J633" s="2" t="str">
        <f>IF(Table5[[#This Row],[Entered]]&lt;&gt;Table5[[#This Row],[Quantity]],"Check","")</f>
        <v/>
      </c>
    </row>
    <row r="634" spans="1:10" ht="15" x14ac:dyDescent="0.2">
      <c r="A634" s="324"/>
      <c r="B634" s="324"/>
      <c r="C634" s="324"/>
      <c r="D634" s="324"/>
      <c r="E634" s="324"/>
      <c r="F634" s="827"/>
      <c r="G634" s="829"/>
      <c r="H634" s="412"/>
      <c r="I634" s="1207"/>
      <c r="J634" s="73" t="str">
        <f>IF(Table5[[#This Row],[Entered]]&lt;&gt;Table5[[#This Row],[Quantity]],"Check","")</f>
        <v/>
      </c>
    </row>
    <row r="635" spans="1:10" ht="15" x14ac:dyDescent="0.2">
      <c r="A635" s="324" t="s">
        <v>3580</v>
      </c>
      <c r="B635" s="324" t="str">
        <f>"1170"</f>
        <v>1170</v>
      </c>
      <c r="C635" s="324">
        <v>50061</v>
      </c>
      <c r="D635" s="324" t="str">
        <f>"0015"</f>
        <v>0015</v>
      </c>
      <c r="E635" s="324">
        <v>1</v>
      </c>
      <c r="F635" s="827">
        <f>IF(Brick_type="Timber Frame",1,0)</f>
        <v>0</v>
      </c>
      <c r="G635" s="829">
        <v>250</v>
      </c>
      <c r="H635" s="412" t="s">
        <v>2826</v>
      </c>
      <c r="I635" s="1258"/>
      <c r="J635" s="2" t="str">
        <f>IF(Table5[[#This Row],[Entered]]&lt;&gt;Table5[[#This Row],[Quantity]],"Check","")</f>
        <v/>
      </c>
    </row>
    <row r="636" spans="1:10" ht="15" x14ac:dyDescent="0.2">
      <c r="A636" s="324"/>
      <c r="B636" s="324"/>
      <c r="C636" s="324"/>
      <c r="D636" s="324"/>
      <c r="E636" s="324"/>
      <c r="F636" s="827"/>
      <c r="G636" s="829"/>
      <c r="H636" s="412"/>
      <c r="I636" s="1207"/>
      <c r="J636" s="73" t="str">
        <f>IF(Table5[[#This Row],[Entered]]&lt;&gt;Table5[[#This Row],[Quantity]],"Check","")</f>
        <v/>
      </c>
    </row>
    <row r="637" spans="1:10" ht="15" x14ac:dyDescent="0.2">
      <c r="A637" s="324" t="str">
        <f t="shared" ref="A637:A642" si="42">IF(Brick_type="Timber Frame","ECLAD1","RFRAME1")</f>
        <v>RFRAME1</v>
      </c>
      <c r="B637" s="324" t="str">
        <f t="shared" ref="B637:B642" si="43">"0850"</f>
        <v>0850</v>
      </c>
      <c r="C637" s="324" t="str">
        <f t="shared" ref="C637:C642" si="44">"50062"</f>
        <v>50062</v>
      </c>
      <c r="D637" s="324" t="str">
        <f>"0323"</f>
        <v>0323</v>
      </c>
      <c r="E637" s="324">
        <v>1</v>
      </c>
      <c r="F637" s="827">
        <f>IF(Brick_type="Timber Frame",COUNTIF(Name,"OPENING RBV*")+COUNTIF(Name,"OPENING STUD*"),0)</f>
        <v>0</v>
      </c>
      <c r="G637" s="829">
        <v>12.72</v>
      </c>
      <c r="H637" s="412" t="s">
        <v>2940</v>
      </c>
      <c r="I637" s="1258"/>
      <c r="J637" s="2" t="str">
        <f>IF(Table5[[#This Row],[Entered]]&lt;&gt;Table5[[#This Row],[Quantity]],"Check","")</f>
        <v/>
      </c>
    </row>
    <row r="638" spans="1:10" ht="15" x14ac:dyDescent="0.2">
      <c r="A638" s="324" t="str">
        <f t="shared" si="42"/>
        <v>RFRAME1</v>
      </c>
      <c r="B638" s="324" t="str">
        <f t="shared" si="43"/>
        <v>0850</v>
      </c>
      <c r="C638" s="324" t="str">
        <f t="shared" si="44"/>
        <v>50062</v>
      </c>
      <c r="D638" s="324" t="str">
        <f>"0326"</f>
        <v>0326</v>
      </c>
      <c r="E638" s="324">
        <v>8</v>
      </c>
      <c r="F638" s="1189">
        <f>IF(Brick_type="Timber Frame",'External Cladding'!$J$55,0)</f>
        <v>0</v>
      </c>
      <c r="G638" s="829">
        <v>2.16</v>
      </c>
      <c r="H638" s="412" t="s">
        <v>2941</v>
      </c>
      <c r="I638" s="1258"/>
      <c r="J638" s="2" t="str">
        <f>IF(Table5[[#This Row],[Entered]]&lt;&gt;Table5[[#This Row],[Quantity]],"Check","")</f>
        <v/>
      </c>
    </row>
    <row r="639" spans="1:10" ht="15" x14ac:dyDescent="0.2">
      <c r="A639" s="324" t="str">
        <f t="shared" si="42"/>
        <v>RFRAME1</v>
      </c>
      <c r="B639" s="324" t="str">
        <f t="shared" si="43"/>
        <v>0850</v>
      </c>
      <c r="C639" s="324" t="str">
        <f t="shared" si="44"/>
        <v>50062</v>
      </c>
      <c r="D639" s="324" t="str">
        <f>"0327"</f>
        <v>0327</v>
      </c>
      <c r="E639" s="324">
        <v>7</v>
      </c>
      <c r="F639" s="827">
        <f>IF(Brick_type="Timber Frame",COUNTIF(Name,"House Corner*"),0)</f>
        <v>0</v>
      </c>
      <c r="G639" s="829">
        <v>12</v>
      </c>
      <c r="H639" s="412" t="s">
        <v>2942</v>
      </c>
      <c r="I639" s="1258"/>
      <c r="J639" s="2" t="str">
        <f>IF(Table5[[#This Row],[Entered]]&lt;&gt;Table5[[#This Row],[Quantity]],"Check","")</f>
        <v/>
      </c>
    </row>
    <row r="640" spans="1:10" ht="15" x14ac:dyDescent="0.2">
      <c r="A640" s="324" t="str">
        <f t="shared" si="42"/>
        <v>RFRAME1</v>
      </c>
      <c r="B640" s="324" t="str">
        <f t="shared" si="43"/>
        <v>0850</v>
      </c>
      <c r="C640" s="324" t="str">
        <f t="shared" si="44"/>
        <v>50062</v>
      </c>
      <c r="D640" s="324" t="str">
        <f>"0420"</f>
        <v>0420</v>
      </c>
      <c r="E640" s="324">
        <v>1</v>
      </c>
      <c r="F640" s="827">
        <f>IF(Brick_type="Timber Frame",COUNTIF(Name,"OPENING RBV*")+COUNTIF(Name,"OPENING STUD*"),0)</f>
        <v>0</v>
      </c>
      <c r="G640" s="829">
        <v>40</v>
      </c>
      <c r="H640" s="412" t="s">
        <v>3204</v>
      </c>
      <c r="I640" s="1258"/>
      <c r="J640" s="2" t="str">
        <f>IF(Table5[[#This Row],[Entered]]&lt;&gt;Table5[[#This Row],[Quantity]],"Check","")</f>
        <v/>
      </c>
    </row>
    <row r="641" spans="1:10" ht="15" x14ac:dyDescent="0.2">
      <c r="A641" s="324" t="str">
        <f t="shared" si="42"/>
        <v>RFRAME1</v>
      </c>
      <c r="B641" s="324" t="str">
        <f t="shared" si="43"/>
        <v>0850</v>
      </c>
      <c r="C641" s="324" t="str">
        <f t="shared" si="44"/>
        <v>50062</v>
      </c>
      <c r="D641" s="324" t="str">
        <f>"0431"</f>
        <v>0431</v>
      </c>
      <c r="E641" s="324">
        <v>8</v>
      </c>
      <c r="F641" s="827">
        <f>IF(Brick_type="Timber Frame",IF(ROUND('External Cladding'!$J$55,1)&gt;50,ROUND('External Cladding'!$J$55,1),0),0)</f>
        <v>0</v>
      </c>
      <c r="G641" s="829">
        <v>38.4</v>
      </c>
      <c r="H641" s="412" t="s">
        <v>2952</v>
      </c>
      <c r="I641" s="1258"/>
      <c r="J641" s="2" t="str">
        <f>IF(Table5[[#This Row],[Entered]]&lt;&gt;Table5[[#This Row],[Quantity]],"Check","")</f>
        <v/>
      </c>
    </row>
    <row r="642" spans="1:10" ht="15" x14ac:dyDescent="0.2">
      <c r="A642" s="324" t="str">
        <f t="shared" si="42"/>
        <v>RFRAME1</v>
      </c>
      <c r="B642" s="324" t="str">
        <f t="shared" si="43"/>
        <v>0850</v>
      </c>
      <c r="C642" s="324" t="str">
        <f t="shared" si="44"/>
        <v>50062</v>
      </c>
      <c r="D642" s="324" t="str">
        <f>"0434"</f>
        <v>0434</v>
      </c>
      <c r="E642" s="324">
        <v>8</v>
      </c>
      <c r="F642" s="1189">
        <f>IF(Brick_type="Timber Frame",IF(AND(ROUND('External Cladding'!$J$55,1)&lt;=50,ROUND('External Cladding'!$J$55,1)&gt;0),ROUND('External Cladding'!$J$55,1),0),0)</f>
        <v>0</v>
      </c>
      <c r="G642" s="829">
        <v>48</v>
      </c>
      <c r="H642" s="412" t="s">
        <v>2953</v>
      </c>
      <c r="I642" s="1258"/>
      <c r="J642" s="2" t="str">
        <f>IF(Table5[[#This Row],[Entered]]&lt;&gt;Table5[[#This Row],[Quantity]],"Check","")</f>
        <v/>
      </c>
    </row>
    <row r="643" spans="1:10" ht="15" x14ac:dyDescent="0.2">
      <c r="A643" s="324"/>
      <c r="B643" s="324"/>
      <c r="C643" s="324"/>
      <c r="D643" s="324"/>
      <c r="E643" s="324"/>
      <c r="F643" s="827"/>
      <c r="G643" s="829"/>
      <c r="H643" s="412"/>
      <c r="I643" s="1207"/>
      <c r="J643" s="73" t="str">
        <f>IF(Table5[[#This Row],[Entered]]&lt;&gt;Table5[[#This Row],[Quantity]],"Check","")</f>
        <v/>
      </c>
    </row>
    <row r="644" spans="1:10" ht="15" x14ac:dyDescent="0.2">
      <c r="A644" s="324" t="s">
        <v>3587</v>
      </c>
      <c r="B644" s="324" t="str">
        <f>"0880"</f>
        <v>0880</v>
      </c>
      <c r="C644" s="324" t="str">
        <f>"50062"</f>
        <v>50062</v>
      </c>
      <c r="D644" s="324" t="str">
        <f>"0059"</f>
        <v>0059</v>
      </c>
      <c r="E644" s="324">
        <v>8</v>
      </c>
      <c r="F644" s="827">
        <f t="array" ref="F644">IF(Brick_type="Timber Frame",ROUNDUP(SUMPRODUCT(--(Name="Wet Drywall"),Length,SUMIF(Lists!$T$2:$T$150,Height,Lists!$W$2:$W$150))/1000,1)+ROUNDUP(SUMPRODUCT(--('CSV FF'!A:A="Wet Drywall"),'CSV FF'!C:C,SUMIF(Lists!$T$2:$T$150,'CSV FF'!E:E,Lists!$W$2:$W$150))/1000,1),0)</f>
        <v>0</v>
      </c>
      <c r="G644" s="829">
        <v>4</v>
      </c>
      <c r="H644" s="412" t="s">
        <v>2968</v>
      </c>
      <c r="I644" s="1207"/>
      <c r="J644" s="73" t="str">
        <f>IF(Table5[[#This Row],[Entered]]&lt;&gt;Table5[[#This Row],[Quantity]],"Check","")</f>
        <v/>
      </c>
    </row>
    <row r="645" spans="1:10" ht="15" x14ac:dyDescent="0.2">
      <c r="A645" s="324" t="s">
        <v>3587</v>
      </c>
      <c r="B645" s="324" t="str">
        <f>"0880"</f>
        <v>0880</v>
      </c>
      <c r="C645" s="324" t="str">
        <f>"50062"</f>
        <v>50062</v>
      </c>
      <c r="D645" s="324" t="str">
        <f>"0070"</f>
        <v>0070</v>
      </c>
      <c r="E645" s="324">
        <v>8</v>
      </c>
      <c r="F645" s="827" cm="1">
        <f t="array" ref="F645">IF(Brick_type="Timber Frame",IF(Plasterboard?="Yes",Plaster_Upto_31c_Ground,0)+IF(IFERROR(ROUNDDOWN(AVERAGEIFS(Height,Name,"Drywall"),0)&lt;=32,0),ROUNDUP(SUMPRODUCT(--(Name="Drywall"),Length,SUMIF(Lists!$T$2:$T$150,Height,Lists!$W$2:$W$150))/1000,1),0),0)</f>
        <v>0</v>
      </c>
      <c r="G645" s="829">
        <v>21</v>
      </c>
      <c r="H645" s="412" t="s">
        <v>3261</v>
      </c>
      <c r="I645" s="1258"/>
      <c r="J645" s="2" t="str">
        <f>IF(Table5[[#This Row],[Entered]]&lt;&gt;Table5[[#This Row],[Quantity]],"Check","")</f>
        <v/>
      </c>
    </row>
    <row r="646" spans="1:10" ht="15" x14ac:dyDescent="0.2">
      <c r="A646" s="324" t="s">
        <v>3587</v>
      </c>
      <c r="B646" s="324" t="str">
        <f>"0880"</f>
        <v>0880</v>
      </c>
      <c r="C646" s="324" t="str">
        <f>"50062"</f>
        <v>50062</v>
      </c>
      <c r="D646" s="324" t="str">
        <f>"0222"</f>
        <v>0222</v>
      </c>
      <c r="E646" s="324">
        <v>1</v>
      </c>
      <c r="F646" s="827">
        <f>IF(AND(Brick_type="Timber Frame",Plasterboard?="Yes"),(COUNTIF(Name,"Corner Bead"))*('Brickwork GF'!I80/1000),0)</f>
        <v>0</v>
      </c>
      <c r="G646" s="829">
        <v>3.5</v>
      </c>
      <c r="H646" s="412" t="s">
        <v>3588</v>
      </c>
      <c r="I646" s="1258"/>
      <c r="J646" s="2" t="str">
        <f>IF(Table5[[#This Row],[Entered]]&lt;&gt;Table5[[#This Row],[Quantity]],"Check","")</f>
        <v/>
      </c>
    </row>
    <row r="647" spans="1:10" ht="15" x14ac:dyDescent="0.2">
      <c r="A647" s="324" t="s">
        <v>3587</v>
      </c>
      <c r="B647" s="324" t="str">
        <f>"0880"</f>
        <v>0880</v>
      </c>
      <c r="C647" s="324" t="str">
        <f>"50062"</f>
        <v>50062</v>
      </c>
      <c r="D647" s="324" t="str">
        <f>"1000"</f>
        <v>1000</v>
      </c>
      <c r="E647" s="324">
        <v>8</v>
      </c>
      <c r="F647" s="1130" cm="1">
        <f t="array" ref="F647">IF(Brick_type="Timber Frame",ROUNDUP(SUMPRODUCT(--(Name="Studwork"),Length,SUMIF(Lists!$T$2:$T$150,Height,Lists!$W$2:$W$150))/1000,1)-ROUNDDOWN(SUMPRODUCT(--(Name="Opening Stud"),Length,SUMIF(Lists!$T$2:$T$150,Height,Lists!$W$2:$W$150))/1000,1),0)</f>
        <v>0</v>
      </c>
      <c r="G647" s="829">
        <v>2.5</v>
      </c>
      <c r="H647" s="412" t="s">
        <v>2951</v>
      </c>
      <c r="I647" s="1207"/>
      <c r="J647" s="73" t="str">
        <f>IF(Table5[[#This Row],[Entered]]&lt;&gt;Table5[[#This Row],[Quantity]],"Check","")</f>
        <v/>
      </c>
    </row>
    <row r="648" spans="1:10" ht="15" x14ac:dyDescent="0.2">
      <c r="A648" s="324" t="s">
        <v>3587</v>
      </c>
      <c r="B648" s="324" t="str">
        <f>"0880"</f>
        <v>0880</v>
      </c>
      <c r="C648" s="324" t="str">
        <f>"50062"</f>
        <v>50062</v>
      </c>
      <c r="D648" s="324" t="str">
        <f>"9900"</f>
        <v>9900</v>
      </c>
      <c r="E648" s="324">
        <v>0</v>
      </c>
      <c r="F648" s="827">
        <f>IF(Brick_type="Timber Frame",1,0)</f>
        <v>0</v>
      </c>
      <c r="G648" s="829">
        <v>0</v>
      </c>
      <c r="H648" s="412" t="s">
        <v>3315</v>
      </c>
      <c r="I648" s="1207"/>
      <c r="J648" s="73" t="str">
        <f>IF(Table5[[#This Row],[Entered]]&lt;&gt;Table5[[#This Row],[Quantity]],"Check","")</f>
        <v/>
      </c>
    </row>
    <row r="649" spans="1:10" ht="15" x14ac:dyDescent="0.2">
      <c r="A649" s="324"/>
      <c r="B649" s="324"/>
      <c r="C649" s="324"/>
      <c r="D649" s="324"/>
      <c r="E649" s="324"/>
      <c r="F649" s="827"/>
      <c r="G649" s="829"/>
      <c r="H649" s="412"/>
      <c r="I649" s="1207"/>
      <c r="J649" s="73" t="str">
        <f>IF(Table5[[#This Row],[Entered]]&lt;&gt;Table5[[#This Row],[Quantity]],"Check","")</f>
        <v/>
      </c>
    </row>
    <row r="650" spans="1:10" ht="15" x14ac:dyDescent="0.2">
      <c r="A650" s="324" t="s">
        <v>3587</v>
      </c>
      <c r="B650" s="324" t="str">
        <f>"1170"</f>
        <v>1170</v>
      </c>
      <c r="C650" s="324" t="str">
        <f>"50061"</f>
        <v>50061</v>
      </c>
      <c r="D650" s="324" t="str">
        <f>"0016"</f>
        <v>0016</v>
      </c>
      <c r="E650" s="324">
        <v>1</v>
      </c>
      <c r="F650" s="827">
        <f>IF(Brick_type="Timber Frame",1,0)</f>
        <v>0</v>
      </c>
      <c r="G650" s="829">
        <v>250</v>
      </c>
      <c r="H650" s="412" t="s">
        <v>3412</v>
      </c>
      <c r="I650" s="1258"/>
      <c r="J650" s="2" t="str">
        <f>IF(Table5[[#This Row],[Entered]]&lt;&gt;Table5[[#This Row],[Quantity]],"Check","")</f>
        <v/>
      </c>
    </row>
    <row r="651" spans="1:10" ht="15" x14ac:dyDescent="0.2">
      <c r="A651" s="324"/>
      <c r="B651" s="324"/>
      <c r="C651" s="324"/>
      <c r="D651" s="324"/>
      <c r="E651" s="324"/>
      <c r="F651" s="827"/>
      <c r="G651" s="829"/>
      <c r="H651" s="412"/>
      <c r="I651" s="1207"/>
      <c r="J651" s="73" t="str">
        <f>IF(Table5[[#This Row],[Entered]]&lt;&gt;Table5[[#This Row],[Quantity]],"Check","")</f>
        <v/>
      </c>
    </row>
    <row r="652" spans="1:10" ht="15" x14ac:dyDescent="0.2">
      <c r="A652" s="324" t="s">
        <v>2894</v>
      </c>
      <c r="B652" s="324" t="str">
        <f>"0555"</f>
        <v>0555</v>
      </c>
      <c r="C652" s="324" t="str">
        <f>"50001"</f>
        <v>50001</v>
      </c>
      <c r="D652" s="324" t="str">
        <f>"0421"</f>
        <v>0421</v>
      </c>
      <c r="E652" s="324">
        <v>1</v>
      </c>
      <c r="F652" s="827">
        <v>500</v>
      </c>
      <c r="G652" s="829">
        <v>1</v>
      </c>
      <c r="H652" s="412" t="s">
        <v>3073</v>
      </c>
      <c r="I652" s="1258"/>
      <c r="J652" s="2" t="str">
        <f>IF(Table5[[#This Row],[Entered]]&lt;&gt;Table5[[#This Row],[Quantity]],"Check","")</f>
        <v>Check</v>
      </c>
    </row>
    <row r="653" spans="1:10" ht="15" x14ac:dyDescent="0.2">
      <c r="A653" s="324"/>
      <c r="B653" s="324"/>
      <c r="C653" s="324"/>
      <c r="D653" s="324"/>
      <c r="E653" s="324"/>
      <c r="F653" s="827"/>
      <c r="G653" s="829"/>
      <c r="H653" s="412"/>
      <c r="I653" s="1207"/>
      <c r="J653" s="73" t="str">
        <f>IF(Table5[[#This Row],[Entered]]&lt;&gt;Table5[[#This Row],[Quantity]],"Check","")</f>
        <v/>
      </c>
    </row>
    <row r="654" spans="1:10" ht="15" x14ac:dyDescent="0.2">
      <c r="A654" s="324" t="s">
        <v>2894</v>
      </c>
      <c r="B654" s="324" t="str">
        <f>"0785"</f>
        <v>0785</v>
      </c>
      <c r="C654" s="324" t="str">
        <f>IF(COUNTIF(Addenda!A:A,"*plunkett*")&gt;0,"02107","50052")</f>
        <v>50052</v>
      </c>
      <c r="D654" s="324" t="str">
        <f>"7000"</f>
        <v>7000</v>
      </c>
      <c r="E654" s="324">
        <v>1</v>
      </c>
      <c r="F654" s="827">
        <v>1</v>
      </c>
      <c r="G654" s="829">
        <f>ROUND(Quotes!B11,1)</f>
        <v>0</v>
      </c>
      <c r="H654" s="412" t="s">
        <v>3589</v>
      </c>
      <c r="I654" s="1258"/>
      <c r="J654" s="73" t="str">
        <f>IF(Table5[[#This Row],[Entered]]&lt;&gt;Table5[[#This Row],[Quantity]],"Check","")</f>
        <v>Check</v>
      </c>
    </row>
    <row r="655" spans="1:10" ht="15" x14ac:dyDescent="0.2">
      <c r="A655" s="324"/>
      <c r="B655" s="324"/>
      <c r="C655" s="324"/>
      <c r="D655" s="324"/>
      <c r="E655" s="324"/>
      <c r="F655" s="827"/>
      <c r="G655" s="829"/>
      <c r="H655" s="412"/>
      <c r="I655" s="1207"/>
      <c r="J655" s="73" t="str">
        <f>IF(Table5[[#This Row],[Entered]]&lt;&gt;Table5[[#This Row],[Quantity]],"Check","")</f>
        <v/>
      </c>
    </row>
    <row r="656" spans="1:10" ht="15" x14ac:dyDescent="0.2">
      <c r="A656" s="324" t="s">
        <v>2894</v>
      </c>
      <c r="B656" s="324" t="str">
        <f>"0810"</f>
        <v>0810</v>
      </c>
      <c r="C656" s="324" t="str">
        <f>IF(COUNTIF(Addenda!A:A,"*plunkett*")&gt;0,"02107","50052")</f>
        <v>50052</v>
      </c>
      <c r="D656" s="324" t="str">
        <f>"7000"</f>
        <v>7000</v>
      </c>
      <c r="E656" s="324">
        <v>1</v>
      </c>
      <c r="F656" s="827">
        <v>1</v>
      </c>
      <c r="G656" s="829">
        <f>ROUND(Quotes!B12,1)</f>
        <v>0</v>
      </c>
      <c r="H656" s="412" t="s">
        <v>3704</v>
      </c>
      <c r="I656" s="1258"/>
      <c r="J656" s="73" t="str">
        <f>IF(Table5[[#This Row],[Entered]]&lt;&gt;Table5[[#This Row],[Quantity]],"Check","")</f>
        <v>Check</v>
      </c>
    </row>
    <row r="657" spans="1:10" ht="15" x14ac:dyDescent="0.2">
      <c r="A657" s="324"/>
      <c r="B657" s="324"/>
      <c r="C657" s="324"/>
      <c r="D657" s="324"/>
      <c r="E657" s="324"/>
      <c r="F657" s="827"/>
      <c r="G657" s="829"/>
      <c r="H657" s="412"/>
      <c r="I657" s="1207"/>
      <c r="J657" s="73" t="str">
        <f>IF(Table5[[#This Row],[Entered]]&lt;&gt;Table5[[#This Row],[Quantity]],"Check","")</f>
        <v/>
      </c>
    </row>
    <row r="658" spans="1:10" s="1161" customFormat="1" ht="15" x14ac:dyDescent="0.2">
      <c r="A658" s="324" t="s">
        <v>2894</v>
      </c>
      <c r="B658" s="324" t="str">
        <f>"0820"</f>
        <v>0820</v>
      </c>
      <c r="C658" s="324" t="str">
        <f>IF(COUNTIF(Addenda!A:A,"*plunkett*")&gt;0,"02107","50052")</f>
        <v>50052</v>
      </c>
      <c r="D658" s="324" t="str">
        <f>"7000"</f>
        <v>7000</v>
      </c>
      <c r="E658" s="324">
        <v>1</v>
      </c>
      <c r="F658" s="827">
        <v>1</v>
      </c>
      <c r="G658" s="829">
        <f>ROUND(Quotes!B13,1)</f>
        <v>0</v>
      </c>
      <c r="H658" s="412" t="str">
        <f>IF(COUNTIF(Addenda!A:A,"*plunkett*")&gt;0,"SUPPLY ROOF HARDWARE AS PER QUOTE","ROOF HARDWARE ALLOWANCE")</f>
        <v>ROOF HARDWARE ALLOWANCE</v>
      </c>
      <c r="I658" s="1258"/>
      <c r="J658" s="2" t="str">
        <f>IF(Table5[[#This Row],[Entered]]&lt;&gt;Table5[[#This Row],[Quantity]],"Check","")</f>
        <v>Check</v>
      </c>
    </row>
    <row r="659" spans="1:10" s="1161" customFormat="1" ht="15" x14ac:dyDescent="0.2">
      <c r="A659" s="324"/>
      <c r="B659" s="324"/>
      <c r="C659" s="324"/>
      <c r="D659" s="324"/>
      <c r="E659" s="324"/>
      <c r="F659" s="827"/>
      <c r="G659" s="829"/>
      <c r="H659" s="412"/>
      <c r="I659" s="1258"/>
      <c r="J659" s="2" t="str">
        <f>IF(Table5[[#This Row],[Entered]]&lt;&gt;Table5[[#This Row],[Quantity]],"Check","")</f>
        <v/>
      </c>
    </row>
    <row r="660" spans="1:10" s="1161" customFormat="1" ht="15" x14ac:dyDescent="0.2">
      <c r="A660" s="342" t="s">
        <v>2894</v>
      </c>
      <c r="B660" s="342" t="str">
        <f t="shared" ref="B660:B690" si="45">"0810"</f>
        <v>0810</v>
      </c>
      <c r="C660" s="342" t="str">
        <f t="shared" ref="C660:C690" si="46">"52014"</f>
        <v>52014</v>
      </c>
      <c r="D660" s="342" t="str">
        <f>"7000"</f>
        <v>7000</v>
      </c>
      <c r="E660" s="342">
        <v>1</v>
      </c>
      <c r="F660" s="1159">
        <f>IF(COUNTIF(Addenda!A:A,"*Plunkett*")&gt;0,1,)</f>
        <v>0</v>
      </c>
      <c r="G660" s="1160">
        <v>0</v>
      </c>
      <c r="H660" s="503" t="s">
        <v>3316</v>
      </c>
      <c r="I660" s="1258"/>
      <c r="J660" s="6" t="str">
        <f>IF(Table5[[#This Row],[Entered]]&lt;&gt;Table5[[#This Row],[Quantity]],"Check","")</f>
        <v/>
      </c>
    </row>
    <row r="661" spans="1:10" s="1161" customFormat="1" ht="15" x14ac:dyDescent="0.2">
      <c r="A661" s="342" t="s">
        <v>2894</v>
      </c>
      <c r="B661" s="342" t="str">
        <f t="shared" si="45"/>
        <v>0810</v>
      </c>
      <c r="C661" s="342" t="str">
        <f t="shared" si="46"/>
        <v>52014</v>
      </c>
      <c r="D661" s="342">
        <f>329</f>
        <v>329</v>
      </c>
      <c r="E661" s="342">
        <v>1</v>
      </c>
      <c r="F661" s="1159">
        <f>(COUNTIF(Name,"Brick Bracket")+COUNTIF(Name,"LVL Bracket"))*32</f>
        <v>0</v>
      </c>
      <c r="G661" s="1160"/>
      <c r="H661" s="503" t="s">
        <v>1816</v>
      </c>
      <c r="I661" s="1258"/>
      <c r="J661" s="73" t="str">
        <f>IF(Table5[[#This Row],[Entered]]&lt;&gt;Table5[[#This Row],[Quantity]],"Check","")</f>
        <v/>
      </c>
    </row>
    <row r="662" spans="1:10" s="1161" customFormat="1" ht="15" x14ac:dyDescent="0.2">
      <c r="A662" s="342" t="s">
        <v>2894</v>
      </c>
      <c r="B662" s="342" t="str">
        <f t="shared" si="45"/>
        <v>0810</v>
      </c>
      <c r="C662" s="342" t="str">
        <f t="shared" si="46"/>
        <v>52014</v>
      </c>
      <c r="D662" s="342">
        <f>331</f>
        <v>331</v>
      </c>
      <c r="E662" s="342" t="s">
        <v>1817</v>
      </c>
      <c r="F662" s="1159">
        <f>COUNTIF(Name,"Brick Bracket")+COUNTIF(Name,"LVL Bracket")</f>
        <v>0</v>
      </c>
      <c r="G662" s="1160"/>
      <c r="H662" s="503" t="s">
        <v>1818</v>
      </c>
      <c r="I662" s="1258"/>
      <c r="J662" s="73" t="str">
        <f>IF(Table5[[#This Row],[Entered]]&lt;&gt;Table5[[#This Row],[Quantity]],"Check","")</f>
        <v/>
      </c>
    </row>
    <row r="663" spans="1:10" s="1161" customFormat="1" ht="15" x14ac:dyDescent="0.2">
      <c r="A663" s="342" t="s">
        <v>2894</v>
      </c>
      <c r="B663" s="342" t="str">
        <f t="shared" si="45"/>
        <v>0810</v>
      </c>
      <c r="C663" s="342" t="str">
        <f t="shared" si="46"/>
        <v>52014</v>
      </c>
      <c r="D663" s="342">
        <f>603</f>
        <v>603</v>
      </c>
      <c r="E663" s="342">
        <v>1</v>
      </c>
      <c r="F663" s="1159">
        <f>IF(Roof_Type="Tiled Roof",ROUNDUP(SUMIF(Name,"Gable",Length)/5,0),0)</f>
        <v>0</v>
      </c>
      <c r="G663" s="1160"/>
      <c r="H663" s="503" t="s">
        <v>1755</v>
      </c>
      <c r="I663" s="1258"/>
      <c r="J663" s="73" t="str">
        <f>IF(Table5[[#This Row],[Entered]]&lt;&gt;Table5[[#This Row],[Quantity]],"Check","")</f>
        <v/>
      </c>
    </row>
    <row r="664" spans="1:10" s="1161" customFormat="1" ht="15" x14ac:dyDescent="0.2">
      <c r="A664" s="342" t="s">
        <v>2894</v>
      </c>
      <c r="B664" s="342" t="str">
        <f t="shared" si="45"/>
        <v>0810</v>
      </c>
      <c r="C664" s="342" t="str">
        <f t="shared" si="46"/>
        <v>52014</v>
      </c>
      <c r="D664" s="342">
        <f>620</f>
        <v>620</v>
      </c>
      <c r="E664" s="342">
        <v>1</v>
      </c>
      <c r="F664" s="1159"/>
      <c r="G664" s="1160"/>
      <c r="H664" s="503" t="s">
        <v>1758</v>
      </c>
      <c r="I664" s="1258"/>
      <c r="J664" s="73" t="str">
        <f>IF(Table5[[#This Row],[Entered]]&lt;&gt;Table5[[#This Row],[Quantity]],"Check","")</f>
        <v/>
      </c>
    </row>
    <row r="665" spans="1:10" s="1161" customFormat="1" ht="15" x14ac:dyDescent="0.2">
      <c r="A665" s="342" t="s">
        <v>2894</v>
      </c>
      <c r="B665" s="342" t="str">
        <f t="shared" si="45"/>
        <v>0810</v>
      </c>
      <c r="C665" s="342" t="str">
        <f t="shared" si="46"/>
        <v>52014</v>
      </c>
      <c r="D665" s="342">
        <f>621</f>
        <v>621</v>
      </c>
      <c r="E665" s="342">
        <v>1</v>
      </c>
      <c r="F665" s="1159">
        <f>COUNTIFS(Name,"Posts",Material,"Bush")</f>
        <v>0</v>
      </c>
      <c r="G665" s="1160"/>
      <c r="H665" s="503" t="s">
        <v>1756</v>
      </c>
      <c r="I665" s="1258"/>
      <c r="J665" s="73" t="str">
        <f>IF(Table5[[#This Row],[Entered]]&lt;&gt;Table5[[#This Row],[Quantity]],"Check","")</f>
        <v/>
      </c>
    </row>
    <row r="666" spans="1:10" s="1161" customFormat="1" ht="15" x14ac:dyDescent="0.2">
      <c r="A666" s="342" t="s">
        <v>2894</v>
      </c>
      <c r="B666" s="342" t="str">
        <f t="shared" si="45"/>
        <v>0810</v>
      </c>
      <c r="C666" s="342" t="str">
        <f t="shared" si="46"/>
        <v>52014</v>
      </c>
      <c r="D666" s="342">
        <f>662</f>
        <v>662</v>
      </c>
      <c r="E666" s="342">
        <v>1</v>
      </c>
      <c r="F666" s="1159">
        <f>ROUNDUP(SUMIF(Name,"Patio Brackets",Length)/IF(Roof_Type="Steel Roof",0.9,0.6)*1.1,0)</f>
        <v>0</v>
      </c>
      <c r="G666" s="1160"/>
      <c r="H666" s="503" t="s">
        <v>1757</v>
      </c>
      <c r="I666" s="1258"/>
      <c r="J666" s="73" t="str">
        <f>IF(Table5[[#This Row],[Entered]]&lt;&gt;Table5[[#This Row],[Quantity]],"Check","")</f>
        <v/>
      </c>
    </row>
    <row r="667" spans="1:10" s="1161" customFormat="1" ht="15" x14ac:dyDescent="0.2">
      <c r="A667" s="342" t="s">
        <v>2894</v>
      </c>
      <c r="B667" s="342" t="str">
        <f t="shared" si="45"/>
        <v>0810</v>
      </c>
      <c r="C667" s="342" t="str">
        <f t="shared" si="46"/>
        <v>52014</v>
      </c>
      <c r="D667" s="342">
        <f>672</f>
        <v>672</v>
      </c>
      <c r="E667" s="342">
        <v>1</v>
      </c>
      <c r="F667" s="1159">
        <f>COUNTIF(Name,"Rec. Bracket")</f>
        <v>0</v>
      </c>
      <c r="G667" s="1160"/>
      <c r="H667" s="503" t="s">
        <v>1286</v>
      </c>
      <c r="I667" s="1258"/>
      <c r="J667" s="73" t="str">
        <f>IF(Table5[[#This Row],[Entered]]&lt;&gt;Table5[[#This Row],[Quantity]],"Check","")</f>
        <v/>
      </c>
    </row>
    <row r="668" spans="1:10" s="1161" customFormat="1" ht="15" x14ac:dyDescent="0.2">
      <c r="A668" s="342" t="s">
        <v>2894</v>
      </c>
      <c r="B668" s="342" t="str">
        <f t="shared" si="45"/>
        <v>0810</v>
      </c>
      <c r="C668" s="342" t="str">
        <f t="shared" si="46"/>
        <v>52014</v>
      </c>
      <c r="D668" s="342">
        <f>822</f>
        <v>822</v>
      </c>
      <c r="E668" s="342">
        <v>1</v>
      </c>
      <c r="F668" s="1159">
        <f>IF(AND('External Cladding'!$F$3="DURAGROOVE SMOOTH NARROW",AND(Brick_type&lt;&gt;"Timber Frame",Brick_type&lt;&gt;"Reverse Brick Veneer")),'External Cladding'!$H$55,0)</f>
        <v>0</v>
      </c>
      <c r="G668" s="1160"/>
      <c r="H668" s="503" t="s">
        <v>1914</v>
      </c>
      <c r="I668" s="1258"/>
      <c r="J668" s="73" t="str">
        <f>IF(Table5[[#This Row],[Entered]]&lt;&gt;Table5[[#This Row],[Quantity]],"Check","")</f>
        <v/>
      </c>
    </row>
    <row r="669" spans="1:10" s="1161" customFormat="1" ht="15" x14ac:dyDescent="0.2">
      <c r="A669" s="342" t="s">
        <v>2894</v>
      </c>
      <c r="B669" s="342" t="str">
        <f t="shared" si="45"/>
        <v>0810</v>
      </c>
      <c r="C669" s="342" t="str">
        <f t="shared" si="46"/>
        <v>52014</v>
      </c>
      <c r="D669" s="342" t="str">
        <f>"0006"</f>
        <v>0006</v>
      </c>
      <c r="E669" s="342">
        <v>1</v>
      </c>
      <c r="F669" s="1159">
        <f>COUNTIF(Height,"2.40*0.60*")</f>
        <v>0</v>
      </c>
      <c r="G669" s="1160"/>
      <c r="H669" s="503" t="s">
        <v>2896</v>
      </c>
      <c r="I669" s="1258"/>
      <c r="J669" s="73" t="str">
        <f>IF(Table5[[#This Row],[Entered]]&lt;&gt;Table5[[#This Row],[Quantity]],"Check","")</f>
        <v/>
      </c>
    </row>
    <row r="670" spans="1:10" s="1161" customFormat="1" ht="15" x14ac:dyDescent="0.2">
      <c r="A670" s="342" t="s">
        <v>2894</v>
      </c>
      <c r="B670" s="342" t="str">
        <f t="shared" si="45"/>
        <v>0810</v>
      </c>
      <c r="C670" s="342" t="str">
        <f t="shared" si="46"/>
        <v>52014</v>
      </c>
      <c r="D670" s="342" t="str">
        <f>"0005"</f>
        <v>0005</v>
      </c>
      <c r="E670" s="342">
        <v>1</v>
      </c>
      <c r="F670" s="1159">
        <f>COUNTIF(Height,"2.40*0.75*")</f>
        <v>0</v>
      </c>
      <c r="G670" s="1160"/>
      <c r="H670" s="503" t="s">
        <v>2895</v>
      </c>
      <c r="I670" s="1258"/>
      <c r="J670" s="73" t="str">
        <f>IF(Table5[[#This Row],[Entered]]&lt;&gt;Table5[[#This Row],[Quantity]],"Check","")</f>
        <v/>
      </c>
    </row>
    <row r="671" spans="1:10" s="1161" customFormat="1" ht="15" x14ac:dyDescent="0.2">
      <c r="A671" s="342" t="s">
        <v>2894</v>
      </c>
      <c r="B671" s="342" t="str">
        <f t="shared" si="45"/>
        <v>0810</v>
      </c>
      <c r="C671" s="342" t="str">
        <f t="shared" si="46"/>
        <v>52014</v>
      </c>
      <c r="D671" s="342" t="str">
        <f>"0010"</f>
        <v>0010</v>
      </c>
      <c r="E671" s="342">
        <v>1</v>
      </c>
      <c r="F671" s="1159">
        <f>COUNTIF(Height,"1.80*0.90*")</f>
        <v>0</v>
      </c>
      <c r="G671" s="1160"/>
      <c r="H671" s="503" t="s">
        <v>2897</v>
      </c>
      <c r="I671" s="1258"/>
      <c r="J671" s="73" t="str">
        <f>IF(Table5[[#This Row],[Entered]]&lt;&gt;Table5[[#This Row],[Quantity]],"Check","")</f>
        <v/>
      </c>
    </row>
    <row r="672" spans="1:10" s="1161" customFormat="1" ht="15" x14ac:dyDescent="0.2">
      <c r="A672" s="342" t="s">
        <v>2894</v>
      </c>
      <c r="B672" s="342" t="str">
        <f t="shared" si="45"/>
        <v>0810</v>
      </c>
      <c r="C672" s="342" t="str">
        <f t="shared" si="46"/>
        <v>52014</v>
      </c>
      <c r="D672" s="342" t="str">
        <f>"0020"</f>
        <v>0020</v>
      </c>
      <c r="E672" s="342">
        <v>1</v>
      </c>
      <c r="F672" s="1159">
        <f>COUNTIF(Height,"2.40*0.90*")</f>
        <v>0</v>
      </c>
      <c r="G672" s="1160"/>
      <c r="H672" s="503" t="s">
        <v>2899</v>
      </c>
      <c r="I672" s="1258"/>
      <c r="J672" s="73" t="str">
        <f>IF(Table5[[#This Row],[Entered]]&lt;&gt;Table5[[#This Row],[Quantity]],"Check","")</f>
        <v/>
      </c>
    </row>
    <row r="673" spans="1:10" s="1161" customFormat="1" ht="15" x14ac:dyDescent="0.2">
      <c r="A673" s="342" t="s">
        <v>2894</v>
      </c>
      <c r="B673" s="342" t="str">
        <f t="shared" si="45"/>
        <v>0810</v>
      </c>
      <c r="C673" s="342" t="str">
        <f t="shared" si="46"/>
        <v>52014</v>
      </c>
      <c r="D673" s="342" t="str">
        <f>"0030"</f>
        <v>0030</v>
      </c>
      <c r="E673" s="342">
        <v>1</v>
      </c>
      <c r="F673" s="1159">
        <f>COUNTIF(Height,"2.70*0.90*")</f>
        <v>0</v>
      </c>
      <c r="G673" s="1160"/>
      <c r="H673" s="503" t="s">
        <v>2900</v>
      </c>
      <c r="I673" s="1258"/>
      <c r="J673" s="73" t="str">
        <f>IF(Table5[[#This Row],[Entered]]&lt;&gt;Table5[[#This Row],[Quantity]],"Check","")</f>
        <v/>
      </c>
    </row>
    <row r="674" spans="1:10" s="1161" customFormat="1" ht="15" x14ac:dyDescent="0.2">
      <c r="A674" s="342" t="s">
        <v>2894</v>
      </c>
      <c r="B674" s="342" t="str">
        <f t="shared" si="45"/>
        <v>0810</v>
      </c>
      <c r="C674" s="342" t="str">
        <f t="shared" si="46"/>
        <v>52014</v>
      </c>
      <c r="D674" s="342" t="str">
        <f>"0040"</f>
        <v>0040</v>
      </c>
      <c r="E674" s="342">
        <v>1</v>
      </c>
      <c r="F674" s="1159">
        <f>COUNTIF(Height,"3.00*0.90*")</f>
        <v>0</v>
      </c>
      <c r="G674" s="1160"/>
      <c r="H674" s="503" t="s">
        <v>2901</v>
      </c>
      <c r="I674" s="1258"/>
      <c r="J674" s="73" t="str">
        <f>IF(Table5[[#This Row],[Entered]]&lt;&gt;Table5[[#This Row],[Quantity]],"Check","")</f>
        <v/>
      </c>
    </row>
    <row r="675" spans="1:10" s="1161" customFormat="1" ht="15" x14ac:dyDescent="0.2">
      <c r="A675" s="342" t="s">
        <v>2894</v>
      </c>
      <c r="B675" s="342" t="str">
        <f t="shared" si="45"/>
        <v>0810</v>
      </c>
      <c r="C675" s="342" t="str">
        <f t="shared" si="46"/>
        <v>52014</v>
      </c>
      <c r="D675" s="342" t="str">
        <f>"0050"</f>
        <v>0050</v>
      </c>
      <c r="E675" s="342">
        <v>1</v>
      </c>
      <c r="F675" s="1159">
        <f>COUNTIF(Height,"1.80*1.20*")</f>
        <v>0</v>
      </c>
      <c r="G675" s="1160"/>
      <c r="H675" s="503" t="s">
        <v>2902</v>
      </c>
      <c r="I675" s="1258"/>
      <c r="J675" s="73" t="str">
        <f>IF(Table5[[#This Row],[Entered]]&lt;&gt;Table5[[#This Row],[Quantity]],"Check","")</f>
        <v/>
      </c>
    </row>
    <row r="676" spans="1:10" s="1161" customFormat="1" ht="15" x14ac:dyDescent="0.2">
      <c r="A676" s="342" t="s">
        <v>2894</v>
      </c>
      <c r="B676" s="342" t="str">
        <f t="shared" si="45"/>
        <v>0810</v>
      </c>
      <c r="C676" s="342" t="str">
        <f t="shared" si="46"/>
        <v>52014</v>
      </c>
      <c r="D676" s="342" t="str">
        <f>"0070"</f>
        <v>0070</v>
      </c>
      <c r="E676" s="342">
        <v>1</v>
      </c>
      <c r="F676" s="1159">
        <f>COUNTIF(Height,"2.40*1.20*")</f>
        <v>0</v>
      </c>
      <c r="G676" s="1160"/>
      <c r="H676" s="503" t="s">
        <v>2898</v>
      </c>
      <c r="I676" s="1258"/>
      <c r="J676" s="73" t="str">
        <f>IF(Table5[[#This Row],[Entered]]&lt;&gt;Table5[[#This Row],[Quantity]],"Check","")</f>
        <v/>
      </c>
    </row>
    <row r="677" spans="1:10" s="1161" customFormat="1" ht="15" x14ac:dyDescent="0.2">
      <c r="A677" s="342" t="s">
        <v>2894</v>
      </c>
      <c r="B677" s="342" t="str">
        <f t="shared" si="45"/>
        <v>0810</v>
      </c>
      <c r="C677" s="342" t="str">
        <f t="shared" si="46"/>
        <v>52014</v>
      </c>
      <c r="D677" s="342" t="str">
        <f>"0080"</f>
        <v>0080</v>
      </c>
      <c r="E677" s="342">
        <v>1</v>
      </c>
      <c r="F677" s="1159">
        <f>COUNTIF(Height,"2.70*1.20*")</f>
        <v>0</v>
      </c>
      <c r="G677" s="1160"/>
      <c r="H677" s="503" t="s">
        <v>2903</v>
      </c>
      <c r="I677" s="1258"/>
      <c r="J677" s="73" t="str">
        <f>IF(Table5[[#This Row],[Entered]]&lt;&gt;Table5[[#This Row],[Quantity]],"Check","")</f>
        <v/>
      </c>
    </row>
    <row r="678" spans="1:10" s="1161" customFormat="1" ht="15" x14ac:dyDescent="0.2">
      <c r="A678" s="342" t="s">
        <v>2894</v>
      </c>
      <c r="B678" s="342" t="str">
        <f t="shared" si="45"/>
        <v>0810</v>
      </c>
      <c r="C678" s="342" t="str">
        <f t="shared" si="46"/>
        <v>52014</v>
      </c>
      <c r="D678" s="342" t="str">
        <f>"0090"</f>
        <v>0090</v>
      </c>
      <c r="E678" s="342">
        <v>1</v>
      </c>
      <c r="F678" s="1159">
        <f>COUNTIF(Height,"3.00*1.20*")</f>
        <v>0</v>
      </c>
      <c r="G678" s="1160"/>
      <c r="H678" s="503" t="s">
        <v>2904</v>
      </c>
      <c r="I678" s="1258"/>
      <c r="J678" s="73" t="str">
        <f>IF(Table5[[#This Row],[Entered]]&lt;&gt;Table5[[#This Row],[Quantity]],"Check","")</f>
        <v/>
      </c>
    </row>
    <row r="679" spans="1:10" s="1161" customFormat="1" ht="15" x14ac:dyDescent="0.2">
      <c r="A679" s="342" t="s">
        <v>2894</v>
      </c>
      <c r="B679" s="342" t="str">
        <f t="shared" si="45"/>
        <v>0810</v>
      </c>
      <c r="C679" s="342" t="str">
        <f t="shared" si="46"/>
        <v>52014</v>
      </c>
      <c r="D679" s="342" t="str">
        <f>"0539"</f>
        <v>0539</v>
      </c>
      <c r="E679" s="342">
        <v>1</v>
      </c>
      <c r="F679" s="1159">
        <f>CEILING(((F670*0.5+F671*1.8*2+F672*0.9+F673*2.7+F674*3+F675*1.8+F676*2.4+F677*2.7+F678*3)/3),5)</f>
        <v>0</v>
      </c>
      <c r="G679" s="1160"/>
      <c r="H679" s="503" t="s">
        <v>2905</v>
      </c>
      <c r="I679" s="1258"/>
      <c r="J679" s="73" t="str">
        <f>IF(Table5[[#This Row],[Entered]]&lt;&gt;Table5[[#This Row],[Quantity]],"Check","")</f>
        <v/>
      </c>
    </row>
    <row r="680" spans="1:10" s="1161" customFormat="1" ht="15" x14ac:dyDescent="0.2">
      <c r="A680" s="342" t="s">
        <v>2894</v>
      </c>
      <c r="B680" s="342" t="str">
        <f t="shared" si="45"/>
        <v>0810</v>
      </c>
      <c r="C680" s="342" t="str">
        <f t="shared" si="46"/>
        <v>52014</v>
      </c>
      <c r="D680" s="342" t="str">
        <f>"0120"</f>
        <v>0120</v>
      </c>
      <c r="E680" s="342">
        <v>1</v>
      </c>
      <c r="F680" s="1159"/>
      <c r="G680" s="1160"/>
      <c r="H680" s="503" t="s">
        <v>2906</v>
      </c>
      <c r="I680" s="1258"/>
      <c r="J680" s="73" t="str">
        <f>IF(Table5[[#This Row],[Entered]]&lt;&gt;Table5[[#This Row],[Quantity]],"Check","")</f>
        <v/>
      </c>
    </row>
    <row r="681" spans="1:10" s="1161" customFormat="1" ht="15" x14ac:dyDescent="0.2">
      <c r="A681" s="342" t="s">
        <v>2894</v>
      </c>
      <c r="B681" s="342" t="str">
        <f t="shared" si="45"/>
        <v>0810</v>
      </c>
      <c r="C681" s="342" t="str">
        <f t="shared" si="46"/>
        <v>52014</v>
      </c>
      <c r="D681" s="342">
        <v>1230</v>
      </c>
      <c r="E681" s="342" t="s">
        <v>1240</v>
      </c>
      <c r="F681" s="1159"/>
      <c r="G681" s="1160"/>
      <c r="H681" s="503" t="s">
        <v>2394</v>
      </c>
      <c r="I681" s="1258"/>
      <c r="J681" s="73" t="str">
        <f>IF(Table5[[#This Row],[Entered]]&lt;&gt;Table5[[#This Row],[Quantity]],"Check","")</f>
        <v/>
      </c>
    </row>
    <row r="682" spans="1:10" s="1161" customFormat="1" ht="15" x14ac:dyDescent="0.2">
      <c r="A682" s="342" t="s">
        <v>2894</v>
      </c>
      <c r="B682" s="342" t="str">
        <f t="shared" si="45"/>
        <v>0810</v>
      </c>
      <c r="C682" s="342" t="str">
        <f t="shared" si="46"/>
        <v>52014</v>
      </c>
      <c r="D682" s="342" t="str">
        <f>"0160"</f>
        <v>0160</v>
      </c>
      <c r="E682" s="342">
        <v>1</v>
      </c>
      <c r="F682" s="1159"/>
      <c r="G682" s="1160"/>
      <c r="H682" s="503" t="s">
        <v>2907</v>
      </c>
      <c r="I682" s="1258"/>
      <c r="J682" s="73" t="str">
        <f>IF(Table5[[#This Row],[Entered]]&lt;&gt;Table5[[#This Row],[Quantity]],"Check","")</f>
        <v/>
      </c>
    </row>
    <row r="683" spans="1:10" s="1161" customFormat="1" ht="15" x14ac:dyDescent="0.2">
      <c r="A683" s="342" t="s">
        <v>2894</v>
      </c>
      <c r="B683" s="342" t="str">
        <f t="shared" si="45"/>
        <v>0810</v>
      </c>
      <c r="C683" s="342" t="str">
        <f t="shared" si="46"/>
        <v>52014</v>
      </c>
      <c r="D683" s="342" t="str">
        <f>"0170"</f>
        <v>0170</v>
      </c>
      <c r="E683" s="342">
        <v>1</v>
      </c>
      <c r="F683" s="1159"/>
      <c r="G683" s="1160"/>
      <c r="H683" s="503" t="s">
        <v>2908</v>
      </c>
      <c r="I683" s="1258"/>
      <c r="J683" s="73" t="str">
        <f>IF(Table5[[#This Row],[Entered]]&lt;&gt;Table5[[#This Row],[Quantity]],"Check","")</f>
        <v/>
      </c>
    </row>
    <row r="684" spans="1:10" s="1161" customFormat="1" ht="15" x14ac:dyDescent="0.2">
      <c r="A684" s="342" t="s">
        <v>2894</v>
      </c>
      <c r="B684" s="342" t="str">
        <f t="shared" si="45"/>
        <v>0810</v>
      </c>
      <c r="C684" s="342" t="str">
        <f t="shared" si="46"/>
        <v>52014</v>
      </c>
      <c r="D684" s="342">
        <v>1260</v>
      </c>
      <c r="E684" s="342" t="s">
        <v>1240</v>
      </c>
      <c r="F684" s="1159"/>
      <c r="G684" s="1160"/>
      <c r="H684" s="503" t="s">
        <v>2395</v>
      </c>
      <c r="I684" s="1258"/>
      <c r="J684" s="73" t="str">
        <f>IF(Table5[[#This Row],[Entered]]&lt;&gt;Table5[[#This Row],[Quantity]],"Check","")</f>
        <v/>
      </c>
    </row>
    <row r="685" spans="1:10" s="1161" customFormat="1" ht="15" x14ac:dyDescent="0.2">
      <c r="A685" s="342" t="s">
        <v>2894</v>
      </c>
      <c r="B685" s="342" t="str">
        <f t="shared" si="45"/>
        <v>0810</v>
      </c>
      <c r="C685" s="342" t="str">
        <f t="shared" si="46"/>
        <v>52014</v>
      </c>
      <c r="D685" s="342">
        <v>1270</v>
      </c>
      <c r="E685" s="342" t="s">
        <v>1240</v>
      </c>
      <c r="F685" s="1159"/>
      <c r="G685" s="1160"/>
      <c r="H685" s="503" t="s">
        <v>2396</v>
      </c>
      <c r="I685" s="1258"/>
      <c r="J685" s="73" t="str">
        <f>IF(Table5[[#This Row],[Entered]]&lt;&gt;Table5[[#This Row],[Quantity]],"Check","")</f>
        <v/>
      </c>
    </row>
    <row r="686" spans="1:10" s="1161" customFormat="1" ht="15" x14ac:dyDescent="0.2">
      <c r="A686" s="342" t="s">
        <v>2894</v>
      </c>
      <c r="B686" s="342" t="str">
        <f t="shared" si="45"/>
        <v>0810</v>
      </c>
      <c r="C686" s="342" t="str">
        <f t="shared" si="46"/>
        <v>52014</v>
      </c>
      <c r="D686" s="342">
        <v>1280</v>
      </c>
      <c r="E686" s="342" t="s">
        <v>1240</v>
      </c>
      <c r="F686" s="1159"/>
      <c r="G686" s="1160"/>
      <c r="H686" s="503" t="s">
        <v>2397</v>
      </c>
      <c r="I686" s="1258"/>
      <c r="J686" s="73" t="str">
        <f>IF(Table5[[#This Row],[Entered]]&lt;&gt;Table5[[#This Row],[Quantity]],"Check","")</f>
        <v/>
      </c>
    </row>
    <row r="687" spans="1:10" s="1161" customFormat="1" ht="15" x14ac:dyDescent="0.2">
      <c r="A687" s="342" t="s">
        <v>2894</v>
      </c>
      <c r="B687" s="342" t="str">
        <f t="shared" si="45"/>
        <v>0810</v>
      </c>
      <c r="C687" s="342" t="str">
        <f t="shared" si="46"/>
        <v>52014</v>
      </c>
      <c r="D687" s="342">
        <f>1210</f>
        <v>1210</v>
      </c>
      <c r="E687" s="342">
        <v>1</v>
      </c>
      <c r="F687" s="1159"/>
      <c r="G687" s="1160"/>
      <c r="H687" s="503" t="s">
        <v>1287</v>
      </c>
      <c r="I687" s="1258"/>
      <c r="J687" s="73" t="str">
        <f>IF(Table5[[#This Row],[Entered]]&lt;&gt;Table5[[#This Row],[Quantity]],"Check","")</f>
        <v/>
      </c>
    </row>
    <row r="688" spans="1:10" s="1161" customFormat="1" ht="15" x14ac:dyDescent="0.2">
      <c r="A688" s="342" t="s">
        <v>2894</v>
      </c>
      <c r="B688" s="342" t="str">
        <f t="shared" si="45"/>
        <v>0810</v>
      </c>
      <c r="C688" s="342" t="str">
        <f t="shared" si="46"/>
        <v>52014</v>
      </c>
      <c r="D688" s="342">
        <f>2005</f>
        <v>2005</v>
      </c>
      <c r="E688" s="342" t="s">
        <v>1239</v>
      </c>
      <c r="F688" s="1159">
        <f>IF(AND('External Cladding'!$F$3="Duraplank Woodgrain",OR(Brick_type&lt;&gt;"Timber Frame",Brick_type&lt;&gt;"Reverse Brick Veneer")),'External Cladding'!$H$55,0)</f>
        <v>0</v>
      </c>
      <c r="G688" s="1160"/>
      <c r="H688" s="503" t="s">
        <v>1770</v>
      </c>
      <c r="I688" s="1258"/>
      <c r="J688" s="73" t="str">
        <f>IF(Table5[[#This Row],[Entered]]&lt;&gt;Table5[[#This Row],[Quantity]],"Check","")</f>
        <v/>
      </c>
    </row>
    <row r="689" spans="1:10" s="1161" customFormat="1" ht="15" x14ac:dyDescent="0.2">
      <c r="A689" s="342" t="s">
        <v>2894</v>
      </c>
      <c r="B689" s="342" t="str">
        <f t="shared" si="45"/>
        <v>0810</v>
      </c>
      <c r="C689" s="342" t="str">
        <f t="shared" si="46"/>
        <v>52014</v>
      </c>
      <c r="D689" s="342">
        <f>2006</f>
        <v>2006</v>
      </c>
      <c r="E689" s="342" t="s">
        <v>1239</v>
      </c>
      <c r="F689" s="1159">
        <f>IF(AND('External Cladding'!$F$3="Duraplank Smooth",OR(Brick_type&lt;&gt;"Timber Frame",Brick_type&lt;&gt;"Reverse Brick Veneer")),'External Cladding'!$H$55,0)</f>
        <v>0</v>
      </c>
      <c r="G689" s="1160"/>
      <c r="H689" s="503" t="s">
        <v>1769</v>
      </c>
      <c r="I689" s="1258"/>
      <c r="J689" s="73" t="str">
        <f>IF(Table5[[#This Row],[Entered]]&lt;&gt;Table5[[#This Row],[Quantity]],"Check","")</f>
        <v/>
      </c>
    </row>
    <row r="690" spans="1:10" s="1161" customFormat="1" ht="15" x14ac:dyDescent="0.2">
      <c r="A690" s="342" t="s">
        <v>2894</v>
      </c>
      <c r="B690" s="342" t="str">
        <f t="shared" si="45"/>
        <v>0810</v>
      </c>
      <c r="C690" s="342" t="str">
        <f t="shared" si="46"/>
        <v>52014</v>
      </c>
      <c r="D690" s="342">
        <v>2012</v>
      </c>
      <c r="E690" s="342">
        <v>1</v>
      </c>
      <c r="F690" s="1159">
        <f>COUNTIF(Name,"Corner Snap")</f>
        <v>0</v>
      </c>
      <c r="G690" s="1160"/>
      <c r="H690" s="503" t="s">
        <v>2447</v>
      </c>
      <c r="I690" s="1258"/>
      <c r="J690" s="73" t="str">
        <f>IF(Table5[[#This Row],[Entered]]&lt;&gt;Table5[[#This Row],[Quantity]],"Check","")</f>
        <v/>
      </c>
    </row>
    <row r="691" spans="1:10" s="1161" customFormat="1" ht="15" x14ac:dyDescent="0.2">
      <c r="A691" s="342" t="s">
        <v>2894</v>
      </c>
      <c r="B691" s="342" t="str">
        <f>"0830"</f>
        <v>0830</v>
      </c>
      <c r="C691" s="342">
        <v>10412452</v>
      </c>
      <c r="D691" s="342" t="str">
        <f>"7000"</f>
        <v>7000</v>
      </c>
      <c r="E691" s="342">
        <v>1</v>
      </c>
      <c r="F691" s="1159">
        <f>IF(COUNTIF(Addenda!A:A,"*Plunkett*")&gt;0,1,)</f>
        <v>0</v>
      </c>
      <c r="G691" s="1160">
        <v>0</v>
      </c>
      <c r="H691" s="503" t="s">
        <v>3609</v>
      </c>
      <c r="I691" s="1258"/>
      <c r="J691" s="6" t="str">
        <f>IF(Table5[[#This Row],[Entered]]&lt;&gt;Table5[[#This Row],[Quantity]],"Check","")</f>
        <v/>
      </c>
    </row>
    <row r="692" spans="1:10" s="1161" customFormat="1" ht="15" x14ac:dyDescent="0.2">
      <c r="A692" s="342" t="s">
        <v>2894</v>
      </c>
      <c r="B692" s="342" t="str">
        <f t="shared" ref="B692:B703" si="47">"0810"</f>
        <v>0810</v>
      </c>
      <c r="C692" s="342" t="str">
        <f t="shared" ref="C692:C703" si="48">"52014"</f>
        <v>52014</v>
      </c>
      <c r="D692" s="342">
        <f>2050</f>
        <v>2050</v>
      </c>
      <c r="E692" s="342">
        <v>1</v>
      </c>
      <c r="F692" s="1159"/>
      <c r="G692" s="1160"/>
      <c r="H692" s="503" t="s">
        <v>1771</v>
      </c>
      <c r="I692" s="1207"/>
      <c r="J692" s="6" t="str">
        <f>IF(Table5[[#This Row],[Entered]]&lt;&gt;Table5[[#This Row],[Quantity]],"Check","")</f>
        <v/>
      </c>
    </row>
    <row r="693" spans="1:10" s="1161" customFormat="1" ht="15" x14ac:dyDescent="0.2">
      <c r="A693" s="342" t="s">
        <v>2894</v>
      </c>
      <c r="B693" s="342" t="str">
        <f t="shared" si="47"/>
        <v>0810</v>
      </c>
      <c r="C693" s="342" t="str">
        <f t="shared" si="48"/>
        <v>52014</v>
      </c>
      <c r="D693" s="342">
        <f>2055</f>
        <v>2055</v>
      </c>
      <c r="E693" s="342">
        <v>1</v>
      </c>
      <c r="F693" s="1159">
        <f>IF((OR(Brick_type="Timber Frame",Brick_type="Reverse Brick Veneer")),CEILING(SUM(H_Perim)/1.35,10)+10,0)</f>
        <v>0</v>
      </c>
      <c r="G693" s="1160"/>
      <c r="H693" s="503" t="s">
        <v>1447</v>
      </c>
      <c r="I693" s="1258"/>
      <c r="J693" s="73" t="str">
        <f>IF(Table5[[#This Row],[Entered]]&lt;&gt;Table5[[#This Row],[Quantity]],"Check","")</f>
        <v/>
      </c>
    </row>
    <row r="694" spans="1:10" s="1161" customFormat="1" ht="15" x14ac:dyDescent="0.2">
      <c r="A694" s="342" t="s">
        <v>2894</v>
      </c>
      <c r="B694" s="342" t="str">
        <f t="shared" si="47"/>
        <v>0810</v>
      </c>
      <c r="C694" s="342" t="str">
        <f t="shared" si="48"/>
        <v>52014</v>
      </c>
      <c r="D694" s="342">
        <f>2440</f>
        <v>2440</v>
      </c>
      <c r="E694" s="342">
        <v>1</v>
      </c>
      <c r="F694" s="1159">
        <f>IF(AND('External Cladding'!$F$3="NULINE SQUARE 175",OR(Brick_type&lt;&gt;"Timber Frame",Brick_type&lt;&gt;"Reverse Brick Veneer")),'External Cladding'!$H$55,0)+IF(Locality="Busselton",CEILING(SUMIF(Name,"Exposed Rafter Tail",Length)/4.2,1),0)</f>
        <v>0</v>
      </c>
      <c r="G694" s="1160"/>
      <c r="H694" s="503" t="s">
        <v>1289</v>
      </c>
      <c r="I694" s="1258"/>
      <c r="J694" s="73" t="str">
        <f>IF(Table5[[#This Row],[Entered]]&lt;&gt;Table5[[#This Row],[Quantity]],"Check","")</f>
        <v/>
      </c>
    </row>
    <row r="695" spans="1:10" s="1161" customFormat="1" ht="15" x14ac:dyDescent="0.2">
      <c r="A695" s="342" t="s">
        <v>2894</v>
      </c>
      <c r="B695" s="342" t="str">
        <f t="shared" si="47"/>
        <v>0810</v>
      </c>
      <c r="C695" s="342" t="str">
        <f t="shared" si="48"/>
        <v>52014</v>
      </c>
      <c r="D695" s="342">
        <f>2442</f>
        <v>2442</v>
      </c>
      <c r="E695" s="342">
        <v>1</v>
      </c>
      <c r="F695" s="1159">
        <f>IF(AND('External Cladding'!$F$3="NULINE BULLNOSE 175",OR(Brick_type&lt;&gt;"Timber Frame",Brick_type&lt;&gt;"Reverse Brick Veneer")),'External Cladding'!$H$55,0)</f>
        <v>0</v>
      </c>
      <c r="G695" s="1160"/>
      <c r="H695" s="503" t="s">
        <v>1290</v>
      </c>
      <c r="I695" s="1258"/>
      <c r="J695" s="73" t="str">
        <f>IF(Table5[[#This Row],[Entered]]&lt;&gt;Table5[[#This Row],[Quantity]],"Check","")</f>
        <v/>
      </c>
    </row>
    <row r="696" spans="1:10" s="1161" customFormat="1" ht="15" x14ac:dyDescent="0.2">
      <c r="A696" s="342" t="s">
        <v>2894</v>
      </c>
      <c r="B696" s="342" t="str">
        <f t="shared" si="47"/>
        <v>0810</v>
      </c>
      <c r="C696" s="342" t="str">
        <f t="shared" si="48"/>
        <v>52014</v>
      </c>
      <c r="D696" s="342">
        <f>1990</f>
        <v>1990</v>
      </c>
      <c r="E696" s="342" t="s">
        <v>1239</v>
      </c>
      <c r="F696" s="1159">
        <f>IF(AND('External Cladding'!$F$3="NULINE SQUARE 205",OR(Brick_type&lt;&gt;"Timber Frame",Brick_type&lt;&gt;"Reverse Brick Veneer")),'External Cladding'!$H$55,0)+IF(Locality="Busselton",CEILING(SUMIF(Name,"Exposed Rafter Tail",Length)/4.2,1),0)</f>
        <v>0</v>
      </c>
      <c r="G696" s="1160"/>
      <c r="H696" s="503" t="s">
        <v>1772</v>
      </c>
      <c r="I696" s="1258"/>
      <c r="J696" s="73" t="str">
        <f>IF(Table5[[#This Row],[Entered]]&lt;&gt;Table5[[#This Row],[Quantity]],"Check","")</f>
        <v/>
      </c>
    </row>
    <row r="697" spans="1:10" s="1161" customFormat="1" ht="15" x14ac:dyDescent="0.2">
      <c r="A697" s="342" t="s">
        <v>2894</v>
      </c>
      <c r="B697" s="342" t="str">
        <f t="shared" si="47"/>
        <v>0810</v>
      </c>
      <c r="C697" s="342" t="str">
        <f t="shared" si="48"/>
        <v>52014</v>
      </c>
      <c r="D697" s="342">
        <f>1995</f>
        <v>1995</v>
      </c>
      <c r="E697" s="342" t="s">
        <v>1239</v>
      </c>
      <c r="F697" s="1159">
        <f>IF(AND('External Cladding'!$F$3="NULINE BULLNOSE 205",OR(Brick_type&lt;&gt;"Timber Frame",Brick_type&lt;&gt;"Reverse Brick Veneer")),'External Cladding'!$H$55,0)</f>
        <v>0</v>
      </c>
      <c r="G697" s="1160"/>
      <c r="H697" s="503" t="s">
        <v>1773</v>
      </c>
      <c r="I697" s="1258"/>
      <c r="J697" s="73" t="str">
        <f>IF(Table5[[#This Row],[Entered]]&lt;&gt;Table5[[#This Row],[Quantity]],"Check","")</f>
        <v/>
      </c>
    </row>
    <row r="698" spans="1:10" s="1161" customFormat="1" ht="15" x14ac:dyDescent="0.2">
      <c r="A698" s="342" t="s">
        <v>2894</v>
      </c>
      <c r="B698" s="342" t="str">
        <f t="shared" si="47"/>
        <v>0810</v>
      </c>
      <c r="C698" s="342" t="str">
        <f t="shared" si="48"/>
        <v>52014</v>
      </c>
      <c r="D698" s="342" t="str">
        <f>"9029"</f>
        <v>9029</v>
      </c>
      <c r="E698" s="342">
        <v>1</v>
      </c>
      <c r="F698" s="1159" cm="1">
        <f t="array" ref="F698">IF(SUMPRODUCT(--ISNUMBER(SEARCH(BunningsZone1,Address)))&gt;0,1,0)</f>
        <v>0</v>
      </c>
      <c r="G698" s="1160"/>
      <c r="H698" s="503" t="s">
        <v>2916</v>
      </c>
      <c r="I698" s="1258"/>
      <c r="J698" s="73" t="str">
        <f>IF(Table5[[#This Row],[Entered]]&lt;&gt;Table5[[#This Row],[Quantity]],"Check","")</f>
        <v/>
      </c>
    </row>
    <row r="699" spans="1:10" s="1161" customFormat="1" ht="15" x14ac:dyDescent="0.2">
      <c r="A699" s="342" t="s">
        <v>2894</v>
      </c>
      <c r="B699" s="342" t="str">
        <f t="shared" si="47"/>
        <v>0810</v>
      </c>
      <c r="C699" s="342" t="str">
        <f t="shared" si="48"/>
        <v>52014</v>
      </c>
      <c r="D699" s="342" t="str">
        <f>"9031"</f>
        <v>9031</v>
      </c>
      <c r="E699" s="342">
        <v>1</v>
      </c>
      <c r="F699" s="1159"/>
      <c r="G699" s="1160"/>
      <c r="H699" s="503" t="s">
        <v>2917</v>
      </c>
      <c r="I699" s="1207"/>
      <c r="J699" s="6" t="str">
        <f>IF(Table5[[#This Row],[Entered]]&lt;&gt;Table5[[#This Row],[Quantity]],"Check","")</f>
        <v/>
      </c>
    </row>
    <row r="700" spans="1:10" s="1161" customFormat="1" ht="15" x14ac:dyDescent="0.2">
      <c r="A700" s="342" t="s">
        <v>2894</v>
      </c>
      <c r="B700" s="342" t="str">
        <f t="shared" si="47"/>
        <v>0810</v>
      </c>
      <c r="C700" s="342" t="str">
        <f t="shared" si="48"/>
        <v>52014</v>
      </c>
      <c r="D700" s="342" t="str">
        <f>"9044"</f>
        <v>9044</v>
      </c>
      <c r="E700" s="342">
        <v>1</v>
      </c>
      <c r="F700" s="1159"/>
      <c r="G700" s="1160"/>
      <c r="H700" s="503" t="s">
        <v>2918</v>
      </c>
      <c r="I700" s="1258"/>
      <c r="J700" s="73" t="str">
        <f>IF(Table5[[#This Row],[Entered]]&lt;&gt;Table5[[#This Row],[Quantity]],"Check","")</f>
        <v/>
      </c>
    </row>
    <row r="701" spans="1:10" s="1161" customFormat="1" ht="15" x14ac:dyDescent="0.2">
      <c r="A701" s="342" t="s">
        <v>2894</v>
      </c>
      <c r="B701" s="342" t="str">
        <f t="shared" si="47"/>
        <v>0810</v>
      </c>
      <c r="C701" s="342" t="str">
        <f t="shared" si="48"/>
        <v>52014</v>
      </c>
      <c r="D701" s="342" t="str">
        <f>"9068"</f>
        <v>9068</v>
      </c>
      <c r="E701" s="342">
        <v>1</v>
      </c>
      <c r="F701" s="1159" cm="1">
        <f t="array" ref="F701">IF(SUMPRODUCT(--ISNUMBER(SEARCH(BunningsZone4,Address)))&gt;0,1,0)</f>
        <v>0</v>
      </c>
      <c r="G701" s="1160"/>
      <c r="H701" s="503" t="s">
        <v>2919</v>
      </c>
      <c r="I701" s="1258"/>
      <c r="J701" s="73" t="str">
        <f>IF(Table5[[#This Row],[Entered]]&lt;&gt;Table5[[#This Row],[Quantity]],"Check","")</f>
        <v/>
      </c>
    </row>
    <row r="702" spans="1:10" ht="15" x14ac:dyDescent="0.2">
      <c r="A702" s="342" t="s">
        <v>2894</v>
      </c>
      <c r="B702" s="342" t="str">
        <f t="shared" si="47"/>
        <v>0810</v>
      </c>
      <c r="C702" s="342" t="str">
        <f t="shared" si="48"/>
        <v>52014</v>
      </c>
      <c r="D702" s="342" t="str">
        <f>"9024"</f>
        <v>9024</v>
      </c>
      <c r="E702" s="342">
        <v>1</v>
      </c>
      <c r="F702" s="1159" cm="1">
        <f t="array" ref="F702">IF(SUMPRODUCT(--ISNUMBER(SEARCH(BunningsZone5,Address)))&gt;0,1,0)</f>
        <v>0</v>
      </c>
      <c r="G702" s="1160"/>
      <c r="H702" s="503" t="s">
        <v>2920</v>
      </c>
      <c r="I702" s="1258"/>
      <c r="J702" s="73" t="str">
        <f>IF(Table5[[#This Row],[Entered]]&lt;&gt;Table5[[#This Row],[Quantity]],"Check","")</f>
        <v/>
      </c>
    </row>
    <row r="703" spans="1:10" ht="15" x14ac:dyDescent="0.2">
      <c r="A703" s="342" t="s">
        <v>2894</v>
      </c>
      <c r="B703" s="342" t="str">
        <f t="shared" si="47"/>
        <v>0810</v>
      </c>
      <c r="C703" s="342" t="str">
        <f t="shared" si="48"/>
        <v>52014</v>
      </c>
      <c r="D703" s="342" t="s">
        <v>663</v>
      </c>
      <c r="E703" s="342">
        <v>1</v>
      </c>
      <c r="F703" s="1159">
        <f>IF(AND('External Cladding'!$F$3="Duraplank*",OR(Brick_type&lt;&gt;"Timber Frame",Brick_type&lt;&gt;"Reverse Brick Veneer")),ROUNDUP(SUM('External Cladding'!$C$6)/3,0),0)</f>
        <v>0</v>
      </c>
      <c r="G703" s="1160"/>
      <c r="H703" s="503" t="s">
        <v>1332</v>
      </c>
      <c r="I703" s="1258"/>
      <c r="J703" s="73" t="str">
        <f>IF(Table5[[#This Row],[Entered]]&lt;&gt;Table5[[#This Row],[Quantity]],"Check","")</f>
        <v/>
      </c>
    </row>
    <row r="704" spans="1:10" ht="15" x14ac:dyDescent="0.2">
      <c r="A704" s="324"/>
      <c r="B704" s="324"/>
      <c r="C704" s="324"/>
      <c r="D704" s="324"/>
      <c r="E704" s="324"/>
      <c r="F704" s="827"/>
      <c r="G704" s="829"/>
      <c r="H704" s="412"/>
      <c r="I704" s="1258"/>
      <c r="J704" s="73" t="str">
        <f>IF(Table5[[#This Row],[Entered]]&lt;&gt;Table5[[#This Row],[Quantity]],"Check","")</f>
        <v/>
      </c>
    </row>
    <row r="705" spans="1:10" s="3" customFormat="1" ht="15" x14ac:dyDescent="0.2">
      <c r="A705" s="324" t="s">
        <v>2894</v>
      </c>
      <c r="B705" s="324" t="str">
        <f t="shared" ref="B705:B729" si="49">"0830"</f>
        <v>0830</v>
      </c>
      <c r="C705" s="324">
        <v>10412452</v>
      </c>
      <c r="D705" s="324" t="str">
        <f>"0100"</f>
        <v>0100</v>
      </c>
      <c r="E705" s="324" t="s">
        <v>2893</v>
      </c>
      <c r="F705" s="827">
        <f>SUMIF(Quotes!$A$74:$A$81,"Fascia",Quotes!$E$74:$E$81)</f>
        <v>0</v>
      </c>
      <c r="G705" s="829">
        <v>5.14</v>
      </c>
      <c r="H705" s="412" t="s">
        <v>3591</v>
      </c>
      <c r="I705" s="1207"/>
      <c r="J705" s="6" t="str">
        <f>IF(Table5[[#This Row],[Entered]]&lt;&gt;Table5[[#This Row],[Quantity]],"Check","")</f>
        <v/>
      </c>
    </row>
    <row r="706" spans="1:10" ht="15" x14ac:dyDescent="0.2">
      <c r="A706" s="324" t="s">
        <v>2894</v>
      </c>
      <c r="B706" s="324" t="str">
        <f t="shared" si="49"/>
        <v>0830</v>
      </c>
      <c r="C706" s="324">
        <v>10412452</v>
      </c>
      <c r="D706" s="324" t="str">
        <f>"0020"</f>
        <v>0020</v>
      </c>
      <c r="E706" s="324">
        <v>1</v>
      </c>
      <c r="F706" s="827">
        <f>FasciaClipsEndFix+FasciaClipsSideFix</f>
        <v>0</v>
      </c>
      <c r="G706" s="829">
        <v>0.4</v>
      </c>
      <c r="H706" s="412" t="s">
        <v>3590</v>
      </c>
      <c r="I706" s="1207"/>
      <c r="J706" s="73" t="str">
        <f>IF(Table5[[#This Row],[Entered]]&lt;&gt;Table5[[#This Row],[Quantity]],"Check","")</f>
        <v/>
      </c>
    </row>
    <row r="707" spans="1:10" ht="15" x14ac:dyDescent="0.2">
      <c r="A707" s="324" t="s">
        <v>2894</v>
      </c>
      <c r="B707" s="324" t="str">
        <f t="shared" si="49"/>
        <v>0830</v>
      </c>
      <c r="C707" s="324">
        <v>10412452</v>
      </c>
      <c r="D707" s="324" t="str">
        <f>"0100"</f>
        <v>0100</v>
      </c>
      <c r="E707" s="324" t="s">
        <v>2893</v>
      </c>
      <c r="F707" s="827" cm="1">
        <f t="array" ref="F707">SUM(IF(Name="Fascia",_xlfn.CEILING.MATH(Length,0.5)))+(COUNTIFS(Name,"Fascia",Length,"&gt;0",Length,"&lt;1")*0.5)</f>
        <v>0</v>
      </c>
      <c r="G707" s="829">
        <v>5.14</v>
      </c>
      <c r="H707" s="412" t="s">
        <v>3591</v>
      </c>
      <c r="I707" s="1207"/>
      <c r="J707" s="73" t="str">
        <f>IF(Table5[[#This Row],[Entered]]&lt;&gt;Table5[[#This Row],[Quantity]],"Check","")</f>
        <v/>
      </c>
    </row>
    <row r="708" spans="1:10" s="3" customFormat="1" ht="15" x14ac:dyDescent="0.2">
      <c r="A708" s="324" t="s">
        <v>2894</v>
      </c>
      <c r="B708" s="324" t="str">
        <f t="shared" si="49"/>
        <v>0830</v>
      </c>
      <c r="C708" s="324">
        <v>10412452</v>
      </c>
      <c r="D708" s="324" t="str">
        <f>"0020"</f>
        <v>0020</v>
      </c>
      <c r="E708" s="324">
        <v>1</v>
      </c>
      <c r="F708" s="827">
        <f>SUMIF(Quotes!$A$74:$A$81,"Fascia Clips",Quotes!$E$74:$E$81)</f>
        <v>0</v>
      </c>
      <c r="G708" s="829">
        <v>0.4</v>
      </c>
      <c r="H708" s="412" t="s">
        <v>3590</v>
      </c>
      <c r="I708" s="1207"/>
      <c r="J708" s="6" t="str">
        <f>IF(Table5[[#This Row],[Entered]]&lt;&gt;Table5[[#This Row],[Quantity]],"Check","")</f>
        <v/>
      </c>
    </row>
    <row r="709" spans="1:10" ht="15" x14ac:dyDescent="0.2">
      <c r="A709" s="324" t="s">
        <v>2894</v>
      </c>
      <c r="B709" s="324" t="str">
        <f t="shared" si="49"/>
        <v>0830</v>
      </c>
      <c r="C709" s="324">
        <v>10412452</v>
      </c>
      <c r="D709" s="342">
        <f>50</f>
        <v>50</v>
      </c>
      <c r="E709" s="342">
        <v>1</v>
      </c>
      <c r="F709" s="1159"/>
      <c r="G709" s="829"/>
      <c r="H709" s="503" t="s">
        <v>1055</v>
      </c>
      <c r="I709" s="1207"/>
      <c r="J709" s="73" t="str">
        <f>IF(Table5[[#This Row],[Entered]]&lt;&gt;Table5[[#This Row],[Quantity]],"Check","")</f>
        <v/>
      </c>
    </row>
    <row r="710" spans="1:10" ht="15" x14ac:dyDescent="0.2">
      <c r="A710" s="324" t="s">
        <v>2894</v>
      </c>
      <c r="B710" s="324" t="str">
        <f t="shared" si="49"/>
        <v>0830</v>
      </c>
      <c r="C710" s="324">
        <v>10412452</v>
      </c>
      <c r="D710" s="324" t="str">
        <f>"0110"</f>
        <v>0110</v>
      </c>
      <c r="E710" s="324">
        <v>1</v>
      </c>
      <c r="F710" s="827">
        <f>SUMIFS(Quotes!$E$74:$E$81,Quotes!$A$74:$A$81,"External Fascia Corner")</f>
        <v>0</v>
      </c>
      <c r="G710" s="829">
        <v>2.92</v>
      </c>
      <c r="H710" s="412" t="s">
        <v>3592</v>
      </c>
      <c r="I710" s="1207"/>
      <c r="J710" s="73" t="str">
        <f>IF(Table5[[#This Row],[Entered]]&lt;&gt;Table5[[#This Row],[Quantity]],"Check","")</f>
        <v/>
      </c>
    </row>
    <row r="711" spans="1:10" ht="15" x14ac:dyDescent="0.2">
      <c r="A711" s="324" t="s">
        <v>2894</v>
      </c>
      <c r="B711" s="324" t="str">
        <f t="shared" si="49"/>
        <v>0830</v>
      </c>
      <c r="C711" s="324">
        <v>10412452</v>
      </c>
      <c r="D711" s="324" t="str">
        <f>"0120"</f>
        <v>0120</v>
      </c>
      <c r="E711" s="342">
        <v>1</v>
      </c>
      <c r="F711" s="827">
        <f>SUMIFS(Quotes!$E$74:$E$81,Quotes!$A$74:$A$81,"Internal Fascia Corner")</f>
        <v>0</v>
      </c>
      <c r="G711" s="829">
        <v>2.92</v>
      </c>
      <c r="H711" s="412" t="s">
        <v>3593</v>
      </c>
      <c r="I711" s="1207"/>
      <c r="J711" s="73" t="str">
        <f>IF(Table5[[#This Row],[Entered]]&lt;&gt;Table5[[#This Row],[Quantity]],"Check","")</f>
        <v/>
      </c>
    </row>
    <row r="712" spans="1:10" ht="15" x14ac:dyDescent="0.2">
      <c r="A712" s="324" t="s">
        <v>2894</v>
      </c>
      <c r="B712" s="324" t="str">
        <f t="shared" si="49"/>
        <v>0830</v>
      </c>
      <c r="C712" s="324">
        <v>10412452</v>
      </c>
      <c r="D712" s="342">
        <f>100</f>
        <v>100</v>
      </c>
      <c r="E712" s="342">
        <v>1</v>
      </c>
      <c r="F712" s="1159"/>
      <c r="G712" s="1221"/>
      <c r="H712" s="503" t="s">
        <v>1058</v>
      </c>
      <c r="I712" s="1207"/>
      <c r="J712" s="73" t="str">
        <f>IF(Table5[[#This Row],[Entered]]&lt;&gt;Table5[[#This Row],[Quantity]],"Check","")</f>
        <v/>
      </c>
    </row>
    <row r="713" spans="1:10" ht="15" x14ac:dyDescent="0.2">
      <c r="A713" s="324" t="s">
        <v>2894</v>
      </c>
      <c r="B713" s="324" t="str">
        <f t="shared" si="49"/>
        <v>0830</v>
      </c>
      <c r="C713" s="324">
        <v>10412452</v>
      </c>
      <c r="D713" s="324" t="str">
        <f>"0130"</f>
        <v>0130</v>
      </c>
      <c r="E713" s="324">
        <v>1</v>
      </c>
      <c r="F713" s="827">
        <f>SUMIF(Quotes!$A$74:$A$81,"Fascia Sleeves",Quotes!$E$74:$E$81)</f>
        <v>0</v>
      </c>
      <c r="G713" s="829">
        <v>1.48</v>
      </c>
      <c r="H713" s="412" t="s">
        <v>3594</v>
      </c>
      <c r="I713" s="1207"/>
      <c r="J713" s="73" t="str">
        <f>IF(Table5[[#This Row],[Entered]]&lt;&gt;Table5[[#This Row],[Quantity]],"Check","")</f>
        <v/>
      </c>
    </row>
    <row r="714" spans="1:10" ht="15" x14ac:dyDescent="0.2">
      <c r="A714" s="324" t="s">
        <v>2894</v>
      </c>
      <c r="B714" s="324" t="str">
        <f t="shared" si="49"/>
        <v>0830</v>
      </c>
      <c r="C714" s="324">
        <v>10412452</v>
      </c>
      <c r="D714" s="324" t="str">
        <f>"0140"</f>
        <v>0140</v>
      </c>
      <c r="E714" s="324">
        <v>1</v>
      </c>
      <c r="F714" s="827">
        <f>SUMIFS(Quotes!$E$74:$E$81,Quotes!$A$74:$A$81,"Stop Ends",Quotes!$C$74:$C$81,"R-Hand")</f>
        <v>0</v>
      </c>
      <c r="G714" s="829">
        <v>0.63</v>
      </c>
      <c r="H714" s="412" t="s">
        <v>3710</v>
      </c>
      <c r="I714" s="1207"/>
      <c r="J714" s="73" t="str">
        <f>IF(Table5[[#This Row],[Entered]]&lt;&gt;Table5[[#This Row],[Quantity]],"Check","")</f>
        <v/>
      </c>
    </row>
    <row r="715" spans="1:10" ht="15" x14ac:dyDescent="0.2">
      <c r="A715" s="324" t="s">
        <v>2894</v>
      </c>
      <c r="B715" s="324" t="str">
        <f t="shared" si="49"/>
        <v>0830</v>
      </c>
      <c r="C715" s="324">
        <v>10412452</v>
      </c>
      <c r="D715" s="324" t="str">
        <f>"0150"</f>
        <v>0150</v>
      </c>
      <c r="E715" s="324">
        <v>1</v>
      </c>
      <c r="F715" s="827">
        <f>SUMIFS(Quotes!$E$74:$E$81,Quotes!$A$74:$A$81,"Stop Ends",Quotes!$C$74:$C$81,"L-Hand")</f>
        <v>0</v>
      </c>
      <c r="G715" s="829">
        <v>0.63</v>
      </c>
      <c r="H715" s="412" t="s">
        <v>3709</v>
      </c>
      <c r="I715" s="1207"/>
      <c r="J715" s="73" t="str">
        <f>IF(Table5[[#This Row],[Entered]]&lt;&gt;Table5[[#This Row],[Quantity]],"Check","")</f>
        <v/>
      </c>
    </row>
    <row r="716" spans="1:10" s="3" customFormat="1" ht="15" x14ac:dyDescent="0.2">
      <c r="A716" s="342" t="s">
        <v>2894</v>
      </c>
      <c r="B716" s="342" t="str">
        <f t="shared" si="49"/>
        <v>0830</v>
      </c>
      <c r="C716" s="342">
        <v>10412452</v>
      </c>
      <c r="D716" s="342">
        <v>200</v>
      </c>
      <c r="E716" s="342">
        <v>1</v>
      </c>
      <c r="F716" s="1159"/>
      <c r="G716" s="1160"/>
      <c r="H716" s="503" t="s">
        <v>1017</v>
      </c>
      <c r="I716" s="1207"/>
      <c r="J716" s="6" t="str">
        <f>IF(Table5[[#This Row],[Entered]]&lt;&gt;Table5[[#This Row],[Quantity]],"Check","")</f>
        <v/>
      </c>
    </row>
    <row r="717" spans="1:10" ht="15" x14ac:dyDescent="0.2">
      <c r="A717" s="324" t="s">
        <v>2894</v>
      </c>
      <c r="B717" s="324" t="str">
        <f t="shared" si="49"/>
        <v>0830</v>
      </c>
      <c r="C717" s="324">
        <v>10412452</v>
      </c>
      <c r="D717" s="324" t="str">
        <f>"0110"</f>
        <v>0110</v>
      </c>
      <c r="E717" s="324">
        <v>1</v>
      </c>
      <c r="F717" s="827">
        <f>IF(FasciaType="Colorbond",COUNTIF(Name,"*FASCIA EXT CNR*"),0)</f>
        <v>0</v>
      </c>
      <c r="G717" s="829">
        <v>2.92</v>
      </c>
      <c r="H717" s="412" t="s">
        <v>3592</v>
      </c>
      <c r="I717" s="1258"/>
      <c r="J717" s="73" t="str">
        <f>IF(Table5[[#This Row],[Entered]]&lt;&gt;Table5[[#This Row],[Quantity]],"Check","")</f>
        <v/>
      </c>
    </row>
    <row r="718" spans="1:10" ht="15" x14ac:dyDescent="0.2">
      <c r="A718" s="324" t="s">
        <v>2894</v>
      </c>
      <c r="B718" s="324" t="str">
        <f t="shared" si="49"/>
        <v>0830</v>
      </c>
      <c r="C718" s="324">
        <v>10412452</v>
      </c>
      <c r="D718" s="342">
        <f>350</f>
        <v>350</v>
      </c>
      <c r="E718" s="342">
        <v>1</v>
      </c>
      <c r="F718" s="1159">
        <f>IF(FasciaType="Colorbond",EVEN(COUNTIF(Name,"Hip/Valley Fascia")),0)</f>
        <v>0</v>
      </c>
      <c r="G718" s="829"/>
      <c r="H718" s="503" t="s">
        <v>1186</v>
      </c>
      <c r="I718" s="1207"/>
      <c r="J718" s="73" t="str">
        <f>IF(Table5[[#This Row],[Entered]]&lt;&gt;Table5[[#This Row],[Quantity]],"Check","")</f>
        <v/>
      </c>
    </row>
    <row r="719" spans="1:10" ht="15" x14ac:dyDescent="0.2">
      <c r="A719" s="324" t="s">
        <v>2894</v>
      </c>
      <c r="B719" s="324" t="str">
        <f t="shared" si="49"/>
        <v>0830</v>
      </c>
      <c r="C719" s="324">
        <v>10412452</v>
      </c>
      <c r="D719" s="324" t="str">
        <f>"0120"</f>
        <v>0120</v>
      </c>
      <c r="E719" s="324">
        <v>1</v>
      </c>
      <c r="F719" s="827">
        <f>IF(FasciaType="Colorbond",COUNTIF(Name,"*FASCIA INT CNR*"),0)</f>
        <v>0</v>
      </c>
      <c r="G719" s="829">
        <v>2.92</v>
      </c>
      <c r="H719" s="412" t="s">
        <v>3593</v>
      </c>
      <c r="I719" s="1258"/>
      <c r="J719" s="73" t="str">
        <f>IF(Table5[[#This Row],[Entered]]&lt;&gt;Table5[[#This Row],[Quantity]],"Check","")</f>
        <v/>
      </c>
    </row>
    <row r="720" spans="1:10" s="3" customFormat="1" ht="15" x14ac:dyDescent="0.2">
      <c r="A720" s="324" t="s">
        <v>2894</v>
      </c>
      <c r="B720" s="324" t="str">
        <f t="shared" si="49"/>
        <v>0830</v>
      </c>
      <c r="C720" s="324">
        <v>10412452</v>
      </c>
      <c r="D720" s="324" t="str">
        <f>"0175"</f>
        <v>0175</v>
      </c>
      <c r="E720" s="324">
        <v>1</v>
      </c>
      <c r="F720" s="827">
        <f>SUMIF(Quotes!$A$74:$A$81,"Pop Rivets",Quotes!$E$74:$E$81)</f>
        <v>0</v>
      </c>
      <c r="G720" s="829">
        <v>3</v>
      </c>
      <c r="H720" s="412" t="s">
        <v>3595</v>
      </c>
      <c r="I720" s="1207"/>
      <c r="J720" s="6" t="str">
        <f>IF(Table5[[#This Row],[Entered]]&lt;&gt;Table5[[#This Row],[Quantity]],"Check","")</f>
        <v/>
      </c>
    </row>
    <row r="721" spans="1:10" s="3" customFormat="1" ht="15" x14ac:dyDescent="0.2">
      <c r="A721" s="324" t="s">
        <v>2894</v>
      </c>
      <c r="B721" s="324" t="str">
        <f t="shared" si="49"/>
        <v>0830</v>
      </c>
      <c r="C721" s="324">
        <v>10412452</v>
      </c>
      <c r="D721" s="324" t="str">
        <f>"1506"</f>
        <v>1506</v>
      </c>
      <c r="E721" s="324">
        <v>7</v>
      </c>
      <c r="F721" s="827" t="b">
        <f>IF(COUNTIF(Quotes!$C$63:$C$65,"Primeline Heritage")&gt;0,SUMIF(Quotes!$A$63:$A$65,"*External Corners*",Quotes!$E$63:$E$65))</f>
        <v>0</v>
      </c>
      <c r="G721" s="829">
        <v>6.22</v>
      </c>
      <c r="H721" s="412" t="s">
        <v>3712</v>
      </c>
      <c r="I721" s="1207"/>
      <c r="J721" s="73" t="str">
        <f>IF(Table5[[#This Row],[Entered]]&lt;&gt;Table5[[#This Row],[Quantity]],"Check","")</f>
        <v/>
      </c>
    </row>
    <row r="722" spans="1:10" s="3" customFormat="1" ht="15" x14ac:dyDescent="0.2">
      <c r="A722" s="324" t="s">
        <v>2894</v>
      </c>
      <c r="B722" s="324" t="str">
        <f t="shared" si="49"/>
        <v>0830</v>
      </c>
      <c r="C722" s="324">
        <v>10412452</v>
      </c>
      <c r="D722" s="324" t="str">
        <f>"1508"</f>
        <v>1508</v>
      </c>
      <c r="E722" s="324">
        <v>7</v>
      </c>
      <c r="F722" s="827" t="b">
        <f>IF(COUNTIF(Quotes!$C$63:$C$65,"Primeline Heritage")&gt;0,SUMIF(Quotes!$A$63:$A$65,"*Toe Mould*",Quotes!$E$63:$E$65))</f>
        <v>0</v>
      </c>
      <c r="G722" s="829">
        <v>6.22</v>
      </c>
      <c r="H722" s="412" t="s">
        <v>3712</v>
      </c>
      <c r="I722" s="1207"/>
      <c r="J722" s="73" t="str">
        <f>IF(Table5[[#This Row],[Entered]]&lt;&gt;Table5[[#This Row],[Quantity]],"Check","")</f>
        <v/>
      </c>
    </row>
    <row r="723" spans="1:10" ht="15" x14ac:dyDescent="0.2">
      <c r="A723" s="324" t="s">
        <v>2894</v>
      </c>
      <c r="B723" s="324" t="str">
        <f t="shared" si="49"/>
        <v>0830</v>
      </c>
      <c r="C723" s="324">
        <v>10412452</v>
      </c>
      <c r="D723" s="342" t="str">
        <f>"9029"</f>
        <v>9029</v>
      </c>
      <c r="E723" s="342">
        <v>1</v>
      </c>
      <c r="F723" s="1159" t="b" cm="1">
        <f t="array" ref="F723">IF(SUM($F$705:$F$720)&gt;0,IF(SUM(COUNTIF(Address,{"*BUNBURY*"}))&gt;0,1,0))</f>
        <v>0</v>
      </c>
      <c r="G723" s="829"/>
      <c r="H723" s="503" t="s">
        <v>3292</v>
      </c>
      <c r="I723" s="1207"/>
      <c r="J723" s="73" t="str">
        <f>IF(Table5[[#This Row],[Entered]]&lt;&gt;Table5[[#This Row],[Quantity]],"Check","")</f>
        <v/>
      </c>
    </row>
    <row r="724" spans="1:10" s="3" customFormat="1" ht="15" x14ac:dyDescent="0.2">
      <c r="A724" s="342" t="s">
        <v>2894</v>
      </c>
      <c r="B724" s="342" t="str">
        <f t="shared" si="49"/>
        <v>0830</v>
      </c>
      <c r="C724" s="342">
        <v>10412452</v>
      </c>
      <c r="D724" s="342" t="str">
        <f>"9031"</f>
        <v>9031</v>
      </c>
      <c r="E724" s="342">
        <v>1</v>
      </c>
      <c r="F724" s="1159"/>
      <c r="G724" s="1160"/>
      <c r="H724" s="503" t="s">
        <v>3293</v>
      </c>
      <c r="I724" s="1207"/>
      <c r="J724" s="6" t="str">
        <f>IF(Table5[[#This Row],[Entered]]&lt;&gt;Table5[[#This Row],[Quantity]],"Check","")</f>
        <v/>
      </c>
    </row>
    <row r="725" spans="1:10" ht="15" x14ac:dyDescent="0.2">
      <c r="A725" s="324" t="s">
        <v>2894</v>
      </c>
      <c r="B725" s="324" t="str">
        <f t="shared" si="49"/>
        <v>0830</v>
      </c>
      <c r="C725" s="324">
        <v>10412452</v>
      </c>
      <c r="D725" s="342" t="str">
        <f>"9041"</f>
        <v>9041</v>
      </c>
      <c r="E725" s="342">
        <v>1</v>
      </c>
      <c r="F725" s="1159" t="b" cm="1">
        <f t="array" ref="F725">IF(SUM($F$705:$F$720)&gt;0,IF(SUM(COUNTIF(Address,{"*DENMARK*"}))&gt;0,1,0))</f>
        <v>0</v>
      </c>
      <c r="G725" s="829"/>
      <c r="H725" s="503" t="s">
        <v>3294</v>
      </c>
      <c r="I725" s="1207"/>
      <c r="J725" s="73" t="str">
        <f>IF(Table5[[#This Row],[Entered]]&lt;&gt;Table5[[#This Row],[Quantity]],"Check","")</f>
        <v/>
      </c>
    </row>
    <row r="726" spans="1:10" ht="15" x14ac:dyDescent="0.2">
      <c r="A726" s="324" t="s">
        <v>2894</v>
      </c>
      <c r="B726" s="324" t="str">
        <f t="shared" si="49"/>
        <v>0830</v>
      </c>
      <c r="C726" s="324">
        <v>10412452</v>
      </c>
      <c r="D726" s="324" t="str">
        <f>"9044"</f>
        <v>9044</v>
      </c>
      <c r="E726" s="324">
        <v>1</v>
      </c>
      <c r="F726" s="827" t="b" cm="1">
        <f t="array" ref="F726">IF(SUM($F$705:$F$720)&gt;0,IF(SUM(COUNTIF(Address,{"*DUNSBOROUGH*"}))&gt;0,1,0))</f>
        <v>0</v>
      </c>
      <c r="G726" s="829">
        <v>90</v>
      </c>
      <c r="H726" s="412" t="s">
        <v>3295</v>
      </c>
      <c r="I726" s="1258"/>
      <c r="J726" s="73" t="str">
        <f>IF(Table5[[#This Row],[Entered]]&lt;&gt;Table5[[#This Row],[Quantity]],"Check","")</f>
        <v/>
      </c>
    </row>
    <row r="727" spans="1:10" ht="15" x14ac:dyDescent="0.2">
      <c r="A727" s="324" t="s">
        <v>2894</v>
      </c>
      <c r="B727" s="324" t="str">
        <f t="shared" si="49"/>
        <v>0830</v>
      </c>
      <c r="C727" s="324">
        <v>10412452</v>
      </c>
      <c r="D727" s="342" t="str">
        <f>"9068"</f>
        <v>9068</v>
      </c>
      <c r="E727" s="342">
        <v>1</v>
      </c>
      <c r="F727" s="1159" t="b" cm="1">
        <f t="array" ref="F727">IF(SUM($F$705:$F$720)&gt;0,IF(SUM(COUNTIF(Address,{"*MARGARET RIVER*"}))&gt;0,1,0))</f>
        <v>0</v>
      </c>
      <c r="G727" s="829"/>
      <c r="H727" s="503" t="s">
        <v>3296</v>
      </c>
      <c r="I727" s="1207"/>
      <c r="J727" s="73" t="str">
        <f>IF(Table5[[#This Row],[Entered]]&lt;&gt;Table5[[#This Row],[Quantity]],"Check","")</f>
        <v/>
      </c>
    </row>
    <row r="728" spans="1:10" ht="15" x14ac:dyDescent="0.2">
      <c r="A728" s="324" t="s">
        <v>2894</v>
      </c>
      <c r="B728" s="324" t="str">
        <f t="shared" si="49"/>
        <v>0830</v>
      </c>
      <c r="C728" s="324">
        <v>10412452</v>
      </c>
      <c r="D728" s="342" t="str">
        <f>"9094"</f>
        <v>9094</v>
      </c>
      <c r="E728" s="342">
        <v>1</v>
      </c>
      <c r="F728" s="1159" t="b" cm="1">
        <f t="array" ref="F728">IF(SUM($F$705:$F$720)&gt;0,IF(SUM(COUNTIF(Address,{"*YALLINGUP*"}))&gt;0,1,0))</f>
        <v>0</v>
      </c>
      <c r="G728" s="829"/>
      <c r="H728" s="503" t="s">
        <v>3297</v>
      </c>
      <c r="I728" s="1207"/>
      <c r="J728" s="73" t="str">
        <f>IF(Table5[[#This Row],[Entered]]&lt;&gt;Table5[[#This Row],[Quantity]],"Check","")</f>
        <v/>
      </c>
    </row>
    <row r="729" spans="1:10" s="3" customFormat="1" ht="15" x14ac:dyDescent="0.2">
      <c r="A729" s="324" t="s">
        <v>2894</v>
      </c>
      <c r="B729" s="324" t="str">
        <f t="shared" si="49"/>
        <v>0830</v>
      </c>
      <c r="C729" s="324">
        <v>10412452</v>
      </c>
      <c r="D729" s="324" t="str">
        <f>"7000"</f>
        <v>7000</v>
      </c>
      <c r="E729" s="324">
        <v>1</v>
      </c>
      <c r="F729" s="827">
        <f>IF(F706&gt;0,1,0)</f>
        <v>0</v>
      </c>
      <c r="G729" s="829">
        <v>0</v>
      </c>
      <c r="H729" s="412" t="str">
        <f>IF(F707&gt;0,"FASCIA "
&amp;IF(IF(FasciaType="Colorbond",COUNTIFS(Name,"Fascia",Length,"&gt;0",Length,"&lt;=1"),0)&gt;0,IF(FasciaType="Colorbond",COUNTIFS(Name,"Fascia",Length,"&gt;0",Length,"&lt;=1"),0)&amp;"/1 ","")
&amp;IF(IF(FasciaType="Colorbond",COUNTIFS(Name,"Fascia",Length,"&gt;1",Length,"&lt;=1.5"),0)&gt;0,IF(FasciaType="Colorbond",COUNTIFS(Name,"Fascia",Length,"&gt;1",Length,"&lt;=1.5"),0)&amp;"/1.5 ","")
&amp;IF(IF(FasciaType="Colorbond",COUNTIFS(Name,"Fascia",Length,"&gt;1.5",Length,"&lt;=2"),0)&gt;0,IF(FasciaType="Colorbond",COUNTIFS(Name,"Fascia",Length,"&gt;1.5",Length,"&lt;=2"),0)&amp;"/2 ","")
&amp;IF(IF(FasciaType="Colorbond",COUNTIFS(Name,"Fascia",Length,"&gt;2",Length,"&lt;=2.5"),0)&gt;0,IF(FasciaType="Colorbond",COUNTIFS(Name,"Fascia",Length,"&gt;2",Length,"&lt;=2.5"),0)&amp;"/2.5 ","")
&amp;IF(IF(FasciaType="Colorbond",COUNTIFS(Name,"Fascia",Length,"&gt;2.5",Length,"&lt;=3"),0)&gt;0,IF(FasciaType="Colorbond",COUNTIFS(Name,"Fascia",Length,"&gt;2.5",Length,"&lt;=3"),0)&amp;"/3 ","")
&amp;IF(IF(FasciaType="Colorbond",COUNTIFS(Name,"Fascia",Length,"&gt;3",Length,"&lt;=3.5"),0)&gt;0,IF(FasciaType="Colorbond",COUNTIFS(Name,"Fascia",Length,"&gt;3",Length,"&lt;=3.5"),0)&amp;"/3.5 ","")
&amp;IF(IF(FasciaType="Colorbond",COUNTIFS(Name,"Fascia",Length,"&gt;3.5",Length,"&lt;=4"),0)&gt;0,IF(FasciaType="Colorbond",COUNTIFS(Name,"Fascia",Length,"&gt;3.5",Length,"&lt;=4"),0)&amp;"/4 ","")
&amp;IF(IF(FasciaType="Colorbond",COUNTIFS(Name,"Fascia",Length,"&gt;4",Length,"&lt;=4.5"),0)&gt;0,IF(FasciaType="Colorbond",COUNTIFS(Name,"Fascia",Length,"&gt;4",Length,"&lt;=4.5"),0)&amp;"/4.5 ","")
&amp;IF(IF(FasciaType="Colorbond",COUNTIFS(Name,"Fascia",Length,"&gt;4.5",Length,"&lt;=5"),0)&gt;0,IF(FasciaType="Colorbond",COUNTIFS(Name,"Fascia",Length,"&gt;4.5",Length,"&lt;=5"),0)&amp;"/5 ","")
&amp;IF(IF(FasciaType="Colorbond",COUNTIFS(Name,"Fascia",Length,"&gt;4.5",Length,"&lt;=5"),0)&gt;0,IF(FasciaType="Colorbond",COUNTIFS(Name,"Fascia",Length,"&gt;4.5",Length,"&lt;=5"),0)&amp;"/5 ","")
&amp;IF(IF(FasciaType="Colorbond",COUNTIFS(Name,"Fascia",Length,"&gt;5",Length,"&lt;=5.5"),0)&gt;0,IF(FasciaType="Colorbond",COUNTIFS(Name,"Fascia",Length,"&gt;5",Length,"&lt;=5.5"),0)&amp;"/5.5 ","")
&amp;IF(IF(FasciaType="Colorbond",COUNTIFS(Name,"Fascia",Length,"&gt;5.5",Length,"&lt;=6"),0)&gt;0,IF(FasciaType="Colorbond",COUNTIFS(Name,"Fascia",Length,"&gt;5.5",Length,"&lt;=6"),0)&amp;"/6 ","")
&amp;IF(IF(FasciaType="Colorbond",COUNTIFS(Name,"Fascia",Length,"&gt;6",Length,"&lt;=6.5"),0)&gt;0,IF(FasciaType="Colorbond",COUNTIFS(Name,"Fascia",Length,"&gt;6",Length,"&lt;=6.5"),0)&amp;"/6.5 ","")
&amp;IF(IF(FasciaType="Colorbond",COUNTIFS(Name,"Fascia",Length,"&gt;6.5",Length,"&lt;=7"),0)&gt;0,IF(FasciaType="Colorbond",COUNTIFS(Name,"Fascia",Length,"&gt;6.5",Length,"&lt;=7"),0)&amp;"/7 ","")
&amp;IF(IF(FasciaType="Colorbond",COUNTIFS(Name,"Fascia",Length,"&gt;7",Length,"&lt;=7.5"),0)&gt;0,IF(FasciaType="Colorbond",COUNTIFS(Name,"Fascia",Length,"&gt;7",Length,"&lt;=7.5"),0)&amp;"/7.5 ","")
&amp;IF(IF(FasciaType="Colorbond",COUNTIFS(Name,"Fascia",Length,"&gt;7.5",Length,"&lt;=8"),0)&gt;0,IF(FasciaType="Colorbond",COUNTIFS(Name,"Fascia",Length,"&gt;7.5",Length,"&lt;=8"),0)&amp;"/8 ",""),"")</f>
        <v/>
      </c>
      <c r="I729" s="1258"/>
      <c r="J729" s="73" t="str">
        <f>IF(Table5[[#This Row],[Entered]]&lt;&gt;Table5[[#This Row],[Quantity]],"Check","")</f>
        <v/>
      </c>
    </row>
    <row r="730" spans="1:10" ht="15" x14ac:dyDescent="0.2">
      <c r="A730" s="324"/>
      <c r="B730" s="324"/>
      <c r="C730" s="324"/>
      <c r="D730" s="324"/>
      <c r="E730" s="324"/>
      <c r="F730" s="827"/>
      <c r="G730" s="829"/>
      <c r="H730" s="412"/>
      <c r="I730" s="1207"/>
      <c r="J730" s="73" t="str">
        <f>IF(Table5[[#This Row],[Entered]]&lt;&gt;Table5[[#This Row],[Quantity]],"Check","")</f>
        <v/>
      </c>
    </row>
    <row r="731" spans="1:10" ht="15" x14ac:dyDescent="0.2">
      <c r="A731" s="324" t="s">
        <v>2894</v>
      </c>
      <c r="B731" s="324" t="str">
        <f>"0840"</f>
        <v>0840</v>
      </c>
      <c r="C731" s="324" t="str">
        <f>"50001"</f>
        <v>50001</v>
      </c>
      <c r="D731" s="324" t="str">
        <f>"0010"</f>
        <v>0010</v>
      </c>
      <c r="E731" s="324">
        <v>1</v>
      </c>
      <c r="F731" s="827">
        <v>8</v>
      </c>
      <c r="G731" s="829">
        <v>159</v>
      </c>
      <c r="H731" s="412" t="s">
        <v>3041</v>
      </c>
      <c r="I731" s="1258"/>
      <c r="J731" s="2" t="str">
        <f>IF(Table5[[#This Row],[Entered]]&lt;&gt;Table5[[#This Row],[Quantity]],"Check","")</f>
        <v>Check</v>
      </c>
    </row>
    <row r="732" spans="1:10" ht="15" x14ac:dyDescent="0.2">
      <c r="A732" s="324" t="s">
        <v>2894</v>
      </c>
      <c r="B732" s="324" t="str">
        <f>"0840"</f>
        <v>0840</v>
      </c>
      <c r="C732" s="324" t="str">
        <f>"50001"</f>
        <v>50001</v>
      </c>
      <c r="D732" s="324" t="str">
        <f>"0020"</f>
        <v>0020</v>
      </c>
      <c r="E732" s="324">
        <v>1</v>
      </c>
      <c r="F732" s="827">
        <v>8</v>
      </c>
      <c r="G732" s="829">
        <v>68</v>
      </c>
      <c r="H732" s="412" t="s">
        <v>3042</v>
      </c>
      <c r="I732" s="1258"/>
      <c r="J732" s="2" t="str">
        <f>IF(Table5[[#This Row],[Entered]]&lt;&gt;Table5[[#This Row],[Quantity]],"Check","")</f>
        <v>Check</v>
      </c>
    </row>
    <row r="733" spans="1:10" ht="15" x14ac:dyDescent="0.2">
      <c r="A733" s="324"/>
      <c r="B733" s="324"/>
      <c r="C733" s="324"/>
      <c r="D733" s="324"/>
      <c r="E733" s="324"/>
      <c r="F733" s="827"/>
      <c r="G733" s="829"/>
      <c r="H733" s="412"/>
      <c r="I733" s="1207"/>
      <c r="J733" s="73" t="str">
        <f>IF(Table5[[#This Row],[Entered]]&lt;&gt;Table5[[#This Row],[Quantity]],"Check","")</f>
        <v/>
      </c>
    </row>
    <row r="734" spans="1:10" ht="15" x14ac:dyDescent="0.2">
      <c r="A734" s="324" t="s">
        <v>2894</v>
      </c>
      <c r="B734" s="324" t="str">
        <f t="shared" ref="B734:B765" si="50">"0850"</f>
        <v>0850</v>
      </c>
      <c r="C734" s="324" t="str">
        <f t="shared" ref="C734:C765" si="51">"50062"</f>
        <v>50062</v>
      </c>
      <c r="D734" s="324" t="str">
        <f>"0010"</f>
        <v>0010</v>
      </c>
      <c r="E734" s="324">
        <v>8</v>
      </c>
      <c r="F734" s="1189">
        <f>ROUNDUP(Roof_Area,1)</f>
        <v>0</v>
      </c>
      <c r="G734" s="829">
        <v>26</v>
      </c>
      <c r="H734" s="412" t="s">
        <v>2921</v>
      </c>
      <c r="I734" s="1258"/>
      <c r="J734" s="2" t="str">
        <f>IF(Table5[[#This Row],[Entered]]&lt;&gt;Table5[[#This Row],[Quantity]],"Check","")</f>
        <v/>
      </c>
    </row>
    <row r="735" spans="1:10" ht="15" x14ac:dyDescent="0.2">
      <c r="A735" s="324" t="s">
        <v>2894</v>
      </c>
      <c r="B735" s="324" t="str">
        <f t="shared" si="50"/>
        <v>0850</v>
      </c>
      <c r="C735" s="324" t="str">
        <f t="shared" si="51"/>
        <v>50062</v>
      </c>
      <c r="D735" s="324" t="str">
        <f>"0020"</f>
        <v>0020</v>
      </c>
      <c r="E735" s="324">
        <v>1</v>
      </c>
      <c r="F735" s="827">
        <f>COUNTIF(Name,"HIP")+COUNTIF(Name,"VALLEY")</f>
        <v>0</v>
      </c>
      <c r="G735" s="829">
        <v>15.12</v>
      </c>
      <c r="H735" s="412" t="s">
        <v>2320</v>
      </c>
      <c r="I735" s="1258"/>
      <c r="J735" s="2" t="str">
        <f>IF(Table5[[#This Row],[Entered]]&lt;&gt;Table5[[#This Row],[Quantity]],"Check","")</f>
        <v/>
      </c>
    </row>
    <row r="736" spans="1:10" ht="15" x14ac:dyDescent="0.2">
      <c r="A736" s="324" t="s">
        <v>2894</v>
      </c>
      <c r="B736" s="324" t="str">
        <f t="shared" si="50"/>
        <v>0850</v>
      </c>
      <c r="C736" s="324" t="str">
        <f t="shared" si="51"/>
        <v>50062</v>
      </c>
      <c r="D736" s="324" t="str">
        <f>"0030"</f>
        <v>0030</v>
      </c>
      <c r="E736" s="324">
        <v>1</v>
      </c>
      <c r="F736" s="827">
        <f>COUNTIF(Material,"*SCOTCH*")</f>
        <v>0</v>
      </c>
      <c r="G736" s="829"/>
      <c r="H736" s="412" t="s">
        <v>2923</v>
      </c>
      <c r="I736" s="1258"/>
      <c r="J736" s="2" t="str">
        <f>IF(Table5[[#This Row],[Entered]]&lt;&gt;Table5[[#This Row],[Quantity]],"Check","")</f>
        <v/>
      </c>
    </row>
    <row r="737" spans="1:10" ht="15" x14ac:dyDescent="0.2">
      <c r="A737" s="324" t="s">
        <v>2894</v>
      </c>
      <c r="B737" s="324" t="str">
        <f t="shared" si="50"/>
        <v>0850</v>
      </c>
      <c r="C737" s="324" t="str">
        <f t="shared" si="51"/>
        <v>50062</v>
      </c>
      <c r="D737" s="324" t="str">
        <f>"0037"</f>
        <v>0037</v>
      </c>
      <c r="E737" s="324">
        <v>8</v>
      </c>
      <c r="F737" s="827">
        <f>ROUND(SUMIF(Name,"Raked Ceiling*",Area),0)</f>
        <v>0</v>
      </c>
      <c r="G737" s="829">
        <v>12</v>
      </c>
      <c r="H737" s="412" t="s">
        <v>2922</v>
      </c>
      <c r="I737" s="1258"/>
      <c r="J737" s="2" t="str">
        <f>IF(Table5[[#This Row],[Entered]]&lt;&gt;Table5[[#This Row],[Quantity]],"Check","")</f>
        <v/>
      </c>
    </row>
    <row r="738" spans="1:10" ht="15" x14ac:dyDescent="0.2">
      <c r="A738" s="324" t="s">
        <v>2894</v>
      </c>
      <c r="B738" s="324" t="str">
        <f t="shared" si="50"/>
        <v>0850</v>
      </c>
      <c r="C738" s="324" t="str">
        <f t="shared" si="51"/>
        <v>50062</v>
      </c>
      <c r="D738" s="324" t="str">
        <f>"0041"</f>
        <v>0041</v>
      </c>
      <c r="E738" s="324">
        <v>8</v>
      </c>
      <c r="F738" s="1189">
        <f ca="1">CEILING(Hardiflex_Ceilings,0.1)</f>
        <v>0</v>
      </c>
      <c r="G738" s="829">
        <v>9</v>
      </c>
      <c r="H738" s="412" t="s">
        <v>2924</v>
      </c>
      <c r="I738" s="1258"/>
      <c r="J738" s="2" t="str">
        <f ca="1">IF(Table5[[#This Row],[Entered]]&lt;&gt;Table5[[#This Row],[Quantity]],"Check","")</f>
        <v/>
      </c>
    </row>
    <row r="739" spans="1:10" ht="15" x14ac:dyDescent="0.2">
      <c r="A739" s="324" t="s">
        <v>2894</v>
      </c>
      <c r="B739" s="324" t="str">
        <f t="shared" si="50"/>
        <v>0850</v>
      </c>
      <c r="C739" s="324" t="str">
        <f t="shared" si="51"/>
        <v>50062</v>
      </c>
      <c r="D739" s="324" t="str">
        <f>"0046"</f>
        <v>0046</v>
      </c>
      <c r="E739" s="324">
        <v>8</v>
      </c>
      <c r="F739" s="827">
        <f>ROUNDUP(IF(COUNTIF(Addenda!A:A,"*NEGATIVE DETAIL*")&gt;0,SUMIFS(Area,Name,"Raked Ceiling Ext",Material,"*6mm Fibre Cement*")+SUMIFS(Area,Name,"Fibre Cement Ceiling",Material,"6mm"),0),1)</f>
        <v>0</v>
      </c>
      <c r="G739" s="829">
        <v>24</v>
      </c>
      <c r="H739" s="412" t="s">
        <v>3202</v>
      </c>
      <c r="I739" s="1258"/>
      <c r="J739" s="2" t="str">
        <f>IF(Table5[[#This Row],[Entered]]&lt;&gt;Table5[[#This Row],[Quantity]],"Check","")</f>
        <v/>
      </c>
    </row>
    <row r="740" spans="1:10" ht="15" x14ac:dyDescent="0.2">
      <c r="A740" s="324" t="s">
        <v>2894</v>
      </c>
      <c r="B740" s="324" t="str">
        <f t="shared" si="50"/>
        <v>0850</v>
      </c>
      <c r="C740" s="324" t="str">
        <f t="shared" si="51"/>
        <v>50062</v>
      </c>
      <c r="D740" s="324" t="str">
        <f>"0050"</f>
        <v>0050</v>
      </c>
      <c r="E740" s="324">
        <v>1</v>
      </c>
      <c r="F740" s="827">
        <f>COUNTIF(Name,"Gable")</f>
        <v>0</v>
      </c>
      <c r="G740" s="829">
        <v>54</v>
      </c>
      <c r="H740" s="412" t="s">
        <v>2925</v>
      </c>
      <c r="I740" s="1258"/>
      <c r="J740" s="2" t="str">
        <f>IF(Table5[[#This Row],[Entered]]&lt;&gt;Table5[[#This Row],[Quantity]],"Check","")</f>
        <v/>
      </c>
    </row>
    <row r="741" spans="1:10" ht="15" x14ac:dyDescent="0.2">
      <c r="A741" s="324" t="s">
        <v>2894</v>
      </c>
      <c r="B741" s="324" t="str">
        <f t="shared" si="50"/>
        <v>0850</v>
      </c>
      <c r="C741" s="324" t="str">
        <f t="shared" si="51"/>
        <v>50062</v>
      </c>
      <c r="D741" s="324" t="str">
        <f>"0053"</f>
        <v>0053</v>
      </c>
      <c r="E741" s="324">
        <v>7</v>
      </c>
      <c r="F741" s="827">
        <f>IF(AND(COUNTIF(Addenda!A:A,"*NEGATIVE DETAIL*")&gt;0,BAL&gt;0),3.2,0)</f>
        <v>0</v>
      </c>
      <c r="G741" s="829">
        <v>1.2</v>
      </c>
      <c r="H741" s="412" t="s">
        <v>3513</v>
      </c>
      <c r="I741" s="1258"/>
      <c r="J741" s="2" t="str">
        <f>IF(Table5[[#This Row],[Entered]]&lt;&gt;Table5[[#This Row],[Quantity]],"Check","")</f>
        <v/>
      </c>
    </row>
    <row r="742" spans="1:10" ht="15" x14ac:dyDescent="0.2">
      <c r="A742" s="324" t="s">
        <v>2894</v>
      </c>
      <c r="B742" s="324" t="str">
        <f t="shared" si="50"/>
        <v>0850</v>
      </c>
      <c r="C742" s="324" t="str">
        <f t="shared" si="51"/>
        <v>50062</v>
      </c>
      <c r="D742" s="324" t="str">
        <f>"0060"</f>
        <v>0060</v>
      </c>
      <c r="E742" s="324">
        <v>8</v>
      </c>
      <c r="F742" s="1189">
        <f ca="1">ROUND((SUMIFS(Length,Name,"Gable",Material,"&lt;&gt;Brick")/2)*ROUND(SUMIFS(Length,Name,"Gable",Material,"&lt;&gt;Brick")/2*1000*TAN(RADIANS(25)),0)/1000,1)</f>
        <v>0</v>
      </c>
      <c r="G742" s="829">
        <v>14.4</v>
      </c>
      <c r="H742" s="412" t="s">
        <v>2926</v>
      </c>
      <c r="I742" s="1258"/>
      <c r="J742" s="2" t="str">
        <f ca="1">IF(Table5[[#This Row],[Entered]]&lt;&gt;Table5[[#This Row],[Quantity]],"Check","")</f>
        <v/>
      </c>
    </row>
    <row r="743" spans="1:10" ht="15" x14ac:dyDescent="0.2">
      <c r="A743" s="324" t="s">
        <v>2894</v>
      </c>
      <c r="B743" s="324" t="str">
        <f t="shared" si="50"/>
        <v>0850</v>
      </c>
      <c r="C743" s="324" t="str">
        <f t="shared" si="51"/>
        <v>50062</v>
      </c>
      <c r="D743" s="324" t="str">
        <f>"0065"</f>
        <v>0065</v>
      </c>
      <c r="E743" s="324">
        <v>1</v>
      </c>
      <c r="F743" s="827">
        <f>COUNTIF(Name,"Spandrel")</f>
        <v>0</v>
      </c>
      <c r="G743" s="829">
        <v>26.4</v>
      </c>
      <c r="H743" s="412" t="s">
        <v>2927</v>
      </c>
      <c r="I743" s="1258"/>
      <c r="J743" s="2" t="str">
        <f>IF(Table5[[#This Row],[Entered]]&lt;&gt;Table5[[#This Row],[Quantity]],"Check","")</f>
        <v/>
      </c>
    </row>
    <row r="744" spans="1:10" ht="15" x14ac:dyDescent="0.2">
      <c r="A744" s="324" t="s">
        <v>2894</v>
      </c>
      <c r="B744" s="324" t="str">
        <f t="shared" si="50"/>
        <v>0850</v>
      </c>
      <c r="C744" s="324" t="str">
        <f t="shared" si="51"/>
        <v>50062</v>
      </c>
      <c r="D744" s="324" t="str">
        <f>"0080"</f>
        <v>0080</v>
      </c>
      <c r="E744" s="324">
        <v>8</v>
      </c>
      <c r="F744" s="1189">
        <f ca="1">ROUND((SUMIFS(Length,Name,"Gable",Material,"FC")/2)*ROUND(SUMIFS(Length,Name,"Gable",Material,"FC")/2*1000*TAN(RADIANS(25)),0)/1000,1)</f>
        <v>0</v>
      </c>
      <c r="G744" s="829">
        <v>6</v>
      </c>
      <c r="H744" s="412" t="s">
        <v>2928</v>
      </c>
      <c r="I744" s="1258"/>
      <c r="J744" s="2" t="str">
        <f ca="1">IF(Table5[[#This Row],[Entered]]&lt;&gt;Table5[[#This Row],[Quantity]],"Check","")</f>
        <v/>
      </c>
    </row>
    <row r="745" spans="1:10" ht="15" x14ac:dyDescent="0.2">
      <c r="A745" s="324" t="s">
        <v>2894</v>
      </c>
      <c r="B745" s="324" t="str">
        <f t="shared" si="50"/>
        <v>0850</v>
      </c>
      <c r="C745" s="324" t="str">
        <f t="shared" si="51"/>
        <v>50062</v>
      </c>
      <c r="D745" s="324" t="str">
        <f>"0090"</f>
        <v>0090</v>
      </c>
      <c r="E745" s="324">
        <v>8</v>
      </c>
      <c r="F745" s="1189">
        <f>ROUND(SUMIFS(Length,Name,"Gable"),1)</f>
        <v>0</v>
      </c>
      <c r="G745" s="829">
        <v>8.4</v>
      </c>
      <c r="H745" s="412" t="s">
        <v>2929</v>
      </c>
      <c r="I745" s="1258"/>
      <c r="J745" s="2" t="str">
        <f>IF(Table5[[#This Row],[Entered]]&lt;&gt;Table5[[#This Row],[Quantity]],"Check","")</f>
        <v/>
      </c>
    </row>
    <row r="746" spans="1:10" ht="15" x14ac:dyDescent="0.2">
      <c r="A746" s="324" t="s">
        <v>2894</v>
      </c>
      <c r="B746" s="324" t="str">
        <f t="shared" si="50"/>
        <v>0850</v>
      </c>
      <c r="C746" s="324" t="str">
        <f t="shared" si="51"/>
        <v>50062</v>
      </c>
      <c r="D746" s="324" t="str">
        <f>"0100"</f>
        <v>0100</v>
      </c>
      <c r="E746" s="324">
        <v>7</v>
      </c>
      <c r="F746" s="827">
        <f>ROUNDUP(SUMIF(Name,"*UB*",Length),1)</f>
        <v>0</v>
      </c>
      <c r="G746" s="829">
        <v>7.5</v>
      </c>
      <c r="H746" s="412" t="s">
        <v>2930</v>
      </c>
      <c r="I746" s="1258"/>
      <c r="J746" s="2" t="str">
        <f>IF(Table5[[#This Row],[Entered]]&lt;&gt;Table5[[#This Row],[Quantity]],"Check","")</f>
        <v/>
      </c>
    </row>
    <row r="747" spans="1:10" ht="15" x14ac:dyDescent="0.2">
      <c r="A747" s="324" t="s">
        <v>2894</v>
      </c>
      <c r="B747" s="324" t="str">
        <f t="shared" si="50"/>
        <v>0850</v>
      </c>
      <c r="C747" s="324" t="str">
        <f t="shared" si="51"/>
        <v>50062</v>
      </c>
      <c r="D747" s="324" t="str">
        <f>"0110"</f>
        <v>0110</v>
      </c>
      <c r="E747" s="324">
        <v>7</v>
      </c>
      <c r="F747" s="827">
        <f>ROUNDUP(SUMIF(Name,"Exposed Timber Beam",Length),1)</f>
        <v>0</v>
      </c>
      <c r="G747" s="829">
        <v>7.5</v>
      </c>
      <c r="H747" s="412" t="s">
        <v>2931</v>
      </c>
      <c r="I747" s="1258"/>
      <c r="J747" s="2" t="str">
        <f>IF(Table5[[#This Row],[Entered]]&lt;&gt;Table5[[#This Row],[Quantity]],"Check","")</f>
        <v/>
      </c>
    </row>
    <row r="748" spans="1:10" ht="15" x14ac:dyDescent="0.2">
      <c r="A748" s="324" t="s">
        <v>2894</v>
      </c>
      <c r="B748" s="324" t="str">
        <f t="shared" si="50"/>
        <v>0850</v>
      </c>
      <c r="C748" s="324" t="str">
        <f t="shared" si="51"/>
        <v>50062</v>
      </c>
      <c r="D748" s="324" t="str">
        <f>"0115"</f>
        <v>0115</v>
      </c>
      <c r="E748" s="324">
        <v>1</v>
      </c>
      <c r="F748" s="827">
        <f>COUNTIF(Name,"Finial")</f>
        <v>0</v>
      </c>
      <c r="G748" s="829"/>
      <c r="H748" s="412" t="s">
        <v>2932</v>
      </c>
      <c r="I748" s="1258"/>
      <c r="J748" s="2" t="str">
        <f>IF(Table5[[#This Row],[Entered]]&lt;&gt;Table5[[#This Row],[Quantity]],"Check","")</f>
        <v/>
      </c>
    </row>
    <row r="749" spans="1:10" ht="15" x14ac:dyDescent="0.2">
      <c r="A749" s="324" t="s">
        <v>2894</v>
      </c>
      <c r="B749" s="324" t="str">
        <f t="shared" si="50"/>
        <v>0850</v>
      </c>
      <c r="C749" s="324" t="str">
        <f t="shared" si="51"/>
        <v>50062</v>
      </c>
      <c r="D749" s="324" t="str">
        <f>"0120"</f>
        <v>0120</v>
      </c>
      <c r="E749" s="324">
        <v>1</v>
      </c>
      <c r="F749" s="827">
        <f>COUNTIFS(Name,"Posts",Material,"Timber*")</f>
        <v>0</v>
      </c>
      <c r="G749" s="829">
        <v>27</v>
      </c>
      <c r="H749" s="412" t="s">
        <v>2934</v>
      </c>
      <c r="I749" s="1258"/>
      <c r="J749" s="2" t="str">
        <f>IF(Table5[[#This Row],[Entered]]&lt;&gt;Table5[[#This Row],[Quantity]],"Check","")</f>
        <v/>
      </c>
    </row>
    <row r="750" spans="1:10" ht="15" x14ac:dyDescent="0.2">
      <c r="A750" s="324" t="s">
        <v>2894</v>
      </c>
      <c r="B750" s="324" t="str">
        <f t="shared" si="50"/>
        <v>0850</v>
      </c>
      <c r="C750" s="324" t="str">
        <f t="shared" si="51"/>
        <v>50062</v>
      </c>
      <c r="D750" s="324" t="str">
        <f>"0126"</f>
        <v>0126</v>
      </c>
      <c r="E750" s="324">
        <v>1</v>
      </c>
      <c r="F750" s="827">
        <f>COUNTIFS(Name,"Posts",Material,"Bush 150")</f>
        <v>0</v>
      </c>
      <c r="G750" s="829"/>
      <c r="H750" s="412" t="s">
        <v>2933</v>
      </c>
      <c r="I750" s="1258"/>
      <c r="J750" s="2" t="str">
        <f>IF(Table5[[#This Row],[Entered]]&lt;&gt;Table5[[#This Row],[Quantity]],"Check","")</f>
        <v/>
      </c>
    </row>
    <row r="751" spans="1:10" ht="15" x14ac:dyDescent="0.2">
      <c r="A751" s="324" t="s">
        <v>2894</v>
      </c>
      <c r="B751" s="324" t="str">
        <f t="shared" si="50"/>
        <v>0850</v>
      </c>
      <c r="C751" s="324" t="str">
        <f t="shared" si="51"/>
        <v>50062</v>
      </c>
      <c r="D751" s="324" t="str">
        <f>"0127"</f>
        <v>0127</v>
      </c>
      <c r="E751" s="324">
        <v>1</v>
      </c>
      <c r="F751" s="827">
        <f>COUNTIFS(Name,"Posts",Material,"Bush 200")</f>
        <v>0</v>
      </c>
      <c r="G751" s="829"/>
      <c r="H751" s="412" t="s">
        <v>2950</v>
      </c>
      <c r="I751" s="1258"/>
      <c r="J751" s="2" t="str">
        <f>IF(Table5[[#This Row],[Entered]]&lt;&gt;Table5[[#This Row],[Quantity]],"Check","")</f>
        <v/>
      </c>
    </row>
    <row r="752" spans="1:10" ht="15" x14ac:dyDescent="0.2">
      <c r="A752" s="324" t="s">
        <v>2894</v>
      </c>
      <c r="B752" s="324" t="str">
        <f t="shared" si="50"/>
        <v>0850</v>
      </c>
      <c r="C752" s="324" t="str">
        <f t="shared" si="51"/>
        <v>50062</v>
      </c>
      <c r="D752" s="324" t="str">
        <f>"0130"</f>
        <v>0130</v>
      </c>
      <c r="E752" s="324">
        <v>7</v>
      </c>
      <c r="F752" s="827">
        <f>CEILING(SUMIF(Name,"Exposed Rafter",Length),1)</f>
        <v>0</v>
      </c>
      <c r="G752" s="829">
        <v>1.8</v>
      </c>
      <c r="H752" s="412" t="s">
        <v>1434</v>
      </c>
      <c r="I752" s="1258"/>
      <c r="J752" s="2" t="str">
        <f>IF(Table5[[#This Row],[Entered]]&lt;&gt;Table5[[#This Row],[Quantity]],"Check","")</f>
        <v/>
      </c>
    </row>
    <row r="753" spans="1:10" ht="15" x14ac:dyDescent="0.2">
      <c r="A753" s="324" t="s">
        <v>2894</v>
      </c>
      <c r="B753" s="324" t="str">
        <f t="shared" si="50"/>
        <v>0850</v>
      </c>
      <c r="C753" s="324" t="str">
        <f t="shared" si="51"/>
        <v>50062</v>
      </c>
      <c r="D753" s="324" t="str">
        <f>"0150"</f>
        <v>0150</v>
      </c>
      <c r="E753" s="324">
        <v>7</v>
      </c>
      <c r="F753" s="827">
        <f>ROUND(SUMIFS(Length,Name,"Gable")*1.2508,1)</f>
        <v>0</v>
      </c>
      <c r="G753" s="829">
        <v>6</v>
      </c>
      <c r="H753" s="412" t="s">
        <v>971</v>
      </c>
      <c r="I753" s="1258"/>
      <c r="J753" s="2" t="str">
        <f>IF(Table5[[#This Row],[Entered]]&lt;&gt;Table5[[#This Row],[Quantity]],"Check","")</f>
        <v/>
      </c>
    </row>
    <row r="754" spans="1:10" ht="15" x14ac:dyDescent="0.2">
      <c r="A754" s="324" t="s">
        <v>2894</v>
      </c>
      <c r="B754" s="324" t="str">
        <f t="shared" si="50"/>
        <v>0850</v>
      </c>
      <c r="C754" s="324" t="str">
        <f t="shared" si="51"/>
        <v>50062</v>
      </c>
      <c r="D754" s="324" t="str">
        <f>"0181"</f>
        <v>0181</v>
      </c>
      <c r="E754" s="324">
        <v>8</v>
      </c>
      <c r="F754" s="1189">
        <f>ROUNDUP(IF(AND(Roof_Type="Steel Roof",Corrosion_Classification&lt;&gt;"R4"),Roof_Area,0),1)</f>
        <v>0</v>
      </c>
      <c r="G754" s="829">
        <v>2.4</v>
      </c>
      <c r="H754" s="412" t="s">
        <v>2935</v>
      </c>
      <c r="I754" s="1258"/>
      <c r="J754" s="2" t="str">
        <f>IF(Table5[[#This Row],[Entered]]&lt;&gt;Table5[[#This Row],[Quantity]],"Check","")</f>
        <v/>
      </c>
    </row>
    <row r="755" spans="1:10" ht="15" x14ac:dyDescent="0.2">
      <c r="A755" s="324" t="s">
        <v>2894</v>
      </c>
      <c r="B755" s="324" t="str">
        <f t="shared" si="50"/>
        <v>0850</v>
      </c>
      <c r="C755" s="324" t="str">
        <f t="shared" si="51"/>
        <v>50062</v>
      </c>
      <c r="D755" s="324" t="str">
        <f>"0184"</f>
        <v>0184</v>
      </c>
      <c r="E755" s="324">
        <v>8</v>
      </c>
      <c r="F755" s="827">
        <f>ROUND(IF(OR(Roof_Type="Tiled Roof",Corrosion_Classification="R4"),Roof_Area,0),1)</f>
        <v>0</v>
      </c>
      <c r="G755" s="829"/>
      <c r="H755" s="412" t="s">
        <v>2948</v>
      </c>
      <c r="I755" s="1258"/>
      <c r="J755" s="2" t="str">
        <f>IF(Table5[[#This Row],[Entered]]&lt;&gt;Table5[[#This Row],[Quantity]],"Check","")</f>
        <v/>
      </c>
    </row>
    <row r="756" spans="1:10" ht="15" x14ac:dyDescent="0.2">
      <c r="A756" s="324" t="s">
        <v>2894</v>
      </c>
      <c r="B756" s="324" t="str">
        <f t="shared" si="50"/>
        <v>0850</v>
      </c>
      <c r="C756" s="324" t="str">
        <f t="shared" si="51"/>
        <v>50062</v>
      </c>
      <c r="D756" s="324" t="str">
        <f>"0191"</f>
        <v>0191</v>
      </c>
      <c r="E756" s="324">
        <v>1</v>
      </c>
      <c r="F756" s="827">
        <f>COUNTIF(Name,"Rec. Ceiling")</f>
        <v>0</v>
      </c>
      <c r="G756" s="829"/>
      <c r="H756" s="412" t="s">
        <v>2936</v>
      </c>
      <c r="I756" s="1258"/>
      <c r="J756" s="2" t="str">
        <f>IF(Table5[[#This Row],[Entered]]&lt;&gt;Table5[[#This Row],[Quantity]],"Check","")</f>
        <v/>
      </c>
    </row>
    <row r="757" spans="1:10" ht="15" x14ac:dyDescent="0.2">
      <c r="A757" s="324" t="s">
        <v>2894</v>
      </c>
      <c r="B757" s="324" t="str">
        <f t="shared" si="50"/>
        <v>0850</v>
      </c>
      <c r="C757" s="324" t="str">
        <f t="shared" si="51"/>
        <v>50062</v>
      </c>
      <c r="D757" s="324" t="str">
        <f>"0280"</f>
        <v>0280</v>
      </c>
      <c r="E757" s="324">
        <v>1</v>
      </c>
      <c r="F757" s="827">
        <f>COUNTIF(Name,"Cut Hole")</f>
        <v>0</v>
      </c>
      <c r="G757" s="829">
        <v>39</v>
      </c>
      <c r="H757" s="412" t="s">
        <v>2937</v>
      </c>
      <c r="I757" s="1258"/>
      <c r="J757" s="2" t="str">
        <f>IF(Table5[[#This Row],[Entered]]&lt;&gt;Table5[[#This Row],[Quantity]],"Check","")</f>
        <v/>
      </c>
    </row>
    <row r="758" spans="1:10" ht="15" x14ac:dyDescent="0.2">
      <c r="A758" s="324" t="s">
        <v>2894</v>
      </c>
      <c r="B758" s="324" t="str">
        <f t="shared" si="50"/>
        <v>0850</v>
      </c>
      <c r="C758" s="324" t="str">
        <f t="shared" si="51"/>
        <v>50062</v>
      </c>
      <c r="D758" s="324" t="str">
        <f>"0313"</f>
        <v>0313</v>
      </c>
      <c r="E758" s="324">
        <v>1</v>
      </c>
      <c r="F758" s="827">
        <f>IF(Brick_type="Timber Frame",0,COUNTIF(Name,"OPENING RBV*")+COUNTIF(Name,"OPENING STUD*"))</f>
        <v>0</v>
      </c>
      <c r="G758" s="829">
        <v>40</v>
      </c>
      <c r="H758" s="412" t="s">
        <v>3203</v>
      </c>
      <c r="I758" s="1258"/>
      <c r="J758" s="2" t="str">
        <f>IF(Table5[[#This Row],[Entered]]&lt;&gt;Table5[[#This Row],[Quantity]],"Check","")</f>
        <v/>
      </c>
    </row>
    <row r="759" spans="1:10" ht="15" x14ac:dyDescent="0.2">
      <c r="A759" s="324" t="s">
        <v>2894</v>
      </c>
      <c r="B759" s="324" t="str">
        <f t="shared" si="50"/>
        <v>0850</v>
      </c>
      <c r="C759" s="324" t="str">
        <f t="shared" si="51"/>
        <v>50062</v>
      </c>
      <c r="D759" s="324" t="str">
        <f>"0318"</f>
        <v>0318</v>
      </c>
      <c r="E759" s="324">
        <v>7</v>
      </c>
      <c r="F759" s="827">
        <f>IF(OR(Brick_type="Timber Frame",Brick_type="Brick Veneer"),0,ROUNDUP(SUMIF(Name,"Studwork",Length)+SUMIF(Name,"Reverse Brick Veneer",Length)+SUMIF(Name,"Wall Stud Int",Length),1))</f>
        <v>0</v>
      </c>
      <c r="G759" s="829">
        <v>20</v>
      </c>
      <c r="H759" s="412" t="s">
        <v>2938</v>
      </c>
      <c r="I759" s="1258"/>
      <c r="J759" s="2" t="str">
        <f>IF(Table5[[#This Row],[Entered]]&lt;&gt;Table5[[#This Row],[Quantity]],"Check","")</f>
        <v/>
      </c>
    </row>
    <row r="760" spans="1:10" ht="15" x14ac:dyDescent="0.2">
      <c r="A760" s="324" t="s">
        <v>2894</v>
      </c>
      <c r="B760" s="324" t="str">
        <f t="shared" si="50"/>
        <v>0850</v>
      </c>
      <c r="C760" s="324" t="str">
        <f t="shared" si="51"/>
        <v>50062</v>
      </c>
      <c r="D760" s="324" t="str">
        <f>"0323"</f>
        <v>0323</v>
      </c>
      <c r="E760" s="324">
        <v>1</v>
      </c>
      <c r="F760" s="827">
        <f>IF(Brick_type="Timber Frame",0,COUNTIF(Name,"OPENING RBV*")+COUNTIF(Name,"OPENING STUD*"))</f>
        <v>0</v>
      </c>
      <c r="G760" s="829">
        <v>12.72</v>
      </c>
      <c r="H760" s="412" t="s">
        <v>2940</v>
      </c>
      <c r="I760" s="1258"/>
      <c r="J760" s="2" t="str">
        <f>IF(Table5[[#This Row],[Entered]]&lt;&gt;Table5[[#This Row],[Quantity]],"Check","")</f>
        <v/>
      </c>
    </row>
    <row r="761" spans="1:10" ht="15" x14ac:dyDescent="0.2">
      <c r="A761" s="324" t="s">
        <v>2894</v>
      </c>
      <c r="B761" s="324" t="str">
        <f t="shared" si="50"/>
        <v>0850</v>
      </c>
      <c r="C761" s="324" t="str">
        <f t="shared" si="51"/>
        <v>50062</v>
      </c>
      <c r="D761" s="324" t="str">
        <f>"0326"</f>
        <v>0326</v>
      </c>
      <c r="E761" s="324">
        <v>8</v>
      </c>
      <c r="F761" s="1189">
        <f ca="1">IF(Brick_type="Timber Frame",0,'External Cladding'!$J$55)</f>
        <v>0</v>
      </c>
      <c r="G761" s="829">
        <v>2.16</v>
      </c>
      <c r="H761" s="412" t="s">
        <v>2941</v>
      </c>
      <c r="I761" s="1258"/>
      <c r="J761" s="2" t="str">
        <f ca="1">IF(Table5[[#This Row],[Entered]]&lt;&gt;Table5[[#This Row],[Quantity]],"Check","")</f>
        <v/>
      </c>
    </row>
    <row r="762" spans="1:10" ht="15" x14ac:dyDescent="0.2">
      <c r="A762" s="324" t="s">
        <v>2894</v>
      </c>
      <c r="B762" s="324" t="str">
        <f t="shared" si="50"/>
        <v>0850</v>
      </c>
      <c r="C762" s="324" t="str">
        <f t="shared" si="51"/>
        <v>50062</v>
      </c>
      <c r="D762" s="324" t="str">
        <f>"0327"</f>
        <v>0327</v>
      </c>
      <c r="E762" s="324">
        <v>7</v>
      </c>
      <c r="F762" s="1128"/>
      <c r="G762" s="829">
        <v>12</v>
      </c>
      <c r="H762" s="412" t="s">
        <v>2942</v>
      </c>
      <c r="I762" s="1258"/>
      <c r="J762" s="2" t="str">
        <f>IF(Table5[[#This Row],[Entered]]&lt;&gt;Table5[[#This Row],[Quantity]],"Check","")</f>
        <v/>
      </c>
    </row>
    <row r="763" spans="1:10" ht="15" x14ac:dyDescent="0.2">
      <c r="A763" s="324" t="s">
        <v>2894</v>
      </c>
      <c r="B763" s="324" t="str">
        <f t="shared" si="50"/>
        <v>0850</v>
      </c>
      <c r="C763" s="324" t="str">
        <f t="shared" si="51"/>
        <v>50062</v>
      </c>
      <c r="D763" s="324" t="str">
        <f>"0350"</f>
        <v>0350</v>
      </c>
      <c r="E763" s="324">
        <v>7</v>
      </c>
      <c r="F763" s="827">
        <f>IF(OR(Brick_type="Timber Frame",Brick_type="Brick Veneer"),0,ROUNDUP('Roof Formulas GF'!$B$10,1))</f>
        <v>0</v>
      </c>
      <c r="G763" s="829">
        <v>7.8</v>
      </c>
      <c r="H763" s="412" t="s">
        <v>2943</v>
      </c>
      <c r="I763" s="1258"/>
      <c r="J763" s="2" t="str">
        <f>IF(Table5[[#This Row],[Entered]]&lt;&gt;Table5[[#This Row],[Quantity]],"Check","")</f>
        <v/>
      </c>
    </row>
    <row r="764" spans="1:10" ht="15" x14ac:dyDescent="0.2">
      <c r="A764" s="324" t="s">
        <v>2894</v>
      </c>
      <c r="B764" s="324" t="str">
        <f t="shared" si="50"/>
        <v>0850</v>
      </c>
      <c r="C764" s="324" t="str">
        <f t="shared" si="51"/>
        <v>50062</v>
      </c>
      <c r="D764" s="324" t="str">
        <f>"0355"</f>
        <v>0355</v>
      </c>
      <c r="E764" s="324">
        <v>1</v>
      </c>
      <c r="F764" s="1128"/>
      <c r="G764" s="829"/>
      <c r="H764" s="412" t="s">
        <v>2944</v>
      </c>
      <c r="I764" s="1258"/>
      <c r="J764" s="2" t="str">
        <f>IF(Table5[[#This Row],[Entered]]&lt;&gt;Table5[[#This Row],[Quantity]],"Check","")</f>
        <v/>
      </c>
    </row>
    <row r="765" spans="1:10" ht="15" x14ac:dyDescent="0.2">
      <c r="A765" s="324" t="s">
        <v>2894</v>
      </c>
      <c r="B765" s="324" t="str">
        <f t="shared" si="50"/>
        <v>0850</v>
      </c>
      <c r="C765" s="324" t="str">
        <f t="shared" si="51"/>
        <v>50062</v>
      </c>
      <c r="D765" s="324" t="str">
        <f>"0360"</f>
        <v>0360</v>
      </c>
      <c r="E765" s="324">
        <v>1</v>
      </c>
      <c r="F765" s="827">
        <f>IF(Brick_type="Timber Frame",0,COUNTIF(Name,"OPENING RBV*")+COUNTIF(Name,"OPENING STUD*"))</f>
        <v>0</v>
      </c>
      <c r="G765" s="829">
        <v>30</v>
      </c>
      <c r="H765" s="412" t="s">
        <v>2945</v>
      </c>
      <c r="I765" s="1258"/>
      <c r="J765" s="2" t="str">
        <f>IF(Table5[[#This Row],[Entered]]&lt;&gt;Table5[[#This Row],[Quantity]],"Check","")</f>
        <v/>
      </c>
    </row>
    <row r="766" spans="1:10" ht="15" x14ac:dyDescent="0.2">
      <c r="A766" s="324" t="s">
        <v>2894</v>
      </c>
      <c r="B766" s="324" t="str">
        <f t="shared" ref="B766:B785" si="52">"0850"</f>
        <v>0850</v>
      </c>
      <c r="C766" s="324" t="str">
        <f t="shared" ref="C766:C785" si="53">"50062"</f>
        <v>50062</v>
      </c>
      <c r="D766" s="324" t="str">
        <f>"0395"</f>
        <v>0395</v>
      </c>
      <c r="E766" s="324">
        <v>7</v>
      </c>
      <c r="F766" s="827">
        <f>CEILING(SUMIF(Name,"Framed Bulkheads",Length),1)</f>
        <v>0</v>
      </c>
      <c r="G766" s="829">
        <v>39</v>
      </c>
      <c r="H766" s="412" t="s">
        <v>2946</v>
      </c>
      <c r="I766" s="1258"/>
      <c r="J766" s="2" t="str">
        <f>IF(Table5[[#This Row],[Entered]]&lt;&gt;Table5[[#This Row],[Quantity]],"Check","")</f>
        <v/>
      </c>
    </row>
    <row r="767" spans="1:10" ht="15" x14ac:dyDescent="0.2">
      <c r="A767" s="324" t="s">
        <v>2894</v>
      </c>
      <c r="B767" s="324" t="str">
        <f t="shared" si="52"/>
        <v>0850</v>
      </c>
      <c r="C767" s="324" t="str">
        <f t="shared" si="53"/>
        <v>50062</v>
      </c>
      <c r="D767" s="324" t="str">
        <f>"0402"</f>
        <v>0402</v>
      </c>
      <c r="E767" s="324">
        <v>8</v>
      </c>
      <c r="F767" s="1189">
        <f>ROUNDUP(IF(OR(Roof_Area&gt;250,HipValleyCount&gt;16),Roof_Area,0),1)</f>
        <v>0</v>
      </c>
      <c r="G767" s="829">
        <v>10</v>
      </c>
      <c r="H767" s="412" t="s">
        <v>2947</v>
      </c>
      <c r="I767" s="1258"/>
      <c r="J767" s="2" t="str">
        <f>IF(Table5[[#This Row],[Entered]]&lt;&gt;Table5[[#This Row],[Quantity]],"Check","")</f>
        <v/>
      </c>
    </row>
    <row r="768" spans="1:10" ht="15" x14ac:dyDescent="0.2">
      <c r="A768" s="324" t="s">
        <v>2894</v>
      </c>
      <c r="B768" s="324" t="str">
        <f t="shared" si="52"/>
        <v>0850</v>
      </c>
      <c r="C768" s="324" t="str">
        <f t="shared" si="53"/>
        <v>50062</v>
      </c>
      <c r="D768" s="324" t="str">
        <f>"0420"</f>
        <v>0420</v>
      </c>
      <c r="E768" s="324">
        <v>1</v>
      </c>
      <c r="F768" s="827">
        <f>IF(Brick_type&lt;&gt;"Timber Frame",COUNTIF(Name,"OPENING RBV*")+COUNTIF(Name,"OPENING STUD*"),0)</f>
        <v>0</v>
      </c>
      <c r="G768" s="829">
        <v>40</v>
      </c>
      <c r="H768" s="412" t="s">
        <v>3204</v>
      </c>
      <c r="I768" s="1258"/>
      <c r="J768" s="2" t="str">
        <f>IF(Table5[[#This Row],[Entered]]&lt;&gt;Table5[[#This Row],[Quantity]],"Check","")</f>
        <v/>
      </c>
    </row>
    <row r="769" spans="1:10" ht="15" x14ac:dyDescent="0.2">
      <c r="A769" s="324" t="s">
        <v>2894</v>
      </c>
      <c r="B769" s="324" t="str">
        <f t="shared" si="52"/>
        <v>0850</v>
      </c>
      <c r="C769" s="324" t="str">
        <f t="shared" si="53"/>
        <v>50062</v>
      </c>
      <c r="D769" s="324" t="str">
        <f>"0431"</f>
        <v>0431</v>
      </c>
      <c r="E769" s="324">
        <v>8</v>
      </c>
      <c r="F769" s="827">
        <f ca="1">IF(Brick_type&lt;&gt;"Timber Frame",IF(ROUND('External Cladding'!$J$55,1)&gt;50,ROUND('External Cladding'!$J$55,1),0),0)</f>
        <v>0</v>
      </c>
      <c r="G769" s="829"/>
      <c r="H769" s="412" t="s">
        <v>2952</v>
      </c>
      <c r="I769" s="1258"/>
      <c r="J769" s="2" t="str">
        <f ca="1">IF(Table5[[#This Row],[Entered]]&lt;&gt;Table5[[#This Row],[Quantity]],"Check","")</f>
        <v/>
      </c>
    </row>
    <row r="770" spans="1:10" ht="15" x14ac:dyDescent="0.2">
      <c r="A770" s="324" t="s">
        <v>2894</v>
      </c>
      <c r="B770" s="324" t="str">
        <f t="shared" si="52"/>
        <v>0850</v>
      </c>
      <c r="C770" s="324" t="str">
        <f t="shared" si="53"/>
        <v>50062</v>
      </c>
      <c r="D770" s="324" t="str">
        <f>"0434"</f>
        <v>0434</v>
      </c>
      <c r="E770" s="324">
        <v>8</v>
      </c>
      <c r="F770" s="1189">
        <f ca="1">IF(Brick_type&lt;&gt;"Timber Frame",IF(AND(ROUND('External Cladding'!$J$55,1)&lt;=50,ROUND('External Cladding'!$J$55,1)&gt;0),ROUND('External Cladding'!$J$55,1),0),0)</f>
        <v>0</v>
      </c>
      <c r="G770" s="829">
        <v>48</v>
      </c>
      <c r="H770" s="412" t="s">
        <v>2953</v>
      </c>
      <c r="I770" s="1258"/>
      <c r="J770" s="2" t="str">
        <f ca="1">IF(Table5[[#This Row],[Entered]]&lt;&gt;Table5[[#This Row],[Quantity]],"Check","")</f>
        <v/>
      </c>
    </row>
    <row r="771" spans="1:10" ht="15" x14ac:dyDescent="0.2">
      <c r="A771" s="324" t="s">
        <v>2894</v>
      </c>
      <c r="B771" s="324" t="str">
        <f t="shared" si="52"/>
        <v>0850</v>
      </c>
      <c r="C771" s="324" t="str">
        <f t="shared" si="53"/>
        <v>50062</v>
      </c>
      <c r="D771" s="324" t="str">
        <f>"0502"</f>
        <v>0502</v>
      </c>
      <c r="E771" s="324">
        <v>1</v>
      </c>
      <c r="F771" s="827">
        <f>ROUNDUP(SUMIF(Name,"Patio Brackets",Length)/IF(Roof_Type="Steel Roof",0.9,0.6),0)</f>
        <v>0</v>
      </c>
      <c r="G771" s="829"/>
      <c r="H771" s="412" t="s">
        <v>2949</v>
      </c>
      <c r="I771" s="1258"/>
      <c r="J771" s="2" t="str">
        <f>IF(Table5[[#This Row],[Entered]]&lt;&gt;Table5[[#This Row],[Quantity]],"Check","")</f>
        <v/>
      </c>
    </row>
    <row r="772" spans="1:10" ht="15" x14ac:dyDescent="0.2">
      <c r="A772" s="324" t="s">
        <v>2894</v>
      </c>
      <c r="B772" s="324" t="str">
        <f t="shared" si="52"/>
        <v>0850</v>
      </c>
      <c r="C772" s="324" t="str">
        <f t="shared" si="53"/>
        <v>50062</v>
      </c>
      <c r="D772" s="324" t="str">
        <f>"0900"</f>
        <v>0900</v>
      </c>
      <c r="E772" s="324">
        <v>1</v>
      </c>
      <c r="F772" s="827">
        <f>COUNTIF(Name,"*Manhole*")</f>
        <v>0</v>
      </c>
      <c r="G772" s="829">
        <v>20.399999999999999</v>
      </c>
      <c r="H772" s="412" t="s">
        <v>3205</v>
      </c>
      <c r="I772" s="1258"/>
      <c r="J772" s="2" t="str">
        <f>IF(Table5[[#This Row],[Entered]]&lt;&gt;Table5[[#This Row],[Quantity]],"Check","")</f>
        <v/>
      </c>
    </row>
    <row r="773" spans="1:10" ht="15" x14ac:dyDescent="0.2">
      <c r="A773" s="324" t="s">
        <v>2894</v>
      </c>
      <c r="B773" s="324" t="str">
        <f t="shared" si="52"/>
        <v>0850</v>
      </c>
      <c r="C773" s="324" t="str">
        <f t="shared" si="53"/>
        <v>50062</v>
      </c>
      <c r="D773" s="324" t="str">
        <f>"9900"</f>
        <v>9900</v>
      </c>
      <c r="E773" s="324">
        <v>0</v>
      </c>
      <c r="F773" s="827">
        <v>1</v>
      </c>
      <c r="G773" s="829">
        <v>0</v>
      </c>
      <c r="H773" s="412" t="s">
        <v>3315</v>
      </c>
      <c r="I773" s="1258"/>
      <c r="J773" s="2" t="str">
        <f>IF(Table5[[#This Row],[Entered]]&lt;&gt;Table5[[#This Row],[Quantity]],"Check","")</f>
        <v>Check</v>
      </c>
    </row>
    <row r="774" spans="1:10" ht="15" x14ac:dyDescent="0.2">
      <c r="A774" s="324" t="s">
        <v>2894</v>
      </c>
      <c r="B774" s="324" t="str">
        <f t="shared" si="52"/>
        <v>0850</v>
      </c>
      <c r="C774" s="324" t="str">
        <f t="shared" si="53"/>
        <v>50062</v>
      </c>
      <c r="D774" s="324" t="str">
        <f>"1000"</f>
        <v>1000</v>
      </c>
      <c r="E774" s="324">
        <v>8</v>
      </c>
      <c r="F774" s="1130" cm="1">
        <f t="array" ref="F774">ROUNDUP(SUMPRODUCT(--(Name="Reverse Brick Veneer"),Length,SUMIF(Lists!$T$2:$T$150,Height,Lists!$W$2:$W$150))/1000,1)-ROUNDDOWN(SUMPRODUCT(--(Name="Opening RBV"),Length,SUMIF(Lists!$T$2:$T$150,Height,Lists!$W$2:$W$150))/1000,1)</f>
        <v>0</v>
      </c>
      <c r="G774" s="829"/>
      <c r="H774" s="412" t="s">
        <v>2951</v>
      </c>
      <c r="I774" s="1258"/>
      <c r="J774" s="2" t="str">
        <f>IF(Table5[[#This Row],[Entered]]&lt;&gt;Table5[[#This Row],[Quantity]],"Check","")</f>
        <v/>
      </c>
    </row>
    <row r="775" spans="1:10" ht="15" x14ac:dyDescent="0.2">
      <c r="A775" s="324" t="s">
        <v>2894</v>
      </c>
      <c r="B775" s="324" t="str">
        <f t="shared" si="52"/>
        <v>0850</v>
      </c>
      <c r="C775" s="324" t="str">
        <f t="shared" si="53"/>
        <v>50062</v>
      </c>
      <c r="D775" s="1103">
        <f>310</f>
        <v>310</v>
      </c>
      <c r="E775" s="324">
        <v>1</v>
      </c>
      <c r="F775" s="827">
        <v>0</v>
      </c>
      <c r="G775" s="829"/>
      <c r="H775" s="1111" t="s">
        <v>1970</v>
      </c>
      <c r="I775" s="1205"/>
      <c r="J775" s="2" t="str">
        <f>IF(Table5[[#This Row],[Entered]]&lt;&gt;Table5[[#This Row],[Quantity]],"Check","")</f>
        <v/>
      </c>
    </row>
    <row r="776" spans="1:10" ht="15" x14ac:dyDescent="0.2">
      <c r="A776" s="324" t="s">
        <v>2894</v>
      </c>
      <c r="B776" s="324" t="str">
        <f t="shared" si="52"/>
        <v>0850</v>
      </c>
      <c r="C776" s="324" t="str">
        <f t="shared" si="53"/>
        <v>50062</v>
      </c>
      <c r="D776" s="1103">
        <f>365</f>
        <v>365</v>
      </c>
      <c r="E776" s="324">
        <v>1</v>
      </c>
      <c r="F776" s="827"/>
      <c r="G776" s="829"/>
      <c r="H776" s="1111" t="s">
        <v>942</v>
      </c>
      <c r="I776" s="1205"/>
      <c r="J776" s="2" t="str">
        <f>IF(Table5[[#This Row],[Entered]]&lt;&gt;Table5[[#This Row],[Quantity]],"Check","")</f>
        <v/>
      </c>
    </row>
    <row r="777" spans="1:10" ht="15" x14ac:dyDescent="0.2">
      <c r="A777" s="324" t="s">
        <v>2894</v>
      </c>
      <c r="B777" s="324" t="str">
        <f t="shared" si="52"/>
        <v>0850</v>
      </c>
      <c r="C777" s="324" t="str">
        <f t="shared" si="53"/>
        <v>50062</v>
      </c>
      <c r="D777" s="1103">
        <f>366</f>
        <v>366</v>
      </c>
      <c r="E777" s="324">
        <v>7</v>
      </c>
      <c r="F777" s="827"/>
      <c r="G777" s="829"/>
      <c r="H777" s="1111" t="s">
        <v>943</v>
      </c>
      <c r="I777" s="1205"/>
      <c r="J777" s="2" t="str">
        <f>IF(Table5[[#This Row],[Entered]]&lt;&gt;Table5[[#This Row],[Quantity]],"Check","")</f>
        <v/>
      </c>
    </row>
    <row r="778" spans="1:10" ht="15" x14ac:dyDescent="0.2">
      <c r="A778" s="324" t="s">
        <v>2894</v>
      </c>
      <c r="B778" s="324" t="str">
        <f t="shared" si="52"/>
        <v>0850</v>
      </c>
      <c r="C778" s="324" t="str">
        <f t="shared" si="53"/>
        <v>50062</v>
      </c>
      <c r="D778" s="1103">
        <f>372</f>
        <v>372</v>
      </c>
      <c r="E778" s="324">
        <v>7</v>
      </c>
      <c r="F778" s="827"/>
      <c r="G778" s="829"/>
      <c r="H778" s="1111" t="s">
        <v>977</v>
      </c>
      <c r="I778" s="1205"/>
      <c r="J778" s="2" t="str">
        <f>IF(Table5[[#This Row],[Entered]]&lt;&gt;Table5[[#This Row],[Quantity]],"Check","")</f>
        <v/>
      </c>
    </row>
    <row r="779" spans="1:10" ht="15" x14ac:dyDescent="0.2">
      <c r="A779" s="324" t="s">
        <v>2894</v>
      </c>
      <c r="B779" s="324" t="str">
        <f t="shared" si="52"/>
        <v>0850</v>
      </c>
      <c r="C779" s="324" t="str">
        <f t="shared" si="53"/>
        <v>50062</v>
      </c>
      <c r="D779" s="1103">
        <f>375</f>
        <v>375</v>
      </c>
      <c r="E779" s="324">
        <v>1</v>
      </c>
      <c r="F779" s="827"/>
      <c r="G779" s="829"/>
      <c r="H779" s="1111" t="s">
        <v>973</v>
      </c>
      <c r="I779" s="1205"/>
      <c r="J779" s="2" t="str">
        <f>IF(Table5[[#This Row],[Entered]]&lt;&gt;Table5[[#This Row],[Quantity]],"Check","")</f>
        <v/>
      </c>
    </row>
    <row r="780" spans="1:10" ht="15" x14ac:dyDescent="0.2">
      <c r="A780" s="324" t="s">
        <v>2894</v>
      </c>
      <c r="B780" s="324" t="str">
        <f t="shared" si="52"/>
        <v>0850</v>
      </c>
      <c r="C780" s="324" t="str">
        <f t="shared" si="53"/>
        <v>50062</v>
      </c>
      <c r="D780" s="1103">
        <v>2010</v>
      </c>
      <c r="E780" s="324">
        <v>1</v>
      </c>
      <c r="F780" s="827"/>
      <c r="G780" s="829"/>
      <c r="H780" s="1111" t="s">
        <v>1971</v>
      </c>
      <c r="I780" s="1205"/>
      <c r="J780" s="2" t="str">
        <f>IF(Table5[[#This Row],[Entered]]&lt;&gt;Table5[[#This Row],[Quantity]],"Check","")</f>
        <v/>
      </c>
    </row>
    <row r="781" spans="1:10" ht="15" x14ac:dyDescent="0.2">
      <c r="A781" s="324" t="s">
        <v>2894</v>
      </c>
      <c r="B781" s="324" t="str">
        <f t="shared" si="52"/>
        <v>0850</v>
      </c>
      <c r="C781" s="324" t="str">
        <f t="shared" si="53"/>
        <v>50062</v>
      </c>
      <c r="D781" s="1103">
        <v>401</v>
      </c>
      <c r="E781" s="324">
        <v>1</v>
      </c>
      <c r="F781" s="827">
        <f>IF(Coastal="Yes",1,0)</f>
        <v>0</v>
      </c>
      <c r="G781" s="829"/>
      <c r="H781" s="1111" t="s">
        <v>1972</v>
      </c>
      <c r="I781" s="1205"/>
      <c r="J781" s="2" t="str">
        <f>IF(Table5[[#This Row],[Entered]]&lt;&gt;Table5[[#This Row],[Quantity]],"Check","")</f>
        <v/>
      </c>
    </row>
    <row r="782" spans="1:10" ht="15" x14ac:dyDescent="0.2">
      <c r="A782" s="324" t="s">
        <v>2894</v>
      </c>
      <c r="B782" s="324" t="str">
        <f t="shared" si="52"/>
        <v>0850</v>
      </c>
      <c r="C782" s="324" t="str">
        <f t="shared" si="53"/>
        <v>50062</v>
      </c>
      <c r="D782" s="1103">
        <v>501</v>
      </c>
      <c r="E782" s="324">
        <v>1</v>
      </c>
      <c r="F782" s="827">
        <f>IF(OR(Wind_Rating="N3",Wind_Rating="N4"),1,0)</f>
        <v>0</v>
      </c>
      <c r="G782" s="829"/>
      <c r="H782" s="1111" t="s">
        <v>1815</v>
      </c>
      <c r="I782" s="1205"/>
      <c r="J782" s="2" t="str">
        <f>IF(Table5[[#This Row],[Entered]]&lt;&gt;Table5[[#This Row],[Quantity]],"Check","")</f>
        <v/>
      </c>
    </row>
    <row r="783" spans="1:10" ht="15" x14ac:dyDescent="0.2">
      <c r="A783" s="324" t="s">
        <v>2894</v>
      </c>
      <c r="B783" s="324" t="str">
        <f t="shared" si="52"/>
        <v>0850</v>
      </c>
      <c r="C783" s="324" t="str">
        <f t="shared" si="53"/>
        <v>50062</v>
      </c>
      <c r="D783" s="1103">
        <f>661</f>
        <v>661</v>
      </c>
      <c r="E783" s="324">
        <v>1</v>
      </c>
      <c r="F783" s="827">
        <f>IF(AND(Brick_type="Timber Frame",Garage_Area&gt;0),1,0)</f>
        <v>0</v>
      </c>
      <c r="G783" s="829"/>
      <c r="H783" s="1111" t="s">
        <v>1203</v>
      </c>
      <c r="I783" s="1205"/>
      <c r="J783" s="2" t="str">
        <f>IF(Table5[[#This Row],[Entered]]&lt;&gt;Table5[[#This Row],[Quantity]],"Check","")</f>
        <v/>
      </c>
    </row>
    <row r="784" spans="1:10" ht="15" x14ac:dyDescent="0.2">
      <c r="A784" s="324" t="s">
        <v>2894</v>
      </c>
      <c r="B784" s="324" t="str">
        <f t="shared" si="52"/>
        <v>0850</v>
      </c>
      <c r="C784" s="324" t="str">
        <f t="shared" si="53"/>
        <v>50062</v>
      </c>
      <c r="D784" s="1103">
        <f>665</f>
        <v>665</v>
      </c>
      <c r="E784" s="324">
        <v>1</v>
      </c>
      <c r="F784" s="827">
        <f>COUNTIF(Name,"Corner Snap")</f>
        <v>0</v>
      </c>
      <c r="G784" s="829"/>
      <c r="H784" s="1111" t="s">
        <v>1204</v>
      </c>
      <c r="I784" s="1205"/>
      <c r="J784" s="2" t="str">
        <f>IF(Table5[[#This Row],[Entered]]&lt;&gt;Table5[[#This Row],[Quantity]],"Check","")</f>
        <v/>
      </c>
    </row>
    <row r="785" spans="1:20" ht="15" x14ac:dyDescent="0.2">
      <c r="A785" s="324" t="s">
        <v>2894</v>
      </c>
      <c r="B785" s="324" t="str">
        <f t="shared" si="52"/>
        <v>0850</v>
      </c>
      <c r="C785" s="324" t="str">
        <f t="shared" si="53"/>
        <v>50062</v>
      </c>
      <c r="D785" s="1103">
        <f>666</f>
        <v>666</v>
      </c>
      <c r="E785" s="324">
        <v>7</v>
      </c>
      <c r="F785" s="827">
        <f>IF(Brick_type="Timber Frame",ROUNDUP(('Brickwork GF'!$F$4+'Brickwork GF'!$F$5)/1000,1),0)</f>
        <v>0</v>
      </c>
      <c r="G785" s="829"/>
      <c r="H785" s="1111" t="s">
        <v>1301</v>
      </c>
      <c r="I785" s="1205"/>
      <c r="J785" s="2" t="str">
        <f>IF(Table5[[#This Row],[Entered]]&lt;&gt;Table5[[#This Row],[Quantity]],"Check","")</f>
        <v/>
      </c>
    </row>
    <row r="786" spans="1:20" ht="15" x14ac:dyDescent="0.2">
      <c r="A786" s="324"/>
      <c r="B786" s="324"/>
      <c r="C786" s="324"/>
      <c r="D786" s="324"/>
      <c r="E786" s="324"/>
      <c r="F786" s="827"/>
      <c r="G786" s="829"/>
      <c r="H786" s="412"/>
      <c r="I786" s="1258"/>
      <c r="J786" s="2" t="str">
        <f>IF(Table5[[#This Row],[Entered]]&lt;&gt;Table5[[#This Row],[Quantity]],"Check","")</f>
        <v/>
      </c>
    </row>
    <row r="787" spans="1:20" ht="15" x14ac:dyDescent="0.2">
      <c r="A787" s="324" t="s">
        <v>2894</v>
      </c>
      <c r="B787" s="324" t="str">
        <f t="shared" ref="B787:B811" si="54">"0980"</f>
        <v>0980</v>
      </c>
      <c r="C787" s="324">
        <v>52640</v>
      </c>
      <c r="D787" s="324" t="str">
        <f>"5899"</f>
        <v>5899</v>
      </c>
      <c r="E787" s="324">
        <v>1</v>
      </c>
      <c r="F787" s="827">
        <f>COUNTIFS(Name,"DOOR CVTY",Length,".87")+COUNTIFS(Name,"DFO CVTY",Length,".87")+COUNTIFS(NameFF,"DOOR CVTY",'CSV FF'!$C:$C,".87")+COUNTIFS(NameFF,"DFO CVTY",'CSV FF'!$C:$C,".87")</f>
        <v>0</v>
      </c>
      <c r="G787" s="829"/>
      <c r="H787" s="412" t="s">
        <v>3210</v>
      </c>
      <c r="I787" s="1258"/>
      <c r="J787" s="2" t="str">
        <f>IF(Table5[[#This Row],[Entered]]&lt;&gt;Table5[[#This Row],[Quantity]],"Check","")</f>
        <v/>
      </c>
    </row>
    <row r="788" spans="1:20" ht="15" x14ac:dyDescent="0.2">
      <c r="A788" s="324" t="s">
        <v>2894</v>
      </c>
      <c r="B788" s="324" t="str">
        <f t="shared" si="54"/>
        <v>0980</v>
      </c>
      <c r="C788" s="324">
        <v>52640</v>
      </c>
      <c r="D788" s="324" t="str">
        <f>"5900"</f>
        <v>5900</v>
      </c>
      <c r="E788" s="324">
        <v>1</v>
      </c>
      <c r="F788" s="827">
        <f>COUNTIFS(Name,"DOOR CVTY",Length,".82")+COUNTIFS(Name,"DFO CVTY",Length,".82")+COUNTIFS(NameFF,"DOOR CVTY",'CSV FF'!$C:$C,".82")+COUNTIFS(NameFF,"DFO CVTY",'CSV FF'!$C:$C,".82")</f>
        <v>0</v>
      </c>
      <c r="G788" s="829"/>
      <c r="H788" s="412" t="s">
        <v>3209</v>
      </c>
      <c r="I788" s="1258"/>
      <c r="J788" s="2" t="str">
        <f>IF(Table5[[#This Row],[Entered]]&lt;&gt;Table5[[#This Row],[Quantity]],"Check","")</f>
        <v/>
      </c>
    </row>
    <row r="789" spans="1:20" ht="15" x14ac:dyDescent="0.2">
      <c r="A789" s="324" t="s">
        <v>2894</v>
      </c>
      <c r="B789" s="324" t="str">
        <f t="shared" si="54"/>
        <v>0980</v>
      </c>
      <c r="C789" s="324">
        <v>52640</v>
      </c>
      <c r="D789" s="324" t="str">
        <f>"5901"</f>
        <v>5901</v>
      </c>
      <c r="E789" s="324">
        <v>1</v>
      </c>
      <c r="F789" s="827">
        <f>COUNTIFS(Name,"DOOR CVTY",Length,".72")+COUNTIFS(Name,"DFO CVTY",Length,".72")+COUNTIFS(NameFF,"DOOR CVTY",'CSV FF'!$C:$C,".72")+COUNTIFS(NameFF,"DFO CVTY",'CSV FF'!$C:$C,".72")</f>
        <v>0</v>
      </c>
      <c r="G789" s="829"/>
      <c r="H789" s="412" t="s">
        <v>3211</v>
      </c>
      <c r="I789" s="1258"/>
      <c r="J789" s="2" t="str">
        <f>IF(Table5[[#This Row],[Entered]]&lt;&gt;Table5[[#This Row],[Quantity]],"Check","")</f>
        <v/>
      </c>
    </row>
    <row r="790" spans="1:20" ht="15" x14ac:dyDescent="0.2">
      <c r="A790" s="324" t="s">
        <v>2894</v>
      </c>
      <c r="B790" s="324" t="str">
        <f t="shared" si="54"/>
        <v>0980</v>
      </c>
      <c r="C790" s="324">
        <v>52640</v>
      </c>
      <c r="D790" s="324" t="str">
        <f>"5908"</f>
        <v>5908</v>
      </c>
      <c r="E790" s="324">
        <v>1</v>
      </c>
      <c r="F790" s="827">
        <f>COUNTIFS(Name,"DOOR CVTY DBL",Length,".72")+COUNTIFS(Name,"DFO CVTY DBL",Length,".72")+COUNTIFS(NameFF,"DOOR CVTY DBL",'CSV FF'!$C:$C,".72")+COUNTIFS(NameFF,"DFO CVTY DBL",'CSV FF'!$C:$C,".72")</f>
        <v>0</v>
      </c>
      <c r="G790" s="829"/>
      <c r="H790" s="412" t="s">
        <v>3214</v>
      </c>
      <c r="I790" s="1258"/>
      <c r="J790" s="2" t="str">
        <f>IF(Table5[[#This Row],[Entered]]&lt;&gt;Table5[[#This Row],[Quantity]],"Check","")</f>
        <v/>
      </c>
    </row>
    <row r="791" spans="1:20" ht="15" x14ac:dyDescent="0.2">
      <c r="A791" s="324" t="s">
        <v>2894</v>
      </c>
      <c r="B791" s="324" t="str">
        <f t="shared" si="54"/>
        <v>0980</v>
      </c>
      <c r="C791" s="324">
        <v>52640</v>
      </c>
      <c r="D791" s="324">
        <v>7000</v>
      </c>
      <c r="E791" s="324">
        <v>1</v>
      </c>
      <c r="F791" s="827">
        <f>COUNTIFS(Name,"DOOR CVTY",Length,".62")+COUNTIFS(Name,"DFO CVTY",Length,".62")+COUNTIFS(NameFF,"DOOR CVTY",'CSV FF'!$C:$C,".62")+COUNTIFS(NameFF,"DFO CVTY",'CSV FF'!$C:$C,".62")</f>
        <v>0</v>
      </c>
      <c r="G791" s="829">
        <v>0</v>
      </c>
      <c r="H791" s="412" t="s">
        <v>3212</v>
      </c>
      <c r="I791" s="1258"/>
      <c r="J791" s="2" t="str">
        <f>IF(Table5[[#This Row],[Entered]]&lt;&gt;Table5[[#This Row],[Quantity]],"Check","")</f>
        <v/>
      </c>
    </row>
    <row r="792" spans="1:20" ht="15" x14ac:dyDescent="0.2">
      <c r="A792" s="324" t="s">
        <v>2894</v>
      </c>
      <c r="B792" s="324" t="str">
        <f t="shared" si="54"/>
        <v>0980</v>
      </c>
      <c r="C792" s="324">
        <v>52640</v>
      </c>
      <c r="D792" s="324">
        <v>7001</v>
      </c>
      <c r="E792" s="324">
        <v>1</v>
      </c>
      <c r="F792" s="827">
        <f>COUNTIFS(Name,"DOOR CVTY",Length,".92")+COUNTIFS(Name,"DFO CVTY",Length,".92")+COUNTIFS(NameFF,"DOOR CVTY",'CSV FF'!$C:$C,".92")+COUNTIFS(NameFF,"DFO CVTY",'CSV FF'!$C:$C,".92")</f>
        <v>0</v>
      </c>
      <c r="G792" s="829">
        <v>0</v>
      </c>
      <c r="H792" s="412" t="s">
        <v>3213</v>
      </c>
      <c r="I792" s="1258"/>
      <c r="J792" s="2" t="str">
        <f>IF(Table5[[#This Row],[Entered]]&lt;&gt;Table5[[#This Row],[Quantity]],"Check","")</f>
        <v/>
      </c>
    </row>
    <row r="793" spans="1:20" ht="15" x14ac:dyDescent="0.2">
      <c r="A793" s="324" t="s">
        <v>2894</v>
      </c>
      <c r="B793" s="324" t="str">
        <f t="shared" si="54"/>
        <v>0980</v>
      </c>
      <c r="C793" s="324">
        <v>52640</v>
      </c>
      <c r="D793" s="324">
        <v>7002</v>
      </c>
      <c r="E793" s="324">
        <v>1</v>
      </c>
      <c r="F793" s="827">
        <f>COUNTIFS(Name,"DOOR CVTY DBL",Length,".82")+COUNTIFS(Name,"DFO CVTY DBL",Length,".82")+COUNTIFS(NameFF,"DOOR CVTY DBL",'CSV FF'!$C:$C,".82")+COUNTIFS(NameFF,"DFO CVTY DBL",'CSV FF'!$C:$C,".82")</f>
        <v>0</v>
      </c>
      <c r="G793" s="829">
        <v>0</v>
      </c>
      <c r="H793" s="412" t="s">
        <v>3216</v>
      </c>
      <c r="I793" s="1258"/>
      <c r="J793" s="2" t="str">
        <f>IF(Table5[[#This Row],[Entered]]&lt;&gt;Table5[[#This Row],[Quantity]],"Check","")</f>
        <v/>
      </c>
    </row>
    <row r="794" spans="1:20" ht="15" x14ac:dyDescent="0.2">
      <c r="A794" s="324" t="s">
        <v>2894</v>
      </c>
      <c r="B794" s="324" t="str">
        <f t="shared" si="54"/>
        <v>0980</v>
      </c>
      <c r="C794" s="324">
        <v>52640</v>
      </c>
      <c r="D794" s="324">
        <v>7003</v>
      </c>
      <c r="E794" s="324">
        <v>1</v>
      </c>
      <c r="F794" s="827">
        <f>COUNTIFS(Name,"DOOR CVTY DBL",Length,".87")+COUNTIFS(Name,"DFO CVTY DBL",Length,".87")+COUNTIFS(NameFF,"DOOR CVTY DBL",'CSV FF'!$C:$C,".87")+COUNTIFS(NameFF,"DFO CVTY DBL",'CSV FF'!$C:$C,".87")</f>
        <v>0</v>
      </c>
      <c r="G794" s="829">
        <v>0</v>
      </c>
      <c r="H794" s="412" t="s">
        <v>3217</v>
      </c>
      <c r="I794" s="1258"/>
      <c r="J794" s="2" t="str">
        <f>IF(Table5[[#This Row],[Entered]]&lt;&gt;Table5[[#This Row],[Quantity]],"Check","")</f>
        <v/>
      </c>
      <c r="L794" s="1134"/>
      <c r="M794" s="1134"/>
      <c r="N794" s="1134"/>
      <c r="O794" s="1134"/>
      <c r="P794" s="1134"/>
      <c r="Q794" s="1134"/>
      <c r="R794" s="1134"/>
      <c r="T794" s="689"/>
    </row>
    <row r="795" spans="1:20" ht="15" x14ac:dyDescent="0.2">
      <c r="A795" s="324" t="s">
        <v>2894</v>
      </c>
      <c r="B795" s="324" t="str">
        <f t="shared" si="54"/>
        <v>0980</v>
      </c>
      <c r="C795" s="324">
        <v>52640</v>
      </c>
      <c r="D795" s="324">
        <v>7004</v>
      </c>
      <c r="E795" s="324">
        <v>1</v>
      </c>
      <c r="F795" s="827">
        <f>COUNTIFS(Name,"DOOR CVTY DBL",Length,".62")+COUNTIFS(Name,"DFO CVTY DBL",Length,".62")+COUNTIFS(NameFF,"DOOR CVTY DBL",'CSV FF'!$C:$C,".62")+COUNTIFS(NameFF,"DFO CVTY DBL",'CSV FF'!$C:$C,".62")</f>
        <v>0</v>
      </c>
      <c r="G795" s="829">
        <v>0</v>
      </c>
      <c r="H795" s="412" t="s">
        <v>3215</v>
      </c>
      <c r="I795" s="1258"/>
      <c r="J795" s="2" t="str">
        <f>IF(Table5[[#This Row],[Entered]]&lt;&gt;Table5[[#This Row],[Quantity]],"Check","")</f>
        <v/>
      </c>
    </row>
    <row r="796" spans="1:20" ht="15" x14ac:dyDescent="0.2">
      <c r="A796" s="324" t="s">
        <v>2894</v>
      </c>
      <c r="B796" s="324" t="str">
        <f t="shared" si="54"/>
        <v>0980</v>
      </c>
      <c r="C796" s="324">
        <v>52640</v>
      </c>
      <c r="D796" s="324">
        <v>7500</v>
      </c>
      <c r="E796" s="324">
        <v>1</v>
      </c>
      <c r="F796" s="827">
        <f>IF(COUNTIF(Name,"*CVTY*")&gt;0,1,0)</f>
        <v>0</v>
      </c>
      <c r="G796" s="829">
        <v>0</v>
      </c>
      <c r="H796" s="412" t="s">
        <v>3517</v>
      </c>
      <c r="I796" s="1258"/>
      <c r="J796" s="2" t="str">
        <f>IF(Table5[[#This Row],[Entered]]&lt;&gt;Table5[[#This Row],[Quantity]],"Check","")</f>
        <v/>
      </c>
      <c r="P796" s="1133"/>
      <c r="Q796" s="1133"/>
      <c r="R796" s="1134"/>
    </row>
    <row r="797" spans="1:20" ht="15" x14ac:dyDescent="0.2">
      <c r="A797" s="324" t="s">
        <v>2894</v>
      </c>
      <c r="B797" s="324" t="str">
        <f t="shared" si="54"/>
        <v>0980</v>
      </c>
      <c r="C797" s="324">
        <v>52640</v>
      </c>
      <c r="D797" s="324" t="str">
        <f>"9010"</f>
        <v>9010</v>
      </c>
      <c r="E797" s="324">
        <v>1</v>
      </c>
      <c r="F797" s="1132" cm="1">
        <f t="array" ref="F797">IF(COUNTIF(Name,"DOOR CVTY*")&gt;0,IF(SUM(COUNTIF(Address,{"*ALBANY*"}))&gt;0,1,0),0)</f>
        <v>0</v>
      </c>
      <c r="G797" s="829"/>
      <c r="H797" s="412" t="s">
        <v>2827</v>
      </c>
      <c r="I797" s="1258"/>
      <c r="J797" s="2" t="str">
        <f>IF(Table5[[#This Row],[Entered]]&lt;&gt;Table5[[#This Row],[Quantity]],"Check","")</f>
        <v/>
      </c>
      <c r="P797" s="1133"/>
      <c r="Q797" s="1133"/>
      <c r="R797" s="1134"/>
    </row>
    <row r="798" spans="1:20" ht="15" x14ac:dyDescent="0.2">
      <c r="A798" s="324" t="s">
        <v>2894</v>
      </c>
      <c r="B798" s="324" t="str">
        <f t="shared" si="54"/>
        <v>0980</v>
      </c>
      <c r="C798" s="324">
        <v>52640</v>
      </c>
      <c r="D798" s="324" t="str">
        <f>"9015"</f>
        <v>9015</v>
      </c>
      <c r="E798" s="324">
        <v>1</v>
      </c>
      <c r="F798" s="1132" cm="1">
        <f t="array" ref="F798">IF(COUNTIF(Name,"DOOR CVTY*")&gt;0,IF(SUM(COUNTIF(Address,{"*AUSTRALIND*","*ROELANDS*"}))&gt;0,1,0),0)</f>
        <v>0</v>
      </c>
      <c r="G798" s="829"/>
      <c r="H798" s="412" t="s">
        <v>2809</v>
      </c>
      <c r="I798" s="1258"/>
      <c r="J798" s="2" t="str">
        <f>IF(Table5[[#This Row],[Entered]]&lt;&gt;Table5[[#This Row],[Quantity]],"Check","")</f>
        <v/>
      </c>
      <c r="P798" s="1133"/>
      <c r="Q798" s="1133"/>
      <c r="R798" s="1134"/>
    </row>
    <row r="799" spans="1:20" ht="15" x14ac:dyDescent="0.2">
      <c r="A799" s="324" t="s">
        <v>2894</v>
      </c>
      <c r="B799" s="324" t="str">
        <f t="shared" si="54"/>
        <v>0980</v>
      </c>
      <c r="C799" s="324">
        <v>52640</v>
      </c>
      <c r="D799" s="324" t="str">
        <f>"9098"</f>
        <v>9098</v>
      </c>
      <c r="E799" s="324">
        <v>1</v>
      </c>
      <c r="F799" s="1132" cm="1">
        <f t="array" ref="F799">IF(COUNTIF(Name,"DOOR CVTY*")&gt;0,IF(SUM(COUNTIF(Address,{"*BINNINGUP*"}))&gt;0,1,0),0)</f>
        <v>0</v>
      </c>
      <c r="G799" s="829"/>
      <c r="H799" s="412" t="s">
        <v>2810</v>
      </c>
      <c r="I799" s="1258"/>
      <c r="J799" s="2" t="str">
        <f>IF(Table5[[#This Row],[Entered]]&lt;&gt;Table5[[#This Row],[Quantity]],"Check","")</f>
        <v/>
      </c>
      <c r="P799" s="1133"/>
      <c r="Q799" s="1133"/>
      <c r="R799" s="1134"/>
    </row>
    <row r="800" spans="1:20" ht="15" x14ac:dyDescent="0.2">
      <c r="A800" s="324" t="s">
        <v>2894</v>
      </c>
      <c r="B800" s="324" t="str">
        <f t="shared" si="54"/>
        <v>0980</v>
      </c>
      <c r="C800" s="324">
        <v>52640</v>
      </c>
      <c r="D800" s="324" t="str">
        <f>"9023"</f>
        <v>9023</v>
      </c>
      <c r="E800" s="324">
        <v>1</v>
      </c>
      <c r="F800" s="1132" cm="1">
        <f t="array" ref="F800">IF(COUNTIF(Name,"DOOR CVTY*")&gt;0,IF(SUM(COUNTIF(Address,{"*BOYUP BROOK*"}))&gt;0,1,0),0)</f>
        <v>0</v>
      </c>
      <c r="G800" s="829"/>
      <c r="H800" s="412" t="s">
        <v>2828</v>
      </c>
      <c r="I800" s="1258"/>
      <c r="J800" s="2" t="str">
        <f>IF(Table5[[#This Row],[Entered]]&lt;&gt;Table5[[#This Row],[Quantity]],"Check","")</f>
        <v/>
      </c>
      <c r="P800" s="1133"/>
      <c r="Q800" s="1133"/>
      <c r="R800" s="1134"/>
    </row>
    <row r="801" spans="1:18" ht="15" x14ac:dyDescent="0.2">
      <c r="A801" s="324" t="s">
        <v>2894</v>
      </c>
      <c r="B801" s="324" t="str">
        <f t="shared" si="54"/>
        <v>0980</v>
      </c>
      <c r="C801" s="324">
        <v>52640</v>
      </c>
      <c r="D801" s="324" t="str">
        <f>"9024"</f>
        <v>9024</v>
      </c>
      <c r="E801" s="324">
        <v>1</v>
      </c>
      <c r="F801" s="1132" cm="1">
        <f t="array" ref="F801">IF(COUNTIF(Name,"DOOR CVTY*")&gt;0,IF(SUM(COUNTIF(Address,{"*BRIDGETOWN*"}))&gt;0,1,0),0)</f>
        <v>0</v>
      </c>
      <c r="G801" s="829"/>
      <c r="H801" s="412" t="s">
        <v>2560</v>
      </c>
      <c r="I801" s="1258"/>
      <c r="J801" s="2" t="str">
        <f>IF(Table5[[#This Row],[Entered]]&lt;&gt;Table5[[#This Row],[Quantity]],"Check","")</f>
        <v/>
      </c>
      <c r="P801" s="1133"/>
      <c r="Q801" s="1133"/>
      <c r="R801" s="1134"/>
    </row>
    <row r="802" spans="1:18" ht="15" x14ac:dyDescent="0.2">
      <c r="A802" s="324" t="s">
        <v>2894</v>
      </c>
      <c r="B802" s="324" t="str">
        <f t="shared" si="54"/>
        <v>0980</v>
      </c>
      <c r="C802" s="324">
        <v>52640</v>
      </c>
      <c r="D802" s="324" t="str">
        <f>"9029"</f>
        <v>9029</v>
      </c>
      <c r="E802" s="324">
        <v>1</v>
      </c>
      <c r="F802" s="1132" cm="1">
        <f t="array" ref="F802">IF(COUNTIF(Name,"DOOR CVTY*")&gt;0,IF(SUM(COUNTIF(Address,{"*BUNBURY*","*DALYELLUP*"}))&gt;0,1,0),0)</f>
        <v>0</v>
      </c>
      <c r="G802" s="829"/>
      <c r="H802" s="412" t="s">
        <v>3001</v>
      </c>
      <c r="I802" s="1258"/>
      <c r="J802" s="2" t="str">
        <f>IF(Table5[[#This Row],[Entered]]&lt;&gt;Table5[[#This Row],[Quantity]],"Check","")</f>
        <v/>
      </c>
      <c r="P802" s="1133"/>
      <c r="Q802" s="1133"/>
      <c r="R802" s="1134"/>
    </row>
    <row r="803" spans="1:18" ht="15" x14ac:dyDescent="0.2">
      <c r="A803" s="324" t="s">
        <v>2894</v>
      </c>
      <c r="B803" s="324" t="str">
        <f t="shared" si="54"/>
        <v>0980</v>
      </c>
      <c r="C803" s="324">
        <v>52640</v>
      </c>
      <c r="D803" s="324" t="str">
        <f>"9031"</f>
        <v>9031</v>
      </c>
      <c r="E803" s="324">
        <v>1</v>
      </c>
      <c r="F803" s="1132" cm="1">
        <f t="array" ref="F803">IF(COUNTIF(Name,"DOOR CVTY*")&gt;0,IF(SUM(COUNTIF(Address,{"*BUSSELTON*","*VASSE*"}))&gt;0,1,0),0)</f>
        <v>0</v>
      </c>
      <c r="G803" s="829"/>
      <c r="H803" s="412" t="s">
        <v>2551</v>
      </c>
      <c r="I803" s="1258"/>
      <c r="J803" s="2" t="str">
        <f>IF(Table5[[#This Row],[Entered]]&lt;&gt;Table5[[#This Row],[Quantity]],"Check","")</f>
        <v/>
      </c>
      <c r="P803" s="1133"/>
      <c r="Q803" s="1133"/>
      <c r="R803" s="1134"/>
    </row>
    <row r="804" spans="1:18" ht="15" x14ac:dyDescent="0.2">
      <c r="A804" s="324" t="s">
        <v>2894</v>
      </c>
      <c r="B804" s="324" t="str">
        <f t="shared" si="54"/>
        <v>0980</v>
      </c>
      <c r="C804" s="324">
        <v>52640</v>
      </c>
      <c r="D804" s="324" t="str">
        <f>"9032"</f>
        <v>9032</v>
      </c>
      <c r="E804" s="324">
        <v>1</v>
      </c>
      <c r="F804" s="1132" cm="1">
        <f t="array" ref="F804">IF(COUNTIF(Name,"DOOR CVTY*")&gt;0,IF(SUM(COUNTIF(Address,{"*CAPEL*"}))&gt;0,1,0),0)</f>
        <v>0</v>
      </c>
      <c r="G804" s="829"/>
      <c r="H804" s="412" t="s">
        <v>2565</v>
      </c>
      <c r="I804" s="1258"/>
      <c r="J804" s="2" t="str">
        <f>IF(Table5[[#This Row],[Entered]]&lt;&gt;Table5[[#This Row],[Quantity]],"Check","")</f>
        <v/>
      </c>
      <c r="P804" s="1133"/>
      <c r="Q804" s="1133"/>
      <c r="R804" s="1134"/>
    </row>
    <row r="805" spans="1:18" ht="15" x14ac:dyDescent="0.2">
      <c r="A805" s="324" t="s">
        <v>2894</v>
      </c>
      <c r="B805" s="324" t="str">
        <f t="shared" si="54"/>
        <v>0980</v>
      </c>
      <c r="C805" s="324">
        <v>52640</v>
      </c>
      <c r="D805" s="324" t="str">
        <f>"9035"</f>
        <v>9035</v>
      </c>
      <c r="E805" s="324">
        <v>1</v>
      </c>
      <c r="F805" s="1132" cm="1">
        <f t="array" ref="F805">IF(COUNTIF(Name,"DOOR CVTY*")&gt;0,IF(SUM(COUNTIF(Address,{"*COLLIE*"}))&gt;0,1,0),0)</f>
        <v>0</v>
      </c>
      <c r="G805" s="829"/>
      <c r="H805" s="412" t="s">
        <v>2814</v>
      </c>
      <c r="I805" s="1258"/>
      <c r="J805" s="2" t="str">
        <f>IF(Table5[[#This Row],[Entered]]&lt;&gt;Table5[[#This Row],[Quantity]],"Check","")</f>
        <v/>
      </c>
      <c r="P805" s="1133"/>
      <c r="Q805" s="1133"/>
      <c r="R805" s="1134"/>
    </row>
    <row r="806" spans="1:18" ht="15" x14ac:dyDescent="0.2">
      <c r="A806" s="324" t="s">
        <v>2894</v>
      </c>
      <c r="B806" s="324" t="str">
        <f t="shared" si="54"/>
        <v>0980</v>
      </c>
      <c r="C806" s="324">
        <v>52640</v>
      </c>
      <c r="D806" s="324" t="str">
        <f>"9044"</f>
        <v>9044</v>
      </c>
      <c r="E806" s="324">
        <v>1</v>
      </c>
      <c r="F806" s="1132" cm="1">
        <f t="array" ref="F806">IF(COUNTIF(Name,"DOOR CVTY*")&gt;0,IF(SUM(COUNTIF(Address,{"*DONNYBROOK*"}))&gt;0,1,0),0)</f>
        <v>0</v>
      </c>
      <c r="G806" s="829"/>
      <c r="H806" s="412" t="s">
        <v>3002</v>
      </c>
      <c r="I806" s="1258"/>
      <c r="J806" s="2" t="str">
        <f>IF(Table5[[#This Row],[Entered]]&lt;&gt;Table5[[#This Row],[Quantity]],"Check","")</f>
        <v/>
      </c>
      <c r="P806" s="1133"/>
      <c r="Q806" s="1133"/>
      <c r="R806" s="1134"/>
    </row>
    <row r="807" spans="1:18" ht="15" x14ac:dyDescent="0.2">
      <c r="A807" s="324" t="s">
        <v>2894</v>
      </c>
      <c r="B807" s="324" t="str">
        <f t="shared" si="54"/>
        <v>0980</v>
      </c>
      <c r="C807" s="324">
        <v>52640</v>
      </c>
      <c r="D807" s="324" t="str">
        <f>"9046"</f>
        <v>9046</v>
      </c>
      <c r="E807" s="324">
        <v>1</v>
      </c>
      <c r="F807" s="1132" cm="1">
        <f t="array" ref="F807">IF(COUNTIF(Name,"DOOR CVTY*")&gt;0,IF(SUM(COUNTIF(Address,{"*EATON*"}))&gt;0,1,0),0)</f>
        <v>0</v>
      </c>
      <c r="G807" s="829"/>
      <c r="H807" s="412" t="s">
        <v>2830</v>
      </c>
      <c r="I807" s="1258"/>
      <c r="J807" s="2" t="str">
        <f>IF(Table5[[#This Row],[Entered]]&lt;&gt;Table5[[#This Row],[Quantity]],"Check","")</f>
        <v/>
      </c>
      <c r="P807" s="1133"/>
      <c r="Q807" s="1133"/>
      <c r="R807" s="1134"/>
    </row>
    <row r="808" spans="1:18" ht="15" x14ac:dyDescent="0.2">
      <c r="A808" s="324" t="s">
        <v>2894</v>
      </c>
      <c r="B808" s="324" t="str">
        <f t="shared" si="54"/>
        <v>0980</v>
      </c>
      <c r="C808" s="324">
        <v>52640</v>
      </c>
      <c r="D808" s="324" t="str">
        <f>"9222"</f>
        <v>9222</v>
      </c>
      <c r="E808" s="324">
        <v>1</v>
      </c>
      <c r="F808" s="1132" cm="1">
        <f t="array" ref="F808">IF(COUNTIF(Name,"DOOR CVTY*")&gt;0,IF(SUM(COUNTIF(Address,{"*HARVEY*"}))&gt;0,1,0),0)</f>
        <v>0</v>
      </c>
      <c r="G808" s="829"/>
      <c r="H808" s="412" t="s">
        <v>2817</v>
      </c>
      <c r="I808" s="1258"/>
      <c r="J808" s="2" t="str">
        <f>IF(Table5[[#This Row],[Entered]]&lt;&gt;Table5[[#This Row],[Quantity]],"Check","")</f>
        <v/>
      </c>
      <c r="P808" s="1134"/>
      <c r="Q808" s="1134"/>
      <c r="R808" s="1134"/>
    </row>
    <row r="809" spans="1:18" ht="15" x14ac:dyDescent="0.2">
      <c r="A809" s="324" t="s">
        <v>2894</v>
      </c>
      <c r="B809" s="324" t="str">
        <f t="shared" si="54"/>
        <v>0980</v>
      </c>
      <c r="C809" s="324">
        <v>52640</v>
      </c>
      <c r="D809" s="324" t="str">
        <f>"9067"</f>
        <v>9067</v>
      </c>
      <c r="E809" s="324">
        <v>1</v>
      </c>
      <c r="F809" s="1132" cm="1">
        <f t="array" ref="F809">IF(COUNTIF(Name,"DOOR CVTY*")&gt;0,IF(SUM(COUNTIF(Address,{"*MANJIMUP*"}))&gt;0,1,0),0)</f>
        <v>0</v>
      </c>
      <c r="G809" s="829"/>
      <c r="H809" s="412" t="s">
        <v>2559</v>
      </c>
      <c r="I809" s="1258"/>
      <c r="J809" s="2" t="str">
        <f>IF(Table5[[#This Row],[Entered]]&lt;&gt;Table5[[#This Row],[Quantity]],"Check","")</f>
        <v/>
      </c>
      <c r="P809" s="1134"/>
      <c r="Q809" s="1134"/>
      <c r="R809" s="1134"/>
    </row>
    <row r="810" spans="1:18" ht="15" x14ac:dyDescent="0.2">
      <c r="A810" s="324" t="s">
        <v>2894</v>
      </c>
      <c r="B810" s="324" t="str">
        <f t="shared" si="54"/>
        <v>0980</v>
      </c>
      <c r="C810" s="324">
        <v>52640</v>
      </c>
      <c r="D810" s="324" t="str">
        <f>"9068"</f>
        <v>9068</v>
      </c>
      <c r="E810" s="324">
        <v>1</v>
      </c>
      <c r="F810" s="1132" cm="1">
        <f t="array" ref="F810">IF(COUNTIF(Name,"DOOR CVTY*")&gt;0,IF(SUM(COUNTIF(Address,{"*MARGARET RIVER*","*COWARAMUP*"}))&gt;0,1,0),0)</f>
        <v>0</v>
      </c>
      <c r="G810" s="829"/>
      <c r="H810" s="412" t="s">
        <v>2831</v>
      </c>
      <c r="I810" s="1258"/>
      <c r="J810" s="2" t="str">
        <f>IF(Table5[[#This Row],[Entered]]&lt;&gt;Table5[[#This Row],[Quantity]],"Check","")</f>
        <v/>
      </c>
      <c r="P810" s="1134"/>
      <c r="Q810" s="1134"/>
      <c r="R810" s="1134"/>
    </row>
    <row r="811" spans="1:18" ht="15" x14ac:dyDescent="0.2">
      <c r="A811" s="324" t="s">
        <v>2894</v>
      </c>
      <c r="B811" s="324" t="str">
        <f t="shared" si="54"/>
        <v>0980</v>
      </c>
      <c r="C811" s="324">
        <v>52640</v>
      </c>
      <c r="D811" s="324" t="str">
        <f>"9073"</f>
        <v>9073</v>
      </c>
      <c r="E811" s="324">
        <v>1</v>
      </c>
      <c r="F811" s="1132" cm="1">
        <f t="array" ref="F811">IF(COUNTIF(Name,"DOOR CVTY*")&gt;0,IF(SUM(COUNTIF(Address,{"*NANNUP*"}))&gt;0,1,0),0)</f>
        <v>0</v>
      </c>
      <c r="G811" s="829"/>
      <c r="H811" s="412" t="s">
        <v>2832</v>
      </c>
      <c r="I811" s="1258"/>
      <c r="J811" s="2" t="str">
        <f>IF(Table5[[#This Row],[Entered]]&lt;&gt;Table5[[#This Row],[Quantity]],"Check","")</f>
        <v/>
      </c>
      <c r="P811" s="1134"/>
      <c r="Q811" s="1134"/>
      <c r="R811" s="1134"/>
    </row>
    <row r="812" spans="1:18" ht="15" x14ac:dyDescent="0.2">
      <c r="A812" s="324"/>
      <c r="B812" s="324"/>
      <c r="C812" s="324"/>
      <c r="D812" s="324"/>
      <c r="E812" s="324"/>
      <c r="F812" s="827"/>
      <c r="G812" s="829"/>
      <c r="H812" s="412"/>
      <c r="I812" s="1258"/>
      <c r="J812" s="2" t="str">
        <f>IF(Table5[[#This Row],[Entered]]&lt;&gt;Table5[[#This Row],[Quantity]],"Check","")</f>
        <v/>
      </c>
    </row>
    <row r="813" spans="1:18" ht="15" x14ac:dyDescent="0.2">
      <c r="A813" s="324" t="s">
        <v>2894</v>
      </c>
      <c r="B813" s="324" t="str">
        <f>"1020"</f>
        <v>1020</v>
      </c>
      <c r="C813" s="324" t="str">
        <f>"50062"</f>
        <v>50062</v>
      </c>
      <c r="D813" s="324" t="str">
        <f>"0037"</f>
        <v>0037</v>
      </c>
      <c r="E813" s="324">
        <v>1</v>
      </c>
      <c r="F813" s="827">
        <f>COUNTIF(Name,"DOOR CVTY*")</f>
        <v>0</v>
      </c>
      <c r="G813" s="829">
        <v>120</v>
      </c>
      <c r="H813" s="412" t="s">
        <v>3036</v>
      </c>
      <c r="I813" s="1258"/>
      <c r="J813" s="2" t="str">
        <f>IF(Table5[[#This Row],[Entered]]&lt;&gt;Table5[[#This Row],[Quantity]],"Check","")</f>
        <v/>
      </c>
    </row>
    <row r="814" spans="1:18" ht="15" x14ac:dyDescent="0.2">
      <c r="A814" s="324" t="s">
        <v>2894</v>
      </c>
      <c r="B814" s="324" t="str">
        <f>"1020"</f>
        <v>1020</v>
      </c>
      <c r="C814" s="324" t="str">
        <f>"50062"</f>
        <v>50062</v>
      </c>
      <c r="D814" s="324" t="str">
        <f>"0670"</f>
        <v>0670</v>
      </c>
      <c r="E814" s="324">
        <v>1</v>
      </c>
      <c r="F814" s="827">
        <f>IF(COUNTIF(Name,"DOOR CVTY*")&gt;0,1,0)</f>
        <v>0</v>
      </c>
      <c r="G814" s="829">
        <v>100</v>
      </c>
      <c r="H814" s="412" t="s">
        <v>3224</v>
      </c>
      <c r="I814" s="1258"/>
      <c r="J814" s="2" t="str">
        <f>IF(Table5[[#This Row],[Entered]]&lt;&gt;Table5[[#This Row],[Quantity]],"Check","")</f>
        <v/>
      </c>
    </row>
    <row r="815" spans="1:18" ht="15" x14ac:dyDescent="0.2">
      <c r="A815" s="324"/>
      <c r="B815" s="324"/>
      <c r="C815" s="324"/>
      <c r="D815" s="324"/>
      <c r="E815" s="324"/>
      <c r="F815" s="827"/>
      <c r="G815" s="829"/>
      <c r="H815" s="412"/>
      <c r="I815" s="1258"/>
      <c r="J815" s="2" t="str">
        <f>IF(Table5[[#This Row],[Entered]]&lt;&gt;Table5[[#This Row],[Quantity]],"Check","")</f>
        <v/>
      </c>
    </row>
    <row r="816" spans="1:18" ht="15" x14ac:dyDescent="0.2">
      <c r="A816" s="324" t="s">
        <v>3507</v>
      </c>
      <c r="B816" s="324" t="str">
        <f t="shared" ref="B816:B854" si="55">"0850"</f>
        <v>0850</v>
      </c>
      <c r="C816" s="324">
        <v>97509</v>
      </c>
      <c r="D816" s="324" t="str">
        <f>"0002"</f>
        <v>0002</v>
      </c>
      <c r="E816" s="324">
        <v>1</v>
      </c>
      <c r="F816" s="827">
        <f>IF(Brick_type&lt;&gt;"Timber Frame",IF(COUNTIF(Name,"Tie Down Rod")&gt;0,1,0),0)</f>
        <v>0</v>
      </c>
      <c r="G816" s="829">
        <v>75</v>
      </c>
      <c r="H816" s="412" t="s">
        <v>3168</v>
      </c>
      <c r="I816" s="1258"/>
      <c r="J816" s="2" t="str">
        <f>IF(Table5[[#This Row],[Entered]]&lt;&gt;Table5[[#This Row],[Quantity]],"Check","")</f>
        <v/>
      </c>
    </row>
    <row r="817" spans="1:10" ht="15" x14ac:dyDescent="0.2">
      <c r="A817" s="324" t="s">
        <v>3507</v>
      </c>
      <c r="B817" s="324" t="str">
        <f t="shared" si="55"/>
        <v>0850</v>
      </c>
      <c r="C817" s="324">
        <v>97509</v>
      </c>
      <c r="D817" s="324">
        <v>3120</v>
      </c>
      <c r="E817" s="324">
        <v>1</v>
      </c>
      <c r="F817" s="827">
        <f>IF(Brick_type&lt;&gt;"Timber Frame",IF(COUNTIF(Name,"Tie Down Rod")&gt;0,1,0),0)</f>
        <v>0</v>
      </c>
      <c r="G817" s="829">
        <v>120</v>
      </c>
      <c r="H817" s="412" t="s">
        <v>3166</v>
      </c>
      <c r="I817" s="1258"/>
      <c r="J817" s="2" t="str">
        <f>IF(Table5[[#This Row],[Entered]]&lt;&gt;Table5[[#This Row],[Quantity]],"Check","")</f>
        <v/>
      </c>
    </row>
    <row r="818" spans="1:10" ht="15" x14ac:dyDescent="0.2">
      <c r="A818" s="324" t="s">
        <v>3507</v>
      </c>
      <c r="B818" s="324" t="str">
        <f t="shared" si="55"/>
        <v>0850</v>
      </c>
      <c r="C818" s="324">
        <v>97509</v>
      </c>
      <c r="D818" s="324">
        <v>3121</v>
      </c>
      <c r="E818" s="324">
        <v>1</v>
      </c>
      <c r="F818" s="827">
        <f>IF(Brick_type&lt;&gt;"Timber Frame",IF(COUNTIF(Name,"Tie Down Rod")&gt;10,COUNTIF(Name,"Tie Down Rod")-10,0),0)</f>
        <v>0</v>
      </c>
      <c r="G818" s="829">
        <v>10</v>
      </c>
      <c r="H818" s="412" t="s">
        <v>3167</v>
      </c>
      <c r="I818" s="1258"/>
      <c r="J818" s="2" t="str">
        <f>IF(Table5[[#This Row],[Entered]]&lt;&gt;Table5[[#This Row],[Quantity]],"Check","")</f>
        <v/>
      </c>
    </row>
    <row r="819" spans="1:10" ht="15" x14ac:dyDescent="0.2">
      <c r="A819" s="324" t="s">
        <v>3507</v>
      </c>
      <c r="B819" s="324" t="str">
        <f t="shared" si="55"/>
        <v>0850</v>
      </c>
      <c r="C819" s="324">
        <v>97509</v>
      </c>
      <c r="D819" s="324">
        <v>3125</v>
      </c>
      <c r="E819" s="324">
        <v>1</v>
      </c>
      <c r="F819" s="827">
        <f>IF(Brick_type&lt;&gt;"Timber Frame",IF(COUNTIF(Name,"Tie Down Rod"),COUNTIF(Name,"Tie Down Rod"),0),0)</f>
        <v>0</v>
      </c>
      <c r="G819" s="829">
        <v>25</v>
      </c>
      <c r="H819" s="412" t="s">
        <v>3169</v>
      </c>
      <c r="I819" s="1258"/>
      <c r="J819" s="2" t="str">
        <f>IF(Table5[[#This Row],[Entered]]&lt;&gt;Table5[[#This Row],[Quantity]],"Check","")</f>
        <v/>
      </c>
    </row>
    <row r="820" spans="1:10" ht="15" x14ac:dyDescent="0.2">
      <c r="A820" s="324" t="s">
        <v>3507</v>
      </c>
      <c r="B820" s="324" t="str">
        <f t="shared" si="55"/>
        <v>0850</v>
      </c>
      <c r="C820" s="324">
        <v>97509</v>
      </c>
      <c r="D820" s="324">
        <v>3130</v>
      </c>
      <c r="E820" s="324">
        <v>1</v>
      </c>
      <c r="F820" s="827">
        <f>F819</f>
        <v>0</v>
      </c>
      <c r="G820" s="829">
        <v>10</v>
      </c>
      <c r="H820" s="412" t="s">
        <v>3558</v>
      </c>
      <c r="I820" s="1258"/>
      <c r="J820" s="73" t="str">
        <f>IF(Table5[[#This Row],[Entered]]&lt;&gt;Table5[[#This Row],[Quantity]],"Check","")</f>
        <v/>
      </c>
    </row>
    <row r="821" spans="1:10" ht="15" x14ac:dyDescent="0.2">
      <c r="A821" s="324" t="s">
        <v>3507</v>
      </c>
      <c r="B821" s="324" t="str">
        <f t="shared" si="55"/>
        <v>0850</v>
      </c>
      <c r="C821" s="324">
        <v>97509</v>
      </c>
      <c r="D821" s="324">
        <v>7000</v>
      </c>
      <c r="E821" s="324">
        <v>1</v>
      </c>
      <c r="F821" s="1132" cm="1">
        <f t="array" ref="F821">IF(Brick_type&lt;&gt;"Timber Frame",IF(COUNTIF(Name,"Tie Down Rod")&gt;0,IF(SUM(COUNTIF(Address,{"*NORTHCLIFFE*"}))&gt;0,1,0),0),0)</f>
        <v>0</v>
      </c>
      <c r="G821" s="829">
        <v>200</v>
      </c>
      <c r="H821" s="412" t="s">
        <v>3170</v>
      </c>
      <c r="I821" s="1258"/>
      <c r="J821" s="2" t="str">
        <f>IF(Table5[[#This Row],[Entered]]&lt;&gt;Table5[[#This Row],[Quantity]],"Check","")</f>
        <v/>
      </c>
    </row>
    <row r="822" spans="1:10" ht="15" x14ac:dyDescent="0.2">
      <c r="A822" s="324" t="s">
        <v>3507</v>
      </c>
      <c r="B822" s="324" t="str">
        <f t="shared" si="55"/>
        <v>0850</v>
      </c>
      <c r="C822" s="324">
        <v>97509</v>
      </c>
      <c r="D822" s="324">
        <v>7000</v>
      </c>
      <c r="E822" s="324">
        <v>1</v>
      </c>
      <c r="F822" s="1132" cm="1">
        <f t="array" ref="F822">IF(Brick_type&lt;&gt;"Timber Frame",IF(COUNTIF(Name,"Tie Down Rod")&gt;0,IF(SUM(COUNTIF(Address,{"*MARGARET RIVER*"}))&gt;0,1,0),0),0)</f>
        <v>0</v>
      </c>
      <c r="G822" s="829">
        <v>70</v>
      </c>
      <c r="H822" s="412" t="s">
        <v>3171</v>
      </c>
      <c r="I822" s="1258"/>
      <c r="J822" s="2" t="str">
        <f>IF(Table5[[#This Row],[Entered]]&lt;&gt;Table5[[#This Row],[Quantity]],"Check","")</f>
        <v/>
      </c>
    </row>
    <row r="823" spans="1:10" ht="15" x14ac:dyDescent="0.2">
      <c r="A823" s="324" t="s">
        <v>3507</v>
      </c>
      <c r="B823" s="324" t="str">
        <f t="shared" si="55"/>
        <v>0850</v>
      </c>
      <c r="C823" s="324">
        <v>97509</v>
      </c>
      <c r="D823" s="324">
        <v>7000</v>
      </c>
      <c r="E823" s="324">
        <v>1</v>
      </c>
      <c r="F823" s="1132" cm="1">
        <f t="array" ref="F823">IF(Brick_type&lt;&gt;"Timber Frame",IF(COUNTIF(Name,"Tie Down Rod")&gt;0,IF(SUM(COUNTIF(Address,{"*NANNUP*"}))&gt;0,1,0),0),0)</f>
        <v>0</v>
      </c>
      <c r="G823" s="829">
        <v>60</v>
      </c>
      <c r="H823" s="412" t="s">
        <v>3172</v>
      </c>
      <c r="I823" s="1258"/>
      <c r="J823" s="2" t="str">
        <f>IF(Table5[[#This Row],[Entered]]&lt;&gt;Table5[[#This Row],[Quantity]],"Check","")</f>
        <v/>
      </c>
    </row>
    <row r="824" spans="1:10" ht="15" x14ac:dyDescent="0.2">
      <c r="A824" s="324" t="s">
        <v>3507</v>
      </c>
      <c r="B824" s="324" t="str">
        <f t="shared" si="55"/>
        <v>0850</v>
      </c>
      <c r="C824" s="324">
        <v>97509</v>
      </c>
      <c r="D824" s="324">
        <v>7000</v>
      </c>
      <c r="E824" s="324">
        <v>1</v>
      </c>
      <c r="F824" s="1132" cm="1">
        <f t="array" ref="F824">IF(Brick_type&lt;&gt;"Timber Frame",IF(COUNTIF(Name,"Tie Down Rod")&gt;0,IF(SUM(COUNTIF(Address,{"*KULIKUP*"}))&gt;0,1,0),0),0)</f>
        <v>0</v>
      </c>
      <c r="G824" s="829">
        <v>180</v>
      </c>
      <c r="H824" s="412" t="s">
        <v>3173</v>
      </c>
      <c r="I824" s="1258"/>
      <c r="J824" s="2" t="str">
        <f>IF(Table5[[#This Row],[Entered]]&lt;&gt;Table5[[#This Row],[Quantity]],"Check","")</f>
        <v/>
      </c>
    </row>
    <row r="825" spans="1:10" ht="15" x14ac:dyDescent="0.2">
      <c r="A825" s="324" t="s">
        <v>3507</v>
      </c>
      <c r="B825" s="324" t="str">
        <f t="shared" si="55"/>
        <v>0850</v>
      </c>
      <c r="C825" s="324">
        <v>97509</v>
      </c>
      <c r="D825" s="324">
        <v>7000</v>
      </c>
      <c r="E825" s="324">
        <v>1</v>
      </c>
      <c r="F825" s="1132" cm="1">
        <f t="array" ref="F825">IF(Brick_type&lt;&gt;"Timber Frame",IF(COUNTIF(Name,"Tie Down Rod")&gt;0,IF(SUM(COUNTIF(Address,{"*YARLOOP*"}))&gt;0,1,0),0),0)</f>
        <v>0</v>
      </c>
      <c r="G825" s="829">
        <v>130</v>
      </c>
      <c r="H825" s="412" t="s">
        <v>3174</v>
      </c>
      <c r="I825" s="1258"/>
      <c r="J825" s="2" t="str">
        <f>IF(Table5[[#This Row],[Entered]]&lt;&gt;Table5[[#This Row],[Quantity]],"Check","")</f>
        <v/>
      </c>
    </row>
    <row r="826" spans="1:10" ht="15" x14ac:dyDescent="0.2">
      <c r="A826" s="324" t="s">
        <v>3507</v>
      </c>
      <c r="B826" s="324" t="str">
        <f t="shared" si="55"/>
        <v>0850</v>
      </c>
      <c r="C826" s="324">
        <v>97509</v>
      </c>
      <c r="D826" s="324">
        <v>7000</v>
      </c>
      <c r="E826" s="324">
        <v>1</v>
      </c>
      <c r="F826" s="1132" cm="1">
        <f t="array" ref="F826">IF(Brick_type&lt;&gt;"Timber Frame",IF(COUNTIF(Name,"Tie Down Rod")&gt;0,IF(SUM(COUNTIF(Address,{"*BUSSELTON*","*VASSE*"}))&gt;0,1,0),0),0)</f>
        <v>0</v>
      </c>
      <c r="G826" s="829">
        <v>0</v>
      </c>
      <c r="H826" s="412" t="s">
        <v>3175</v>
      </c>
      <c r="I826" s="1258"/>
      <c r="J826" s="2" t="str">
        <f>IF(Table5[[#This Row],[Entered]]&lt;&gt;Table5[[#This Row],[Quantity]],"Check","")</f>
        <v/>
      </c>
    </row>
    <row r="827" spans="1:10" ht="15" x14ac:dyDescent="0.2">
      <c r="A827" s="324" t="s">
        <v>3507</v>
      </c>
      <c r="B827" s="324" t="str">
        <f t="shared" si="55"/>
        <v>0850</v>
      </c>
      <c r="C827" s="324">
        <v>97509</v>
      </c>
      <c r="D827" s="324">
        <v>7000</v>
      </c>
      <c r="E827" s="324">
        <v>1</v>
      </c>
      <c r="F827" s="1132" cm="1">
        <f t="array" ref="F827">IF(Brick_type&lt;&gt;"Timber Frame",IF(COUNTIF(Name,"Tie Down Rod")&gt;0,IF(SUM(COUNTIF(Address,{"*DUNSBOROUGH*"}))&gt;0,1,0),0),0)</f>
        <v>0</v>
      </c>
      <c r="G827" s="829">
        <v>20</v>
      </c>
      <c r="H827" s="412" t="s">
        <v>1018</v>
      </c>
      <c r="I827" s="1258"/>
      <c r="J827" s="2" t="str">
        <f>IF(Table5[[#This Row],[Entered]]&lt;&gt;Table5[[#This Row],[Quantity]],"Check","")</f>
        <v/>
      </c>
    </row>
    <row r="828" spans="1:10" ht="15" x14ac:dyDescent="0.2">
      <c r="A828" s="324" t="s">
        <v>3507</v>
      </c>
      <c r="B828" s="324" t="str">
        <f t="shared" si="55"/>
        <v>0850</v>
      </c>
      <c r="C828" s="324">
        <v>97509</v>
      </c>
      <c r="D828" s="324">
        <v>7000</v>
      </c>
      <c r="E828" s="324">
        <v>1</v>
      </c>
      <c r="F828" s="1132" cm="1">
        <f t="array" ref="F828">IF(Brick_type&lt;&gt;"Timber Frame",IF(COUNTIF(Name,"Tie Down Rod")&gt;0,IF(SUM(COUNTIF(Address,{"*YALLINGUP*"}))&gt;0,1,0),0),0)</f>
        <v>0</v>
      </c>
      <c r="G828" s="829">
        <v>20</v>
      </c>
      <c r="H828" s="412" t="s">
        <v>3176</v>
      </c>
      <c r="I828" s="1258"/>
      <c r="J828" s="2" t="str">
        <f>IF(Table5[[#This Row],[Entered]]&lt;&gt;Table5[[#This Row],[Quantity]],"Check","")</f>
        <v/>
      </c>
    </row>
    <row r="829" spans="1:10" ht="15" x14ac:dyDescent="0.2">
      <c r="A829" s="324" t="s">
        <v>3507</v>
      </c>
      <c r="B829" s="324" t="str">
        <f t="shared" si="55"/>
        <v>0850</v>
      </c>
      <c r="C829" s="324">
        <v>97509</v>
      </c>
      <c r="D829" s="324">
        <v>7000</v>
      </c>
      <c r="E829" s="324">
        <v>1</v>
      </c>
      <c r="F829" s="1132" cm="1">
        <f t="array" ref="F829">IF(Brick_type&lt;&gt;"Timber Frame",IF(COUNTIF(Name,"Tie Down Rod")&gt;0,IF(SUM(COUNTIF(Address,{"*COWARAMUP*"}))&gt;0,1,0),0),0)</f>
        <v>0</v>
      </c>
      <c r="G829" s="829">
        <v>40</v>
      </c>
      <c r="H829" s="412" t="s">
        <v>3177</v>
      </c>
      <c r="I829" s="1258"/>
      <c r="J829" s="2" t="str">
        <f>IF(Table5[[#This Row],[Entered]]&lt;&gt;Table5[[#This Row],[Quantity]],"Check","")</f>
        <v/>
      </c>
    </row>
    <row r="830" spans="1:10" ht="15" x14ac:dyDescent="0.2">
      <c r="A830" s="324" t="s">
        <v>3507</v>
      </c>
      <c r="B830" s="324" t="str">
        <f t="shared" si="55"/>
        <v>0850</v>
      </c>
      <c r="C830" s="324">
        <v>97509</v>
      </c>
      <c r="D830" s="324">
        <v>7000</v>
      </c>
      <c r="E830" s="324">
        <v>1</v>
      </c>
      <c r="F830" s="1132" cm="1">
        <f t="array" ref="F830">IF(Brick_type&lt;&gt;"Timber Frame",IF(COUNTIF(Name,"Tie Down Rod")&gt;0,IF(SUM(COUNTIF(Address,{"*MARGARET RIVER*"}))&gt;0,1,0),0),0)</f>
        <v>0</v>
      </c>
      <c r="G830" s="829">
        <v>40</v>
      </c>
      <c r="H830" s="412" t="s">
        <v>1019</v>
      </c>
      <c r="I830" s="1258"/>
      <c r="J830" s="2" t="str">
        <f>IF(Table5[[#This Row],[Entered]]&lt;&gt;Table5[[#This Row],[Quantity]],"Check","")</f>
        <v/>
      </c>
    </row>
    <row r="831" spans="1:10" ht="15" x14ac:dyDescent="0.2">
      <c r="A831" s="324" t="s">
        <v>3507</v>
      </c>
      <c r="B831" s="324" t="str">
        <f t="shared" si="55"/>
        <v>0850</v>
      </c>
      <c r="C831" s="324">
        <v>97509</v>
      </c>
      <c r="D831" s="324">
        <v>7000</v>
      </c>
      <c r="E831" s="324">
        <v>1</v>
      </c>
      <c r="F831" s="1132" cm="1">
        <f t="array" ref="F831">IF(Brick_type&lt;&gt;"Timber Frame",IF(COUNTIF(Name,"Tie Down Rod")&gt;0,IF(SUM(COUNTIF(Address,{"*WITCHCLIFFE*"}))&gt;0,1,0),0),0)</f>
        <v>0</v>
      </c>
      <c r="G831" s="829">
        <v>50</v>
      </c>
      <c r="H831" s="412" t="s">
        <v>3178</v>
      </c>
      <c r="I831" s="1258"/>
      <c r="J831" s="2" t="str">
        <f>IF(Table5[[#This Row],[Entered]]&lt;&gt;Table5[[#This Row],[Quantity]],"Check","")</f>
        <v/>
      </c>
    </row>
    <row r="832" spans="1:10" ht="15" x14ac:dyDescent="0.2">
      <c r="A832" s="324" t="s">
        <v>3507</v>
      </c>
      <c r="B832" s="324" t="str">
        <f t="shared" si="55"/>
        <v>0850</v>
      </c>
      <c r="C832" s="324">
        <v>97509</v>
      </c>
      <c r="D832" s="324">
        <v>7000</v>
      </c>
      <c r="E832" s="324">
        <v>1</v>
      </c>
      <c r="F832" s="1132" cm="1">
        <f t="array" ref="F832">IF(Brick_type&lt;&gt;"Timber Frame",IF(COUNTIF(Name,"Tie Down Rod")&gt;0,IF(SUM(COUNTIF(Address,{"*AUGUSTA*"}))&gt;0,1,0),0),0)</f>
        <v>0</v>
      </c>
      <c r="G832" s="829">
        <v>80</v>
      </c>
      <c r="H832" s="412" t="s">
        <v>3179</v>
      </c>
      <c r="I832" s="1258"/>
      <c r="J832" s="2" t="str">
        <f>IF(Table5[[#This Row],[Entered]]&lt;&gt;Table5[[#This Row],[Quantity]],"Check","")</f>
        <v/>
      </c>
    </row>
    <row r="833" spans="1:10" ht="15" x14ac:dyDescent="0.2">
      <c r="A833" s="324" t="s">
        <v>3507</v>
      </c>
      <c r="B833" s="324" t="str">
        <f t="shared" si="55"/>
        <v>0850</v>
      </c>
      <c r="C833" s="324">
        <v>97509</v>
      </c>
      <c r="D833" s="324">
        <v>7000</v>
      </c>
      <c r="E833" s="324">
        <v>1</v>
      </c>
      <c r="F833" s="1132" cm="1">
        <f t="array" ref="F833">IF(Brick_type&lt;&gt;"Timber Frame",IF(COUNTIF(Name,"Tie Down Rod")&gt;0,IF(SUM(COUNTIF(Address,{"*KARRIDALE*"}))&gt;0,1,0),0),0)</f>
        <v>0</v>
      </c>
      <c r="G833" s="829">
        <v>80</v>
      </c>
      <c r="H833" s="412" t="s">
        <v>3180</v>
      </c>
      <c r="I833" s="1258"/>
      <c r="J833" s="2" t="str">
        <f>IF(Table5[[#This Row],[Entered]]&lt;&gt;Table5[[#This Row],[Quantity]],"Check","")</f>
        <v/>
      </c>
    </row>
    <row r="834" spans="1:10" ht="15" x14ac:dyDescent="0.2">
      <c r="A834" s="324" t="s">
        <v>3507</v>
      </c>
      <c r="B834" s="324" t="str">
        <f t="shared" si="55"/>
        <v>0850</v>
      </c>
      <c r="C834" s="324">
        <v>97509</v>
      </c>
      <c r="D834" s="324">
        <v>7000</v>
      </c>
      <c r="E834" s="324">
        <v>1</v>
      </c>
      <c r="F834" s="1132" cm="1">
        <f t="array" ref="F834">IF(Brick_type&lt;&gt;"Timber Frame",IF(COUNTIF(Name,"Tie Down Rod")&gt;0,IF(SUM(COUNTIF(Address,{"*DALYELUP*"}))&gt;0,1,0),0),0)</f>
        <v>0</v>
      </c>
      <c r="G834" s="829">
        <v>35</v>
      </c>
      <c r="H834" s="412" t="s">
        <v>3181</v>
      </c>
      <c r="I834" s="1258"/>
      <c r="J834" s="2" t="str">
        <f>IF(Table5[[#This Row],[Entered]]&lt;&gt;Table5[[#This Row],[Quantity]],"Check","")</f>
        <v/>
      </c>
    </row>
    <row r="835" spans="1:10" ht="15" x14ac:dyDescent="0.2">
      <c r="A835" s="324" t="s">
        <v>3507</v>
      </c>
      <c r="B835" s="324" t="str">
        <f t="shared" si="55"/>
        <v>0850</v>
      </c>
      <c r="C835" s="324">
        <v>97509</v>
      </c>
      <c r="D835" s="324">
        <v>7000</v>
      </c>
      <c r="E835" s="324">
        <v>1</v>
      </c>
      <c r="F835" s="1132" cm="1">
        <f t="array" ref="F835">IF(Brick_type&lt;&gt;"Timber Frame",IF(COUNTIF(Name,"Tie Down Rod")&gt;0,IF(SUM(COUNTIF(Address,{"*BUNBURY*"}))&gt;0,1,0),0),0)</f>
        <v>0</v>
      </c>
      <c r="G835" s="829">
        <v>60</v>
      </c>
      <c r="H835" s="412" t="s">
        <v>3182</v>
      </c>
      <c r="I835" s="1258"/>
      <c r="J835" s="2" t="str">
        <f>IF(Table5[[#This Row],[Entered]]&lt;&gt;Table5[[#This Row],[Quantity]],"Check","")</f>
        <v/>
      </c>
    </row>
    <row r="836" spans="1:10" ht="15" x14ac:dyDescent="0.2">
      <c r="A836" s="324" t="s">
        <v>3507</v>
      </c>
      <c r="B836" s="324" t="str">
        <f t="shared" si="55"/>
        <v>0850</v>
      </c>
      <c r="C836" s="324">
        <v>97509</v>
      </c>
      <c r="D836" s="324">
        <v>7000</v>
      </c>
      <c r="E836" s="324">
        <v>1</v>
      </c>
      <c r="F836" s="1132" cm="1">
        <f t="array" ref="F836">IF(Brick_type&lt;&gt;"Timber Frame",IF(COUNTIF(Name,"Tie Down Rod")&gt;0,IF(SUM(COUNTIF(Address,{"*MILLBRIDGE*"}))&gt;0,1,0),0),0)</f>
        <v>0</v>
      </c>
      <c r="G836" s="829">
        <v>75</v>
      </c>
      <c r="H836" s="412" t="s">
        <v>3183</v>
      </c>
      <c r="I836" s="1258"/>
      <c r="J836" s="2" t="str">
        <f>IF(Table5[[#This Row],[Entered]]&lt;&gt;Table5[[#This Row],[Quantity]],"Check","")</f>
        <v/>
      </c>
    </row>
    <row r="837" spans="1:10" ht="15" x14ac:dyDescent="0.2">
      <c r="A837" s="324" t="s">
        <v>3507</v>
      </c>
      <c r="B837" s="324" t="str">
        <f t="shared" si="55"/>
        <v>0850</v>
      </c>
      <c r="C837" s="324">
        <v>97509</v>
      </c>
      <c r="D837" s="324">
        <v>7000</v>
      </c>
      <c r="E837" s="324">
        <v>1</v>
      </c>
      <c r="F837" s="1132" cm="1">
        <f t="array" ref="F837">IF(Brick_type&lt;&gt;"Timber Frame",IF(COUNTIF(Name,"Tie Down Rod")&gt;0,IF(SUM(COUNTIF(Address,{"*AUSTRALIND*"}))&gt;0,1,0),0),0)</f>
        <v>0</v>
      </c>
      <c r="G837" s="829">
        <v>70</v>
      </c>
      <c r="H837" s="412" t="s">
        <v>3184</v>
      </c>
      <c r="I837" s="1258"/>
      <c r="J837" s="2" t="str">
        <f>IF(Table5[[#This Row],[Entered]]&lt;&gt;Table5[[#This Row],[Quantity]],"Check","")</f>
        <v/>
      </c>
    </row>
    <row r="838" spans="1:10" ht="15" x14ac:dyDescent="0.2">
      <c r="A838" s="324" t="s">
        <v>3507</v>
      </c>
      <c r="B838" s="324" t="str">
        <f t="shared" si="55"/>
        <v>0850</v>
      </c>
      <c r="C838" s="324">
        <v>97509</v>
      </c>
      <c r="D838" s="324">
        <v>7000</v>
      </c>
      <c r="E838" s="324">
        <v>1</v>
      </c>
      <c r="F838" s="1132" cm="1">
        <f t="array" ref="F838">IF(Brick_type&lt;&gt;"Timber Frame",IF(COUNTIF(Name,"Tie Down Rod")&gt;0,IF(SUM(COUNTIF(Address,{"*MYALUP*"}))&gt;0,1,0),0),0)</f>
        <v>0</v>
      </c>
      <c r="G838" s="829">
        <v>80</v>
      </c>
      <c r="H838" s="412" t="s">
        <v>3185</v>
      </c>
      <c r="I838" s="1258"/>
      <c r="J838" s="2" t="str">
        <f>IF(Table5[[#This Row],[Entered]]&lt;&gt;Table5[[#This Row],[Quantity]],"Check","")</f>
        <v/>
      </c>
    </row>
    <row r="839" spans="1:10" ht="15" x14ac:dyDescent="0.2">
      <c r="A839" s="324" t="s">
        <v>3507</v>
      </c>
      <c r="B839" s="324" t="str">
        <f t="shared" si="55"/>
        <v>0850</v>
      </c>
      <c r="C839" s="324">
        <v>97509</v>
      </c>
      <c r="D839" s="324">
        <v>7000</v>
      </c>
      <c r="E839" s="324">
        <v>1</v>
      </c>
      <c r="F839" s="1132" cm="1">
        <f t="array" ref="F839">IF(Brick_type&lt;&gt;"Timber Frame",IF(COUNTIF(Name,"Tie Down Rod")&gt;0,IF(SUM(COUNTIF(Address,{"*BINNINGUP*"}))&gt;0,1,0),0),0)</f>
        <v>0</v>
      </c>
      <c r="G839" s="829">
        <v>95</v>
      </c>
      <c r="H839" s="412" t="s">
        <v>3186</v>
      </c>
      <c r="I839" s="1258"/>
      <c r="J839" s="2" t="str">
        <f>IF(Table5[[#This Row],[Entered]]&lt;&gt;Table5[[#This Row],[Quantity]],"Check","")</f>
        <v/>
      </c>
    </row>
    <row r="840" spans="1:10" ht="15" x14ac:dyDescent="0.2">
      <c r="A840" s="324" t="s">
        <v>3507</v>
      </c>
      <c r="B840" s="324" t="str">
        <f t="shared" si="55"/>
        <v>0850</v>
      </c>
      <c r="C840" s="324">
        <v>97509</v>
      </c>
      <c r="D840" s="324">
        <v>7000</v>
      </c>
      <c r="E840" s="324">
        <v>1</v>
      </c>
      <c r="F840" s="1132" cm="1">
        <f t="array" ref="F840">IF(Brick_type&lt;&gt;"Timber Frame",IF(COUNTIF(Name,"Tie Down Rod")&gt;0,IF(SUM(COUNTIF(Address,{"*DARDANUP*"}))&gt;0,1,0),0),0)</f>
        <v>0</v>
      </c>
      <c r="G840" s="829">
        <v>75</v>
      </c>
      <c r="H840" s="412" t="s">
        <v>3187</v>
      </c>
      <c r="I840" s="1258"/>
      <c r="J840" s="2" t="str">
        <f>IF(Table5[[#This Row],[Entered]]&lt;&gt;Table5[[#This Row],[Quantity]],"Check","")</f>
        <v/>
      </c>
    </row>
    <row r="841" spans="1:10" ht="15" x14ac:dyDescent="0.2">
      <c r="A841" s="324" t="s">
        <v>3507</v>
      </c>
      <c r="B841" s="324" t="str">
        <f t="shared" si="55"/>
        <v>0850</v>
      </c>
      <c r="C841" s="324">
        <v>97509</v>
      </c>
      <c r="D841" s="324">
        <v>7000</v>
      </c>
      <c r="E841" s="324">
        <v>1</v>
      </c>
      <c r="F841" s="1132" cm="1">
        <f t="array" ref="F841">IF(Brick_type&lt;&gt;"Timber Frame",IF(COUNTIF(Name,"Tie Down Rod")&gt;0,IF(SUM(COUNTIF(Address,{"*HARVEY*"}))&gt;0,1,0),0),0)</f>
        <v>0</v>
      </c>
      <c r="G841" s="829">
        <v>100</v>
      </c>
      <c r="H841" s="412" t="s">
        <v>3188</v>
      </c>
      <c r="I841" s="1258"/>
      <c r="J841" s="2" t="str">
        <f>IF(Table5[[#This Row],[Entered]]&lt;&gt;Table5[[#This Row],[Quantity]],"Check","")</f>
        <v/>
      </c>
    </row>
    <row r="842" spans="1:10" ht="15" x14ac:dyDescent="0.2">
      <c r="A842" s="324" t="s">
        <v>3507</v>
      </c>
      <c r="B842" s="324" t="str">
        <f t="shared" si="55"/>
        <v>0850</v>
      </c>
      <c r="C842" s="324">
        <v>97509</v>
      </c>
      <c r="D842" s="324">
        <v>7000</v>
      </c>
      <c r="E842" s="324">
        <v>1</v>
      </c>
      <c r="F842" s="1132" cm="1">
        <f t="array" ref="F842">IF(Brick_type&lt;&gt;"Timber Frame",IF(COUNTIF(Name,"Tie Down Rod")&gt;0,IF(SUM(COUNTIF(Address,{"*BRUNSWICK*"})+COUNTIF(Address,{"*ROELANDS*"}))&gt;0,1,0),0),0)</f>
        <v>0</v>
      </c>
      <c r="G842" s="829">
        <v>90</v>
      </c>
      <c r="H842" s="412" t="s">
        <v>3189</v>
      </c>
      <c r="I842" s="1258"/>
      <c r="J842" s="2" t="str">
        <f>IF(Table5[[#This Row],[Entered]]&lt;&gt;Table5[[#This Row],[Quantity]],"Check","")</f>
        <v/>
      </c>
    </row>
    <row r="843" spans="1:10" ht="15" x14ac:dyDescent="0.2">
      <c r="A843" s="324" t="s">
        <v>3507</v>
      </c>
      <c r="B843" s="324" t="str">
        <f t="shared" si="55"/>
        <v>0850</v>
      </c>
      <c r="C843" s="324">
        <v>97509</v>
      </c>
      <c r="D843" s="324">
        <v>7000</v>
      </c>
      <c r="E843" s="324">
        <v>1</v>
      </c>
      <c r="F843" s="1132" cm="1">
        <f t="array" ref="F843">IF(Brick_type&lt;&gt;"Timber Frame",IF(COUNTIF(Name,"Tie Down Rod")&gt;0,IF(SUM(COUNTIF(Address,{"*PINJARRA*"}))&gt;0,1,0),0),0)</f>
        <v>0</v>
      </c>
      <c r="G843" s="829">
        <v>150</v>
      </c>
      <c r="H843" s="412" t="s">
        <v>3190</v>
      </c>
      <c r="I843" s="1258"/>
      <c r="J843" s="2" t="str">
        <f>IF(Table5[[#This Row],[Entered]]&lt;&gt;Table5[[#This Row],[Quantity]],"Check","")</f>
        <v/>
      </c>
    </row>
    <row r="844" spans="1:10" ht="15" x14ac:dyDescent="0.2">
      <c r="A844" s="324" t="s">
        <v>3507</v>
      </c>
      <c r="B844" s="324" t="str">
        <f t="shared" si="55"/>
        <v>0850</v>
      </c>
      <c r="C844" s="324">
        <v>97509</v>
      </c>
      <c r="D844" s="324">
        <v>7000</v>
      </c>
      <c r="E844" s="324">
        <v>1</v>
      </c>
      <c r="F844" s="1132" cm="1">
        <f t="array" ref="F844">IF(Brick_type&lt;&gt;"Timber Frame",IF(COUNTIF(Name,"Tie Down Rod")&gt;0,IF(SUM(COUNTIF(Address,{"*WAROONA*"}))&gt;0,1,0),0),0)</f>
        <v>0</v>
      </c>
      <c r="G844" s="829">
        <v>130</v>
      </c>
      <c r="H844" s="412" t="s">
        <v>3191</v>
      </c>
      <c r="I844" s="1258"/>
      <c r="J844" s="2" t="str">
        <f>IF(Table5[[#This Row],[Entered]]&lt;&gt;Table5[[#This Row],[Quantity]],"Check","")</f>
        <v/>
      </c>
    </row>
    <row r="845" spans="1:10" ht="15" x14ac:dyDescent="0.2">
      <c r="A845" s="324" t="s">
        <v>3507</v>
      </c>
      <c r="B845" s="324" t="str">
        <f t="shared" si="55"/>
        <v>0850</v>
      </c>
      <c r="C845" s="324">
        <v>97509</v>
      </c>
      <c r="D845" s="324">
        <v>7000</v>
      </c>
      <c r="E845" s="324">
        <v>1</v>
      </c>
      <c r="F845" s="1132" cm="1">
        <f t="array" ref="F845">IF(Brick_type&lt;&gt;"Timber Frame",IF(COUNTIF(Name,"Tie Down Rod")&gt;0,IF(SUM(COUNTIF(Address,{"*COLLIE*"}))&gt;0,1,0),0),0)</f>
        <v>0</v>
      </c>
      <c r="G845" s="829">
        <v>120</v>
      </c>
      <c r="H845" s="412" t="s">
        <v>3192</v>
      </c>
      <c r="I845" s="1258"/>
      <c r="J845" s="2" t="str">
        <f>IF(Table5[[#This Row],[Entered]]&lt;&gt;Table5[[#This Row],[Quantity]],"Check","")</f>
        <v/>
      </c>
    </row>
    <row r="846" spans="1:10" ht="15" x14ac:dyDescent="0.2">
      <c r="A846" s="324" t="s">
        <v>3507</v>
      </c>
      <c r="B846" s="324" t="str">
        <f t="shared" si="55"/>
        <v>0850</v>
      </c>
      <c r="C846" s="324">
        <v>97509</v>
      </c>
      <c r="D846" s="324">
        <v>7000</v>
      </c>
      <c r="E846" s="324">
        <v>1</v>
      </c>
      <c r="F846" s="1132" cm="1">
        <f t="array" ref="F846">IF(Brick_type&lt;&gt;"Timber Frame",IF(COUNTIF(Name,"Tie Down Rod")&gt;0,IF(SUM(COUNTIF(Address,{"*DWELLINGUP*"}))&gt;0,1,0),0),0)</f>
        <v>0</v>
      </c>
      <c r="G846" s="829">
        <v>150</v>
      </c>
      <c r="H846" s="412" t="s">
        <v>3193</v>
      </c>
      <c r="I846" s="1258"/>
      <c r="J846" s="2" t="str">
        <f>IF(Table5[[#This Row],[Entered]]&lt;&gt;Table5[[#This Row],[Quantity]],"Check","")</f>
        <v/>
      </c>
    </row>
    <row r="847" spans="1:10" ht="15" x14ac:dyDescent="0.2">
      <c r="A847" s="324" t="s">
        <v>3507</v>
      </c>
      <c r="B847" s="324" t="str">
        <f t="shared" si="55"/>
        <v>0850</v>
      </c>
      <c r="C847" s="324">
        <v>97509</v>
      </c>
      <c r="D847" s="324">
        <v>7000</v>
      </c>
      <c r="E847" s="324">
        <v>1</v>
      </c>
      <c r="F847" s="1132" cm="1">
        <f t="array" ref="F847">IF(Brick_type&lt;&gt;"Timber Frame",IF(COUNTIF(Name,"Tie Down Rod")&gt;0,IF(SUM(COUNTIF(Address,{"*DONNYBROOK*"}))&gt;0,1,0),0),0)</f>
        <v>0</v>
      </c>
      <c r="G847" s="829">
        <v>70</v>
      </c>
      <c r="H847" s="412" t="s">
        <v>3194</v>
      </c>
      <c r="I847" s="1258"/>
      <c r="J847" s="2" t="str">
        <f>IF(Table5[[#This Row],[Entered]]&lt;&gt;Table5[[#This Row],[Quantity]],"Check","")</f>
        <v/>
      </c>
    </row>
    <row r="848" spans="1:10" ht="15" x14ac:dyDescent="0.2">
      <c r="A848" s="324" t="s">
        <v>3507</v>
      </c>
      <c r="B848" s="324" t="str">
        <f t="shared" si="55"/>
        <v>0850</v>
      </c>
      <c r="C848" s="324">
        <v>97509</v>
      </c>
      <c r="D848" s="324">
        <v>7000</v>
      </c>
      <c r="E848" s="324">
        <v>1</v>
      </c>
      <c r="F848" s="1132" cm="1">
        <f t="array" ref="F848">IF(Brick_type&lt;&gt;"Timber Frame",IF(COUNTIF(Name,"Tie Down Rod")&gt;0,IF(SUM(COUNTIF(Address,{"*BOYANUP*"}))&gt;0,1,0),0),0)</f>
        <v>0</v>
      </c>
      <c r="G848" s="829">
        <v>60</v>
      </c>
      <c r="H848" s="412" t="s">
        <v>3195</v>
      </c>
      <c r="I848" s="1258"/>
      <c r="J848" s="2" t="str">
        <f>IF(Table5[[#This Row],[Entered]]&lt;&gt;Table5[[#This Row],[Quantity]],"Check","")</f>
        <v/>
      </c>
    </row>
    <row r="849" spans="1:10" ht="15" x14ac:dyDescent="0.2">
      <c r="A849" s="324" t="s">
        <v>3507</v>
      </c>
      <c r="B849" s="324" t="str">
        <f t="shared" si="55"/>
        <v>0850</v>
      </c>
      <c r="C849" s="324">
        <v>97509</v>
      </c>
      <c r="D849" s="324">
        <v>7000</v>
      </c>
      <c r="E849" s="324">
        <v>1</v>
      </c>
      <c r="F849" s="1132" cm="1">
        <f t="array" ref="F849">IF(Brick_type&lt;&gt;"Timber Frame",IF(COUNTIF(Name,"Tie Down Rod")&gt;0,IF(SUM(COUNTIF(Address,{"*BOYUP BROOK*"}))&gt;0,1,0),0),0)</f>
        <v>0</v>
      </c>
      <c r="G849" s="829">
        <v>100</v>
      </c>
      <c r="H849" s="412" t="s">
        <v>3196</v>
      </c>
      <c r="I849" s="1258"/>
      <c r="J849" s="2" t="str">
        <f>IF(Table5[[#This Row],[Entered]]&lt;&gt;Table5[[#This Row],[Quantity]],"Check","")</f>
        <v/>
      </c>
    </row>
    <row r="850" spans="1:10" ht="15" x14ac:dyDescent="0.2">
      <c r="A850" s="324" t="s">
        <v>3507</v>
      </c>
      <c r="B850" s="324" t="str">
        <f t="shared" si="55"/>
        <v>0850</v>
      </c>
      <c r="C850" s="324">
        <v>97509</v>
      </c>
      <c r="D850" s="324">
        <v>7000</v>
      </c>
      <c r="E850" s="324">
        <v>1</v>
      </c>
      <c r="F850" s="1132" cm="1">
        <f t="array" ref="F850">IF(Brick_type&lt;&gt;"Timber Frame",IF(COUNTIF(Name,"Tie Down Rod")&gt;0,IF(SUM(COUNTIF(Address,{"*MOODIARRUP*"}))&gt;0,1,0),0),0)</f>
        <v>0</v>
      </c>
      <c r="G850" s="829">
        <v>180</v>
      </c>
      <c r="H850" s="412" t="s">
        <v>3197</v>
      </c>
      <c r="I850" s="1258"/>
      <c r="J850" s="2" t="str">
        <f>IF(Table5[[#This Row],[Entered]]&lt;&gt;Table5[[#This Row],[Quantity]],"Check","")</f>
        <v/>
      </c>
    </row>
    <row r="851" spans="1:10" ht="15" x14ac:dyDescent="0.2">
      <c r="A851" s="324" t="s">
        <v>3507</v>
      </c>
      <c r="B851" s="324" t="str">
        <f t="shared" si="55"/>
        <v>0850</v>
      </c>
      <c r="C851" s="324">
        <v>97509</v>
      </c>
      <c r="D851" s="324">
        <v>7000</v>
      </c>
      <c r="E851" s="324">
        <v>1</v>
      </c>
      <c r="F851" s="1132" cm="1">
        <f t="array" ref="F851">IF(Brick_type&lt;&gt;"Timber Frame",IF(COUNTIF(Name,"Tie Down Rod")&gt;0,IF(SUM(COUNTIF(Address,{"*BRIDGETOWN*"}))&gt;0,1,0),0),0)</f>
        <v>0</v>
      </c>
      <c r="G851" s="829">
        <v>90</v>
      </c>
      <c r="H851" s="412" t="s">
        <v>3198</v>
      </c>
      <c r="I851" s="1258"/>
      <c r="J851" s="2" t="str">
        <f>IF(Table5[[#This Row],[Entered]]&lt;&gt;Table5[[#This Row],[Quantity]],"Check","")</f>
        <v/>
      </c>
    </row>
    <row r="852" spans="1:10" ht="15" x14ac:dyDescent="0.2">
      <c r="A852" s="324" t="s">
        <v>3507</v>
      </c>
      <c r="B852" s="324" t="str">
        <f t="shared" si="55"/>
        <v>0850</v>
      </c>
      <c r="C852" s="324">
        <v>97509</v>
      </c>
      <c r="D852" s="324">
        <v>7000</v>
      </c>
      <c r="E852" s="324">
        <v>1</v>
      </c>
      <c r="F852" s="1132" cm="1">
        <f t="array" ref="F852">IF(Brick_type&lt;&gt;"Timber Frame",IF(COUNTIF(Name,"Tie Down Rod")&gt;0,IF(SUM(COUNTIF(Address,{"*MANJIMUP*"}))&gt;0,1,0),0),0)</f>
        <v>0</v>
      </c>
      <c r="G852" s="829">
        <v>100</v>
      </c>
      <c r="H852" s="412" t="s">
        <v>3199</v>
      </c>
      <c r="I852" s="1258"/>
      <c r="J852" s="2" t="str">
        <f>IF(Table5[[#This Row],[Entered]]&lt;&gt;Table5[[#This Row],[Quantity]],"Check","")</f>
        <v/>
      </c>
    </row>
    <row r="853" spans="1:10" ht="15" x14ac:dyDescent="0.2">
      <c r="A853" s="324" t="s">
        <v>3507</v>
      </c>
      <c r="B853" s="324" t="str">
        <f t="shared" si="55"/>
        <v>0850</v>
      </c>
      <c r="C853" s="324">
        <v>97509</v>
      </c>
      <c r="D853" s="324">
        <v>7000</v>
      </c>
      <c r="E853" s="324">
        <v>1</v>
      </c>
      <c r="F853" s="1132" cm="1">
        <f t="array" ref="F853">IF(Brick_type&lt;&gt;"Timber Frame",IF(COUNTIF(Name,"Tie Down Rod")&gt;0,IF(SUM(COUNTIF(Address,{"*PEMBERTON*"}))&gt;0,1,0),0),0)</f>
        <v>0</v>
      </c>
      <c r="G853" s="829">
        <v>150</v>
      </c>
      <c r="H853" s="412" t="s">
        <v>3200</v>
      </c>
      <c r="I853" s="1258"/>
      <c r="J853" s="2" t="str">
        <f>IF(Table5[[#This Row],[Entered]]&lt;&gt;Table5[[#This Row],[Quantity]],"Check","")</f>
        <v/>
      </c>
    </row>
    <row r="854" spans="1:10" ht="15" x14ac:dyDescent="0.2">
      <c r="A854" s="324" t="s">
        <v>3507</v>
      </c>
      <c r="B854" s="324" t="str">
        <f t="shared" si="55"/>
        <v>0850</v>
      </c>
      <c r="C854" s="324">
        <v>97509</v>
      </c>
      <c r="D854" s="324">
        <v>7000</v>
      </c>
      <c r="E854" s="324">
        <v>1</v>
      </c>
      <c r="F854" s="1132" cm="1">
        <f t="array" ref="F854">IF(Brick_type&lt;&gt;"Timber Frame",IF(COUNTIF(Name,"Tie Down Rod")&gt;0,IF(SUM(COUNTIF(Address,{"*COOKERNUP*"}))&gt;0,1,0),0),0)</f>
        <v>0</v>
      </c>
      <c r="G854" s="829">
        <v>130</v>
      </c>
      <c r="H854" s="412" t="s">
        <v>3201</v>
      </c>
      <c r="I854" s="1258"/>
      <c r="J854" s="2" t="str">
        <f>IF(Table5[[#This Row],[Entered]]&lt;&gt;Table5[[#This Row],[Quantity]],"Check","")</f>
        <v/>
      </c>
    </row>
    <row r="855" spans="1:10" ht="15" x14ac:dyDescent="0.2">
      <c r="A855" s="324"/>
      <c r="B855" s="324"/>
      <c r="C855" s="324"/>
      <c r="D855" s="324"/>
      <c r="E855" s="324"/>
      <c r="F855" s="827"/>
      <c r="G855" s="829"/>
      <c r="H855" s="412"/>
      <c r="I855" s="1258"/>
      <c r="J855" s="2" t="str">
        <f>IF(Table5[[#This Row],[Entered]]&lt;&gt;Table5[[#This Row],[Quantity]],"Check","")</f>
        <v/>
      </c>
    </row>
    <row r="856" spans="1:10" ht="15" x14ac:dyDescent="0.2">
      <c r="A856" s="324" t="s">
        <v>3508</v>
      </c>
      <c r="B856" s="324" t="str">
        <f>"1040"</f>
        <v>1040</v>
      </c>
      <c r="C856" s="324">
        <v>52024</v>
      </c>
      <c r="D856" s="324">
        <v>7610</v>
      </c>
      <c r="E856" s="324">
        <v>1</v>
      </c>
      <c r="F856" s="827">
        <f>IF(Quotes!B9&gt;0,1,0)</f>
        <v>0</v>
      </c>
      <c r="G856" s="829">
        <f>Quotes!B9</f>
        <v>0</v>
      </c>
      <c r="H856" s="412" t="s">
        <v>3509</v>
      </c>
      <c r="I856" s="1258"/>
      <c r="J856" s="2" t="str">
        <f>IF(Table5[[#This Row],[Entered]]&lt;&gt;Table5[[#This Row],[Quantity]],"Check","")</f>
        <v/>
      </c>
    </row>
    <row r="857" spans="1:10" ht="15" x14ac:dyDescent="0.2">
      <c r="A857" s="324"/>
      <c r="B857" s="324"/>
      <c r="C857" s="324"/>
      <c r="D857" s="324"/>
      <c r="E857" s="324"/>
      <c r="F857" s="827"/>
      <c r="G857" s="829"/>
      <c r="H857" s="412"/>
      <c r="I857" s="1258"/>
      <c r="J857" s="2" t="str">
        <f>IF(Table5[[#This Row],[Entered]]&lt;&gt;Table5[[#This Row],[Quantity]],"Check","")</f>
        <v/>
      </c>
    </row>
    <row r="858" spans="1:10" ht="15" x14ac:dyDescent="0.2">
      <c r="A858" s="324" t="s">
        <v>3093</v>
      </c>
      <c r="B858" s="324" t="str">
        <f>"1040"</f>
        <v>1040</v>
      </c>
      <c r="C858" s="324">
        <v>52024</v>
      </c>
      <c r="D858" s="324">
        <v>6610</v>
      </c>
      <c r="E858" s="324">
        <v>1</v>
      </c>
      <c r="F858" s="827">
        <f>Quotes!B6</f>
        <v>0</v>
      </c>
      <c r="G858" s="829">
        <v>1</v>
      </c>
      <c r="H858" s="412" t="s">
        <v>3094</v>
      </c>
      <c r="I858" s="1258"/>
      <c r="J858" s="2" t="str">
        <f>IF(Table5[[#This Row],[Entered]]&lt;&gt;Table5[[#This Row],[Quantity]],"Check","")</f>
        <v/>
      </c>
    </row>
    <row r="859" spans="1:10" ht="15" x14ac:dyDescent="0.2">
      <c r="A859" s="324"/>
      <c r="B859" s="324" t="s">
        <v>966</v>
      </c>
      <c r="C859" s="324" t="s">
        <v>966</v>
      </c>
      <c r="D859" s="324" t="s">
        <v>966</v>
      </c>
      <c r="E859" s="324" t="s">
        <v>966</v>
      </c>
      <c r="F859" s="827"/>
      <c r="G859" s="829"/>
      <c r="H859" s="412" t="s">
        <v>966</v>
      </c>
      <c r="I859" s="1258"/>
      <c r="J859" s="2" t="str">
        <f>IF(Table5[[#This Row],[Entered]]&lt;&gt;Table5[[#This Row],[Quantity]],"Check","")</f>
        <v/>
      </c>
    </row>
    <row r="860" spans="1:10" ht="15" x14ac:dyDescent="0.2">
      <c r="A860" s="324" t="s">
        <v>3225</v>
      </c>
      <c r="B860" s="324" t="str">
        <f>"0945"</f>
        <v>0945</v>
      </c>
      <c r="C860" s="324">
        <v>11288700</v>
      </c>
      <c r="D860" s="324" t="str">
        <f>"3205"</f>
        <v>3205</v>
      </c>
      <c r="E860" s="324">
        <v>1</v>
      </c>
      <c r="F860" s="827">
        <f>IF(COUNTIF(Addenda!A:A,"*PLUNKETT*")&gt;0,0,1)</f>
        <v>1</v>
      </c>
      <c r="G860" s="829">
        <v>544</v>
      </c>
      <c r="H860" s="412" t="s">
        <v>3226</v>
      </c>
      <c r="I860" s="1258"/>
      <c r="J860" s="2" t="str">
        <f>IF(Table5[[#This Row],[Entered]]&lt;&gt;Table5[[#This Row],[Quantity]],"Check","")</f>
        <v>Check</v>
      </c>
    </row>
    <row r="861" spans="1:10" ht="15" x14ac:dyDescent="0.2">
      <c r="A861" s="324"/>
      <c r="B861" s="324"/>
      <c r="C861" s="324"/>
      <c r="D861" s="324"/>
      <c r="E861" s="324"/>
      <c r="F861" s="827"/>
      <c r="G861" s="829"/>
      <c r="H861" s="412"/>
      <c r="I861" s="1258"/>
      <c r="J861" s="2" t="str">
        <f>IF(Table5[[#This Row],[Entered]]&lt;&gt;Table5[[#This Row],[Quantity]],"Check","")</f>
        <v/>
      </c>
    </row>
    <row r="862" spans="1:10" ht="15" x14ac:dyDescent="0.2">
      <c r="A862" s="324" t="s">
        <v>3225</v>
      </c>
      <c r="B862" s="324" t="str">
        <f>"1030"</f>
        <v>1030</v>
      </c>
      <c r="C862" s="1144">
        <f>IF(COUNTIF(Addenda!A:A,"*PLUNKETT*")&gt;0,"",IF(COUNTIF(Address,"*Bridgetown*")&gt;0,11164600,IF(Locality="Bunbury","04423",10339)))</f>
        <v>10339</v>
      </c>
      <c r="D862" s="324">
        <v>7000</v>
      </c>
      <c r="E862" s="324">
        <v>1</v>
      </c>
      <c r="F862" s="827">
        <f>IF(Quotes!$D$2&gt;0,1,0)</f>
        <v>0</v>
      </c>
      <c r="G862" s="829">
        <f>IF(Table5[[#This Row],[Supplier]]="10339",IF(Table5[[#This Row],[Quantity]]&gt;0,Quotes!$B$2,0)*0.5,IF(Table5[[#This Row],[Quantity]]&gt;0,Quotes!$B$2*0.6,0))</f>
        <v>0</v>
      </c>
      <c r="H862" s="412" t="s">
        <v>3045</v>
      </c>
      <c r="I862" s="1258"/>
      <c r="J862" s="2" t="str">
        <f>IF(Table5[[#This Row],[Entered]]&lt;&gt;Table5[[#This Row],[Quantity]],"Check","")</f>
        <v/>
      </c>
    </row>
    <row r="863" spans="1:10" ht="15" x14ac:dyDescent="0.2">
      <c r="A863" s="324"/>
      <c r="B863" s="324"/>
      <c r="C863" s="324"/>
      <c r="D863" s="324"/>
      <c r="E863" s="324"/>
      <c r="F863" s="827"/>
      <c r="G863" s="829"/>
      <c r="H863" s="412"/>
      <c r="I863" s="1258"/>
      <c r="J863" s="2" t="str">
        <f>IF(Table5[[#This Row],[Entered]]&lt;&gt;Table5[[#This Row],[Quantity]],"Check","")</f>
        <v/>
      </c>
    </row>
    <row r="864" spans="1:10" ht="15" x14ac:dyDescent="0.2">
      <c r="A864" s="324" t="s">
        <v>3206</v>
      </c>
      <c r="B864" s="324" t="str">
        <f>"0865"</f>
        <v>0865</v>
      </c>
      <c r="C864" s="324">
        <v>50001</v>
      </c>
      <c r="D864" s="324">
        <v>7000</v>
      </c>
      <c r="E864" s="324">
        <v>1</v>
      </c>
      <c r="F864" s="827">
        <f>IF(Roof_Type="Steel Roof",1,0)</f>
        <v>1</v>
      </c>
      <c r="G864" s="829">
        <f>Quotes!B14</f>
        <v>0</v>
      </c>
      <c r="H864" s="412" t="s">
        <v>3775</v>
      </c>
      <c r="I864" s="1258"/>
      <c r="J864" s="2" t="str">
        <f>IF(Table5[[#This Row],[Entered]]&lt;&gt;Table5[[#This Row],[Quantity]],"Check","")</f>
        <v>Check</v>
      </c>
    </row>
    <row r="865" spans="1:10" ht="15" x14ac:dyDescent="0.2">
      <c r="A865" s="324"/>
      <c r="B865" s="324"/>
      <c r="C865" s="324"/>
      <c r="D865" s="324"/>
      <c r="E865" s="324"/>
      <c r="F865" s="827"/>
      <c r="G865" s="829"/>
      <c r="H865" s="412"/>
      <c r="I865" s="1258"/>
      <c r="J865" s="2" t="str">
        <f>IF(Table5[[#This Row],[Entered]]&lt;&gt;Table5[[#This Row],[Quantity]],"Check","")</f>
        <v/>
      </c>
    </row>
    <row r="866" spans="1:10" ht="15" x14ac:dyDescent="0.2">
      <c r="A866" s="324" t="s">
        <v>3208</v>
      </c>
      <c r="B866" s="324" t="str">
        <f>"0865"</f>
        <v>0865</v>
      </c>
      <c r="C866" s="324">
        <v>50001</v>
      </c>
      <c r="D866" s="324" t="str">
        <f>"0002"</f>
        <v>0002</v>
      </c>
      <c r="E866" s="324">
        <v>1</v>
      </c>
      <c r="F866" s="827">
        <f>IF(AND(Roof_Type="Steel Roof",FF_Area&gt;0),1,0)</f>
        <v>0</v>
      </c>
      <c r="G866" s="829">
        <v>0</v>
      </c>
      <c r="H866" s="412" t="s">
        <v>3207</v>
      </c>
      <c r="I866" s="1258"/>
      <c r="J866" s="2" t="str">
        <f>IF(Table5[[#This Row],[Entered]]&lt;&gt;Table5[[#This Row],[Quantity]],"Check","")</f>
        <v/>
      </c>
    </row>
    <row r="867" spans="1:10" ht="15" x14ac:dyDescent="0.2">
      <c r="A867" s="324"/>
      <c r="B867" s="324"/>
      <c r="C867" s="324"/>
      <c r="D867" s="324"/>
      <c r="E867" s="324"/>
      <c r="F867" s="827"/>
      <c r="G867" s="829"/>
      <c r="H867" s="412"/>
      <c r="I867" s="1258"/>
      <c r="J867" s="2" t="str">
        <f>IF(Table5[[#This Row],[Entered]]&lt;&gt;Table5[[#This Row],[Quantity]],"Check","")</f>
        <v/>
      </c>
    </row>
    <row r="868" spans="1:10" ht="15" x14ac:dyDescent="0.2">
      <c r="A868" s="324" t="s">
        <v>3206</v>
      </c>
      <c r="B868" s="324" t="str">
        <f t="shared" ref="B868:B873" si="56">"1320"</f>
        <v>1320</v>
      </c>
      <c r="C868" s="324" t="str">
        <f t="shared" ref="C868:C873" si="57">"09506"</f>
        <v>09506</v>
      </c>
      <c r="D868" s="324" t="str">
        <f>"1026"</f>
        <v>1026</v>
      </c>
      <c r="E868" s="324">
        <v>8</v>
      </c>
      <c r="F868" s="827">
        <f>IF(Locality="Busselton",WallInsulation,0)</f>
        <v>0</v>
      </c>
      <c r="G868" s="1177">
        <v>3.95</v>
      </c>
      <c r="H868" s="412" t="s">
        <v>3218</v>
      </c>
      <c r="I868" s="1258"/>
      <c r="J868" s="2" t="str">
        <f>IF(Table5[[#This Row],[Entered]]&lt;&gt;Table5[[#This Row],[Quantity]],"Check","")</f>
        <v/>
      </c>
    </row>
    <row r="869" spans="1:10" ht="15" x14ac:dyDescent="0.2">
      <c r="A869" s="324" t="s">
        <v>3206</v>
      </c>
      <c r="B869" s="324" t="str">
        <f t="shared" si="56"/>
        <v>1320</v>
      </c>
      <c r="C869" s="324" t="str">
        <f t="shared" si="57"/>
        <v>09506</v>
      </c>
      <c r="D869" s="324" t="str">
        <f>"9310"</f>
        <v>9310</v>
      </c>
      <c r="E869" s="324">
        <v>1</v>
      </c>
      <c r="F869" s="1132" cm="1">
        <f t="array" ref="F869">IF(SUM($F$868:$F$868)&gt;0,IF(SUM(COUNTIF(Address,{"*BUSSELTON*","*VASSE*"}))&gt;0,1,0),0)</f>
        <v>0</v>
      </c>
      <c r="G869" s="1177">
        <v>0</v>
      </c>
      <c r="H869" s="412" t="s">
        <v>3219</v>
      </c>
      <c r="I869" s="1258"/>
      <c r="J869" s="2" t="str">
        <f>IF(Table5[[#This Row],[Entered]]&lt;&gt;Table5[[#This Row],[Quantity]],"Check","")</f>
        <v/>
      </c>
    </row>
    <row r="870" spans="1:10" ht="15" x14ac:dyDescent="0.2">
      <c r="A870" s="324" t="s">
        <v>3206</v>
      </c>
      <c r="B870" s="324" t="str">
        <f t="shared" si="56"/>
        <v>1320</v>
      </c>
      <c r="C870" s="324" t="str">
        <f t="shared" si="57"/>
        <v>09506</v>
      </c>
      <c r="D870" s="324" t="str">
        <f>"9311"</f>
        <v>9311</v>
      </c>
      <c r="E870" s="324">
        <v>1</v>
      </c>
      <c r="F870" s="1132" cm="1">
        <f t="array" ref="F870">IF(SUM($F$868:$F$868)&gt;0,IF(SUM(COUNTIF(Address,{"*DUNSBOROUGH*","*YALLINGUP*"}))&gt;0,1,0),0)</f>
        <v>0</v>
      </c>
      <c r="H870" s="412" t="s">
        <v>3220</v>
      </c>
      <c r="I870" s="1258"/>
      <c r="J870" s="2" t="str">
        <f>IF(Table5[[#This Row],[Entered]]&lt;&gt;Table5[[#This Row],[Quantity]],"Check","")</f>
        <v/>
      </c>
    </row>
    <row r="871" spans="1:10" ht="15" x14ac:dyDescent="0.2">
      <c r="A871" s="324" t="s">
        <v>3206</v>
      </c>
      <c r="B871" s="324" t="str">
        <f t="shared" si="56"/>
        <v>1320</v>
      </c>
      <c r="C871" s="324" t="str">
        <f t="shared" si="57"/>
        <v>09506</v>
      </c>
      <c r="D871" s="324" t="str">
        <f>"9312"</f>
        <v>9312</v>
      </c>
      <c r="E871" s="324">
        <v>1</v>
      </c>
      <c r="F871" s="1132" cm="1">
        <f t="array" ref="F871">IF(SUM($F$868:$F$868)&gt;0,IF(SUM(COUNTIF(Address,{"*CAPEL*","*NANNUP*"}))&gt;0,1,0),0)</f>
        <v>0</v>
      </c>
      <c r="H871" s="412" t="s">
        <v>3221</v>
      </c>
      <c r="I871" s="1258"/>
      <c r="J871" s="2" t="str">
        <f>IF(Table5[[#This Row],[Entered]]&lt;&gt;Table5[[#This Row],[Quantity]],"Check","")</f>
        <v/>
      </c>
    </row>
    <row r="872" spans="1:10" ht="15" x14ac:dyDescent="0.2">
      <c r="A872" s="324" t="s">
        <v>3206</v>
      </c>
      <c r="B872" s="324" t="str">
        <f t="shared" si="56"/>
        <v>1320</v>
      </c>
      <c r="C872" s="324" t="str">
        <f t="shared" si="57"/>
        <v>09506</v>
      </c>
      <c r="D872" s="324" t="str">
        <f>"9320"</f>
        <v>9320</v>
      </c>
      <c r="E872" s="324">
        <v>1</v>
      </c>
      <c r="F872" s="1132" cm="1">
        <f t="array" ref="F872">IF(SUM($F$868:$F$868)&gt;0,IF(SUM(COUNTIF(Address,{"*MARGARET RIVER*"}))&gt;0,1,0),0)</f>
        <v>0</v>
      </c>
      <c r="H872" s="412" t="s">
        <v>3222</v>
      </c>
      <c r="I872" s="1258"/>
      <c r="J872" s="2" t="str">
        <f>IF(Table5[[#This Row],[Entered]]&lt;&gt;Table5[[#This Row],[Quantity]],"Check","")</f>
        <v/>
      </c>
    </row>
    <row r="873" spans="1:10" ht="15" x14ac:dyDescent="0.2">
      <c r="A873" s="324" t="s">
        <v>3206</v>
      </c>
      <c r="B873" s="324" t="str">
        <f t="shared" si="56"/>
        <v>1320</v>
      </c>
      <c r="C873" s="324" t="str">
        <f t="shared" si="57"/>
        <v>09506</v>
      </c>
      <c r="D873" s="324" t="str">
        <f>"9321"</f>
        <v>9321</v>
      </c>
      <c r="E873" s="324">
        <v>1</v>
      </c>
      <c r="F873" s="1132" cm="1">
        <f t="array" ref="F873">IF(SUM($F$868:$F$868)&gt;0,IF(SUM(COUNTIF(Address,{"*PREVELLY*","*WITCHCLIFFE*"}))&gt;0,1,0),0)</f>
        <v>0</v>
      </c>
      <c r="H873" s="412" t="s">
        <v>3223</v>
      </c>
      <c r="I873" s="1258"/>
      <c r="J873" s="2" t="str">
        <f>IF(Table5[[#This Row],[Entered]]&lt;&gt;Table5[[#This Row],[Quantity]],"Check","")</f>
        <v/>
      </c>
    </row>
    <row r="874" spans="1:10" ht="15" x14ac:dyDescent="0.2">
      <c r="A874" s="324"/>
      <c r="B874" s="324"/>
      <c r="C874" s="324"/>
      <c r="D874" s="324"/>
      <c r="E874" s="324"/>
      <c r="F874" s="827"/>
      <c r="G874" s="1116"/>
      <c r="H874" s="412"/>
      <c r="I874" s="1258"/>
      <c r="J874" s="2" t="str">
        <f>IF(Table5[[#This Row],[Entered]]&lt;&gt;Table5[[#This Row],[Quantity]],"Check","")</f>
        <v/>
      </c>
    </row>
    <row r="875" spans="1:10" ht="15" x14ac:dyDescent="0.2">
      <c r="A875" s="324" t="s">
        <v>3206</v>
      </c>
      <c r="B875" s="324" t="str">
        <f t="shared" ref="B875:B883" si="58">"1320"</f>
        <v>1320</v>
      </c>
      <c r="C875" s="324" t="str">
        <f t="shared" ref="C875:C883" si="59">"03707"</f>
        <v>03707</v>
      </c>
      <c r="D875" s="324" t="str">
        <f>"0067"</f>
        <v>0067</v>
      </c>
      <c r="E875" s="324">
        <v>1</v>
      </c>
      <c r="F875" s="827">
        <f>IF(Locality="Bunbury",ROUNDUP(WallInsulation/21.75,0),0)</f>
        <v>0</v>
      </c>
      <c r="G875" s="1116"/>
      <c r="H875" s="412" t="s">
        <v>3518</v>
      </c>
      <c r="I875" s="1258"/>
      <c r="J875" s="2" t="str">
        <f>IF(Table5[[#This Row],[Entered]]&lt;&gt;Table5[[#This Row],[Quantity]],"Check","")</f>
        <v/>
      </c>
    </row>
    <row r="876" spans="1:10" ht="15" x14ac:dyDescent="0.2">
      <c r="A876" s="324" t="s">
        <v>3206</v>
      </c>
      <c r="B876" s="324" t="str">
        <f t="shared" si="58"/>
        <v>1320</v>
      </c>
      <c r="C876" s="324" t="str">
        <f t="shared" si="59"/>
        <v>03707</v>
      </c>
      <c r="D876" s="324">
        <v>7015</v>
      </c>
      <c r="E876" s="324">
        <v>1</v>
      </c>
      <c r="F876" s="1132" cm="1">
        <f t="array" ref="F876">IF(SUM($F$875)&gt;0,IF(SUM(COUNTIF(Address,{"*AUSTRALIND*","*ROELANDS*"}))&gt;0,1,0),0)</f>
        <v>0</v>
      </c>
      <c r="G876" s="1116">
        <v>50</v>
      </c>
      <c r="H876" s="412" t="s">
        <v>2809</v>
      </c>
      <c r="I876" s="1258"/>
      <c r="J876" s="2" t="str">
        <f>IF(Table5[[#This Row],[Entered]]&lt;&gt;Table5[[#This Row],[Quantity]],"Check","")</f>
        <v/>
      </c>
    </row>
    <row r="877" spans="1:10" ht="15" x14ac:dyDescent="0.2">
      <c r="A877" s="324" t="s">
        <v>3206</v>
      </c>
      <c r="B877" s="324" t="str">
        <f t="shared" si="58"/>
        <v>1320</v>
      </c>
      <c r="C877" s="324" t="str">
        <f t="shared" si="59"/>
        <v>03707</v>
      </c>
      <c r="D877" s="324">
        <v>7022</v>
      </c>
      <c r="E877" s="324">
        <v>1</v>
      </c>
      <c r="F877" s="1132" cm="1">
        <f t="array" ref="F877">IF(SUM($F$875)&gt;0,IF(SUM(COUNTIF(Address,{"*BOYANUP*"}))&gt;0,1,0),0)</f>
        <v>0</v>
      </c>
      <c r="G877" s="1116">
        <v>59</v>
      </c>
      <c r="H877" s="412" t="s">
        <v>2811</v>
      </c>
      <c r="I877" s="1258"/>
      <c r="J877" s="2" t="str">
        <f>IF(Table5[[#This Row],[Entered]]&lt;&gt;Table5[[#This Row],[Quantity]],"Check","")</f>
        <v/>
      </c>
    </row>
    <row r="878" spans="1:10" ht="15" x14ac:dyDescent="0.2">
      <c r="A878" s="324" t="s">
        <v>3206</v>
      </c>
      <c r="B878" s="324" t="str">
        <f t="shared" si="58"/>
        <v>1320</v>
      </c>
      <c r="C878" s="324" t="str">
        <f t="shared" si="59"/>
        <v>03707</v>
      </c>
      <c r="D878" s="324">
        <v>7023</v>
      </c>
      <c r="E878" s="324">
        <v>1</v>
      </c>
      <c r="F878" s="1132" cm="1">
        <f t="array" ref="F878">IF(SUM($F$875)&gt;0,IF(SUM(COUNTIF(Address,{"*BOYUP BROOK*"}))&gt;0,1,0),0)</f>
        <v>0</v>
      </c>
      <c r="G878" s="1116">
        <v>164</v>
      </c>
      <c r="H878" s="412" t="s">
        <v>3519</v>
      </c>
      <c r="I878" s="1258"/>
      <c r="J878" s="2" t="str">
        <f>IF(Table5[[#This Row],[Entered]]&lt;&gt;Table5[[#This Row],[Quantity]],"Check","")</f>
        <v/>
      </c>
    </row>
    <row r="879" spans="1:10" ht="15" x14ac:dyDescent="0.2">
      <c r="A879" s="324" t="s">
        <v>3206</v>
      </c>
      <c r="B879" s="324" t="str">
        <f t="shared" si="58"/>
        <v>1320</v>
      </c>
      <c r="C879" s="324" t="str">
        <f t="shared" si="59"/>
        <v>03707</v>
      </c>
      <c r="D879" s="324">
        <v>7024</v>
      </c>
      <c r="E879" s="324">
        <v>1</v>
      </c>
      <c r="F879" s="1132" cm="1">
        <f t="array" ref="F879">IF(SUM($F$875)&gt;0,IF(SUM(COUNTIF(Address,{"*AUSTRALIND*","*BRIDGETOWN*"}))&gt;0,1,0),0)</f>
        <v>0</v>
      </c>
      <c r="G879" s="1116">
        <v>163.63999999999999</v>
      </c>
      <c r="H879" s="412" t="s">
        <v>2560</v>
      </c>
      <c r="I879" s="1258"/>
      <c r="J879" s="2" t="str">
        <f>IF(Table5[[#This Row],[Entered]]&lt;&gt;Table5[[#This Row],[Quantity]],"Check","")</f>
        <v/>
      </c>
    </row>
    <row r="880" spans="1:10" ht="15" x14ac:dyDescent="0.2">
      <c r="A880" s="324" t="s">
        <v>3206</v>
      </c>
      <c r="B880" s="324" t="str">
        <f t="shared" si="58"/>
        <v>1320</v>
      </c>
      <c r="C880" s="324" t="str">
        <f t="shared" si="59"/>
        <v>03707</v>
      </c>
      <c r="D880" s="324">
        <v>7027</v>
      </c>
      <c r="E880" s="324">
        <v>1</v>
      </c>
      <c r="F880" s="1132" cm="1">
        <f t="array" ref="F880">IF(SUM($F$875)&gt;0,IF(SUM(COUNTIF(Address,{"*BRUNSWICK*"}))&gt;0,1,0),0)</f>
        <v>0</v>
      </c>
      <c r="G880" s="1116">
        <v>59</v>
      </c>
      <c r="H880" s="412" t="s">
        <v>2812</v>
      </c>
      <c r="I880" s="1258"/>
      <c r="J880" s="2" t="str">
        <f>IF(Table5[[#This Row],[Entered]]&lt;&gt;Table5[[#This Row],[Quantity]],"Check","")</f>
        <v/>
      </c>
    </row>
    <row r="881" spans="1:10" ht="15" x14ac:dyDescent="0.2">
      <c r="A881" s="324" t="s">
        <v>3206</v>
      </c>
      <c r="B881" s="324" t="str">
        <f t="shared" si="58"/>
        <v>1320</v>
      </c>
      <c r="C881" s="324" t="str">
        <f t="shared" si="59"/>
        <v>03707</v>
      </c>
      <c r="D881" s="324">
        <v>7029</v>
      </c>
      <c r="E881" s="324">
        <v>1</v>
      </c>
      <c r="F881" s="1132" cm="1">
        <f t="array" ref="F881">IF(SUM($F$875)&gt;0,IF(SUM(COUNTIF(Address,{"*BUNBURY*"}))&gt;0,1,0),0)</f>
        <v>0</v>
      </c>
      <c r="G881" s="1116">
        <v>50</v>
      </c>
      <c r="H881" s="412" t="s">
        <v>2561</v>
      </c>
      <c r="I881" s="1258"/>
      <c r="J881" s="2" t="str">
        <f>IF(Table5[[#This Row],[Entered]]&lt;&gt;Table5[[#This Row],[Quantity]],"Check","")</f>
        <v/>
      </c>
    </row>
    <row r="882" spans="1:10" ht="15" x14ac:dyDescent="0.2">
      <c r="A882" s="324" t="s">
        <v>3206</v>
      </c>
      <c r="B882" s="324" t="str">
        <f t="shared" si="58"/>
        <v>1320</v>
      </c>
      <c r="C882" s="324" t="str">
        <f t="shared" si="59"/>
        <v>03707</v>
      </c>
      <c r="D882" s="324">
        <v>7032</v>
      </c>
      <c r="E882" s="324">
        <v>1</v>
      </c>
      <c r="F882" s="1132" cm="1">
        <f t="array" ref="F882">IF(SUM($F$875)&gt;0,IF(SUM(COUNTIF(Address,{"*CAPEL*"}))&gt;0,1,0),0)</f>
        <v>0</v>
      </c>
      <c r="G882" s="1116">
        <v>50</v>
      </c>
      <c r="H882" s="412" t="s">
        <v>2565</v>
      </c>
      <c r="I882" s="1258"/>
      <c r="J882" s="2" t="str">
        <f>IF(Table5[[#This Row],[Entered]]&lt;&gt;Table5[[#This Row],[Quantity]],"Check","")</f>
        <v/>
      </c>
    </row>
    <row r="883" spans="1:10" ht="15" x14ac:dyDescent="0.2">
      <c r="A883" s="324" t="s">
        <v>3206</v>
      </c>
      <c r="B883" s="324" t="str">
        <f t="shared" si="58"/>
        <v>1320</v>
      </c>
      <c r="C883" s="324" t="str">
        <f t="shared" si="59"/>
        <v>03707</v>
      </c>
      <c r="D883" s="324">
        <v>7035</v>
      </c>
      <c r="E883" s="324">
        <v>1</v>
      </c>
      <c r="F883" s="1132" cm="1">
        <f t="array" ref="F883">IF(SUM($F$875)&gt;0,IF(SUM(COUNTIF(Address,{"*COLLIE*"}))&gt;0,1,0),0)</f>
        <v>0</v>
      </c>
      <c r="G883" s="1116">
        <v>136</v>
      </c>
      <c r="H883" s="412" t="s">
        <v>2814</v>
      </c>
      <c r="I883" s="1258"/>
      <c r="J883" s="2" t="str">
        <f>IF(Table5[[#This Row],[Entered]]&lt;&gt;Table5[[#This Row],[Quantity]],"Check","")</f>
        <v/>
      </c>
    </row>
    <row r="884" spans="1:10" ht="15" x14ac:dyDescent="0.2">
      <c r="A884" s="324"/>
      <c r="B884" s="324"/>
      <c r="C884" s="324"/>
      <c r="D884" s="324"/>
      <c r="E884" s="324"/>
      <c r="F884" s="827"/>
      <c r="G884" s="1116"/>
      <c r="H884" s="412"/>
      <c r="I884" s="1207"/>
      <c r="J884" s="73" t="str">
        <f>IF(Table5[[#This Row],[Entered]]&lt;&gt;Table5[[#This Row],[Quantity]],"Check","")</f>
        <v/>
      </c>
    </row>
    <row r="885" spans="1:10" ht="15" x14ac:dyDescent="0.2">
      <c r="A885" s="324" t="s">
        <v>3776</v>
      </c>
      <c r="B885" s="324" t="str">
        <f>"0910"</f>
        <v>0910</v>
      </c>
      <c r="C885" s="324" t="str">
        <f>"74124"</f>
        <v>74124</v>
      </c>
      <c r="D885" s="324" t="str">
        <f>"7000"</f>
        <v>7000</v>
      </c>
      <c r="E885" s="324">
        <v>1</v>
      </c>
      <c r="F885" s="827">
        <f>IF(Quotes!B26&gt;0,1,0)</f>
        <v>0</v>
      </c>
      <c r="G885" s="1116">
        <f>Quotes!B26</f>
        <v>0</v>
      </c>
      <c r="H885" s="412" t="s">
        <v>3777</v>
      </c>
      <c r="I885" s="1207"/>
      <c r="J885" s="73" t="str">
        <f>IF(Table5[[#This Row],[Entered]]&lt;&gt;Table5[[#This Row],[Quantity]],"Check","")</f>
        <v/>
      </c>
    </row>
    <row r="886" spans="1:10" ht="15" x14ac:dyDescent="0.2">
      <c r="A886" s="324"/>
      <c r="B886" s="324"/>
      <c r="C886" s="324"/>
      <c r="D886" s="324"/>
      <c r="E886" s="324"/>
      <c r="F886" s="827"/>
      <c r="G886" s="1116"/>
      <c r="H886" s="412"/>
      <c r="I886" s="1207"/>
      <c r="J886" s="73" t="str">
        <f>IF(Table5[[#This Row],[Entered]]&lt;&gt;Table5[[#This Row],[Quantity]],"Check","")</f>
        <v/>
      </c>
    </row>
    <row r="887" spans="1:10" ht="15" x14ac:dyDescent="0.2">
      <c r="A887" s="324" t="s">
        <v>3227</v>
      </c>
      <c r="B887" s="324" t="str">
        <f>"1110"</f>
        <v>1110</v>
      </c>
      <c r="C887" s="324" t="str">
        <f>"73022"</f>
        <v>73022</v>
      </c>
      <c r="D887" s="324">
        <v>7000</v>
      </c>
      <c r="E887" s="324">
        <v>1</v>
      </c>
      <c r="F887" s="827">
        <f>IF(Table5[[#This Row],[Price]]&gt;0,1,0)</f>
        <v>0</v>
      </c>
      <c r="G887" s="829">
        <f>ROUND(Quotes!B26,2)</f>
        <v>0</v>
      </c>
      <c r="H887" s="412" t="s">
        <v>3733</v>
      </c>
      <c r="I887" s="1258"/>
      <c r="J887" s="73" t="str">
        <f>IF(Table5[[#This Row],[Entered]]&lt;&gt;Table5[[#This Row],[Quantity]],"Check","")</f>
        <v/>
      </c>
    </row>
    <row r="888" spans="1:10" ht="15" x14ac:dyDescent="0.2">
      <c r="A888" s="324"/>
      <c r="B888" s="324"/>
      <c r="C888" s="324"/>
      <c r="D888" s="324"/>
      <c r="E888" s="324"/>
      <c r="F888" s="827"/>
      <c r="G888" s="829"/>
      <c r="H888" s="412"/>
      <c r="I888" s="1258"/>
      <c r="J888" s="2" t="str">
        <f>IF(Table5[[#This Row],[Entered]]&lt;&gt;Table5[[#This Row],[Quantity]],"Check","")</f>
        <v/>
      </c>
    </row>
    <row r="889" spans="1:10" ht="15" x14ac:dyDescent="0.2">
      <c r="A889" s="324" t="s">
        <v>3227</v>
      </c>
      <c r="B889" s="324" t="str">
        <f>"1110"</f>
        <v>1110</v>
      </c>
      <c r="C889" s="324" t="str">
        <f>"73022"</f>
        <v>73022</v>
      </c>
      <c r="D889" s="324">
        <v>7000</v>
      </c>
      <c r="E889" s="324">
        <v>1</v>
      </c>
      <c r="F889" s="827">
        <f>IF(Table5[[#This Row],[Price]]&gt;0,1,0)</f>
        <v>0</v>
      </c>
      <c r="G889" s="829">
        <f>ROUND(Quotes!B15,2)</f>
        <v>0</v>
      </c>
      <c r="H889" s="412" t="s">
        <v>3228</v>
      </c>
      <c r="I889" s="1258"/>
      <c r="J889" s="2" t="str">
        <f>IF(Table5[[#This Row],[Entered]]&lt;&gt;Table5[[#This Row],[Quantity]],"Check","")</f>
        <v/>
      </c>
    </row>
    <row r="890" spans="1:10" ht="15" x14ac:dyDescent="0.2">
      <c r="A890" s="324"/>
      <c r="B890" s="324"/>
      <c r="C890" s="324"/>
      <c r="D890" s="324"/>
      <c r="E890" s="324"/>
      <c r="F890" s="827"/>
      <c r="G890" s="829"/>
      <c r="H890" s="412"/>
      <c r="I890" s="1258"/>
      <c r="J890" s="2" t="str">
        <f>IF(Table5[[#This Row],[Entered]]&lt;&gt;Table5[[#This Row],[Quantity]],"Check","")</f>
        <v/>
      </c>
    </row>
    <row r="891" spans="1:10" ht="15" x14ac:dyDescent="0.2">
      <c r="A891" s="324" t="s">
        <v>2955</v>
      </c>
      <c r="B891" s="324" t="str">
        <f>"0890"</f>
        <v>0890</v>
      </c>
      <c r="C891" s="324" t="str">
        <f>"50062"</f>
        <v>50062</v>
      </c>
      <c r="D891" s="324" t="str">
        <f>"0011"</f>
        <v>0011</v>
      </c>
      <c r="E891" s="324">
        <v>8</v>
      </c>
      <c r="F891" s="827">
        <f>IF(AND(TextureCoat?="Yes",Brick_type&lt;&gt;"Full Render"),Render_Total_Ground,0)</f>
        <v>0</v>
      </c>
      <c r="G891" s="829"/>
      <c r="H891" s="412" t="s">
        <v>3229</v>
      </c>
      <c r="I891" s="1258"/>
      <c r="J891" s="2" t="str">
        <f>IF(Table5[[#This Row],[Entered]]&lt;&gt;Table5[[#This Row],[Quantity]],"Check","")</f>
        <v/>
      </c>
    </row>
    <row r="892" spans="1:10" ht="15" x14ac:dyDescent="0.2">
      <c r="A892" s="324" t="s">
        <v>2955</v>
      </c>
      <c r="B892" s="324" t="str">
        <f>"0890"</f>
        <v>0890</v>
      </c>
      <c r="C892" s="324" t="str">
        <f>"50062"</f>
        <v>50062</v>
      </c>
      <c r="D892" s="324" t="str">
        <f>"0060"</f>
        <v>0060</v>
      </c>
      <c r="E892" s="324">
        <v>1</v>
      </c>
      <c r="F892" s="827">
        <f>COUNTIFS(Name,"*Opening*",Name,"*Render*")</f>
        <v>0</v>
      </c>
      <c r="G892" s="829">
        <v>40</v>
      </c>
      <c r="H892" s="412" t="s">
        <v>3410</v>
      </c>
      <c r="I892" s="1258"/>
      <c r="J892" s="2" t="str">
        <f>IF(Table5[[#This Row],[Entered]]&lt;&gt;Table5[[#This Row],[Quantity]],"Check","")</f>
        <v/>
      </c>
    </row>
    <row r="893" spans="1:10" ht="15" x14ac:dyDescent="0.2">
      <c r="A893" s="324" t="s">
        <v>2955</v>
      </c>
      <c r="B893" s="324" t="str">
        <f>"0890"</f>
        <v>0890</v>
      </c>
      <c r="C893" s="324" t="str">
        <f>"50062"</f>
        <v>50062</v>
      </c>
      <c r="D893" s="324" t="str">
        <f>"0090"</f>
        <v>0090</v>
      </c>
      <c r="E893" s="324">
        <v>7</v>
      </c>
      <c r="F893" s="827">
        <f>ROUNDUP(SUMIF(Name,"Projected Band",Length),1)</f>
        <v>0</v>
      </c>
      <c r="G893" s="829"/>
      <c r="H893" s="412" t="s">
        <v>2957</v>
      </c>
      <c r="I893" s="1258"/>
      <c r="J893" s="2" t="str">
        <f>IF(Table5[[#This Row],[Entered]]&lt;&gt;Table5[[#This Row],[Quantity]],"Check","")</f>
        <v/>
      </c>
    </row>
    <row r="894" spans="1:10" ht="15" x14ac:dyDescent="0.2">
      <c r="A894" s="324" t="s">
        <v>2955</v>
      </c>
      <c r="B894" s="324" t="str">
        <f>"0890"</f>
        <v>0890</v>
      </c>
      <c r="C894" s="324" t="str">
        <f>"50062"</f>
        <v>50062</v>
      </c>
      <c r="D894" s="324" t="str">
        <f>"0129"</f>
        <v>0129</v>
      </c>
      <c r="E894" s="324">
        <v>1</v>
      </c>
      <c r="F894" s="827">
        <f>COUNTIF(Name,"Plastic Bead")</f>
        <v>0</v>
      </c>
      <c r="G894" s="829">
        <v>10</v>
      </c>
      <c r="H894" s="412" t="s">
        <v>2964</v>
      </c>
      <c r="I894" s="1258"/>
      <c r="J894" s="2" t="str">
        <f>IF(Table5[[#This Row],[Entered]]&lt;&gt;Table5[[#This Row],[Quantity]],"Check","")</f>
        <v/>
      </c>
    </row>
    <row r="895" spans="1:10" ht="15" x14ac:dyDescent="0.2">
      <c r="A895" s="324" t="s">
        <v>2955</v>
      </c>
      <c r="B895" s="324" t="str">
        <f>"0890"</f>
        <v>0890</v>
      </c>
      <c r="C895" s="324" t="str">
        <f>"50062"</f>
        <v>50062</v>
      </c>
      <c r="D895" s="324" t="str">
        <f>"0420"</f>
        <v>0420</v>
      </c>
      <c r="E895" s="324">
        <v>8</v>
      </c>
      <c r="F895" s="827">
        <f>IF(AND(Render_Total_Ground&gt;0,Render_Total_Ground&lt;30,TextureCoat?="No"),30,IF(AND(Render_Total_Ground&gt;30,TextureCoat?="No"),Render_Total_Ground,0))</f>
        <v>0</v>
      </c>
      <c r="G895" s="829">
        <v>19</v>
      </c>
      <c r="H895" s="412" t="s">
        <v>2956</v>
      </c>
      <c r="I895" s="1258"/>
      <c r="J895" s="2" t="str">
        <f>IF(Table5[[#This Row],[Entered]]&lt;&gt;Table5[[#This Row],[Quantity]],"Check","")</f>
        <v/>
      </c>
    </row>
    <row r="896" spans="1:10" ht="15" x14ac:dyDescent="0.2">
      <c r="A896" s="324"/>
      <c r="B896" s="324"/>
      <c r="C896" s="324"/>
      <c r="D896" s="324"/>
      <c r="E896" s="324"/>
      <c r="F896" s="827"/>
      <c r="G896" s="829"/>
      <c r="H896" s="412"/>
      <c r="I896" s="1258"/>
      <c r="J896" s="2" t="str">
        <f>IF(Table5[[#This Row],[Entered]]&lt;&gt;Table5[[#This Row],[Quantity]],"Check","")</f>
        <v/>
      </c>
    </row>
    <row r="897" spans="1:10" ht="15" x14ac:dyDescent="0.2">
      <c r="A897" s="324" t="s">
        <v>2955</v>
      </c>
      <c r="B897" s="324" t="str">
        <f>"0890"</f>
        <v>0890</v>
      </c>
      <c r="C897" s="324" t="str">
        <f>"03168"</f>
        <v>03168</v>
      </c>
      <c r="D897" s="324">
        <v>7000</v>
      </c>
      <c r="E897" s="324">
        <v>1</v>
      </c>
      <c r="F897" s="827">
        <f>IF(COUNTIF(Addenda!A:A,"*Architectural Moulding*")&gt;0,1,0)</f>
        <v>0</v>
      </c>
      <c r="G897" s="829">
        <f>Quotes!B18</f>
        <v>0</v>
      </c>
      <c r="H897" s="412" t="s">
        <v>3465</v>
      </c>
      <c r="I897" s="1258"/>
      <c r="J897" s="2" t="str">
        <f>IF(Table5[[#This Row],[Entered]]&lt;&gt;Table5[[#This Row],[Quantity]],"Check","")</f>
        <v/>
      </c>
    </row>
    <row r="898" spans="1:10" ht="15" x14ac:dyDescent="0.2">
      <c r="A898" s="324"/>
      <c r="B898" s="324"/>
      <c r="C898" s="324"/>
      <c r="D898" s="324"/>
      <c r="E898" s="324"/>
      <c r="F898" s="827"/>
      <c r="G898" s="829"/>
      <c r="H898" s="412"/>
      <c r="I898" s="1258"/>
      <c r="J898" s="2" t="str">
        <f>IF(Table5[[#This Row],[Entered]]&lt;&gt;Table5[[#This Row],[Quantity]],"Check","")</f>
        <v/>
      </c>
    </row>
    <row r="899" spans="1:10" ht="15" x14ac:dyDescent="0.2">
      <c r="A899" s="324" t="s">
        <v>2955</v>
      </c>
      <c r="B899" s="324" t="str">
        <f t="shared" ref="B899:B922" si="60">"0895"</f>
        <v>0895</v>
      </c>
      <c r="C899" s="324">
        <v>52045</v>
      </c>
      <c r="D899" s="324" t="str">
        <f>"0331"</f>
        <v>0331</v>
      </c>
      <c r="E899" s="324">
        <v>9</v>
      </c>
      <c r="F899" s="827">
        <f>IF(OR(Brick_type="Timber Frame",Brick_type="Brick Veneer"),0,IF(OR(ISNUMBER(SEARCH("BALINGUP",Address))),Render_Sand_Ground,0))</f>
        <v>0</v>
      </c>
      <c r="G899" s="829"/>
      <c r="H899" s="412" t="s">
        <v>3256</v>
      </c>
      <c r="I899" s="1258"/>
      <c r="J899" s="2" t="str">
        <f>IF(Table5[[#This Row],[Entered]]&lt;&gt;Table5[[#This Row],[Quantity]],"Check","")</f>
        <v/>
      </c>
    </row>
    <row r="900" spans="1:10" ht="15" x14ac:dyDescent="0.2">
      <c r="A900" s="324" t="s">
        <v>2955</v>
      </c>
      <c r="B900" s="324" t="str">
        <f t="shared" si="60"/>
        <v>0895</v>
      </c>
      <c r="C900" s="324">
        <v>52045</v>
      </c>
      <c r="D900" s="324" t="str">
        <f>"0328"</f>
        <v>0328</v>
      </c>
      <c r="E900" s="324">
        <v>9</v>
      </c>
      <c r="F900" s="827">
        <f>IF(OR(Brick_type="Timber Frame",Brick_type="Brick Veneer"),0,IF(OR(ISNUMBER(SEARCH("BOYANUP",Address))),Render_Sand_Ground,0))</f>
        <v>0</v>
      </c>
      <c r="G900" s="829"/>
      <c r="H900" s="412" t="s">
        <v>3257</v>
      </c>
      <c r="I900" s="1258"/>
      <c r="J900" s="2" t="str">
        <f>IF(Table5[[#This Row],[Entered]]&lt;&gt;Table5[[#This Row],[Quantity]],"Check","")</f>
        <v/>
      </c>
    </row>
    <row r="901" spans="1:10" ht="15" x14ac:dyDescent="0.2">
      <c r="A901" s="324" t="s">
        <v>2955</v>
      </c>
      <c r="B901" s="324" t="str">
        <f t="shared" si="60"/>
        <v>0895</v>
      </c>
      <c r="C901" s="324">
        <v>52045</v>
      </c>
      <c r="D901" s="324" t="str">
        <f>"0327"</f>
        <v>0327</v>
      </c>
      <c r="E901" s="324">
        <v>9</v>
      </c>
      <c r="F901" s="827">
        <f>IF(OR(Brick_type="Timber Frame",Brick_type="Brick Veneer"),0,IF(OR(ISNUMBER(SEARCH("BOYUP BROOK",Address))),Render_Sand_Ground,0))</f>
        <v>0</v>
      </c>
      <c r="G901" s="829"/>
      <c r="H901" s="412" t="s">
        <v>3258</v>
      </c>
      <c r="I901" s="1258"/>
      <c r="J901" s="2" t="str">
        <f>IF(Table5[[#This Row],[Entered]]&lt;&gt;Table5[[#This Row],[Quantity]],"Check","")</f>
        <v/>
      </c>
    </row>
    <row r="902" spans="1:10" ht="15" x14ac:dyDescent="0.2">
      <c r="A902" s="324" t="s">
        <v>2955</v>
      </c>
      <c r="B902" s="324" t="str">
        <f t="shared" si="60"/>
        <v>0895</v>
      </c>
      <c r="C902" s="324">
        <v>52045</v>
      </c>
      <c r="D902" s="324" t="str">
        <f>"0301"</f>
        <v>0301</v>
      </c>
      <c r="E902" s="324">
        <v>9</v>
      </c>
      <c r="F902" s="827">
        <f>IF(OR(Brick_type="Timber Frame",Brick_type="Brick Veneer"),0,IF(OR(ISNUMBER(SEARCH("BUNBURY",Address)),ISNUMBER(SEARCH("BOYANUP",Address)),ISNUMBER(SEARCH("GLEN IRIS",Address))),Render_Sand_Ground,0))</f>
        <v>0</v>
      </c>
      <c r="G902" s="829"/>
      <c r="H902" s="412" t="s">
        <v>2958</v>
      </c>
      <c r="I902" s="1258"/>
      <c r="J902" s="2" t="str">
        <f>IF(Table5[[#This Row],[Entered]]&lt;&gt;Table5[[#This Row],[Quantity]],"Check","")</f>
        <v/>
      </c>
    </row>
    <row r="903" spans="1:10" ht="15" x14ac:dyDescent="0.2">
      <c r="A903" s="324" t="s">
        <v>2955</v>
      </c>
      <c r="B903" s="324" t="str">
        <f t="shared" si="60"/>
        <v>0895</v>
      </c>
      <c r="C903" s="324">
        <v>52045</v>
      </c>
      <c r="D903" s="324" t="str">
        <f>"0329"</f>
        <v>0329</v>
      </c>
      <c r="E903" s="324">
        <v>9</v>
      </c>
      <c r="F903" s="827">
        <f>IF(OR(Brick_type="Timber Frame",Brick_type="Brick Veneer"),0,IF(OR(ISNUMBER(SEARCH("BUREKUP",Address))),Render_Sand_Ground,0))</f>
        <v>0</v>
      </c>
      <c r="G903" s="829"/>
      <c r="H903" s="412" t="s">
        <v>3253</v>
      </c>
      <c r="I903" s="1258"/>
      <c r="J903" s="2" t="str">
        <f>IF(Table5[[#This Row],[Entered]]&lt;&gt;Table5[[#This Row],[Quantity]],"Check","")</f>
        <v/>
      </c>
    </row>
    <row r="904" spans="1:10" ht="15" x14ac:dyDescent="0.2">
      <c r="A904" s="324" t="s">
        <v>2955</v>
      </c>
      <c r="B904" s="324" t="str">
        <f t="shared" si="60"/>
        <v>0895</v>
      </c>
      <c r="C904" s="324">
        <v>52045</v>
      </c>
      <c r="D904" s="324" t="str">
        <f>"0330"</f>
        <v>0330</v>
      </c>
      <c r="E904" s="324">
        <v>9</v>
      </c>
      <c r="F904" s="827">
        <f>IF(OR(Brick_type="Timber Frame",Brick_type="Brick Veneer"),0,IF(OR(ISNUMBER(SEARCH("BRIDGETOWN",Address))),Render_Sand_Ground,0))</f>
        <v>0</v>
      </c>
      <c r="G904" s="829"/>
      <c r="H904" s="412" t="s">
        <v>3255</v>
      </c>
      <c r="I904" s="1258"/>
      <c r="J904" s="2" t="str">
        <f>IF(Table5[[#This Row],[Entered]]&lt;&gt;Table5[[#This Row],[Quantity]],"Check","")</f>
        <v/>
      </c>
    </row>
    <row r="905" spans="1:10" ht="15" x14ac:dyDescent="0.2">
      <c r="A905" s="324" t="s">
        <v>2955</v>
      </c>
      <c r="B905" s="324" t="str">
        <f t="shared" si="60"/>
        <v>0895</v>
      </c>
      <c r="C905" s="324">
        <v>52045</v>
      </c>
      <c r="D905" s="324" t="str">
        <f>"0320"</f>
        <v>0320</v>
      </c>
      <c r="E905" s="324">
        <v>9</v>
      </c>
      <c r="F905" s="827">
        <f>IF(OR(Brick_type="Timber Frame",Brick_type="Brick Veneer"),0,IF(OR(ISNUMBER(SEARCH("BRUNSWICK",Address))),Render_Sand_Ground,0))</f>
        <v>0</v>
      </c>
      <c r="G905" s="829"/>
      <c r="H905" s="412" t="s">
        <v>3254</v>
      </c>
      <c r="I905" s="1258"/>
      <c r="J905" s="2" t="str">
        <f>IF(Table5[[#This Row],[Entered]]&lt;&gt;Table5[[#This Row],[Quantity]],"Check","")</f>
        <v/>
      </c>
    </row>
    <row r="906" spans="1:10" ht="15" x14ac:dyDescent="0.2">
      <c r="A906" s="324" t="s">
        <v>2955</v>
      </c>
      <c r="B906" s="324" t="str">
        <f t="shared" si="60"/>
        <v>0895</v>
      </c>
      <c r="C906" s="324">
        <v>52045</v>
      </c>
      <c r="D906" s="324" t="str">
        <f>"0304"</f>
        <v>0304</v>
      </c>
      <c r="E906" s="324">
        <v>9</v>
      </c>
      <c r="F906" s="827">
        <f>IF(OR(Brick_type="Timber Frame",Brick_type="Brick Veneer"),0,IF(ISNUMBER(SEARCH("DARDANUP",Address)),Render_Sand_Ground,0))</f>
        <v>0</v>
      </c>
      <c r="G906" s="829"/>
      <c r="H906" s="412" t="s">
        <v>3259</v>
      </c>
      <c r="I906" s="1258"/>
      <c r="J906" s="2" t="str">
        <f>IF(Table5[[#This Row],[Entered]]&lt;&gt;Table5[[#This Row],[Quantity]],"Check","")</f>
        <v/>
      </c>
    </row>
    <row r="907" spans="1:10" ht="15" x14ac:dyDescent="0.2">
      <c r="A907" s="324" t="s">
        <v>2955</v>
      </c>
      <c r="B907" s="324" t="str">
        <f t="shared" si="60"/>
        <v>0895</v>
      </c>
      <c r="C907" s="324">
        <v>52045</v>
      </c>
      <c r="D907" s="324" t="str">
        <f>"0313"</f>
        <v>0313</v>
      </c>
      <c r="E907" s="324">
        <v>9</v>
      </c>
      <c r="F907" s="827">
        <f>IF(OR(Brick_type="Timber Frame",Brick_type="Brick Veneer"),0,IF(ISNUMBER(SEARCH("Australind",Address)),Render_Sand_Ground,0))</f>
        <v>0</v>
      </c>
      <c r="G907" s="829"/>
      <c r="H907" s="412" t="s">
        <v>3240</v>
      </c>
      <c r="I907" s="1258"/>
      <c r="J907" s="2" t="str">
        <f>IF(Table5[[#This Row],[Entered]]&lt;&gt;Table5[[#This Row],[Quantity]],"Check","")</f>
        <v/>
      </c>
    </row>
    <row r="908" spans="1:10" ht="15" x14ac:dyDescent="0.2">
      <c r="A908" s="324" t="s">
        <v>2955</v>
      </c>
      <c r="B908" s="324" t="str">
        <f t="shared" si="60"/>
        <v>0895</v>
      </c>
      <c r="C908" s="324">
        <v>52045</v>
      </c>
      <c r="D908" s="324" t="str">
        <f>"0303"</f>
        <v>0303</v>
      </c>
      <c r="E908" s="324">
        <v>9</v>
      </c>
      <c r="F908" s="827">
        <f>IF(OR(Brick_type="Timber Frame",Brick_type="Brick Veneer"),0,IF(OR(ISNUMBER(SEARCH("Eaton",Address)),ISNUMBER(SEARCH("Millbridge",Address))),Render_Sand_Ground,0))</f>
        <v>0</v>
      </c>
      <c r="G908" s="829"/>
      <c r="H908" s="412" t="s">
        <v>3242</v>
      </c>
      <c r="I908" s="1258"/>
      <c r="J908" s="2" t="str">
        <f>IF(Table5[[#This Row],[Entered]]&lt;&gt;Table5[[#This Row],[Quantity]],"Check","")</f>
        <v/>
      </c>
    </row>
    <row r="909" spans="1:10" ht="15" x14ac:dyDescent="0.2">
      <c r="A909" s="324" t="s">
        <v>2955</v>
      </c>
      <c r="B909" s="324" t="str">
        <f t="shared" si="60"/>
        <v>0895</v>
      </c>
      <c r="C909" s="324">
        <v>52045</v>
      </c>
      <c r="D909" s="324" t="str">
        <f>"0300"</f>
        <v>0300</v>
      </c>
      <c r="E909" s="324">
        <v>9</v>
      </c>
      <c r="F909" s="827">
        <f>IF(OR(Brick_type="Timber Frame",Brick_type="Brick Veneer"),0,IF(OR(ISNUMBER(SEARCH("Capel",Address)),ISNUMBER(SEARCH("Peppermint Grove*",Address)),ISNUMBER(SEARCH("Dalyellup",Address))),Render_Sand_Ground,0))</f>
        <v>0</v>
      </c>
      <c r="G909" s="829"/>
      <c r="H909" s="412" t="s">
        <v>3238</v>
      </c>
      <c r="I909" s="1258"/>
      <c r="J909" s="2" t="str">
        <f>IF(Table5[[#This Row],[Entered]]&lt;&gt;Table5[[#This Row],[Quantity]],"Check","")</f>
        <v/>
      </c>
    </row>
    <row r="910" spans="1:10" ht="15" x14ac:dyDescent="0.2">
      <c r="A910" s="324" t="s">
        <v>2955</v>
      </c>
      <c r="B910" s="324" t="str">
        <f t="shared" si="60"/>
        <v>0895</v>
      </c>
      <c r="C910" s="324">
        <v>52045</v>
      </c>
      <c r="D910" s="324" t="str">
        <f>"0306"</f>
        <v>0306</v>
      </c>
      <c r="E910" s="324">
        <v>9</v>
      </c>
      <c r="F910" s="827">
        <f>IF(OR(Brick_type="Timber Frame",Brick_type="Brick Veneer"),0,IF(OR(ISNUMBER(SEARCH("Busselton",Address)),ISNUMBER(SEARCH("Kealy",Address)),ISNUMBER(SEARCH("Broadwater",Address)),ISNUMBER(SEARCH("Geographe",Address)),ISNUMBER(SEARCH("Yalyalup",Address)),ISNUMBER(SEARCH("Provence",Address)),ISNUMBER(SEARCH("Vasse",Address))),Render_Sand_Ground,0))</f>
        <v>0</v>
      </c>
      <c r="G910" s="829">
        <v>42</v>
      </c>
      <c r="H910" s="412" t="s">
        <v>3237</v>
      </c>
      <c r="I910" s="1258"/>
      <c r="J910" s="2" t="str">
        <f>IF(Table5[[#This Row],[Entered]]&lt;&gt;Table5[[#This Row],[Quantity]],"Check","")</f>
        <v/>
      </c>
    </row>
    <row r="911" spans="1:10" ht="15" x14ac:dyDescent="0.2">
      <c r="A911" s="324" t="s">
        <v>2955</v>
      </c>
      <c r="B911" s="324" t="str">
        <f t="shared" si="60"/>
        <v>0895</v>
      </c>
      <c r="C911" s="324">
        <v>52045</v>
      </c>
      <c r="D911" s="324" t="str">
        <f>"0307"</f>
        <v>0307</v>
      </c>
      <c r="E911" s="324">
        <v>9</v>
      </c>
      <c r="F911" s="827">
        <f>IF(OR(Brick_type="Timber Frame",Brick_type="Brick Veneer"),0,IF((ISNUMBER(SEARCH("DUNSBOROUGH",Address))),Render_Sand_Ground,0))</f>
        <v>0</v>
      </c>
      <c r="G911" s="829"/>
      <c r="H911" s="412" t="s">
        <v>3243</v>
      </c>
      <c r="I911" s="1258"/>
      <c r="J911" s="2" t="str">
        <f>IF(Table5[[#This Row],[Entered]]&lt;&gt;Table5[[#This Row],[Quantity]],"Check","")</f>
        <v/>
      </c>
    </row>
    <row r="912" spans="1:10" ht="15" x14ac:dyDescent="0.2">
      <c r="A912" s="324" t="s">
        <v>2955</v>
      </c>
      <c r="B912" s="324" t="str">
        <f t="shared" si="60"/>
        <v>0895</v>
      </c>
      <c r="C912" s="324">
        <v>52045</v>
      </c>
      <c r="D912" s="324" t="str">
        <f>"0605"</f>
        <v>0605</v>
      </c>
      <c r="E912" s="324">
        <v>9</v>
      </c>
      <c r="F912" s="827">
        <f>IF(OR(Brick_type="Timber Frame",Brick_type="Brick Veneer"),0,IF((ISNUMBER(SEARCH("COWARAMUP",Address))),Render_Sand_Ground,0))</f>
        <v>0</v>
      </c>
      <c r="G912" s="829"/>
      <c r="H912" s="412" t="s">
        <v>3245</v>
      </c>
      <c r="I912" s="1258"/>
      <c r="J912" s="2" t="str">
        <f>IF(Table5[[#This Row],[Entered]]&lt;&gt;Table5[[#This Row],[Quantity]],"Check","")</f>
        <v/>
      </c>
    </row>
    <row r="913" spans="1:10" ht="15" x14ac:dyDescent="0.2">
      <c r="A913" s="324" t="s">
        <v>2955</v>
      </c>
      <c r="B913" s="324" t="str">
        <f t="shared" si="60"/>
        <v>0895</v>
      </c>
      <c r="C913" s="324">
        <v>52045</v>
      </c>
      <c r="D913" s="324" t="str">
        <f>"0603"</f>
        <v>0603</v>
      </c>
      <c r="E913" s="324">
        <v>9</v>
      </c>
      <c r="F913" s="827">
        <f>IF(OR(Brick_type="Timber Frame",Brick_type="Brick Veneer"),0,IF((ISNUMBER(SEARCH("Margaret RIver",Address))),Render_Sand_Ground,0))</f>
        <v>0</v>
      </c>
      <c r="G913" s="829"/>
      <c r="H913" s="412" t="s">
        <v>3247</v>
      </c>
      <c r="I913" s="1258"/>
      <c r="J913" s="2" t="str">
        <f>IF(Table5[[#This Row],[Entered]]&lt;&gt;Table5[[#This Row],[Quantity]],"Check","")</f>
        <v/>
      </c>
    </row>
    <row r="914" spans="1:10" ht="15" x14ac:dyDescent="0.2">
      <c r="A914" s="324" t="s">
        <v>2955</v>
      </c>
      <c r="B914" s="324" t="str">
        <f t="shared" si="60"/>
        <v>0895</v>
      </c>
      <c r="C914" s="324">
        <v>52045</v>
      </c>
      <c r="D914" s="324" t="str">
        <f>"0326"</f>
        <v>0326</v>
      </c>
      <c r="E914" s="324">
        <v>9</v>
      </c>
      <c r="F914" s="827">
        <f>IF(OR(Brick_type="Timber Frame",Brick_type="Brick Veneer"),0,IF(ISNUMBER(SEARCH("Donnybrook",Address)),Render_Sand_Ground,0))</f>
        <v>0</v>
      </c>
      <c r="G914" s="829"/>
      <c r="H914" s="412" t="s">
        <v>3244</v>
      </c>
      <c r="I914" s="1258"/>
      <c r="J914" s="2" t="str">
        <f>IF(Table5[[#This Row],[Entered]]&lt;&gt;Table5[[#This Row],[Quantity]],"Check","")</f>
        <v/>
      </c>
    </row>
    <row r="915" spans="1:10" ht="15" x14ac:dyDescent="0.2">
      <c r="A915" s="324" t="s">
        <v>2955</v>
      </c>
      <c r="B915" s="324" t="str">
        <f t="shared" si="60"/>
        <v>0895</v>
      </c>
      <c r="C915" s="324">
        <v>52045</v>
      </c>
      <c r="D915" s="324" t="str">
        <f>"0321"</f>
        <v>0321</v>
      </c>
      <c r="E915" s="324">
        <v>9</v>
      </c>
      <c r="F915" s="827">
        <f>IF(OR(Brick_type="Timber Frame",Brick_type="Brick Veneer"),0,IF(OR(ISNUMBER(SEARCH("Binningup",Address)),ISNUMBER(SEARCH("Myalup",Address))),Render_Sand_Ground,0))</f>
        <v>0</v>
      </c>
      <c r="G915" s="829"/>
      <c r="H915" s="412" t="s">
        <v>3241</v>
      </c>
      <c r="I915" s="1258"/>
      <c r="J915" s="2" t="str">
        <f>IF(Table5[[#This Row],[Entered]]&lt;&gt;Table5[[#This Row],[Quantity]],"Check","")</f>
        <v/>
      </c>
    </row>
    <row r="916" spans="1:10" ht="15" x14ac:dyDescent="0.2">
      <c r="A916" s="324" t="s">
        <v>2955</v>
      </c>
      <c r="B916" s="324" t="str">
        <f t="shared" si="60"/>
        <v>0895</v>
      </c>
      <c r="C916" s="324">
        <v>52045</v>
      </c>
      <c r="D916" s="324" t="str">
        <f>"0323"</f>
        <v>0323</v>
      </c>
      <c r="E916" s="324">
        <v>9</v>
      </c>
      <c r="F916" s="827">
        <f>IF(OR(Brick_type="Timber Frame",Brick_type="Brick Veneer"),0,IF(OR(ISNUMBER(SEARCH("Harvey",Address)),ISNUMBER(SEARCH("Burekup",Address)),ISNUMBER(SEARCH("Roelands",Address)),ISNUMBER(SEARCH("Brunswick",Address))),Render_Sand_Ground,0))</f>
        <v>0</v>
      </c>
      <c r="G916" s="829"/>
      <c r="H916" s="412" t="s">
        <v>3246</v>
      </c>
      <c r="I916" s="1258"/>
      <c r="J916" s="2" t="str">
        <f>IF(Table5[[#This Row],[Entered]]&lt;&gt;Table5[[#This Row],[Quantity]],"Check","")</f>
        <v/>
      </c>
    </row>
    <row r="917" spans="1:10" ht="15" x14ac:dyDescent="0.2">
      <c r="A917" s="324" t="s">
        <v>2955</v>
      </c>
      <c r="B917" s="324" t="str">
        <f t="shared" si="60"/>
        <v>0895</v>
      </c>
      <c r="C917" s="324">
        <v>52045</v>
      </c>
      <c r="D917" s="324" t="str">
        <f>"0308"</f>
        <v>0308</v>
      </c>
      <c r="E917" s="324">
        <v>9</v>
      </c>
      <c r="F917" s="827">
        <f>IF(OR(Brick_type="Timber Frame",Brick_type="Brick Veneer"),0,IF(ISNUMBER(SEARCH("COLLIE",Address)),Render_Sand_Ground,0))</f>
        <v>0</v>
      </c>
      <c r="G917" s="829"/>
      <c r="H917" s="412" t="s">
        <v>3252</v>
      </c>
      <c r="I917" s="1258"/>
      <c r="J917" s="2" t="str">
        <f>IF(Table5[[#This Row],[Entered]]&lt;&gt;Table5[[#This Row],[Quantity]],"Check","")</f>
        <v/>
      </c>
    </row>
    <row r="918" spans="1:10" ht="15" x14ac:dyDescent="0.2">
      <c r="A918" s="324" t="s">
        <v>2955</v>
      </c>
      <c r="B918" s="324" t="str">
        <f t="shared" si="60"/>
        <v>0895</v>
      </c>
      <c r="C918" s="324">
        <v>52045</v>
      </c>
      <c r="D918" s="324" t="str">
        <f>"0353"</f>
        <v>0353</v>
      </c>
      <c r="E918" s="324">
        <v>9</v>
      </c>
      <c r="F918" s="827">
        <f>IF(OR(Brick_type="Timber Frame",Brick_type="Brick Veneer"),0,IF(OR(ISNUMBER(SEARCH("WAROONA",Address))),Render_Sand_Ground,0))</f>
        <v>0</v>
      </c>
      <c r="G918" s="829"/>
      <c r="H918" s="412" t="s">
        <v>3248</v>
      </c>
      <c r="I918" s="1258"/>
      <c r="J918" s="2" t="str">
        <f>IF(Table5[[#This Row],[Entered]]&lt;&gt;Table5[[#This Row],[Quantity]],"Check","")</f>
        <v/>
      </c>
    </row>
    <row r="919" spans="1:10" ht="15" x14ac:dyDescent="0.2">
      <c r="A919" s="324" t="s">
        <v>2955</v>
      </c>
      <c r="B919" s="324" t="str">
        <f t="shared" si="60"/>
        <v>0895</v>
      </c>
      <c r="C919" s="324">
        <v>52045</v>
      </c>
      <c r="D919" s="324" t="str">
        <f>"0356"</f>
        <v>0356</v>
      </c>
      <c r="E919" s="324">
        <v>9</v>
      </c>
      <c r="F919" s="827">
        <f>IF(OR(Brick_type="Timber Frame",Brick_type="Brick Veneer"),0,IF(ISNUMBER(SEARCH("WITCHCLIFFE",Address)),Render_Sand_Ground,0))</f>
        <v>0</v>
      </c>
      <c r="G919" s="829"/>
      <c r="H919" s="412" t="s">
        <v>3251</v>
      </c>
      <c r="I919" s="1258"/>
      <c r="J919" s="2" t="str">
        <f>IF(Table5[[#This Row],[Entered]]&lt;&gt;Table5[[#This Row],[Quantity]],"Check","")</f>
        <v/>
      </c>
    </row>
    <row r="920" spans="1:10" ht="15" x14ac:dyDescent="0.2">
      <c r="A920" s="324" t="s">
        <v>2955</v>
      </c>
      <c r="B920" s="324" t="str">
        <f t="shared" si="60"/>
        <v>0895</v>
      </c>
      <c r="C920" s="324">
        <v>52045</v>
      </c>
      <c r="D920" s="324" t="str">
        <f>"0604"</f>
        <v>0604</v>
      </c>
      <c r="E920" s="324">
        <v>9</v>
      </c>
      <c r="F920" s="827">
        <f>IF(OR(Brick_type="Timber Frame",Brick_type="Brick Veneer"),0,IF(ISNUMBER(SEARCH("AUGUSTA",Address)),Render_Sand_Ground,0))</f>
        <v>0</v>
      </c>
      <c r="G920" s="829"/>
      <c r="H920" s="412" t="s">
        <v>3239</v>
      </c>
      <c r="I920" s="1258"/>
      <c r="J920" s="2" t="str">
        <f>IF(Table5[[#This Row],[Entered]]&lt;&gt;Table5[[#This Row],[Quantity]],"Check","")</f>
        <v/>
      </c>
    </row>
    <row r="921" spans="1:10" ht="15" x14ac:dyDescent="0.2">
      <c r="A921" s="324" t="s">
        <v>2955</v>
      </c>
      <c r="B921" s="324" t="str">
        <f t="shared" si="60"/>
        <v>0895</v>
      </c>
      <c r="C921" s="324">
        <v>52045</v>
      </c>
      <c r="D921" s="324" t="str">
        <f>"0344"</f>
        <v>0344</v>
      </c>
      <c r="E921" s="324">
        <v>9</v>
      </c>
      <c r="F921" s="827">
        <f>IF(OR(Brick_type="Timber Frame",Brick_type="Brick Veneer"),0,IF(ISNUMBER(SEARCH("MANJIMUP",Address)),Render_Sand_Ground,0))</f>
        <v>0</v>
      </c>
      <c r="G921" s="829"/>
      <c r="H921" s="412" t="s">
        <v>3249</v>
      </c>
      <c r="I921" s="1258"/>
      <c r="J921" s="2" t="str">
        <f>IF(Table5[[#This Row],[Entered]]&lt;&gt;Table5[[#This Row],[Quantity]],"Check","")</f>
        <v/>
      </c>
    </row>
    <row r="922" spans="1:10" ht="15" x14ac:dyDescent="0.2">
      <c r="A922" s="324" t="s">
        <v>2955</v>
      </c>
      <c r="B922" s="324" t="str">
        <f t="shared" si="60"/>
        <v>0895</v>
      </c>
      <c r="C922" s="324">
        <v>52045</v>
      </c>
      <c r="D922" s="324" t="str">
        <f>"0602"</f>
        <v>0602</v>
      </c>
      <c r="E922" s="324">
        <v>9</v>
      </c>
      <c r="F922" s="827">
        <f>IF(OR(Brick_type="Timber Frame",Brick_type="Brick Veneer"),0,IF(ISNUMBER(SEARCH("YALLINGUP",Address)),Render_Sand_Ground,0))</f>
        <v>0</v>
      </c>
      <c r="G922" s="829"/>
      <c r="H922" s="412" t="s">
        <v>3250</v>
      </c>
      <c r="I922" s="1258"/>
      <c r="J922" s="2" t="str">
        <f>IF(Table5[[#This Row],[Entered]]&lt;&gt;Table5[[#This Row],[Quantity]],"Check","")</f>
        <v/>
      </c>
    </row>
    <row r="923" spans="1:10" ht="15" x14ac:dyDescent="0.2">
      <c r="A923" s="324"/>
      <c r="B923" s="324"/>
      <c r="C923" s="324"/>
      <c r="D923" s="324"/>
      <c r="E923" s="324"/>
      <c r="F923" s="827"/>
      <c r="G923" s="829"/>
      <c r="H923" s="412"/>
      <c r="I923" s="1258"/>
      <c r="J923" s="2" t="str">
        <f>IF(Table5[[#This Row],[Entered]]&lt;&gt;Table5[[#This Row],[Quantity]],"Check","")</f>
        <v/>
      </c>
    </row>
    <row r="924" spans="1:10" ht="15" x14ac:dyDescent="0.2">
      <c r="A924" s="324" t="s">
        <v>3260</v>
      </c>
      <c r="B924" s="324" t="str">
        <f t="shared" ref="B924:B947" si="61">"0895"</f>
        <v>0895</v>
      </c>
      <c r="C924" s="324">
        <v>52045</v>
      </c>
      <c r="D924" s="324" t="str">
        <f>"0331"</f>
        <v>0331</v>
      </c>
      <c r="E924" s="324">
        <v>9</v>
      </c>
      <c r="F924" s="827">
        <f>IF(OR(Brick_type="Timber Frame",Brick_type="Brick Veneer"),0,IF(OR(ISNUMBER(SEARCH("BALINGUP",Address))),Plaster_Sand_Ground,0))</f>
        <v>0</v>
      </c>
      <c r="G924" s="829"/>
      <c r="H924" s="412" t="s">
        <v>3256</v>
      </c>
      <c r="I924" s="1258"/>
      <c r="J924" s="2" t="str">
        <f>IF(Table5[[#This Row],[Entered]]&lt;&gt;Table5[[#This Row],[Quantity]],"Check","")</f>
        <v/>
      </c>
    </row>
    <row r="925" spans="1:10" ht="15" x14ac:dyDescent="0.2">
      <c r="A925" s="324" t="s">
        <v>3260</v>
      </c>
      <c r="B925" s="324" t="str">
        <f t="shared" si="61"/>
        <v>0895</v>
      </c>
      <c r="C925" s="324">
        <v>52045</v>
      </c>
      <c r="D925" s="324" t="str">
        <f>"0328"</f>
        <v>0328</v>
      </c>
      <c r="E925" s="324">
        <v>9</v>
      </c>
      <c r="F925" s="827">
        <f>IF(OR(Brick_type="Timber Frame",Brick_type="Brick Veneer"),0,IF(OR(ISNUMBER(SEARCH("BOYANUP",Address))),Plaster_Sand_Ground,0))</f>
        <v>0</v>
      </c>
      <c r="G925" s="829"/>
      <c r="H925" s="412" t="s">
        <v>3257</v>
      </c>
      <c r="I925" s="1258"/>
      <c r="J925" s="2" t="str">
        <f>IF(Table5[[#This Row],[Entered]]&lt;&gt;Table5[[#This Row],[Quantity]],"Check","")</f>
        <v/>
      </c>
    </row>
    <row r="926" spans="1:10" ht="15" x14ac:dyDescent="0.2">
      <c r="A926" s="324" t="s">
        <v>3260</v>
      </c>
      <c r="B926" s="324" t="str">
        <f t="shared" si="61"/>
        <v>0895</v>
      </c>
      <c r="C926" s="324">
        <v>52045</v>
      </c>
      <c r="D926" s="324" t="str">
        <f>"0327"</f>
        <v>0327</v>
      </c>
      <c r="E926" s="324">
        <v>9</v>
      </c>
      <c r="F926" s="827">
        <f>IF(OR(Brick_type="Timber Frame",Brick_type="Brick Veneer"),0,IF(OR(ISNUMBER(SEARCH("BOYUP BROOK",Address))),Plaster_Sand_Ground,0))</f>
        <v>0</v>
      </c>
      <c r="G926" s="829"/>
      <c r="H926" s="412" t="s">
        <v>3258</v>
      </c>
      <c r="I926" s="1258"/>
      <c r="J926" s="2" t="str">
        <f>IF(Table5[[#This Row],[Entered]]&lt;&gt;Table5[[#This Row],[Quantity]],"Check","")</f>
        <v/>
      </c>
    </row>
    <row r="927" spans="1:10" ht="15" x14ac:dyDescent="0.2">
      <c r="A927" s="324" t="s">
        <v>3260</v>
      </c>
      <c r="B927" s="324" t="str">
        <f t="shared" si="61"/>
        <v>0895</v>
      </c>
      <c r="C927" s="324">
        <v>52045</v>
      </c>
      <c r="D927" s="324" t="str">
        <f>"0301"</f>
        <v>0301</v>
      </c>
      <c r="E927" s="324">
        <v>9</v>
      </c>
      <c r="F927" s="827">
        <f>IF(OR(Brick_type="Timber Frame",Brick_type="Brick Veneer"),0,IF(OR(ISNUMBER(SEARCH("BUNBURY",Address)),ISNUMBER(SEARCH("BOYANUP",Address)),ISNUMBER(SEARCH("GLEN IRIS",Address))),Plaster_Sand_Ground,0))</f>
        <v>0</v>
      </c>
      <c r="G927" s="829"/>
      <c r="H927" s="412" t="s">
        <v>2958</v>
      </c>
      <c r="I927" s="1258"/>
      <c r="J927" s="2" t="str">
        <f>IF(Table5[[#This Row],[Entered]]&lt;&gt;Table5[[#This Row],[Quantity]],"Check","")</f>
        <v/>
      </c>
    </row>
    <row r="928" spans="1:10" ht="15" x14ac:dyDescent="0.2">
      <c r="A928" s="324" t="s">
        <v>3260</v>
      </c>
      <c r="B928" s="324" t="str">
        <f t="shared" si="61"/>
        <v>0895</v>
      </c>
      <c r="C928" s="324">
        <v>52045</v>
      </c>
      <c r="D928" s="324" t="str">
        <f>"0329"</f>
        <v>0329</v>
      </c>
      <c r="E928" s="324">
        <v>9</v>
      </c>
      <c r="F928" s="827">
        <f>IF(OR(Brick_type="Timber Frame",Brick_type="Brick Veneer"),0,IF(OR(ISNUMBER(SEARCH("BUREKUP",Address))),Plaster_Sand_Ground,0))</f>
        <v>0</v>
      </c>
      <c r="G928" s="829"/>
      <c r="H928" s="412" t="s">
        <v>3253</v>
      </c>
      <c r="I928" s="1258"/>
      <c r="J928" s="2" t="str">
        <f>IF(Table5[[#This Row],[Entered]]&lt;&gt;Table5[[#This Row],[Quantity]],"Check","")</f>
        <v/>
      </c>
    </row>
    <row r="929" spans="1:10" ht="15" x14ac:dyDescent="0.2">
      <c r="A929" s="324" t="s">
        <v>3260</v>
      </c>
      <c r="B929" s="324" t="str">
        <f t="shared" si="61"/>
        <v>0895</v>
      </c>
      <c r="C929" s="324">
        <v>52045</v>
      </c>
      <c r="D929" s="324" t="str">
        <f>"0330"</f>
        <v>0330</v>
      </c>
      <c r="E929" s="324">
        <v>9</v>
      </c>
      <c r="F929" s="827">
        <f>IF(OR(Brick_type="Timber Frame",Brick_type="Brick Veneer"),0,IF(OR(ISNUMBER(SEARCH("BRIDGETOWN",Address))),Plaster_Sand_Ground,0))</f>
        <v>0</v>
      </c>
      <c r="G929" s="829"/>
      <c r="H929" s="412" t="s">
        <v>3255</v>
      </c>
      <c r="I929" s="1258"/>
      <c r="J929" s="2" t="str">
        <f>IF(Table5[[#This Row],[Entered]]&lt;&gt;Table5[[#This Row],[Quantity]],"Check","")</f>
        <v/>
      </c>
    </row>
    <row r="930" spans="1:10" ht="15" x14ac:dyDescent="0.2">
      <c r="A930" s="324" t="s">
        <v>3260</v>
      </c>
      <c r="B930" s="324" t="str">
        <f t="shared" si="61"/>
        <v>0895</v>
      </c>
      <c r="C930" s="324">
        <v>52045</v>
      </c>
      <c r="D930" s="324" t="str">
        <f>"0320"</f>
        <v>0320</v>
      </c>
      <c r="E930" s="324">
        <v>9</v>
      </c>
      <c r="F930" s="827">
        <f>IF(OR(Brick_type="Timber Frame",Brick_type="Brick Veneer"),0,IF(OR(ISNUMBER(SEARCH("BRUNSWICK",Address))),Plaster_Sand_Ground,0))</f>
        <v>0</v>
      </c>
      <c r="G930" s="829"/>
      <c r="H930" s="412" t="s">
        <v>3254</v>
      </c>
      <c r="I930" s="1258"/>
      <c r="J930" s="2" t="str">
        <f>IF(Table5[[#This Row],[Entered]]&lt;&gt;Table5[[#This Row],[Quantity]],"Check","")</f>
        <v/>
      </c>
    </row>
    <row r="931" spans="1:10" ht="15" x14ac:dyDescent="0.2">
      <c r="A931" s="324" t="s">
        <v>3260</v>
      </c>
      <c r="B931" s="324" t="str">
        <f t="shared" si="61"/>
        <v>0895</v>
      </c>
      <c r="C931" s="324">
        <v>52045</v>
      </c>
      <c r="D931" s="324" t="str">
        <f>"0304"</f>
        <v>0304</v>
      </c>
      <c r="E931" s="324">
        <v>9</v>
      </c>
      <c r="F931" s="827">
        <f>IF(OR(Brick_type="Timber Frame",Brick_type="Brick Veneer"),0,IF(ISNUMBER(SEARCH("DARDANUP",Address)),Plaster_Sand_Ground,0))</f>
        <v>0</v>
      </c>
      <c r="G931" s="829"/>
      <c r="H931" s="412" t="s">
        <v>3259</v>
      </c>
      <c r="I931" s="1258"/>
      <c r="J931" s="2" t="str">
        <f>IF(Table5[[#This Row],[Entered]]&lt;&gt;Table5[[#This Row],[Quantity]],"Check","")</f>
        <v/>
      </c>
    </row>
    <row r="932" spans="1:10" ht="15" x14ac:dyDescent="0.2">
      <c r="A932" s="324" t="s">
        <v>3260</v>
      </c>
      <c r="B932" s="324" t="str">
        <f t="shared" si="61"/>
        <v>0895</v>
      </c>
      <c r="C932" s="324">
        <v>52045</v>
      </c>
      <c r="D932" s="324" t="str">
        <f>"0313"</f>
        <v>0313</v>
      </c>
      <c r="E932" s="324">
        <v>9</v>
      </c>
      <c r="F932" s="827">
        <f>IF(OR(Brick_type="Timber Frame",Brick_type="Brick Veneer"),0,IF(ISNUMBER(SEARCH("Australind",Address)),Plaster_Sand_Ground,0))</f>
        <v>0</v>
      </c>
      <c r="G932" s="829"/>
      <c r="H932" s="412" t="s">
        <v>3240</v>
      </c>
      <c r="I932" s="1258"/>
      <c r="J932" s="2" t="str">
        <f>IF(Table5[[#This Row],[Entered]]&lt;&gt;Table5[[#This Row],[Quantity]],"Check","")</f>
        <v/>
      </c>
    </row>
    <row r="933" spans="1:10" ht="15" x14ac:dyDescent="0.2">
      <c r="A933" s="324" t="s">
        <v>3260</v>
      </c>
      <c r="B933" s="324" t="str">
        <f t="shared" si="61"/>
        <v>0895</v>
      </c>
      <c r="C933" s="324">
        <v>52045</v>
      </c>
      <c r="D933" s="324" t="str">
        <f>"0303"</f>
        <v>0303</v>
      </c>
      <c r="E933" s="324">
        <v>9</v>
      </c>
      <c r="F933" s="827">
        <f>IF(OR(Brick_type="Timber Frame",Brick_type="Brick Veneer"),0,IF(OR(ISNUMBER(SEARCH("Eaton",Address)),ISNUMBER(SEARCH("Millbridge",Address))),Plaster_Sand_Ground,0))</f>
        <v>0</v>
      </c>
      <c r="G933" s="829"/>
      <c r="H933" s="412" t="s">
        <v>3242</v>
      </c>
      <c r="I933" s="1258"/>
      <c r="J933" s="2" t="str">
        <f>IF(Table5[[#This Row],[Entered]]&lt;&gt;Table5[[#This Row],[Quantity]],"Check","")</f>
        <v/>
      </c>
    </row>
    <row r="934" spans="1:10" ht="15" x14ac:dyDescent="0.2">
      <c r="A934" s="324" t="s">
        <v>3260</v>
      </c>
      <c r="B934" s="324" t="str">
        <f t="shared" si="61"/>
        <v>0895</v>
      </c>
      <c r="C934" s="324">
        <v>52045</v>
      </c>
      <c r="D934" s="324" t="str">
        <f>"0300"</f>
        <v>0300</v>
      </c>
      <c r="E934" s="324">
        <v>9</v>
      </c>
      <c r="F934" s="827">
        <f>IF(OR(Brick_type="Timber Frame",Brick_type="Brick Veneer"),0,IF(OR(ISNUMBER(SEARCH("Capel",Address)),ISNUMBER(SEARCH("Peppermint Grove*",Address)),ISNUMBER(SEARCH("Dalyellup",Address))),Plaster_Sand_Ground,0))</f>
        <v>0</v>
      </c>
      <c r="G934" s="829"/>
      <c r="H934" s="412" t="s">
        <v>3238</v>
      </c>
      <c r="I934" s="1258"/>
      <c r="J934" s="2" t="str">
        <f>IF(Table5[[#This Row],[Entered]]&lt;&gt;Table5[[#This Row],[Quantity]],"Check","")</f>
        <v/>
      </c>
    </row>
    <row r="935" spans="1:10" ht="15" x14ac:dyDescent="0.2">
      <c r="A935" s="324" t="s">
        <v>3260</v>
      </c>
      <c r="B935" s="324" t="str">
        <f t="shared" si="61"/>
        <v>0895</v>
      </c>
      <c r="C935" s="324">
        <v>52045</v>
      </c>
      <c r="D935" s="324" t="str">
        <f>"0306"</f>
        <v>0306</v>
      </c>
      <c r="E935" s="324">
        <v>9</v>
      </c>
      <c r="F935" s="827">
        <f>IF(OR(Brick_type="Timber Frame",Brick_type="Brick Veneer"),0,IF(OR(ISNUMBER(SEARCH("Busselton",Address)),ISNUMBER(SEARCH("Kealy",Address)),ISNUMBER(SEARCH("Broadwater",Address)),ISNUMBER(SEARCH("Geographe",Address)),ISNUMBER(SEARCH("Yalyalup",Address)),ISNUMBER(SEARCH("Provence",Address)),ISNUMBER(SEARCH("Vasse",Address))),Plaster_Sand_Ground,0))</f>
        <v>0</v>
      </c>
      <c r="G935" s="829">
        <v>42</v>
      </c>
      <c r="H935" s="412" t="s">
        <v>3237</v>
      </c>
      <c r="I935" s="1258"/>
      <c r="J935" s="2" t="str">
        <f>IF(Table5[[#This Row],[Entered]]&lt;&gt;Table5[[#This Row],[Quantity]],"Check","")</f>
        <v/>
      </c>
    </row>
    <row r="936" spans="1:10" ht="15" x14ac:dyDescent="0.2">
      <c r="A936" s="324" t="s">
        <v>3260</v>
      </c>
      <c r="B936" s="324" t="str">
        <f t="shared" si="61"/>
        <v>0895</v>
      </c>
      <c r="C936" s="324">
        <v>52045</v>
      </c>
      <c r="D936" s="324" t="str">
        <f>"0307"</f>
        <v>0307</v>
      </c>
      <c r="E936" s="324">
        <v>9</v>
      </c>
      <c r="F936" s="827">
        <f>IF(OR(Brick_type="Timber Frame",Brick_type="Brick Veneer"),0,IF((ISNUMBER(SEARCH("DUNSBOROUGH",Address))),Plaster_Sand_Ground,0))</f>
        <v>0</v>
      </c>
      <c r="G936" s="829"/>
      <c r="H936" s="412" t="s">
        <v>3243</v>
      </c>
      <c r="I936" s="1258"/>
      <c r="J936" s="2" t="str">
        <f>IF(Table5[[#This Row],[Entered]]&lt;&gt;Table5[[#This Row],[Quantity]],"Check","")</f>
        <v/>
      </c>
    </row>
    <row r="937" spans="1:10" ht="15" x14ac:dyDescent="0.2">
      <c r="A937" s="324" t="s">
        <v>3260</v>
      </c>
      <c r="B937" s="324" t="str">
        <f t="shared" si="61"/>
        <v>0895</v>
      </c>
      <c r="C937" s="324">
        <v>52045</v>
      </c>
      <c r="D937" s="324" t="str">
        <f>"0605"</f>
        <v>0605</v>
      </c>
      <c r="E937" s="324">
        <v>9</v>
      </c>
      <c r="F937" s="827">
        <f>IF(OR(Brick_type="Timber Frame",Brick_type="Brick Veneer"),0,IF((ISNUMBER(SEARCH("COWARAMUP",Address))),Plaster_Sand_Ground,0))</f>
        <v>0</v>
      </c>
      <c r="G937" s="829"/>
      <c r="H937" s="412" t="s">
        <v>3245</v>
      </c>
      <c r="I937" s="1258"/>
      <c r="J937" s="2" t="str">
        <f>IF(Table5[[#This Row],[Entered]]&lt;&gt;Table5[[#This Row],[Quantity]],"Check","")</f>
        <v/>
      </c>
    </row>
    <row r="938" spans="1:10" ht="15" x14ac:dyDescent="0.2">
      <c r="A938" s="324" t="s">
        <v>3260</v>
      </c>
      <c r="B938" s="324" t="str">
        <f t="shared" si="61"/>
        <v>0895</v>
      </c>
      <c r="C938" s="324">
        <v>52045</v>
      </c>
      <c r="D938" s="324" t="str">
        <f>"0603"</f>
        <v>0603</v>
      </c>
      <c r="E938" s="324">
        <v>9</v>
      </c>
      <c r="F938" s="827">
        <f>IF(OR(Brick_type="Timber Frame",Brick_type="Brick Veneer"),0,IF((ISNUMBER(SEARCH("Margaret RIver",Address))),Plaster_Sand_Ground,0))</f>
        <v>0</v>
      </c>
      <c r="G938" s="829"/>
      <c r="H938" s="412" t="s">
        <v>3247</v>
      </c>
      <c r="I938" s="1258"/>
      <c r="J938" s="2" t="str">
        <f>IF(Table5[[#This Row],[Entered]]&lt;&gt;Table5[[#This Row],[Quantity]],"Check","")</f>
        <v/>
      </c>
    </row>
    <row r="939" spans="1:10" ht="15" x14ac:dyDescent="0.2">
      <c r="A939" s="324" t="s">
        <v>3260</v>
      </c>
      <c r="B939" s="324" t="str">
        <f t="shared" si="61"/>
        <v>0895</v>
      </c>
      <c r="C939" s="324">
        <v>52045</v>
      </c>
      <c r="D939" s="324" t="str">
        <f>"0326"</f>
        <v>0326</v>
      </c>
      <c r="E939" s="324">
        <v>9</v>
      </c>
      <c r="F939" s="827">
        <f>IF(OR(Brick_type="Timber Frame",Brick_type="Brick Veneer"),0,IF(ISNUMBER(SEARCH("Donnybrook",Address)),Plaster_Sand_Ground,0))</f>
        <v>0</v>
      </c>
      <c r="G939" s="829"/>
      <c r="H939" s="412" t="s">
        <v>3244</v>
      </c>
      <c r="I939" s="1258"/>
      <c r="J939" s="2" t="str">
        <f>IF(Table5[[#This Row],[Entered]]&lt;&gt;Table5[[#This Row],[Quantity]],"Check","")</f>
        <v/>
      </c>
    </row>
    <row r="940" spans="1:10" ht="15" x14ac:dyDescent="0.2">
      <c r="A940" s="324" t="s">
        <v>3260</v>
      </c>
      <c r="B940" s="324" t="str">
        <f t="shared" si="61"/>
        <v>0895</v>
      </c>
      <c r="C940" s="324">
        <v>52045</v>
      </c>
      <c r="D940" s="324" t="str">
        <f>"0321"</f>
        <v>0321</v>
      </c>
      <c r="E940" s="324">
        <v>9</v>
      </c>
      <c r="F940" s="827">
        <f>IF(OR(Brick_type="Timber Frame",Brick_type="Brick Veneer"),0,IF(OR(ISNUMBER(SEARCH("Binningup",Address)),ISNUMBER(SEARCH("Myalup",Address))),Plaster_Sand_Ground,0))</f>
        <v>0</v>
      </c>
      <c r="G940" s="829"/>
      <c r="H940" s="412" t="s">
        <v>3241</v>
      </c>
      <c r="I940" s="1258"/>
      <c r="J940" s="2" t="str">
        <f>IF(Table5[[#This Row],[Entered]]&lt;&gt;Table5[[#This Row],[Quantity]],"Check","")</f>
        <v/>
      </c>
    </row>
    <row r="941" spans="1:10" ht="15" x14ac:dyDescent="0.2">
      <c r="A941" s="324" t="s">
        <v>3260</v>
      </c>
      <c r="B941" s="324" t="str">
        <f t="shared" si="61"/>
        <v>0895</v>
      </c>
      <c r="C941" s="324">
        <v>52045</v>
      </c>
      <c r="D941" s="324" t="str">
        <f>"0323"</f>
        <v>0323</v>
      </c>
      <c r="E941" s="324">
        <v>9</v>
      </c>
      <c r="F941" s="827">
        <f>IF(OR(Brick_type="Timber Frame",Brick_type="Brick Veneer"),0,IF(OR(ISNUMBER(SEARCH("Harvey",Address)),ISNUMBER(SEARCH("Burekup",Address)),ISNUMBER(SEARCH("Roelands",Address)),ISNUMBER(SEARCH("Brunswick",Address))),Plaster_Sand_Ground,0))</f>
        <v>0</v>
      </c>
      <c r="G941" s="829"/>
      <c r="H941" s="412" t="s">
        <v>3246</v>
      </c>
      <c r="I941" s="1258"/>
      <c r="J941" s="2" t="str">
        <f>IF(Table5[[#This Row],[Entered]]&lt;&gt;Table5[[#This Row],[Quantity]],"Check","")</f>
        <v/>
      </c>
    </row>
    <row r="942" spans="1:10" ht="15" x14ac:dyDescent="0.2">
      <c r="A942" s="324" t="s">
        <v>3260</v>
      </c>
      <c r="B942" s="324" t="str">
        <f t="shared" si="61"/>
        <v>0895</v>
      </c>
      <c r="C942" s="324">
        <v>52045</v>
      </c>
      <c r="D942" s="324" t="str">
        <f>"0308"</f>
        <v>0308</v>
      </c>
      <c r="E942" s="324">
        <v>9</v>
      </c>
      <c r="F942" s="827">
        <f>IF(OR(Brick_type="Timber Frame",Brick_type="Brick Veneer"),0,IF(ISNUMBER(SEARCH("COLLIE",Address)),Plaster_Sand_Ground,0))</f>
        <v>0</v>
      </c>
      <c r="G942" s="829"/>
      <c r="H942" s="412" t="s">
        <v>3252</v>
      </c>
      <c r="I942" s="1258"/>
      <c r="J942" s="2" t="str">
        <f>IF(Table5[[#This Row],[Entered]]&lt;&gt;Table5[[#This Row],[Quantity]],"Check","")</f>
        <v/>
      </c>
    </row>
    <row r="943" spans="1:10" ht="15" x14ac:dyDescent="0.2">
      <c r="A943" s="324" t="s">
        <v>3260</v>
      </c>
      <c r="B943" s="324" t="str">
        <f t="shared" si="61"/>
        <v>0895</v>
      </c>
      <c r="C943" s="324">
        <v>52045</v>
      </c>
      <c r="D943" s="324" t="str">
        <f>"0353"</f>
        <v>0353</v>
      </c>
      <c r="E943" s="324">
        <v>9</v>
      </c>
      <c r="F943" s="827">
        <f>IF(OR(Brick_type="Timber Frame",Brick_type="Brick Veneer"),0,IF(OR(ISNUMBER(SEARCH("WAROONA",Address))),Plaster_Sand_Ground,0))</f>
        <v>0</v>
      </c>
      <c r="G943" s="829"/>
      <c r="H943" s="412" t="s">
        <v>3248</v>
      </c>
      <c r="I943" s="1258"/>
      <c r="J943" s="2" t="str">
        <f>IF(Table5[[#This Row],[Entered]]&lt;&gt;Table5[[#This Row],[Quantity]],"Check","")</f>
        <v/>
      </c>
    </row>
    <row r="944" spans="1:10" ht="15" x14ac:dyDescent="0.2">
      <c r="A944" s="324" t="s">
        <v>3260</v>
      </c>
      <c r="B944" s="324" t="str">
        <f t="shared" si="61"/>
        <v>0895</v>
      </c>
      <c r="C944" s="324">
        <v>52045</v>
      </c>
      <c r="D944" s="324" t="str">
        <f>"0356"</f>
        <v>0356</v>
      </c>
      <c r="E944" s="324">
        <v>9</v>
      </c>
      <c r="F944" s="827">
        <f>IF(OR(Brick_type="Timber Frame",Brick_type="Brick Veneer"),0,IF(ISNUMBER(SEARCH("WITCHCLIFFE",Address)),Plaster_Sand_Ground,0))</f>
        <v>0</v>
      </c>
      <c r="G944" s="829"/>
      <c r="H944" s="412" t="s">
        <v>3251</v>
      </c>
      <c r="I944" s="1258"/>
      <c r="J944" s="2" t="str">
        <f>IF(Table5[[#This Row],[Entered]]&lt;&gt;Table5[[#This Row],[Quantity]],"Check","")</f>
        <v/>
      </c>
    </row>
    <row r="945" spans="1:12" ht="15" x14ac:dyDescent="0.2">
      <c r="A945" s="324" t="s">
        <v>3260</v>
      </c>
      <c r="B945" s="324" t="str">
        <f t="shared" si="61"/>
        <v>0895</v>
      </c>
      <c r="C945" s="324">
        <v>52045</v>
      </c>
      <c r="D945" s="324" t="str">
        <f>"0604"</f>
        <v>0604</v>
      </c>
      <c r="E945" s="324">
        <v>9</v>
      </c>
      <c r="F945" s="827">
        <f>IF(OR(Brick_type="Timber Frame",Brick_type="Brick Veneer"),0,IF(ISNUMBER(SEARCH("AUGUSTA",Address)),Plaster_Sand_Ground,0))</f>
        <v>0</v>
      </c>
      <c r="G945" s="829"/>
      <c r="H945" s="412" t="s">
        <v>3239</v>
      </c>
      <c r="I945" s="1258"/>
      <c r="J945" s="2" t="str">
        <f>IF(Table5[[#This Row],[Entered]]&lt;&gt;Table5[[#This Row],[Quantity]],"Check","")</f>
        <v/>
      </c>
    </row>
    <row r="946" spans="1:12" ht="15" x14ac:dyDescent="0.2">
      <c r="A946" s="324" t="s">
        <v>3260</v>
      </c>
      <c r="B946" s="324" t="str">
        <f t="shared" si="61"/>
        <v>0895</v>
      </c>
      <c r="C946" s="324">
        <v>52045</v>
      </c>
      <c r="D946" s="324" t="str">
        <f>"0344"</f>
        <v>0344</v>
      </c>
      <c r="E946" s="324">
        <v>9</v>
      </c>
      <c r="F946" s="827">
        <f>IF(OR(Brick_type="Timber Frame",Brick_type="Brick Veneer"),0,IF(ISNUMBER(SEARCH("MANJIMUP",Address)),Plaster_Sand_Ground,0))</f>
        <v>0</v>
      </c>
      <c r="G946" s="829"/>
      <c r="H946" s="412" t="s">
        <v>3249</v>
      </c>
      <c r="I946" s="1258"/>
      <c r="J946" s="2" t="str">
        <f>IF(Table5[[#This Row],[Entered]]&lt;&gt;Table5[[#This Row],[Quantity]],"Check","")</f>
        <v/>
      </c>
    </row>
    <row r="947" spans="1:12" ht="15" x14ac:dyDescent="0.2">
      <c r="A947" s="324" t="s">
        <v>3260</v>
      </c>
      <c r="B947" s="324" t="str">
        <f t="shared" si="61"/>
        <v>0895</v>
      </c>
      <c r="C947" s="324">
        <v>52045</v>
      </c>
      <c r="D947" s="324" t="str">
        <f>"0602"</f>
        <v>0602</v>
      </c>
      <c r="E947" s="324">
        <v>9</v>
      </c>
      <c r="F947" s="827">
        <f>IF(OR(Brick_type="Timber Frame",Brick_type="Brick Veneer"),0,IF(ISNUMBER(SEARCH("YALLINGUP",Address)),Plaster_Sand_Ground,0))</f>
        <v>0</v>
      </c>
      <c r="G947" s="829"/>
      <c r="H947" s="412" t="s">
        <v>3250</v>
      </c>
      <c r="I947" s="1258"/>
      <c r="J947" s="2" t="str">
        <f>IF(Table5[[#This Row],[Entered]]&lt;&gt;Table5[[#This Row],[Quantity]],"Check","")</f>
        <v/>
      </c>
    </row>
    <row r="948" spans="1:12" ht="15" x14ac:dyDescent="0.2">
      <c r="A948" s="324"/>
      <c r="B948" s="324"/>
      <c r="C948" s="324"/>
      <c r="D948" s="324"/>
      <c r="E948" s="324"/>
      <c r="F948" s="827"/>
      <c r="G948" s="829"/>
      <c r="H948" s="412"/>
      <c r="I948" s="1258"/>
      <c r="J948" s="2" t="str">
        <f>IF(Table5[[#This Row],[Entered]]&lt;&gt;Table5[[#This Row],[Quantity]],"Check","")</f>
        <v/>
      </c>
    </row>
    <row r="949" spans="1:12" ht="15" x14ac:dyDescent="0.2">
      <c r="A949" s="324" t="s">
        <v>3230</v>
      </c>
      <c r="B949" s="324" t="str">
        <f>"0890"</f>
        <v>0890</v>
      </c>
      <c r="C949" s="324" t="str">
        <f>"00102"</f>
        <v>00102</v>
      </c>
      <c r="D949" s="324" t="str">
        <f>"0440"</f>
        <v>0440</v>
      </c>
      <c r="E949" s="324">
        <v>8</v>
      </c>
      <c r="F949" s="827">
        <f>IF(TextureCoat?="Yes",Render_Total_Ground,0)</f>
        <v>0</v>
      </c>
      <c r="G949" s="829"/>
      <c r="H949" s="412" t="s">
        <v>3231</v>
      </c>
      <c r="I949" s="1258"/>
      <c r="J949" s="2" t="str">
        <f>IF(Table5[[#This Row],[Entered]]&lt;&gt;Table5[[#This Row],[Quantity]],"Check","")</f>
        <v/>
      </c>
    </row>
    <row r="950" spans="1:12" ht="15" x14ac:dyDescent="0.2">
      <c r="A950" s="324" t="s">
        <v>3230</v>
      </c>
      <c r="B950" s="324" t="str">
        <f>"0890"</f>
        <v>0890</v>
      </c>
      <c r="C950" s="324" t="str">
        <f>"00102"</f>
        <v>00102</v>
      </c>
      <c r="D950" s="324" t="str">
        <f>"0441"</f>
        <v>0441</v>
      </c>
      <c r="E950" s="324">
        <v>8</v>
      </c>
      <c r="F950" s="827">
        <f>IF(TextureCoat?="Yes",Render_Total_First,0)</f>
        <v>0</v>
      </c>
      <c r="G950" s="829"/>
      <c r="H950" s="412" t="s">
        <v>3232</v>
      </c>
      <c r="I950" s="1258"/>
      <c r="J950" s="2" t="str">
        <f>IF(Table5[[#This Row],[Entered]]&lt;&gt;Table5[[#This Row],[Quantity]],"Check","")</f>
        <v/>
      </c>
    </row>
    <row r="951" spans="1:12" ht="15" x14ac:dyDescent="0.2">
      <c r="A951" s="324" t="s">
        <v>3230</v>
      </c>
      <c r="B951" s="324" t="str">
        <f>"0890"</f>
        <v>0890</v>
      </c>
      <c r="C951" s="324" t="str">
        <f>"00102"</f>
        <v>00102</v>
      </c>
      <c r="D951" s="324" t="str">
        <f>"0443"</f>
        <v>0443</v>
      </c>
      <c r="E951" s="324">
        <v>7</v>
      </c>
      <c r="F951" s="1128"/>
      <c r="G951" s="829"/>
      <c r="H951" s="412" t="s">
        <v>3233</v>
      </c>
      <c r="I951" s="1258"/>
      <c r="J951" s="2" t="str">
        <f>IF(Table5[[#This Row],[Entered]]&lt;&gt;Table5[[#This Row],[Quantity]],"Check","")</f>
        <v/>
      </c>
    </row>
    <row r="952" spans="1:12" ht="15" x14ac:dyDescent="0.2">
      <c r="A952" s="324" t="s">
        <v>3230</v>
      </c>
      <c r="B952" s="324" t="str">
        <f>"0890"</f>
        <v>0890</v>
      </c>
      <c r="C952" s="324" t="str">
        <f>"00102"</f>
        <v>00102</v>
      </c>
      <c r="D952" s="324" t="str">
        <f>"0449"</f>
        <v>0449</v>
      </c>
      <c r="E952" s="324">
        <v>7</v>
      </c>
      <c r="F952" s="1128"/>
      <c r="G952" s="829"/>
      <c r="H952" s="412" t="s">
        <v>3234</v>
      </c>
      <c r="I952" s="1258"/>
      <c r="J952" s="2" t="str">
        <f>IF(Table5[[#This Row],[Entered]]&lt;&gt;Table5[[#This Row],[Quantity]],"Check","")</f>
        <v/>
      </c>
    </row>
    <row r="953" spans="1:12" ht="15" x14ac:dyDescent="0.2">
      <c r="A953" s="324" t="s">
        <v>3230</v>
      </c>
      <c r="B953" s="324" t="str">
        <f>"0890"</f>
        <v>0890</v>
      </c>
      <c r="C953" s="324" t="str">
        <f>"00102"</f>
        <v>00102</v>
      </c>
      <c r="D953" s="324" t="str">
        <f>"0453"</f>
        <v>0453</v>
      </c>
      <c r="E953" s="324">
        <v>1</v>
      </c>
      <c r="F953" s="1128"/>
      <c r="G953" s="829"/>
      <c r="H953" s="412" t="s">
        <v>3235</v>
      </c>
      <c r="I953" s="1258"/>
      <c r="J953" s="2" t="str">
        <f>IF(Table5[[#This Row],[Entered]]&lt;&gt;Table5[[#This Row],[Quantity]],"Check","")</f>
        <v/>
      </c>
    </row>
    <row r="954" spans="1:12" ht="15" x14ac:dyDescent="0.2">
      <c r="A954" s="324"/>
      <c r="B954" s="324"/>
      <c r="C954" s="324"/>
      <c r="D954" s="324"/>
      <c r="E954" s="324"/>
      <c r="F954" s="827"/>
      <c r="G954" s="829"/>
      <c r="H954" s="412"/>
      <c r="I954" s="1258"/>
      <c r="J954" s="2" t="str">
        <f>IF(Table5[[#This Row],[Entered]]&lt;&gt;Table5[[#This Row],[Quantity]],"Check","")</f>
        <v/>
      </c>
      <c r="K954">
        <f>ROUNDDOWN(2600/86,0)</f>
        <v>30</v>
      </c>
      <c r="L954">
        <f>ROUNDDOWN(2800/86,0)</f>
        <v>32</v>
      </c>
    </row>
    <row r="955" spans="1:12" ht="15" x14ac:dyDescent="0.2">
      <c r="A955" s="324" t="s">
        <v>2954</v>
      </c>
      <c r="B955" s="324" t="str">
        <f t="shared" ref="B955:B985" si="62">"0880"</f>
        <v>0880</v>
      </c>
      <c r="C955" s="324" t="str">
        <f t="shared" ref="C955:C985" si="63">"50062"</f>
        <v>50062</v>
      </c>
      <c r="D955" s="324" t="str">
        <f>"0005"</f>
        <v>0005</v>
      </c>
      <c r="E955" s="324">
        <v>0</v>
      </c>
      <c r="F955" s="827">
        <v>1</v>
      </c>
      <c r="G955" s="829">
        <v>0</v>
      </c>
      <c r="H955" s="412" t="s">
        <v>3407</v>
      </c>
      <c r="I955" s="1258"/>
      <c r="J955" s="2" t="str">
        <f>IF(Table5[[#This Row],[Entered]]&lt;&gt;Table5[[#This Row],[Quantity]],"Check","")</f>
        <v>Check</v>
      </c>
    </row>
    <row r="956" spans="1:12" ht="15" x14ac:dyDescent="0.2">
      <c r="A956" s="324" t="s">
        <v>2954</v>
      </c>
      <c r="B956" s="324" t="str">
        <f t="shared" si="62"/>
        <v>0880</v>
      </c>
      <c r="C956" s="324" t="str">
        <f t="shared" si="63"/>
        <v>50062</v>
      </c>
      <c r="D956" s="324" t="str">
        <f>"0010"</f>
        <v>0010</v>
      </c>
      <c r="E956" s="324">
        <v>8</v>
      </c>
      <c r="F956" s="827">
        <f ca="1">ROUNDUP(SUMIFS(Area,Name,"Int Plasterboard Ceiling",Height,"&lt;=30"),1)+ROUNDUP(SUMIFS(Area,Name,"Garage Area",Material,"Plasterboard",Height,"&lt;=30"),1)</f>
        <v>0</v>
      </c>
      <c r="G956" s="829">
        <v>23</v>
      </c>
      <c r="H956" s="412" t="s">
        <v>3716</v>
      </c>
      <c r="I956" s="1258"/>
      <c r="J956" s="2" t="str">
        <f ca="1">IF(Table5[[#This Row],[Entered]]&lt;&gt;Table5[[#This Row],[Quantity]],"Check","")</f>
        <v/>
      </c>
    </row>
    <row r="957" spans="1:12" ht="15" x14ac:dyDescent="0.2">
      <c r="A957" s="324" t="s">
        <v>2954</v>
      </c>
      <c r="B957" s="324" t="str">
        <f t="shared" si="62"/>
        <v>0880</v>
      </c>
      <c r="C957" s="324" t="str">
        <f t="shared" si="63"/>
        <v>50062</v>
      </c>
      <c r="D957" s="324" t="str">
        <f>"0012"</f>
        <v>0012</v>
      </c>
      <c r="E957" s="324">
        <v>8</v>
      </c>
      <c r="F957" s="827">
        <f ca="1">ROUNDUP(SUMIFS(Area,Name,"Int Plasterboard Ceiling",Height,"&gt;30",Height,"&lt;=32"),1)+ROUNDUP(SUMIFS(Area,Name,"Garage Area",Material,"Plasterboard",Height,"&gt;30",Height,"&lt;=32"),1)</f>
        <v>0</v>
      </c>
      <c r="G957" s="829">
        <v>25.5</v>
      </c>
      <c r="H957" s="412" t="s">
        <v>3714</v>
      </c>
      <c r="I957" s="1258"/>
      <c r="J957" s="2" t="str">
        <f ca="1">IF(Table5[[#This Row],[Entered]]&lt;&gt;Table5[[#This Row],[Quantity]],"Check","")</f>
        <v/>
      </c>
    </row>
    <row r="958" spans="1:12" ht="15" x14ac:dyDescent="0.2">
      <c r="A958" s="324" t="s">
        <v>2954</v>
      </c>
      <c r="B958" s="324" t="str">
        <f t="shared" si="62"/>
        <v>0880</v>
      </c>
      <c r="C958" s="324" t="str">
        <f t="shared" si="63"/>
        <v>50062</v>
      </c>
      <c r="D958" s="324" t="str">
        <f>"0013"</f>
        <v>0013</v>
      </c>
      <c r="E958" s="324">
        <v>8</v>
      </c>
      <c r="F958" s="827">
        <f ca="1">ROUNDUP(SUMIFS(Area,Name,"Int Plasterboard Ceiling",Height,"&gt;=33"),1)+ROUNDUP(SUMIFS(Area,Name,"Garage Area",Material,"Plasterboard",Height,"&gt;=33"),1)</f>
        <v>0</v>
      </c>
      <c r="G958" s="829"/>
      <c r="H958" s="412" t="s">
        <v>3715</v>
      </c>
      <c r="I958" s="1258"/>
      <c r="J958" s="2" t="str">
        <f ca="1">IF(Table5[[#This Row],[Entered]]&lt;&gt;Table5[[#This Row],[Quantity]],"Check","")</f>
        <v/>
      </c>
    </row>
    <row r="959" spans="1:12" ht="15" x14ac:dyDescent="0.2">
      <c r="A959" s="324" t="s">
        <v>2954</v>
      </c>
      <c r="B959" s="324" t="str">
        <f t="shared" si="62"/>
        <v>0880</v>
      </c>
      <c r="C959" s="324" t="str">
        <f t="shared" si="63"/>
        <v>50062</v>
      </c>
      <c r="D959" s="324" t="str">
        <f>"0017"</f>
        <v>0017</v>
      </c>
      <c r="E959" s="324">
        <v>7</v>
      </c>
      <c r="F959" s="827">
        <f>ROUND(SUMIF(Name,"Raking Bulkheads",Length)+SUMIF(Name,"Framed Bulkheads",Length)+SUMIF(Name,"Square Bulkheads",Length),1)</f>
        <v>0</v>
      </c>
      <c r="G959" s="829">
        <v>15</v>
      </c>
      <c r="H959" s="412" t="s">
        <v>2965</v>
      </c>
      <c r="I959" s="1258"/>
      <c r="J959" s="2" t="str">
        <f>IF(Table5[[#This Row],[Entered]]&lt;&gt;Table5[[#This Row],[Quantity]],"Check","")</f>
        <v/>
      </c>
    </row>
    <row r="960" spans="1:12" ht="15" x14ac:dyDescent="0.2">
      <c r="A960" s="324" t="s">
        <v>2954</v>
      </c>
      <c r="B960" s="324" t="str">
        <f t="shared" si="62"/>
        <v>0880</v>
      </c>
      <c r="C960" s="324" t="str">
        <f t="shared" si="63"/>
        <v>50062</v>
      </c>
      <c r="D960" s="324" t="str">
        <f>"0020"</f>
        <v>0020</v>
      </c>
      <c r="E960" s="324">
        <v>8</v>
      </c>
      <c r="F960" s="827" cm="1">
        <f t="array" aca="1" ref="F960" ca="1">ROUNDUP(SUMIF(Name,"Raked Ceiling Int",Area)+SUMIF(NameFF,"Raked Ceiling Int",AreaFF)+SUMIFS(Area,Name,"Raked Ceiling Ext",Material,"10mm Plasterboard")+SUMIFS(AreaFF,NameFF,"Raked Ceiling Ext",MaterialFF,"10mm Plasterboard"),0)</f>
        <v>0</v>
      </c>
      <c r="G960" s="829"/>
      <c r="H960" s="412" t="s">
        <v>2966</v>
      </c>
      <c r="I960" s="1258"/>
      <c r="J960" s="2" t="str">
        <f ca="1">IF(Table5[[#This Row],[Entered]]&lt;&gt;Table5[[#This Row],[Quantity]],"Check","")</f>
        <v/>
      </c>
    </row>
    <row r="961" spans="1:11" ht="15" x14ac:dyDescent="0.2">
      <c r="A961" s="324" t="s">
        <v>2954</v>
      </c>
      <c r="B961" s="324" t="str">
        <f t="shared" si="62"/>
        <v>0880</v>
      </c>
      <c r="C961" s="324" t="str">
        <f t="shared" si="63"/>
        <v>50062</v>
      </c>
      <c r="D961" s="324" t="str">
        <f>"0040"</f>
        <v>0040</v>
      </c>
      <c r="E961" s="324">
        <v>1</v>
      </c>
      <c r="F961" s="827">
        <f>IF(COUNTIFS(Name,"*Wall Tile*",Height,"&gt;2.2")&gt;0,1,0)</f>
        <v>0</v>
      </c>
      <c r="G961" s="829">
        <v>100</v>
      </c>
      <c r="H961" s="412" t="s">
        <v>2967</v>
      </c>
      <c r="I961" s="1258"/>
      <c r="J961" s="2" t="str">
        <f>IF(Table5[[#This Row],[Entered]]&lt;&gt;Table5[[#This Row],[Quantity]],"Check","")</f>
        <v/>
      </c>
    </row>
    <row r="962" spans="1:11" ht="15" x14ac:dyDescent="0.2">
      <c r="A962" s="324" t="s">
        <v>2954</v>
      </c>
      <c r="B962" s="324" t="str">
        <f t="shared" si="62"/>
        <v>0880</v>
      </c>
      <c r="C962" s="324" t="str">
        <f t="shared" si="63"/>
        <v>50062</v>
      </c>
      <c r="D962" s="324" t="str">
        <f>"0059"</f>
        <v>0059</v>
      </c>
      <c r="E962" s="324">
        <v>8</v>
      </c>
      <c r="F962" s="827">
        <f t="array" ref="F962">IF(Brick_type="Timber Frame",0,ROUNDUP(SUMPRODUCT(--(Name="Wet Drywall"),Length,SUMIF(Lists!$T$2:$T$150,Height,Lists!$W$2:$W$150))/1000,1)+ROUNDUP(SUMPRODUCT(--('CSV FF'!A:A="Wet Drywall"),'CSV FF'!C:C,SUMIF(Lists!$T$2:$T$150,'CSV FF'!E:E,Lists!$W$2:$W$150))/1000,1))</f>
        <v>0</v>
      </c>
      <c r="G962" s="1105"/>
      <c r="H962" s="412" t="s">
        <v>2968</v>
      </c>
      <c r="I962" s="1258"/>
      <c r="J962" s="2" t="str">
        <f>IF(Table5[[#This Row],[Entered]]&lt;&gt;Table5[[#This Row],[Quantity]],"Check","")</f>
        <v/>
      </c>
      <c r="K962">
        <f>ROUNDDOWN(2700/86,0)</f>
        <v>31</v>
      </c>
    </row>
    <row r="963" spans="1:11" ht="15" x14ac:dyDescent="0.2">
      <c r="A963" s="324" t="s">
        <v>2954</v>
      </c>
      <c r="B963" s="324" t="str">
        <f t="shared" si="62"/>
        <v>0880</v>
      </c>
      <c r="C963" s="324" t="str">
        <f t="shared" si="63"/>
        <v>50062</v>
      </c>
      <c r="D963" s="324" t="str">
        <f>"0063"</f>
        <v>0063</v>
      </c>
      <c r="E963" s="324">
        <v>8</v>
      </c>
      <c r="F963" s="827"/>
      <c r="G963" s="1105"/>
      <c r="H963" s="412" t="s">
        <v>2969</v>
      </c>
      <c r="I963" s="1258"/>
      <c r="J963" s="2" t="str">
        <f>IF(Table5[[#This Row],[Entered]]&lt;&gt;Table5[[#This Row],[Quantity]],"Check","")</f>
        <v/>
      </c>
    </row>
    <row r="964" spans="1:11" ht="15" x14ac:dyDescent="0.2">
      <c r="A964" s="324" t="s">
        <v>2954</v>
      </c>
      <c r="B964" s="324" t="str">
        <f t="shared" si="62"/>
        <v>0880</v>
      </c>
      <c r="C964" s="324" t="str">
        <f t="shared" si="63"/>
        <v>50062</v>
      </c>
      <c r="D964" s="324" t="str">
        <f>"0075"</f>
        <v>0075</v>
      </c>
      <c r="E964" s="324">
        <v>8</v>
      </c>
      <c r="F964" s="827" cm="1">
        <f t="array" ref="F964">IF(Brick_type&lt;&gt;"Timber Frame",IF(Plasterboard?="Yes",Plaster_Upto_31c_Ground,0)+IF(IFERROR(ROUNDDOWN(AVERAGEIFS(Height,Name,"Drywall"),0)&lt;=32,0),ROUNDUP(SUMPRODUCT(--(Name="Drywall"),Length,SUMIF(Lists!$T$2:$T$150,Height,Lists!$W$2:$W$150))/1000,1),0),0)</f>
        <v>0</v>
      </c>
      <c r="G964" s="1105"/>
      <c r="H964" s="412" t="s">
        <v>3717</v>
      </c>
      <c r="I964" s="1258"/>
      <c r="J964" s="2" t="str">
        <f>IF(Table5[[#This Row],[Entered]]&lt;&gt;Table5[[#This Row],[Quantity]],"Check","")</f>
        <v/>
      </c>
    </row>
    <row r="965" spans="1:11" ht="15" x14ac:dyDescent="0.2">
      <c r="A965" s="324" t="s">
        <v>2954</v>
      </c>
      <c r="B965" s="324" t="str">
        <f t="shared" si="62"/>
        <v>0880</v>
      </c>
      <c r="C965" s="324" t="str">
        <f t="shared" si="63"/>
        <v>50062</v>
      </c>
      <c r="D965" s="324" t="str">
        <f>"0076"</f>
        <v>0076</v>
      </c>
      <c r="E965" s="324">
        <v>8</v>
      </c>
      <c r="F965" s="827" cm="1">
        <f t="array" ref="F965">IF(Plasterboard?="Yes",Plaster_Over_31c_Ground,0)+IF(IFERROR(ROUNDDOWN(AVERAGEIFS(Height,Name,"Drywall"),0)&gt;32,0),ROUNDUP(SUMPRODUCT(--(Name="Drywall"),Length,SUMIF(Lists!$T$2:$T$150,Height,Lists!$W$2:$W$150))/1000,1),0)</f>
        <v>0</v>
      </c>
      <c r="G965" s="1105"/>
      <c r="H965" s="412" t="s">
        <v>3262</v>
      </c>
      <c r="I965" s="1258"/>
      <c r="J965" s="2" t="str">
        <f>IF(Table5[[#This Row],[Entered]]&lt;&gt;Table5[[#This Row],[Quantity]],"Check","")</f>
        <v/>
      </c>
    </row>
    <row r="966" spans="1:11" ht="15" x14ac:dyDescent="0.2">
      <c r="A966" s="324" t="s">
        <v>2954</v>
      </c>
      <c r="B966" s="324" t="str">
        <f t="shared" si="62"/>
        <v>0880</v>
      </c>
      <c r="C966" s="324" t="str">
        <f t="shared" si="63"/>
        <v>50062</v>
      </c>
      <c r="D966" s="324" t="str">
        <f>"0130"</f>
        <v>0130</v>
      </c>
      <c r="E966" s="324">
        <v>8</v>
      </c>
      <c r="F966" s="827">
        <f>SUMIF(Name,"Villaboard",Area)</f>
        <v>0</v>
      </c>
      <c r="G966" s="829"/>
      <c r="H966" s="412" t="s">
        <v>3408</v>
      </c>
      <c r="I966" s="1258"/>
      <c r="J966" s="2" t="str">
        <f>IF(Table5[[#This Row],[Entered]]&lt;&gt;Table5[[#This Row],[Quantity]],"Check","")</f>
        <v/>
      </c>
    </row>
    <row r="967" spans="1:11" ht="15" x14ac:dyDescent="0.2">
      <c r="A967" s="324" t="s">
        <v>2954</v>
      </c>
      <c r="B967" s="324" t="str">
        <f t="shared" si="62"/>
        <v>0880</v>
      </c>
      <c r="C967" s="324" t="str">
        <f t="shared" si="63"/>
        <v>50062</v>
      </c>
      <c r="D967" s="324" t="str">
        <f>"0140"</f>
        <v>0140</v>
      </c>
      <c r="E967" s="324">
        <v>1</v>
      </c>
      <c r="F967" s="827">
        <f>COUNTIF(Name,"Vent")</f>
        <v>0</v>
      </c>
      <c r="G967" s="829">
        <v>20</v>
      </c>
      <c r="H967" s="412" t="s">
        <v>3265</v>
      </c>
      <c r="I967" s="1258"/>
      <c r="J967" s="2" t="str">
        <f>IF(Table5[[#This Row],[Entered]]&lt;&gt;Table5[[#This Row],[Quantity]],"Check","")</f>
        <v/>
      </c>
    </row>
    <row r="968" spans="1:11" ht="15" x14ac:dyDescent="0.2">
      <c r="A968" s="324" t="s">
        <v>2954</v>
      </c>
      <c r="B968" s="324" t="str">
        <f t="shared" si="62"/>
        <v>0880</v>
      </c>
      <c r="C968" s="324" t="str">
        <f t="shared" si="63"/>
        <v>50062</v>
      </c>
      <c r="D968" s="324" t="str">
        <f>"0160"</f>
        <v>0160</v>
      </c>
      <c r="E968" s="324">
        <v>8</v>
      </c>
      <c r="F968" s="1128"/>
      <c r="G968" s="829"/>
      <c r="H968" s="412" t="s">
        <v>3409</v>
      </c>
      <c r="I968" s="1258"/>
      <c r="J968" s="2" t="str">
        <f>IF(Table5[[#This Row],[Entered]]&lt;&gt;Table5[[#This Row],[Quantity]],"Check","")</f>
        <v/>
      </c>
    </row>
    <row r="969" spans="1:11" ht="15" x14ac:dyDescent="0.2">
      <c r="A969" s="324" t="s">
        <v>2954</v>
      </c>
      <c r="B969" s="324" t="str">
        <f t="shared" si="62"/>
        <v>0880</v>
      </c>
      <c r="C969" s="324" t="str">
        <f t="shared" si="63"/>
        <v>50062</v>
      </c>
      <c r="D969" s="324" t="str">
        <f>"0230"</f>
        <v>0230</v>
      </c>
      <c r="E969" s="324">
        <v>7</v>
      </c>
      <c r="F969" s="827">
        <f>ROUNDUP(SUMIF(Name,"*Soffit*",Length),1)</f>
        <v>0</v>
      </c>
      <c r="G969" s="829">
        <v>12</v>
      </c>
      <c r="H969" s="412" t="s">
        <v>2970</v>
      </c>
      <c r="I969" s="1258"/>
      <c r="J969" s="2" t="str">
        <f>IF(Table5[[#This Row],[Entered]]&lt;&gt;Table5[[#This Row],[Quantity]],"Check","")</f>
        <v/>
      </c>
    </row>
    <row r="970" spans="1:11" ht="15" x14ac:dyDescent="0.2">
      <c r="A970" s="324" t="s">
        <v>2954</v>
      </c>
      <c r="B970" s="324" t="str">
        <f t="shared" si="62"/>
        <v>0880</v>
      </c>
      <c r="C970" s="324" t="str">
        <f t="shared" si="63"/>
        <v>50062</v>
      </c>
      <c r="D970" s="324" t="str">
        <f>"0242"</f>
        <v>0242</v>
      </c>
      <c r="E970" s="324">
        <v>7</v>
      </c>
      <c r="F970" s="827">
        <f>ROUNDUP(IF(COUNTIF(Addenda!A:A,"*shadowline*")&gt;0,InternalPerimeterLengthGround+(InternalWallLengthGround*2)+'Brickwork FF'!$F$68+('Brickwork FF'!F69*2),0)/1000,0)</f>
        <v>0</v>
      </c>
      <c r="G970" s="829"/>
      <c r="H970" s="412" t="s">
        <v>2971</v>
      </c>
      <c r="I970" s="1258"/>
      <c r="J970" s="2" t="str">
        <f>IF(Table5[[#This Row],[Entered]]&lt;&gt;Table5[[#This Row],[Quantity]],"Check","")</f>
        <v/>
      </c>
    </row>
    <row r="971" spans="1:11" ht="15" x14ac:dyDescent="0.2">
      <c r="A971" s="324" t="s">
        <v>2954</v>
      </c>
      <c r="B971" s="324" t="str">
        <f t="shared" si="62"/>
        <v>0880</v>
      </c>
      <c r="C971" s="324" t="str">
        <f t="shared" si="63"/>
        <v>50062</v>
      </c>
      <c r="D971" s="324" t="str">
        <f>"0380"</f>
        <v>0380</v>
      </c>
      <c r="E971" s="324">
        <v>7</v>
      </c>
      <c r="F971" s="827">
        <f>ROUNDUP(SUMIF(Name,"*Bulkheads*",Length),1)+ROUNDUP(SUMIF(Name,"Rec. Ceiling",Length),1)</f>
        <v>0</v>
      </c>
      <c r="G971" s="829">
        <v>18.5</v>
      </c>
      <c r="H971" s="412" t="s">
        <v>2972</v>
      </c>
      <c r="I971" s="1258"/>
      <c r="J971" s="2" t="str">
        <f>IF(Table5[[#This Row],[Entered]]&lt;&gt;Table5[[#This Row],[Quantity]],"Check","")</f>
        <v/>
      </c>
    </row>
    <row r="972" spans="1:11" ht="15" x14ac:dyDescent="0.2">
      <c r="A972" s="324" t="s">
        <v>2954</v>
      </c>
      <c r="B972" s="324" t="str">
        <f t="shared" si="62"/>
        <v>0880</v>
      </c>
      <c r="C972" s="324" t="str">
        <f t="shared" si="63"/>
        <v>50062</v>
      </c>
      <c r="D972" s="324" t="str">
        <f>"0500"</f>
        <v>0500</v>
      </c>
      <c r="E972" s="324">
        <v>1</v>
      </c>
      <c r="F972" s="827">
        <f>IF(COUNTIF(Name,"Manhole")&gt;0,1,0)</f>
        <v>0</v>
      </c>
      <c r="G972" s="829">
        <v>50</v>
      </c>
      <c r="H972" s="412" t="s">
        <v>3266</v>
      </c>
      <c r="I972" s="1258"/>
      <c r="J972" s="2" t="str">
        <f>IF(Table5[[#This Row],[Entered]]&lt;&gt;Table5[[#This Row],[Quantity]],"Check","")</f>
        <v/>
      </c>
    </row>
    <row r="973" spans="1:11" ht="15" x14ac:dyDescent="0.2">
      <c r="A973" s="324" t="s">
        <v>2954</v>
      </c>
      <c r="B973" s="324" t="str">
        <f t="shared" si="62"/>
        <v>0880</v>
      </c>
      <c r="C973" s="324" t="str">
        <f t="shared" si="63"/>
        <v>50062</v>
      </c>
      <c r="D973" s="324" t="str">
        <f>"0510"</f>
        <v>0510</v>
      </c>
      <c r="E973" s="324">
        <v>7</v>
      </c>
      <c r="F973" s="827">
        <f>IF(COUNTIF(Addenda!A:A,"*Gyprock 90mm Tempo*")&gt;0,Bill!F980,0)</f>
        <v>0</v>
      </c>
      <c r="G973" s="829"/>
      <c r="H973" s="412" t="s">
        <v>3520</v>
      </c>
      <c r="I973" s="1258"/>
      <c r="J973" s="2" t="str">
        <f>IF(Table5[[#This Row],[Entered]]&lt;&gt;Table5[[#This Row],[Quantity]],"Check","")</f>
        <v/>
      </c>
    </row>
    <row r="974" spans="1:11" ht="15" x14ac:dyDescent="0.2">
      <c r="A974" s="324" t="s">
        <v>2954</v>
      </c>
      <c r="B974" s="324" t="str">
        <f t="shared" si="62"/>
        <v>0880</v>
      </c>
      <c r="C974" s="324" t="str">
        <f t="shared" si="63"/>
        <v>50062</v>
      </c>
      <c r="D974" s="324" t="str">
        <f>"0518"</f>
        <v>0518</v>
      </c>
      <c r="E974" s="324">
        <v>7</v>
      </c>
      <c r="F974" s="827">
        <f>ROUNDUP(IF(COUNTIF(Addenda!A:A,"*BORAL*")&gt;0,InternalPerimeterLengthGround+(InternalWallLengthGround*2)+'Brickwork FF'!$F$68+('Brickwork FF'!$F$69*2),0)/1000,0)</f>
        <v>0</v>
      </c>
      <c r="G974" s="829"/>
      <c r="H974" s="412" t="s">
        <v>3268</v>
      </c>
      <c r="I974" s="1258"/>
      <c r="J974" s="2" t="str">
        <f>IF(Table5[[#This Row],[Entered]]&lt;&gt;Table5[[#This Row],[Quantity]],"Check","")</f>
        <v/>
      </c>
    </row>
    <row r="975" spans="1:11" ht="15" x14ac:dyDescent="0.2">
      <c r="A975" s="324" t="s">
        <v>2954</v>
      </c>
      <c r="B975" s="324" t="str">
        <f t="shared" si="62"/>
        <v>0880</v>
      </c>
      <c r="C975" s="324" t="str">
        <f t="shared" si="63"/>
        <v>50062</v>
      </c>
      <c r="D975" s="324" t="str">
        <f>"0613"</f>
        <v>0613</v>
      </c>
      <c r="E975" s="324">
        <v>1</v>
      </c>
      <c r="F975" s="827">
        <f>IF(OR(Brick_type="Timber Frame",Plasterboard?="No"),0,COUNTIF(Name,"Corner Bead"))</f>
        <v>0</v>
      </c>
      <c r="G975" s="829"/>
      <c r="H975" s="412" t="s">
        <v>2961</v>
      </c>
      <c r="I975" s="1258"/>
      <c r="J975" s="2" t="str">
        <f>IF(Table5[[#This Row],[Entered]]&lt;&gt;Table5[[#This Row],[Quantity]],"Check","")</f>
        <v/>
      </c>
    </row>
    <row r="976" spans="1:11" ht="15" x14ac:dyDescent="0.2">
      <c r="A976" s="324" t="s">
        <v>2954</v>
      </c>
      <c r="B976" s="324" t="str">
        <f t="shared" si="62"/>
        <v>0880</v>
      </c>
      <c r="C976" s="324" t="str">
        <f t="shared" si="63"/>
        <v>50062</v>
      </c>
      <c r="D976" s="324" t="str">
        <f>"0700"</f>
        <v>0700</v>
      </c>
      <c r="E976" s="324">
        <v>1</v>
      </c>
      <c r="F976" s="827">
        <f>IF(COUNTIF(Name,"Manhole")&gt;1,COUNTIF(Name,"Manhole")-1,0)</f>
        <v>0</v>
      </c>
      <c r="G976" s="829">
        <v>55</v>
      </c>
      <c r="H976" s="412" t="s">
        <v>3267</v>
      </c>
      <c r="I976" s="1258"/>
      <c r="J976" s="2" t="str">
        <f>IF(Table5[[#This Row],[Entered]]&lt;&gt;Table5[[#This Row],[Quantity]],"Check","")</f>
        <v/>
      </c>
    </row>
    <row r="977" spans="1:10" ht="15" x14ac:dyDescent="0.2">
      <c r="A977" s="324" t="s">
        <v>2954</v>
      </c>
      <c r="B977" s="324" t="str">
        <f t="shared" si="62"/>
        <v>0880</v>
      </c>
      <c r="C977" s="324" t="str">
        <f t="shared" si="63"/>
        <v>50062</v>
      </c>
      <c r="D977" s="324" t="str">
        <f>"1000"</f>
        <v>1000</v>
      </c>
      <c r="E977" s="324">
        <v>8</v>
      </c>
      <c r="F977" s="1130" cm="1">
        <f t="array" ref="F977">IF(Brick_type="Timber Frame",0,ROUNDUP(SUMPRODUCT(--(Name="Studwork"),Length,SUMIF(Lists!$T$2:$T$150,Height,Lists!$W$2:$W$150))/1000,1)-ROUNDDOWN(SUMPRODUCT(--(Name="Opening Stud"),Length,SUMIF(Lists!$T$2:$T$150,Height,Lists!$W$2:$W$150))/1000,1))</f>
        <v>0</v>
      </c>
      <c r="G977" s="829"/>
      <c r="H977" s="412" t="s">
        <v>2951</v>
      </c>
      <c r="I977" s="1258"/>
      <c r="J977" s="2" t="str">
        <f>IF(Table5[[#This Row],[Entered]]&lt;&gt;Table5[[#This Row],[Quantity]],"Check","")</f>
        <v/>
      </c>
    </row>
    <row r="978" spans="1:10" ht="15" x14ac:dyDescent="0.2">
      <c r="A978" s="324" t="s">
        <v>2954</v>
      </c>
      <c r="B978" s="324" t="str">
        <f t="shared" si="62"/>
        <v>0880</v>
      </c>
      <c r="C978" s="324" t="str">
        <f t="shared" si="63"/>
        <v>50062</v>
      </c>
      <c r="D978" s="324" t="str">
        <f>"1013"</f>
        <v>1013</v>
      </c>
      <c r="E978" s="324">
        <v>8</v>
      </c>
      <c r="F978" s="827">
        <f ca="1">F960</f>
        <v>0</v>
      </c>
      <c r="G978" s="829"/>
      <c r="H978" s="412" t="s">
        <v>2973</v>
      </c>
      <c r="I978" s="1258"/>
      <c r="J978" s="2" t="str">
        <f ca="1">IF(Table5[[#This Row],[Entered]]&lt;&gt;Table5[[#This Row],[Quantity]],"Check","")</f>
        <v/>
      </c>
    </row>
    <row r="979" spans="1:10" ht="15" x14ac:dyDescent="0.2">
      <c r="A979" s="324" t="s">
        <v>2954</v>
      </c>
      <c r="B979" s="324" t="str">
        <f t="shared" si="62"/>
        <v>0880</v>
      </c>
      <c r="C979" s="324" t="str">
        <f t="shared" si="63"/>
        <v>50062</v>
      </c>
      <c r="D979" s="324" t="str">
        <f>"8002"</f>
        <v>8002</v>
      </c>
      <c r="E979" s="324">
        <v>1</v>
      </c>
      <c r="F979" s="827">
        <v>1</v>
      </c>
      <c r="G979" s="829">
        <v>150</v>
      </c>
      <c r="H979" s="412" t="s">
        <v>2974</v>
      </c>
      <c r="I979" s="1258"/>
      <c r="J979" s="2" t="str">
        <f>IF(Table5[[#This Row],[Entered]]&lt;&gt;Table5[[#This Row],[Quantity]],"Check","")</f>
        <v>Check</v>
      </c>
    </row>
    <row r="980" spans="1:10" ht="15" x14ac:dyDescent="0.2">
      <c r="A980" s="324" t="s">
        <v>2954</v>
      </c>
      <c r="B980" s="324" t="str">
        <f t="shared" si="62"/>
        <v>0880</v>
      </c>
      <c r="C980" s="324" t="str">
        <f t="shared" si="63"/>
        <v>50062</v>
      </c>
      <c r="D980" s="324" t="str">
        <f>"9000"</f>
        <v>9000</v>
      </c>
      <c r="E980" s="324">
        <v>7</v>
      </c>
      <c r="F980" s="827">
        <f>ROUND((InternalPerimeterLengthGround+(InternalWallLengthGround*2))/1000-SUMIF(Name,"No Cornice",Length),0)</f>
        <v>0</v>
      </c>
      <c r="G980" s="829">
        <v>0</v>
      </c>
      <c r="H980" s="412" t="s">
        <v>2975</v>
      </c>
      <c r="I980" s="1258"/>
      <c r="J980" s="2" t="str">
        <f>IF(Table5[[#This Row],[Entered]]&lt;&gt;Table5[[#This Row],[Quantity]],"Check","")</f>
        <v/>
      </c>
    </row>
    <row r="981" spans="1:10" ht="15" x14ac:dyDescent="0.2">
      <c r="A981" s="324" t="s">
        <v>2954</v>
      </c>
      <c r="B981" s="324" t="str">
        <f t="shared" si="62"/>
        <v>0880</v>
      </c>
      <c r="C981" s="324" t="str">
        <f t="shared" si="63"/>
        <v>50062</v>
      </c>
      <c r="D981" s="324" t="str">
        <f>"9900"</f>
        <v>9900</v>
      </c>
      <c r="E981" s="324">
        <v>0</v>
      </c>
      <c r="F981" s="827">
        <v>1</v>
      </c>
      <c r="G981" s="829">
        <v>0</v>
      </c>
      <c r="H981" s="412" t="s">
        <v>3315</v>
      </c>
      <c r="I981" s="1258"/>
      <c r="J981" s="2" t="str">
        <f>IF(Table5[[#This Row],[Entered]]&lt;&gt;Table5[[#This Row],[Quantity]],"Check","")</f>
        <v>Check</v>
      </c>
    </row>
    <row r="982" spans="1:10" ht="15" x14ac:dyDescent="0.2">
      <c r="A982" s="324" t="s">
        <v>2954</v>
      </c>
      <c r="B982" s="324" t="str">
        <f t="shared" si="62"/>
        <v>0880</v>
      </c>
      <c r="C982" s="324" t="str">
        <f t="shared" si="63"/>
        <v>50062</v>
      </c>
      <c r="D982" s="324" t="str">
        <f>"7000"</f>
        <v>7000</v>
      </c>
      <c r="E982" s="324">
        <v>7</v>
      </c>
      <c r="F982" s="827">
        <f>ROUNDUP(SUMIF(Name,"No Cornice",Length),1)</f>
        <v>0</v>
      </c>
      <c r="G982" s="829">
        <v>18.5</v>
      </c>
      <c r="H982" s="412" t="s">
        <v>3657</v>
      </c>
      <c r="I982" s="1207"/>
      <c r="J982" s="73" t="str">
        <f>IF(Table5[[#This Row],[Entered]]&lt;&gt;Table5[[#This Row],[Quantity]],"Check","")</f>
        <v/>
      </c>
    </row>
    <row r="983" spans="1:10" ht="15" x14ac:dyDescent="0.2">
      <c r="A983" s="324" t="s">
        <v>2954</v>
      </c>
      <c r="B983" s="324" t="str">
        <f t="shared" si="62"/>
        <v>0880</v>
      </c>
      <c r="C983" s="324" t="str">
        <f t="shared" si="63"/>
        <v>50062</v>
      </c>
      <c r="D983" s="324">
        <f>7013</f>
        <v>7013</v>
      </c>
      <c r="E983" s="324">
        <v>8</v>
      </c>
      <c r="F983" s="827">
        <f>(F959*0.5)</f>
        <v>0</v>
      </c>
      <c r="G983" s="829">
        <v>9.5</v>
      </c>
      <c r="H983" s="412" t="s">
        <v>3554</v>
      </c>
      <c r="I983" s="1258"/>
      <c r="J983" s="73" t="str">
        <f>IF(Table5[[#This Row],[Entered]]&lt;&gt;Table5[[#This Row],[Quantity]],"Check","")</f>
        <v/>
      </c>
    </row>
    <row r="984" spans="1:10" ht="15" x14ac:dyDescent="0.2">
      <c r="A984" s="324" t="s">
        <v>2954</v>
      </c>
      <c r="B984" s="324" t="str">
        <f t="shared" si="62"/>
        <v>0880</v>
      </c>
      <c r="C984" s="324" t="str">
        <f t="shared" si="63"/>
        <v>50062</v>
      </c>
      <c r="D984" s="1103">
        <f>7020</f>
        <v>7020</v>
      </c>
      <c r="E984" s="324">
        <v>8</v>
      </c>
      <c r="F984" s="827">
        <f>CEILING('Plaster Ceilings Insulation'!J30,1)</f>
        <v>0</v>
      </c>
      <c r="G984" s="829"/>
      <c r="H984" s="1111" t="s">
        <v>1420</v>
      </c>
      <c r="I984" s="1226"/>
      <c r="J984" s="2" t="str">
        <f>IF(Table5[[#This Row],[Entered]]&lt;&gt;Table5[[#This Row],[Quantity]],"Check","")</f>
        <v/>
      </c>
    </row>
    <row r="985" spans="1:10" ht="15" x14ac:dyDescent="0.2">
      <c r="A985" s="324" t="s">
        <v>2954</v>
      </c>
      <c r="B985" s="324" t="str">
        <f t="shared" si="62"/>
        <v>0880</v>
      </c>
      <c r="C985" s="324" t="str">
        <f t="shared" si="63"/>
        <v>50062</v>
      </c>
      <c r="D985" s="1103">
        <f>7025</f>
        <v>7025</v>
      </c>
      <c r="E985" s="324">
        <v>8</v>
      </c>
      <c r="F985" s="827">
        <f>CEILING('Data Sheet'!D12,1)</f>
        <v>0</v>
      </c>
      <c r="G985" s="829"/>
      <c r="H985" s="1111" t="s">
        <v>1421</v>
      </c>
      <c r="I985" s="1226"/>
      <c r="J985" s="2" t="str">
        <f>IF(Table5[[#This Row],[Entered]]&lt;&gt;Table5[[#This Row],[Quantity]],"Check","")</f>
        <v/>
      </c>
    </row>
    <row r="986" spans="1:10" ht="15" x14ac:dyDescent="0.2">
      <c r="A986" s="324"/>
      <c r="B986" s="324"/>
      <c r="C986" s="324"/>
      <c r="D986" s="324"/>
      <c r="E986" s="324"/>
      <c r="F986" s="827"/>
      <c r="G986" s="829"/>
      <c r="H986" s="412"/>
      <c r="I986" s="1258"/>
      <c r="J986" s="2" t="str">
        <f>IF(Table5[[#This Row],[Entered]]&lt;&gt;Table5[[#This Row],[Quantity]],"Check","")</f>
        <v/>
      </c>
    </row>
    <row r="987" spans="1:10" ht="15" x14ac:dyDescent="0.2">
      <c r="A987" s="324" t="s">
        <v>2954</v>
      </c>
      <c r="B987" s="324" t="str">
        <f>"1200"</f>
        <v>1200</v>
      </c>
      <c r="C987" s="324">
        <v>50062</v>
      </c>
      <c r="D987" s="324" t="str">
        <f>"0020"</f>
        <v>0020</v>
      </c>
      <c r="E987" s="324">
        <v>8</v>
      </c>
      <c r="F987" s="827">
        <f ca="1">CEILING(SUM(Hardiflex_Ceilings)+GF_Eaves,0.1)+CEILING(SUM('Data Sheet'!D11)+FF_Eaves,0.1)</f>
        <v>0</v>
      </c>
      <c r="G987" s="829">
        <v>7.25</v>
      </c>
      <c r="H987" s="412" t="s">
        <v>2976</v>
      </c>
      <c r="I987" s="1258"/>
      <c r="J987" s="2" t="str">
        <f ca="1">IF(Table5[[#This Row],[Entered]]&lt;&gt;Table5[[#This Row],[Quantity]],"Check","")</f>
        <v/>
      </c>
    </row>
    <row r="988" spans="1:10" ht="15" x14ac:dyDescent="0.2">
      <c r="A988" s="324" t="s">
        <v>2954</v>
      </c>
      <c r="B988" s="324" t="str">
        <f>"1200"</f>
        <v>1200</v>
      </c>
      <c r="C988" s="324">
        <v>50062</v>
      </c>
      <c r="D988" s="324" t="str">
        <f>"0300"</f>
        <v>0300</v>
      </c>
      <c r="E988" s="324">
        <v>8</v>
      </c>
      <c r="F988" s="827">
        <f ca="1">ROUNDUP(Ceilings_Ground,1)</f>
        <v>0</v>
      </c>
      <c r="G988" s="829">
        <v>7.5</v>
      </c>
      <c r="H988" s="412" t="s">
        <v>2977</v>
      </c>
      <c r="I988" s="1258"/>
      <c r="J988" s="2" t="str">
        <f ca="1">IF(Table5[[#This Row],[Entered]]&lt;&gt;Table5[[#This Row],[Quantity]],"Check","")</f>
        <v/>
      </c>
    </row>
    <row r="989" spans="1:10" ht="15" x14ac:dyDescent="0.2">
      <c r="A989" s="324" t="s">
        <v>2954</v>
      </c>
      <c r="B989" s="324" t="str">
        <f>"1200"</f>
        <v>1200</v>
      </c>
      <c r="C989" s="324">
        <v>50062</v>
      </c>
      <c r="D989" s="324" t="str">
        <f>"0302"</f>
        <v>0302</v>
      </c>
      <c r="E989" s="324">
        <v>8</v>
      </c>
      <c r="F989" s="827">
        <f ca="1">ROUNDUP(Gyprock_Ceilings,0)</f>
        <v>0</v>
      </c>
      <c r="G989" s="829">
        <v>9.24</v>
      </c>
      <c r="H989" s="412" t="s">
        <v>2978</v>
      </c>
      <c r="I989" s="1258"/>
      <c r="J989" s="2" t="str">
        <f ca="1">IF(Table5[[#This Row],[Entered]]&lt;&gt;Table5[[#This Row],[Quantity]],"Check","")</f>
        <v/>
      </c>
    </row>
    <row r="990" spans="1:10" ht="15" x14ac:dyDescent="0.2">
      <c r="A990" s="324" t="s">
        <v>2954</v>
      </c>
      <c r="B990" s="324" t="str">
        <f>"1200"</f>
        <v>1200</v>
      </c>
      <c r="C990" s="324">
        <v>50062</v>
      </c>
      <c r="D990" s="324" t="str">
        <f>"0304"</f>
        <v>0304</v>
      </c>
      <c r="E990" s="324">
        <v>8</v>
      </c>
      <c r="F990" s="827">
        <f>F739</f>
        <v>0</v>
      </c>
      <c r="G990" s="829"/>
      <c r="H990" s="412" t="s">
        <v>2979</v>
      </c>
      <c r="I990" s="1258"/>
      <c r="J990" s="2" t="str">
        <f>IF(Table5[[#This Row],[Entered]]&lt;&gt;Table5[[#This Row],[Quantity]],"Check","")</f>
        <v/>
      </c>
    </row>
    <row r="991" spans="1:10" ht="15" x14ac:dyDescent="0.2">
      <c r="A991" s="324"/>
      <c r="B991" s="324"/>
      <c r="C991" s="324"/>
      <c r="D991" s="324"/>
      <c r="E991" s="324"/>
      <c r="F991" s="827"/>
      <c r="G991" s="829"/>
      <c r="H991" s="412"/>
      <c r="I991" s="1258"/>
      <c r="J991" s="2" t="str">
        <f>IF(Table5[[#This Row],[Entered]]&lt;&gt;Table5[[#This Row],[Quantity]],"Check","")</f>
        <v/>
      </c>
    </row>
    <row r="992" spans="1:10" ht="15" x14ac:dyDescent="0.2">
      <c r="A992" s="324" t="s">
        <v>2959</v>
      </c>
      <c r="B992" s="324" t="str">
        <f t="shared" ref="B992:B997" si="64">"0890"</f>
        <v>0890</v>
      </c>
      <c r="C992" s="324" t="str">
        <f t="shared" ref="C992:C997" si="65">"50062"</f>
        <v>50062</v>
      </c>
      <c r="D992" s="324" t="str">
        <f>"0010"</f>
        <v>0010</v>
      </c>
      <c r="E992" s="324">
        <v>8</v>
      </c>
      <c r="F992" s="827">
        <f>IF(Plasterboard?="No",IF(OR(Brick_type="Timber Frame",Brick_type="Brick Veneer"),0,Plaster_Total_Ground),0)</f>
        <v>0</v>
      </c>
      <c r="G992" s="829">
        <v>18.5</v>
      </c>
      <c r="H992" s="412" t="s">
        <v>2960</v>
      </c>
      <c r="I992" s="1258"/>
      <c r="J992" s="2" t="str">
        <f>IF(Table5[[#This Row],[Entered]]&lt;&gt;Table5[[#This Row],[Quantity]],"Check","")</f>
        <v/>
      </c>
    </row>
    <row r="993" spans="1:10" ht="15" x14ac:dyDescent="0.2">
      <c r="A993" s="324" t="s">
        <v>2959</v>
      </c>
      <c r="B993" s="324" t="str">
        <f t="shared" si="64"/>
        <v>0890</v>
      </c>
      <c r="C993" s="324" t="str">
        <f t="shared" si="65"/>
        <v>50062</v>
      </c>
      <c r="D993" s="324" t="str">
        <f>"0210"</f>
        <v>0210</v>
      </c>
      <c r="E993" s="324">
        <v>1</v>
      </c>
      <c r="F993" s="827">
        <f>IF(Plasterboard?="Yes",0,IF(OR(Brick_type="Timber Frame",Brick_type="Brick Veneer"),0,COUNTIF(Name,"Corner Bead")))</f>
        <v>0</v>
      </c>
      <c r="G993" s="829">
        <v>15</v>
      </c>
      <c r="H993" s="412" t="s">
        <v>2961</v>
      </c>
      <c r="I993" s="1258"/>
      <c r="J993" s="2" t="str">
        <f>IF(Table5[[#This Row],[Entered]]&lt;&gt;Table5[[#This Row],[Quantity]],"Check","")</f>
        <v/>
      </c>
    </row>
    <row r="994" spans="1:10" ht="15" x14ac:dyDescent="0.2">
      <c r="A994" s="324" t="s">
        <v>2959</v>
      </c>
      <c r="B994" s="324" t="str">
        <f t="shared" si="64"/>
        <v>0890</v>
      </c>
      <c r="C994" s="324" t="str">
        <f t="shared" si="65"/>
        <v>50062</v>
      </c>
      <c r="D994" s="324" t="str">
        <f>"0300"</f>
        <v>0300</v>
      </c>
      <c r="E994" s="324">
        <v>1</v>
      </c>
      <c r="F994" s="827" cm="1">
        <f t="array" ref="F994">IF(ROUNDUP(SUMPRODUCT(--(Height&gt;=28),--(Name="Render"),Length,Height)*0.6/7,1)&gt;0,1,0)-F995</f>
        <v>0</v>
      </c>
      <c r="G994" s="829">
        <v>180</v>
      </c>
      <c r="H994" s="412" t="s">
        <v>2963</v>
      </c>
      <c r="I994" s="1258"/>
      <c r="J994" s="2" t="str">
        <f>IF(Table5[[#This Row],[Entered]]&lt;&gt;Table5[[#This Row],[Quantity]],"Check","")</f>
        <v/>
      </c>
    </row>
    <row r="995" spans="1:10" ht="15" x14ac:dyDescent="0.2">
      <c r="A995" s="324" t="s">
        <v>2959</v>
      </c>
      <c r="B995" s="324" t="str">
        <f t="shared" si="64"/>
        <v>0890</v>
      </c>
      <c r="C995" s="324" t="str">
        <f t="shared" si="65"/>
        <v>50062</v>
      </c>
      <c r="D995" s="324" t="str">
        <f>"0302"</f>
        <v>0302</v>
      </c>
      <c r="E995" s="324">
        <v>1</v>
      </c>
      <c r="F995" s="827">
        <f>IF(InternalWallHeightCourses&gt;28,1,0)</f>
        <v>0</v>
      </c>
      <c r="G995" s="829">
        <v>400</v>
      </c>
      <c r="H995" s="412" t="s">
        <v>2962</v>
      </c>
      <c r="I995" s="1258"/>
      <c r="J995" s="2" t="str">
        <f>IF(Table5[[#This Row],[Entered]]&lt;&gt;Table5[[#This Row],[Quantity]],"Check","")</f>
        <v/>
      </c>
    </row>
    <row r="996" spans="1:10" ht="15" x14ac:dyDescent="0.2">
      <c r="A996" s="324" t="s">
        <v>2959</v>
      </c>
      <c r="B996" s="324" t="str">
        <f t="shared" si="64"/>
        <v>0890</v>
      </c>
      <c r="C996" s="324" t="str">
        <f t="shared" si="65"/>
        <v>50062</v>
      </c>
      <c r="D996" s="324" t="str">
        <f>"0602"</f>
        <v>0602</v>
      </c>
      <c r="E996" s="324">
        <v>0</v>
      </c>
      <c r="F996" s="827">
        <v>1</v>
      </c>
      <c r="G996" s="829">
        <v>0</v>
      </c>
      <c r="H996" s="412" t="s">
        <v>3411</v>
      </c>
      <c r="I996" s="1258"/>
      <c r="J996" s="2" t="str">
        <f>IF(Table5[[#This Row],[Entered]]&lt;&gt;Table5[[#This Row],[Quantity]],"Check","")</f>
        <v>Check</v>
      </c>
    </row>
    <row r="997" spans="1:10" ht="15" x14ac:dyDescent="0.2">
      <c r="A997" s="324" t="s">
        <v>2959</v>
      </c>
      <c r="B997" s="324" t="str">
        <f t="shared" si="64"/>
        <v>0890</v>
      </c>
      <c r="C997" s="324" t="str">
        <f t="shared" si="65"/>
        <v>50062</v>
      </c>
      <c r="D997" s="324" t="str">
        <f>"9900"</f>
        <v>9900</v>
      </c>
      <c r="E997" s="324">
        <v>0</v>
      </c>
      <c r="F997" s="827">
        <v>1</v>
      </c>
      <c r="G997" s="829">
        <v>0</v>
      </c>
      <c r="H997" s="412" t="s">
        <v>3315</v>
      </c>
      <c r="I997" s="1258"/>
      <c r="J997" s="2" t="str">
        <f>IF(Table5[[#This Row],[Entered]]&lt;&gt;Table5[[#This Row],[Quantity]],"Check","")</f>
        <v>Check</v>
      </c>
    </row>
    <row r="998" spans="1:10" ht="15" x14ac:dyDescent="0.2">
      <c r="A998" s="324"/>
      <c r="B998" s="324"/>
      <c r="C998" s="324"/>
      <c r="D998" s="324"/>
      <c r="E998" s="324"/>
      <c r="F998" s="827"/>
      <c r="G998" s="829"/>
      <c r="H998" s="412"/>
      <c r="I998" s="1258"/>
      <c r="J998" s="2" t="str">
        <f>IF(Table5[[#This Row],[Entered]]&lt;&gt;Table5[[#This Row],[Quantity]],"Check","")</f>
        <v/>
      </c>
    </row>
    <row r="999" spans="1:10" ht="15" x14ac:dyDescent="0.2">
      <c r="A999" s="324" t="s">
        <v>2959</v>
      </c>
      <c r="B999" s="324" t="str">
        <f>"1170"</f>
        <v>1170</v>
      </c>
      <c r="C999" s="324" t="str">
        <f>"50061"</f>
        <v>50061</v>
      </c>
      <c r="D999" s="324" t="str">
        <f>"0016"</f>
        <v>0016</v>
      </c>
      <c r="E999" s="324">
        <v>1</v>
      </c>
      <c r="F999" s="827">
        <f>IF(Brick_type="Timber Frame",0,1)</f>
        <v>1</v>
      </c>
      <c r="G999" s="829">
        <v>250</v>
      </c>
      <c r="H999" s="412" t="s">
        <v>3412</v>
      </c>
      <c r="I999" s="1258"/>
      <c r="J999" s="2" t="str">
        <f>IF(Table5[[#This Row],[Entered]]&lt;&gt;Table5[[#This Row],[Quantity]],"Check","")</f>
        <v>Check</v>
      </c>
    </row>
    <row r="1000" spans="1:10" ht="15" x14ac:dyDescent="0.2">
      <c r="A1000" s="324"/>
      <c r="B1000" s="324"/>
      <c r="C1000" s="324"/>
      <c r="D1000" s="324"/>
      <c r="E1000" s="324"/>
      <c r="F1000" s="827"/>
      <c r="G1000" s="829"/>
      <c r="H1000" s="412"/>
      <c r="I1000" s="1258"/>
      <c r="J1000" s="2" t="str">
        <f>IF(Table5[[#This Row],[Entered]]&lt;&gt;Table5[[#This Row],[Quantity]],"Check","")</f>
        <v/>
      </c>
    </row>
    <row r="1001" spans="1:10" ht="15" x14ac:dyDescent="0.2">
      <c r="A1001" s="324" t="s">
        <v>2980</v>
      </c>
      <c r="B1001" s="324" t="str">
        <f>"0900"</f>
        <v>0900</v>
      </c>
      <c r="C1001" s="324" t="str">
        <f>"50001"</f>
        <v>50001</v>
      </c>
      <c r="D1001" s="324" t="str">
        <f>"0001"</f>
        <v>0001</v>
      </c>
      <c r="E1001" s="324">
        <v>1</v>
      </c>
      <c r="F1001" s="1128"/>
      <c r="G1001" s="829"/>
      <c r="H1001" s="412" t="s">
        <v>3413</v>
      </c>
      <c r="I1001" s="1258"/>
      <c r="J1001" s="2" t="str">
        <f>IF(Table5[[#This Row],[Entered]]&lt;&gt;Table5[[#This Row],[Quantity]],"Check","")</f>
        <v/>
      </c>
    </row>
    <row r="1002" spans="1:10" ht="15" x14ac:dyDescent="0.2">
      <c r="A1002" s="324"/>
      <c r="B1002" s="324"/>
      <c r="C1002" s="324"/>
      <c r="D1002" s="324"/>
      <c r="E1002" s="324"/>
      <c r="F1002" s="827"/>
      <c r="G1002" s="829"/>
      <c r="H1002" s="412"/>
      <c r="I1002" s="1258"/>
      <c r="J1002" s="2" t="str">
        <f>IF(Table5[[#This Row],[Entered]]&lt;&gt;Table5[[#This Row],[Quantity]],"Check","")</f>
        <v/>
      </c>
    </row>
    <row r="1003" spans="1:10" ht="15" x14ac:dyDescent="0.2">
      <c r="A1003" s="324" t="s">
        <v>2980</v>
      </c>
      <c r="B1003" s="324" t="str">
        <f t="shared" ref="B1003:B1028" si="66">"0960"</f>
        <v>0960</v>
      </c>
      <c r="C1003" s="324" t="str">
        <f t="shared" ref="C1003:C1020" si="67">"52640"</f>
        <v>52640</v>
      </c>
      <c r="D1003" s="324" t="str">
        <f>"0020"</f>
        <v>0020</v>
      </c>
      <c r="E1003" s="324" t="s">
        <v>2893</v>
      </c>
      <c r="F1003" s="827">
        <f>IF(AND(Mouldings!$H$6="Quad",Mouldings!$H$7="Jarrah"),Mouldings!$H$46,0)</f>
        <v>0</v>
      </c>
      <c r="G1003" s="829">
        <v>1.96</v>
      </c>
      <c r="H1003" s="412" t="s">
        <v>2982</v>
      </c>
      <c r="I1003" s="1258"/>
      <c r="J1003" s="2" t="str">
        <f>IF(Table5[[#This Row],[Entered]]&lt;&gt;Table5[[#This Row],[Quantity]],"Check","")</f>
        <v/>
      </c>
    </row>
    <row r="1004" spans="1:10" ht="15" x14ac:dyDescent="0.2">
      <c r="A1004" s="324" t="s">
        <v>2980</v>
      </c>
      <c r="B1004" s="324" t="str">
        <f t="shared" si="66"/>
        <v>0960</v>
      </c>
      <c r="C1004" s="324" t="str">
        <f t="shared" si="67"/>
        <v>52640</v>
      </c>
      <c r="D1004" s="324" t="str">
        <f>"0042"</f>
        <v>0042</v>
      </c>
      <c r="E1004" s="324">
        <v>1</v>
      </c>
      <c r="F1004" s="827">
        <f>IF(Brick_type="Timber Frame",COUNTIFS(Name,"Door*",Material,"Wet"),0)</f>
        <v>0</v>
      </c>
      <c r="G1004" s="829">
        <v>55.02</v>
      </c>
      <c r="H1004" s="412" t="s">
        <v>3576</v>
      </c>
      <c r="I1004" s="1207"/>
      <c r="J1004" s="73" t="str">
        <f>IF(Table5[[#This Row],[Entered]]&lt;&gt;Table5[[#This Row],[Quantity]],"Check","")</f>
        <v/>
      </c>
    </row>
    <row r="1005" spans="1:10" ht="15" x14ac:dyDescent="0.2">
      <c r="A1005" s="324" t="s">
        <v>2980</v>
      </c>
      <c r="B1005" s="324" t="str">
        <f t="shared" si="66"/>
        <v>0960</v>
      </c>
      <c r="C1005" s="324" t="str">
        <f t="shared" si="67"/>
        <v>52640</v>
      </c>
      <c r="D1005" s="324" t="str">
        <f>"0044"</f>
        <v>0044</v>
      </c>
      <c r="E1005" s="324">
        <v>1</v>
      </c>
      <c r="F1005" s="827">
        <f>IF(Brick_type="Timber Frame",COUNTIFS(Name,"Door*",Material,"&lt;&gt;Wet"),0)</f>
        <v>0</v>
      </c>
      <c r="G1005" s="829">
        <v>32.81</v>
      </c>
      <c r="H1005" s="412" t="s">
        <v>3577</v>
      </c>
      <c r="I1005" s="1207"/>
      <c r="J1005" s="73" t="str">
        <f>IF(Table5[[#This Row],[Entered]]&lt;&gt;Table5[[#This Row],[Quantity]],"Check","")</f>
        <v/>
      </c>
    </row>
    <row r="1006" spans="1:10" ht="15" x14ac:dyDescent="0.2">
      <c r="A1006" s="324" t="s">
        <v>2980</v>
      </c>
      <c r="B1006" s="324" t="str">
        <f t="shared" si="66"/>
        <v>0960</v>
      </c>
      <c r="C1006" s="324" t="str">
        <f t="shared" si="67"/>
        <v>52640</v>
      </c>
      <c r="D1006" s="324" t="str">
        <f>"0047"</f>
        <v>0047</v>
      </c>
      <c r="E1006" s="324" t="s">
        <v>2893</v>
      </c>
      <c r="F1006" s="827">
        <f>_xlfn.CEILING.MATH(SUMIF(Name,"Door Shpr*",Length),0.3)</f>
        <v>0</v>
      </c>
      <c r="G1006" s="829">
        <v>7.26</v>
      </c>
      <c r="H1006" s="412" t="s">
        <v>2981</v>
      </c>
      <c r="I1006" s="1258"/>
      <c r="J1006" s="2" t="str">
        <f>IF(Table5[[#This Row],[Entered]]&lt;&gt;Table5[[#This Row],[Quantity]],"Check","")</f>
        <v/>
      </c>
    </row>
    <row r="1007" spans="1:10" ht="15" x14ac:dyDescent="0.2">
      <c r="A1007" s="324" t="s">
        <v>2980</v>
      </c>
      <c r="B1007" s="324" t="str">
        <f t="shared" si="66"/>
        <v>0960</v>
      </c>
      <c r="C1007" s="324" t="str">
        <f t="shared" si="67"/>
        <v>52640</v>
      </c>
      <c r="D1007" s="324" t="str">
        <f>"0111"</f>
        <v>0111</v>
      </c>
      <c r="E1007" s="324">
        <v>1</v>
      </c>
      <c r="F1007" s="827">
        <f>(COUNTIF(Name,"DOOR CVTY")*3)+(COUNTIF(Name,"DOOR CVTY DBL")*4)+(COUNTIF('CSV FF'!A:A,"DOOR CVTY")*3)+(COUNTIF('CSV FF'!A:A,"DOOR CVTY DBL")*4)</f>
        <v>0</v>
      </c>
      <c r="G1007" s="829"/>
      <c r="H1007" s="412" t="s">
        <v>2983</v>
      </c>
      <c r="I1007" s="1258"/>
      <c r="J1007" s="2" t="str">
        <f>IF(Table5[[#This Row],[Entered]]&lt;&gt;Table5[[#This Row],[Quantity]],"Check","")</f>
        <v/>
      </c>
    </row>
    <row r="1008" spans="1:10" ht="15" x14ac:dyDescent="0.2">
      <c r="A1008" s="324" t="s">
        <v>2980</v>
      </c>
      <c r="B1008" s="324" t="str">
        <f t="shared" si="66"/>
        <v>0960</v>
      </c>
      <c r="C1008" s="324" t="str">
        <f t="shared" si="67"/>
        <v>52640</v>
      </c>
      <c r="D1008" s="324" t="str">
        <f>"0730"</f>
        <v>0730</v>
      </c>
      <c r="E1008" s="324">
        <v>1</v>
      </c>
      <c r="F1008" s="827">
        <f>Mouldings!AD35</f>
        <v>0</v>
      </c>
      <c r="G1008" s="829">
        <v>14.42</v>
      </c>
      <c r="H1008" s="412" t="s">
        <v>2984</v>
      </c>
      <c r="I1008" s="1258"/>
      <c r="J1008" s="2" t="str">
        <f>IF(Table5[[#This Row],[Entered]]&lt;&gt;Table5[[#This Row],[Quantity]],"Check","")</f>
        <v/>
      </c>
    </row>
    <row r="1009" spans="1:10" ht="15" x14ac:dyDescent="0.2">
      <c r="A1009" s="324" t="s">
        <v>2980</v>
      </c>
      <c r="B1009" s="324" t="str">
        <f t="shared" si="66"/>
        <v>0960</v>
      </c>
      <c r="C1009" s="324" t="str">
        <f t="shared" si="67"/>
        <v>52640</v>
      </c>
      <c r="D1009" s="324" t="str">
        <f>"0740"</f>
        <v>0740</v>
      </c>
      <c r="E1009" s="324">
        <v>1</v>
      </c>
      <c r="F1009" s="827">
        <f>Mouldings!AD36</f>
        <v>0</v>
      </c>
      <c r="G1009" s="829">
        <v>19.260000000000002</v>
      </c>
      <c r="H1009" s="412" t="s">
        <v>2988</v>
      </c>
      <c r="I1009" s="1258"/>
      <c r="J1009" s="2" t="str">
        <f>IF(Table5[[#This Row],[Entered]]&lt;&gt;Table5[[#This Row],[Quantity]],"Check","")</f>
        <v/>
      </c>
    </row>
    <row r="1010" spans="1:10" ht="15" x14ac:dyDescent="0.2">
      <c r="A1010" s="324" t="s">
        <v>2980</v>
      </c>
      <c r="B1010" s="324" t="str">
        <f t="shared" si="66"/>
        <v>0960</v>
      </c>
      <c r="C1010" s="324" t="str">
        <f t="shared" si="67"/>
        <v>52640</v>
      </c>
      <c r="D1010" s="324" t="str">
        <f>"0750"</f>
        <v>0750</v>
      </c>
      <c r="E1010" s="324">
        <v>1</v>
      </c>
      <c r="F1010" s="827">
        <f>Mouldings!AD37</f>
        <v>0</v>
      </c>
      <c r="G1010" s="829">
        <v>28.89</v>
      </c>
      <c r="H1010" s="412" t="s">
        <v>2991</v>
      </c>
      <c r="I1010" s="1258"/>
      <c r="J1010" s="2" t="str">
        <f>IF(Table5[[#This Row],[Entered]]&lt;&gt;Table5[[#This Row],[Quantity]],"Check","")</f>
        <v/>
      </c>
    </row>
    <row r="1011" spans="1:10" ht="15" x14ac:dyDescent="0.2">
      <c r="A1011" s="324" t="s">
        <v>2980</v>
      </c>
      <c r="B1011" s="324" t="str">
        <f t="shared" si="66"/>
        <v>0960</v>
      </c>
      <c r="C1011" s="324" t="str">
        <f t="shared" si="67"/>
        <v>52640</v>
      </c>
      <c r="D1011" s="324" t="str">
        <f>"0730"</f>
        <v>0730</v>
      </c>
      <c r="E1011" s="324">
        <v>1</v>
      </c>
      <c r="F1011" s="827">
        <f>SUMIF(Mouldings!$AE$9:$AE$28,"1.8*600",Mouldings!$AD$9:$AD$28)</f>
        <v>0</v>
      </c>
      <c r="G1011" s="829"/>
      <c r="H1011" s="412" t="s">
        <v>2985</v>
      </c>
      <c r="I1011" s="1258"/>
      <c r="J1011" s="2" t="str">
        <f>IF(Table5[[#This Row],[Entered]]&lt;&gt;Table5[[#This Row],[Quantity]],"Check","")</f>
        <v/>
      </c>
    </row>
    <row r="1012" spans="1:10" ht="15" x14ac:dyDescent="0.2">
      <c r="A1012" s="324" t="s">
        <v>2980</v>
      </c>
      <c r="B1012" s="324" t="str">
        <f t="shared" si="66"/>
        <v>0960</v>
      </c>
      <c r="C1012" s="324" t="str">
        <f t="shared" si="67"/>
        <v>52640</v>
      </c>
      <c r="D1012" s="324" t="str">
        <f>"0780"</f>
        <v>0780</v>
      </c>
      <c r="E1012" s="324">
        <v>1</v>
      </c>
      <c r="F1012" s="827">
        <f>SUMIF(Mouldings!$AE$9:$AE$28,"2.4*600",Mouldings!$AD$9:$AD$28)</f>
        <v>0</v>
      </c>
      <c r="G1012" s="829"/>
      <c r="H1012" s="412" t="s">
        <v>2986</v>
      </c>
      <c r="I1012" s="1258"/>
      <c r="J1012" s="2" t="str">
        <f>IF(Table5[[#This Row],[Entered]]&lt;&gt;Table5[[#This Row],[Quantity]],"Check","")</f>
        <v/>
      </c>
    </row>
    <row r="1013" spans="1:10" ht="15" x14ac:dyDescent="0.2">
      <c r="A1013" s="324" t="s">
        <v>2980</v>
      </c>
      <c r="B1013" s="324" t="str">
        <f t="shared" si="66"/>
        <v>0960</v>
      </c>
      <c r="C1013" s="324" t="str">
        <f t="shared" si="67"/>
        <v>52640</v>
      </c>
      <c r="D1013" s="324" t="str">
        <f>"0790"</f>
        <v>0790</v>
      </c>
      <c r="E1013" s="324">
        <v>1</v>
      </c>
      <c r="F1013" s="827">
        <f>SUMIF(Mouldings!$AE$9:$AE$28,"3.6*600",Mouldings!$AD$9:$AD$28)</f>
        <v>0</v>
      </c>
      <c r="G1013" s="829"/>
      <c r="H1013" s="412" t="s">
        <v>2987</v>
      </c>
      <c r="I1013" s="1258"/>
      <c r="J1013" s="2" t="str">
        <f>IF(Table5[[#This Row],[Entered]]&lt;&gt;Table5[[#This Row],[Quantity]],"Check","")</f>
        <v/>
      </c>
    </row>
    <row r="1014" spans="1:10" ht="15" x14ac:dyDescent="0.2">
      <c r="A1014" s="324" t="s">
        <v>2980</v>
      </c>
      <c r="B1014" s="324" t="str">
        <f t="shared" si="66"/>
        <v>0960</v>
      </c>
      <c r="C1014" s="324" t="str">
        <f t="shared" si="67"/>
        <v>52640</v>
      </c>
      <c r="D1014" s="324" t="str">
        <f>"0800"</f>
        <v>0800</v>
      </c>
      <c r="E1014" s="324" t="s">
        <v>2893</v>
      </c>
      <c r="F1014" s="827">
        <f>IF(Mouldings!$D$7="Meranti",Mouldings!$D$45*5.4,0)</f>
        <v>0</v>
      </c>
      <c r="G1014" s="829">
        <v>1.71</v>
      </c>
      <c r="H1014" s="412" t="s">
        <v>2989</v>
      </c>
      <c r="I1014" s="1258"/>
      <c r="J1014" s="2" t="str">
        <f>IF(Table5[[#This Row],[Entered]]&lt;&gt;Table5[[#This Row],[Quantity]],"Check","")</f>
        <v/>
      </c>
    </row>
    <row r="1015" spans="1:10" ht="15" x14ac:dyDescent="0.2">
      <c r="A1015" s="324" t="s">
        <v>2980</v>
      </c>
      <c r="B1015" s="324" t="str">
        <f t="shared" si="66"/>
        <v>0960</v>
      </c>
      <c r="C1015" s="324" t="str">
        <f t="shared" si="67"/>
        <v>52640</v>
      </c>
      <c r="D1015" s="324" t="str">
        <f>"0873"</f>
        <v>0873</v>
      </c>
      <c r="E1015" s="324">
        <v>1</v>
      </c>
      <c r="F1015" s="827">
        <f>IF(Brick_type="Timber Frame",COUNTIFS(Name,"Door*",Material,"Wet"),0)</f>
        <v>0</v>
      </c>
      <c r="G1015" s="829">
        <v>13.39</v>
      </c>
      <c r="H1015" s="412" t="s">
        <v>3578</v>
      </c>
      <c r="I1015" s="1207"/>
      <c r="J1015" s="73" t="str">
        <f>IF(Table5[[#This Row],[Entered]]&lt;&gt;Table5[[#This Row],[Quantity]],"Check","")</f>
        <v/>
      </c>
    </row>
    <row r="1016" spans="1:10" ht="15" x14ac:dyDescent="0.2">
      <c r="A1016" s="324" t="s">
        <v>2980</v>
      </c>
      <c r="B1016" s="324" t="str">
        <f t="shared" si="66"/>
        <v>0960</v>
      </c>
      <c r="C1016" s="324" t="str">
        <f t="shared" si="67"/>
        <v>52640</v>
      </c>
      <c r="D1016" s="324" t="str">
        <f>"0937"</f>
        <v>0937</v>
      </c>
      <c r="E1016" s="324">
        <v>1</v>
      </c>
      <c r="F1016" s="827">
        <f>Mouldings!B45</f>
        <v>0</v>
      </c>
      <c r="G1016" s="829">
        <v>35.42</v>
      </c>
      <c r="H1016" s="412" t="s">
        <v>2990</v>
      </c>
      <c r="I1016" s="1258"/>
      <c r="J1016" s="2" t="str">
        <f>IF(Table5[[#This Row],[Entered]]&lt;&gt;Table5[[#This Row],[Quantity]],"Check","")</f>
        <v/>
      </c>
    </row>
    <row r="1017" spans="1:10" ht="15" x14ac:dyDescent="0.2">
      <c r="A1017" s="324" t="s">
        <v>2980</v>
      </c>
      <c r="B1017" s="324" t="str">
        <f t="shared" si="66"/>
        <v>0960</v>
      </c>
      <c r="C1017" s="324" t="str">
        <f t="shared" si="67"/>
        <v>52640</v>
      </c>
      <c r="D1017" s="324" t="str">
        <f>"2220"</f>
        <v>2220</v>
      </c>
      <c r="E1017" s="324">
        <v>1</v>
      </c>
      <c r="F1017" s="827">
        <f>Mouldings!L45</f>
        <v>0</v>
      </c>
      <c r="G1017" s="829">
        <v>16.43</v>
      </c>
      <c r="H1017" s="412" t="s">
        <v>3269</v>
      </c>
      <c r="I1017" s="1258"/>
      <c r="J1017" s="2" t="str">
        <f>IF(Table5[[#This Row],[Entered]]&lt;&gt;Table5[[#This Row],[Quantity]],"Check","")</f>
        <v/>
      </c>
    </row>
    <row r="1018" spans="1:10" ht="15" x14ac:dyDescent="0.2">
      <c r="A1018" s="324" t="s">
        <v>2980</v>
      </c>
      <c r="B1018" s="324" t="str">
        <f t="shared" si="66"/>
        <v>0960</v>
      </c>
      <c r="C1018" s="324" t="str">
        <f t="shared" si="67"/>
        <v>52640</v>
      </c>
      <c r="D1018" s="324" t="str">
        <f>"2254"</f>
        <v>2254</v>
      </c>
      <c r="E1018" s="324">
        <v>1</v>
      </c>
      <c r="F1018" s="827">
        <f ca="1">CEILING(SUMIFS(Length,Name,"Skirting",Length,"&lt;=2.7",Material,""),2.7)/2.7+CEILING(SUMIFS(Length,Name,"Skirting",Length,"&gt;2.7",Material,""),5.4/1)/5.4</f>
        <v>0</v>
      </c>
      <c r="G1018" s="1105"/>
      <c r="H1018" s="412" t="s">
        <v>3713</v>
      </c>
      <c r="I1018" s="1258"/>
      <c r="J1018" s="2" t="str">
        <f ca="1">IF(Table5[[#This Row],[Entered]]&lt;&gt;Table5[[#This Row],[Quantity]],"Check","")</f>
        <v/>
      </c>
    </row>
    <row r="1019" spans="1:10" ht="15" x14ac:dyDescent="0.2">
      <c r="A1019" s="324" t="s">
        <v>2980</v>
      </c>
      <c r="B1019" s="324" t="str">
        <f t="shared" si="66"/>
        <v>0960</v>
      </c>
      <c r="C1019" s="324" t="str">
        <f t="shared" si="67"/>
        <v>52640</v>
      </c>
      <c r="D1019" s="324">
        <v>2234</v>
      </c>
      <c r="E1019" s="324">
        <v>1</v>
      </c>
      <c r="F1019" s="827">
        <f ca="1">IF(Brick_type="Timber Frame",COUNTIFS(Name,"Door*",Material,"&lt;&gt;Wet"),0)*2+CEILING(SUMIFS(Length,Name,"Skirting",Length,"&lt;=2.7",Material,"67"),2.7)/2.7+CEILING(SUMIFS(Length,Name,"Skirting",Length,"&gt;2.7",Material,"67"),5.4/1)/5.4</f>
        <v>0</v>
      </c>
      <c r="G1019" s="829">
        <v>11.6</v>
      </c>
      <c r="H1019" s="412" t="s">
        <v>3579</v>
      </c>
      <c r="I1019" s="1258"/>
      <c r="J1019" s="2" t="str">
        <f ca="1">IF(Table5[[#This Row],[Entered]]&lt;&gt;Table5[[#This Row],[Quantity]],"Check","")</f>
        <v/>
      </c>
    </row>
    <row r="1020" spans="1:10" ht="15" x14ac:dyDescent="0.2">
      <c r="A1020" s="324" t="s">
        <v>2980</v>
      </c>
      <c r="B1020" s="324" t="str">
        <f t="shared" si="66"/>
        <v>0960</v>
      </c>
      <c r="C1020" s="324" t="str">
        <f t="shared" si="67"/>
        <v>52640</v>
      </c>
      <c r="D1020" s="324">
        <v>7001</v>
      </c>
      <c r="E1020" s="324">
        <v>1</v>
      </c>
      <c r="F1020" s="827">
        <f>IF(Brick_type="Timber Frame",COUNTIFS(Name,"Door*",Material,"Wet"),0)*2</f>
        <v>0</v>
      </c>
      <c r="G1020" s="829">
        <v>0</v>
      </c>
      <c r="H1020" s="412" t="s">
        <v>3617</v>
      </c>
      <c r="I1020" s="1207"/>
      <c r="J1020" s="73" t="str">
        <f>IF(Table5[[#This Row],[Entered]]&lt;&gt;Table5[[#This Row],[Quantity]],"Check","")</f>
        <v/>
      </c>
    </row>
    <row r="1021" spans="1:10" ht="15" x14ac:dyDescent="0.2">
      <c r="A1021" s="324" t="s">
        <v>2980</v>
      </c>
      <c r="B1021" s="324" t="str">
        <f t="shared" si="66"/>
        <v>0960</v>
      </c>
      <c r="C1021" s="324">
        <v>52014</v>
      </c>
      <c r="D1021" s="324">
        <v>7000</v>
      </c>
      <c r="E1021" s="324">
        <v>1</v>
      </c>
      <c r="F1021" s="827">
        <f>COUNTIFS(Addenda!A:A,"*GABLEMASTER*",Addenda!A:A,"*RECTANGULAR*")</f>
        <v>0</v>
      </c>
      <c r="G1021" s="829">
        <v>105.11</v>
      </c>
      <c r="H1021" s="412" t="s">
        <v>3564</v>
      </c>
      <c r="I1021" s="1258"/>
      <c r="J1021" s="73" t="str">
        <f>IF(Table5[[#This Row],[Entered]]&lt;&gt;Table5[[#This Row],[Quantity]],"Check","")</f>
        <v/>
      </c>
    </row>
    <row r="1022" spans="1:10" ht="15" x14ac:dyDescent="0.2">
      <c r="A1022" s="324" t="s">
        <v>2980</v>
      </c>
      <c r="B1022" s="324" t="str">
        <f t="shared" si="66"/>
        <v>0960</v>
      </c>
      <c r="C1022" s="324">
        <v>52014</v>
      </c>
      <c r="D1022" s="324">
        <v>7002</v>
      </c>
      <c r="E1022" s="324">
        <v>1</v>
      </c>
      <c r="F1022" s="1128"/>
      <c r="G1022" s="829">
        <v>81.08</v>
      </c>
      <c r="H1022" s="412" t="s">
        <v>3618</v>
      </c>
      <c r="I1022" s="1258"/>
      <c r="J1022" s="73" t="str">
        <f>IF(Table5[[#This Row],[Entered]]&lt;&gt;Table5[[#This Row],[Quantity]],"Check","")</f>
        <v/>
      </c>
    </row>
    <row r="1023" spans="1:10" ht="15" x14ac:dyDescent="0.2">
      <c r="A1023" s="324" t="s">
        <v>2980</v>
      </c>
      <c r="B1023" s="324" t="str">
        <f t="shared" si="66"/>
        <v>0960</v>
      </c>
      <c r="C1023" s="324">
        <v>52014</v>
      </c>
      <c r="D1023" s="324">
        <v>7003</v>
      </c>
      <c r="E1023" s="324">
        <v>1</v>
      </c>
      <c r="F1023" s="1128"/>
      <c r="G1023" s="829">
        <v>47.22</v>
      </c>
      <c r="H1023" s="412" t="s">
        <v>3619</v>
      </c>
      <c r="I1023" s="1258"/>
      <c r="J1023" s="73" t="str">
        <f>IF(Table5[[#This Row],[Entered]]&lt;&gt;Table5[[#This Row],[Quantity]],"Check","")</f>
        <v/>
      </c>
    </row>
    <row r="1024" spans="1:10" ht="15" x14ac:dyDescent="0.2">
      <c r="A1024" s="324" t="s">
        <v>2980</v>
      </c>
      <c r="B1024" s="324" t="str">
        <f t="shared" si="66"/>
        <v>0960</v>
      </c>
      <c r="C1024" s="324">
        <v>52014</v>
      </c>
      <c r="D1024" s="324" t="str">
        <f>"9029"</f>
        <v>9029</v>
      </c>
      <c r="E1024" s="324">
        <v>1</v>
      </c>
      <c r="F1024" s="827" cm="1">
        <f t="array" ref="F1024">IF(SUM($F$1021:$F$1023)&gt;0,IF(SUMPRODUCT(--ISNUMBER(SEARCH(BunningsZone1,Address)))&gt;0,1,0),0)</f>
        <v>0</v>
      </c>
      <c r="G1024" s="829"/>
      <c r="H1024" s="412" t="s">
        <v>2916</v>
      </c>
      <c r="I1024" s="1258"/>
      <c r="J1024" s="73" t="str">
        <f>IF(Table5[[#This Row],[Entered]]&lt;&gt;Table5[[#This Row],[Quantity]],"Check","")</f>
        <v/>
      </c>
    </row>
    <row r="1025" spans="1:10" ht="15" x14ac:dyDescent="0.2">
      <c r="A1025" s="324" t="s">
        <v>2980</v>
      </c>
      <c r="B1025" s="324" t="str">
        <f t="shared" si="66"/>
        <v>0960</v>
      </c>
      <c r="C1025" s="324">
        <v>52014</v>
      </c>
      <c r="D1025" s="324" t="str">
        <f>"9031"</f>
        <v>9031</v>
      </c>
      <c r="E1025" s="324">
        <v>1</v>
      </c>
      <c r="F1025" s="827" cm="1">
        <f t="array" ref="F1025">IF(SUM($F$1021:$F$1023)&gt;0,IF(SUMPRODUCT(--ISNUMBER(SEARCH(BunningsZone2,Address)))&gt;0,1,0),0)</f>
        <v>0</v>
      </c>
      <c r="G1025" s="829">
        <v>55</v>
      </c>
      <c r="H1025" s="412" t="s">
        <v>2917</v>
      </c>
      <c r="I1025" s="1258"/>
      <c r="J1025" s="73" t="str">
        <f>IF(Table5[[#This Row],[Entered]]&lt;&gt;Table5[[#This Row],[Quantity]],"Check","")</f>
        <v/>
      </c>
    </row>
    <row r="1026" spans="1:10" ht="15" x14ac:dyDescent="0.2">
      <c r="A1026" s="324" t="s">
        <v>2980</v>
      </c>
      <c r="B1026" s="324" t="str">
        <f t="shared" si="66"/>
        <v>0960</v>
      </c>
      <c r="C1026" s="324">
        <v>52014</v>
      </c>
      <c r="D1026" s="324" t="str">
        <f>"9044"</f>
        <v>9044</v>
      </c>
      <c r="E1026" s="324">
        <v>1</v>
      </c>
      <c r="F1026" s="827" cm="1">
        <f t="array" ref="F1026">IF(SUM($F$1021:$F$1023)&gt;0,IF(SUMPRODUCT(--ISNUMBER(SEARCH(BunningsZone3,Address)))&gt;0,1,0),0)</f>
        <v>0</v>
      </c>
      <c r="G1026" s="829">
        <v>55</v>
      </c>
      <c r="H1026" s="412" t="s">
        <v>2918</v>
      </c>
      <c r="I1026" s="1258"/>
      <c r="J1026" s="73" t="str">
        <f>IF(Table5[[#This Row],[Entered]]&lt;&gt;Table5[[#This Row],[Quantity]],"Check","")</f>
        <v/>
      </c>
    </row>
    <row r="1027" spans="1:10" ht="15" x14ac:dyDescent="0.2">
      <c r="A1027" s="324" t="s">
        <v>2980</v>
      </c>
      <c r="B1027" s="324" t="str">
        <f t="shared" si="66"/>
        <v>0960</v>
      </c>
      <c r="C1027" s="324">
        <v>52014</v>
      </c>
      <c r="D1027" s="324" t="str">
        <f>"9068"</f>
        <v>9068</v>
      </c>
      <c r="E1027" s="324">
        <v>1</v>
      </c>
      <c r="F1027" s="827" cm="1">
        <f t="array" ref="F1027">IF(SUM($F$1021:$F$1023)&gt;0,IF(SUMPRODUCT(--ISNUMBER(SEARCH(BunningsZone4,Address)))&gt;0,1,0),0)</f>
        <v>0</v>
      </c>
      <c r="G1027" s="829">
        <v>55</v>
      </c>
      <c r="H1027" s="412" t="s">
        <v>2919</v>
      </c>
      <c r="I1027" s="1258"/>
      <c r="J1027" s="73" t="str">
        <f>IF(Table5[[#This Row],[Entered]]&lt;&gt;Table5[[#This Row],[Quantity]],"Check","")</f>
        <v/>
      </c>
    </row>
    <row r="1028" spans="1:10" ht="15" x14ac:dyDescent="0.2">
      <c r="A1028" s="324" t="s">
        <v>2980</v>
      </c>
      <c r="B1028" s="324" t="str">
        <f t="shared" si="66"/>
        <v>0960</v>
      </c>
      <c r="C1028" s="324">
        <v>52014</v>
      </c>
      <c r="D1028" s="324" t="str">
        <f>"9024"</f>
        <v>9024</v>
      </c>
      <c r="E1028" s="324">
        <v>1</v>
      </c>
      <c r="F1028" s="827" cm="1">
        <f t="array" ref="F1028">IF(SUM($F$1021:$F$1023)&gt;0,IF(SUMPRODUCT(--ISNUMBER(SEARCH(BunningsZone5,Address)))&gt;0,1,0),0)</f>
        <v>0</v>
      </c>
      <c r="G1028" s="829"/>
      <c r="H1028" s="412" t="s">
        <v>2920</v>
      </c>
      <c r="I1028" s="1258"/>
      <c r="J1028" s="73" t="str">
        <f>IF(Table5[[#This Row],[Entered]]&lt;&gt;Table5[[#This Row],[Quantity]],"Check","")</f>
        <v/>
      </c>
    </row>
    <row r="1029" spans="1:10" ht="15" x14ac:dyDescent="0.2">
      <c r="A1029" s="324"/>
      <c r="B1029" s="324"/>
      <c r="C1029" s="324"/>
      <c r="D1029" s="324"/>
      <c r="E1029" s="324"/>
      <c r="F1029" s="827"/>
      <c r="G1029" s="829"/>
      <c r="H1029" s="412"/>
      <c r="I1029" s="1258"/>
      <c r="J1029" s="2" t="str">
        <f>IF(Table5[[#This Row],[Entered]]&lt;&gt;Table5[[#This Row],[Quantity]],"Check","")</f>
        <v/>
      </c>
    </row>
    <row r="1030" spans="1:10" ht="15" x14ac:dyDescent="0.2">
      <c r="A1030" s="324" t="s">
        <v>2980</v>
      </c>
      <c r="B1030" s="324" t="str">
        <f t="shared" ref="B1030:B1061" si="68">"0980"</f>
        <v>0980</v>
      </c>
      <c r="C1030" s="324" t="str">
        <f t="shared" ref="C1030:C1061" si="69">"52640"</f>
        <v>52640</v>
      </c>
      <c r="D1030" s="1103" t="s">
        <v>663</v>
      </c>
      <c r="E1030" s="324">
        <v>1</v>
      </c>
      <c r="F1030" s="827">
        <f>IF(AND(COUNTIF(Addenda!A:A,"*HUME JST1*")&gt;0,COUNTIF(Addenda!A:A,"*CLEAR*")&gt;0),COUNTIFS(Name,"*DOOR ENTRY*",Length,"1.200"),0)+IF(AND(COUNTIF(Addenda!A:A,"*HUME JST1*")&gt;0,COUNTIF(Addenda!A:A,"*CLEAR*")&gt;0),COUNTIFS(NameFF,"*DOOR ENTRY*",'CSV FF'!$C:$C,"1.200"),0)</f>
        <v>0</v>
      </c>
      <c r="G1030" s="829">
        <v>472.55</v>
      </c>
      <c r="H1030" s="1111" t="s">
        <v>1510</v>
      </c>
      <c r="I1030" s="1205"/>
      <c r="J1030" s="2" t="str">
        <f>IF(Table5[[#This Row],[Entered]]&lt;&gt;Table5[[#This Row],[Quantity]],"Check","")</f>
        <v/>
      </c>
    </row>
    <row r="1031" spans="1:10" ht="15" x14ac:dyDescent="0.2">
      <c r="A1031" s="324" t="s">
        <v>2980</v>
      </c>
      <c r="B1031" s="324" t="str">
        <f t="shared" si="68"/>
        <v>0980</v>
      </c>
      <c r="C1031" s="324" t="str">
        <f t="shared" si="69"/>
        <v>52640</v>
      </c>
      <c r="D1031" s="1103" t="s">
        <v>663</v>
      </c>
      <c r="E1031" s="324">
        <v>1</v>
      </c>
      <c r="F1031" s="827">
        <f>IF(AND(COUNTIF(Addenda!A:A,"*HUME JST1*")&gt;0,COUNTIF(Addenda!A:A,"*TRANS*")&gt;0),COUNTIFS(Name,"*DOOR ENTRY*",Length,"1.200"),0)+IF(AND(COUNTIF(Addenda!A:A,"*HUME JST1*")&gt;0,COUNTIF(Addenda!A:A,"*TRANS*")&gt;0),COUNTIFS(NameFF,"*DOOR ENTRY*",'CSV FF'!$C:$C,"1.200"),0)</f>
        <v>0</v>
      </c>
      <c r="G1031" s="829">
        <v>514.15</v>
      </c>
      <c r="H1031" s="1111" t="s">
        <v>1511</v>
      </c>
      <c r="I1031" s="1205"/>
      <c r="J1031" s="2" t="str">
        <f>IF(Table5[[#This Row],[Entered]]&lt;&gt;Table5[[#This Row],[Quantity]],"Check","")</f>
        <v/>
      </c>
    </row>
    <row r="1032" spans="1:10" ht="15" x14ac:dyDescent="0.2">
      <c r="A1032" s="324" t="s">
        <v>2980</v>
      </c>
      <c r="B1032" s="324" t="str">
        <f t="shared" si="68"/>
        <v>0980</v>
      </c>
      <c r="C1032" s="324" t="str">
        <f t="shared" si="69"/>
        <v>52640</v>
      </c>
      <c r="D1032" s="1103" t="s">
        <v>663</v>
      </c>
      <c r="E1032" s="324">
        <v>1</v>
      </c>
      <c r="F1032" s="827">
        <f>IF(AND(COUNTIF(Addenda!A:A,"*HUME XS24*")&gt;0,COUNTIF(Addenda!A:A,"*CLEAR*")&gt;0),COUNTIFS(Name,"*DOOR ENTRY*",Length,"1.200"),0)+IF(AND(COUNTIF(Addenda!A:A,"*HUME XS24*")&gt;0,COUNTIF(Addenda!A:A,"*CLEAR*")&gt;0),COUNTIFS(NameFF,"*DOOR ENTRY*",'CSV FF'!$C:$C,"1.200"),0)</f>
        <v>0</v>
      </c>
      <c r="G1032" s="829">
        <v>583.70000000000005</v>
      </c>
      <c r="H1032" s="1111" t="s">
        <v>1509</v>
      </c>
      <c r="I1032" s="1205"/>
      <c r="J1032" s="2" t="str">
        <f>IF(Table5[[#This Row],[Entered]]&lt;&gt;Table5[[#This Row],[Quantity]],"Check","")</f>
        <v/>
      </c>
    </row>
    <row r="1033" spans="1:10" ht="15" x14ac:dyDescent="0.2">
      <c r="A1033" s="324" t="s">
        <v>2980</v>
      </c>
      <c r="B1033" s="324" t="str">
        <f t="shared" si="68"/>
        <v>0980</v>
      </c>
      <c r="C1033" s="324" t="str">
        <f t="shared" si="69"/>
        <v>52640</v>
      </c>
      <c r="D1033" s="1103" t="s">
        <v>663</v>
      </c>
      <c r="E1033" s="324">
        <v>1</v>
      </c>
      <c r="F1033" s="827">
        <f>IF(AND(COUNTIF(Addenda!A:A,"*HUME XS24*")&gt;0,COUNTIF(Addenda!A:A,"*TRANS*")&gt;0),COUNTIFS(Name,"*DOOR ENTRY*",Length,"1.200"),0)+IF(AND(COUNTIF(Addenda!A:A,"*HUME XS24*")&gt;0,COUNTIF(Addenda!A:A,"*TRANS*")&gt;0),COUNTIFS(NameFF,"*DOOR ENTRY*",'CSV FF'!$C:$C,"1.200"),0)</f>
        <v>0</v>
      </c>
      <c r="G1033" s="829">
        <v>632.45000000000005</v>
      </c>
      <c r="H1033" s="1111" t="s">
        <v>1508</v>
      </c>
      <c r="I1033" s="1205"/>
      <c r="J1033" s="2" t="str">
        <f>IF(Table5[[#This Row],[Entered]]&lt;&gt;Table5[[#This Row],[Quantity]],"Check","")</f>
        <v/>
      </c>
    </row>
    <row r="1034" spans="1:10" ht="15" x14ac:dyDescent="0.2">
      <c r="A1034" s="324" t="s">
        <v>2980</v>
      </c>
      <c r="B1034" s="324" t="str">
        <f t="shared" si="68"/>
        <v>0980</v>
      </c>
      <c r="C1034" s="324" t="str">
        <f t="shared" si="69"/>
        <v>52640</v>
      </c>
      <c r="D1034" s="1103" t="s">
        <v>663</v>
      </c>
      <c r="E1034" s="324">
        <v>1</v>
      </c>
      <c r="F1034" s="827">
        <f>IF(AND(COUNTIF(Addenda!A:A,"*HUME XS26*")&gt;0,COUNTIF(Addenda!A:A,"*CLEAR*")&gt;0),COUNTIFS(Name,"*DOOR ENTRY*",Length,"1.200"),0)+IF(AND(COUNTIF(Addenda!A:A,"*HUME XS26*")&gt;0,COUNTIF(Addenda!A:A,"*CLEAR*")&gt;0),COUNTIFS(NameFF,"*DOOR ENTRY*",'CSV FF'!$C:$C,"1.200"),0)</f>
        <v>0</v>
      </c>
      <c r="G1034" s="829">
        <v>614.9</v>
      </c>
      <c r="H1034" s="1111" t="s">
        <v>1513</v>
      </c>
      <c r="I1034" s="1205"/>
      <c r="J1034" s="2" t="str">
        <f>IF(Table5[[#This Row],[Entered]]&lt;&gt;Table5[[#This Row],[Quantity]],"Check","")</f>
        <v/>
      </c>
    </row>
    <row r="1035" spans="1:10" ht="15" x14ac:dyDescent="0.2">
      <c r="A1035" s="324" t="s">
        <v>2980</v>
      </c>
      <c r="B1035" s="324" t="str">
        <f t="shared" si="68"/>
        <v>0980</v>
      </c>
      <c r="C1035" s="324" t="str">
        <f t="shared" si="69"/>
        <v>52640</v>
      </c>
      <c r="D1035" s="1103" t="s">
        <v>663</v>
      </c>
      <c r="E1035" s="324">
        <v>1</v>
      </c>
      <c r="F1035" s="827">
        <f>IF(AND(COUNTIF(Addenda!A:A,"*HUME XS26*")&gt;0,COUNTIF(Addenda!A:A,"*TRANS*")&gt;0),COUNTIFS(Name,"*DOOR ENTRY*",Length,"1.200"),0)+IF(AND(COUNTIF(Addenda!A:A,"*HUME XS26*")&gt;0,COUNTIF(Addenda!A:A,"*TRANS*")&gt;0),COUNTIFS(NameFF,"*DOOR ENTRY*",'CSV FF'!$C:$C,"1.200"),0)</f>
        <v>0</v>
      </c>
      <c r="G1035" s="829">
        <v>716.95</v>
      </c>
      <c r="H1035" s="1111" t="s">
        <v>1512</v>
      </c>
      <c r="I1035" s="1205"/>
      <c r="J1035" s="2" t="str">
        <f>IF(Table5[[#This Row],[Entered]]&lt;&gt;Table5[[#This Row],[Quantity]],"Check","")</f>
        <v/>
      </c>
    </row>
    <row r="1036" spans="1:10" ht="15" x14ac:dyDescent="0.2">
      <c r="A1036" s="324" t="s">
        <v>2980</v>
      </c>
      <c r="B1036" s="324" t="str">
        <f t="shared" si="68"/>
        <v>0980</v>
      </c>
      <c r="C1036" s="324" t="str">
        <f t="shared" si="69"/>
        <v>52640</v>
      </c>
      <c r="D1036" s="1103" t="s">
        <v>663</v>
      </c>
      <c r="E1036" s="324">
        <v>1</v>
      </c>
      <c r="F1036" s="827">
        <f>IF(AND(COUNTIF(Addenda!A:A,"*HUME XS28*")&gt;0,COUNTIF(Addenda!A:A,"*CLEAR*")&gt;0),COUNTIFS(Name,"*DOOR ENTRY*",Length,"1.200"),0)+IF(AND(COUNTIF(Addenda!A:A,"*HUME XS28*")&gt;0,COUNTIF(Addenda!A:A,"*CLEAR*")&gt;0),COUNTIFS(NameFF,"*DOOR ENTRY*",'CSV FF'!$C:$C,"1.200"),0)</f>
        <v>0</v>
      </c>
      <c r="G1036" s="829">
        <v>653.25</v>
      </c>
      <c r="H1036" s="1111" t="s">
        <v>1515</v>
      </c>
      <c r="I1036" s="1205"/>
      <c r="J1036" s="2" t="str">
        <f>IF(Table5[[#This Row],[Entered]]&lt;&gt;Table5[[#This Row],[Quantity]],"Check","")</f>
        <v/>
      </c>
    </row>
    <row r="1037" spans="1:10" ht="15" x14ac:dyDescent="0.2">
      <c r="A1037" s="324" t="s">
        <v>2980</v>
      </c>
      <c r="B1037" s="324" t="str">
        <f t="shared" si="68"/>
        <v>0980</v>
      </c>
      <c r="C1037" s="324" t="str">
        <f t="shared" si="69"/>
        <v>52640</v>
      </c>
      <c r="D1037" s="1103" t="s">
        <v>663</v>
      </c>
      <c r="E1037" s="324">
        <v>1</v>
      </c>
      <c r="F1037" s="827">
        <f>IF(AND(COUNTIF(Addenda!A:A,"*HUME XS28*")&gt;0,COUNTIF(Addenda!A:A,"*TRANS*")&gt;0),COUNTIFS(Name,"*DOOR ENTRY*",Length,"1.200"),0)+IF(AND(COUNTIF(Addenda!A:A,"*HUME XS28*")&gt;0,COUNTIF(Addenda!A:A,"*TRANS*")&gt;0),COUNTIFS(NameFF,"*DOOR ENTRY*",'CSV FF'!$C:$C,"1.200"),0)</f>
        <v>0</v>
      </c>
      <c r="G1037" s="829">
        <v>702</v>
      </c>
      <c r="H1037" s="1111" t="s">
        <v>1514</v>
      </c>
      <c r="I1037" s="1205"/>
      <c r="J1037" s="2" t="str">
        <f>IF(Table5[[#This Row],[Entered]]&lt;&gt;Table5[[#This Row],[Quantity]],"Check","")</f>
        <v/>
      </c>
    </row>
    <row r="1038" spans="1:10" ht="15" x14ac:dyDescent="0.2">
      <c r="A1038" s="324" t="s">
        <v>2980</v>
      </c>
      <c r="B1038" s="324" t="str">
        <f t="shared" si="68"/>
        <v>0980</v>
      </c>
      <c r="C1038" s="324" t="str">
        <f t="shared" si="69"/>
        <v>52640</v>
      </c>
      <c r="D1038" s="1103" t="s">
        <v>663</v>
      </c>
      <c r="E1038" s="324">
        <v>1</v>
      </c>
      <c r="F1038" s="827">
        <f>IF(AND(COUNTIF(Addenda!A:A,"*HUME XS45*")&gt;0,COUNTIF(Addenda!A:A,"*CLEAR*")&gt;0),COUNTIFS(Name,"*DOOR ENTRY*",Length,"1.200"),0)+IF(AND(COUNTIF(Addenda!A:A,"*HUME XS45*")&gt;0,COUNTIF(Addenda!A:A,"*CLEAR*")&gt;0),COUNTIFS(NameFF,"*DOOR ENTRY*",'CSV FF'!$C:$C,"1.200"),0)</f>
        <v>0</v>
      </c>
      <c r="G1038" s="829">
        <v>629.20000000000005</v>
      </c>
      <c r="H1038" s="1111" t="s">
        <v>1517</v>
      </c>
      <c r="I1038" s="1205"/>
      <c r="J1038" s="2" t="str">
        <f>IF(Table5[[#This Row],[Entered]]&lt;&gt;Table5[[#This Row],[Quantity]],"Check","")</f>
        <v/>
      </c>
    </row>
    <row r="1039" spans="1:10" ht="15" x14ac:dyDescent="0.2">
      <c r="A1039" s="324" t="s">
        <v>2980</v>
      </c>
      <c r="B1039" s="324" t="str">
        <f t="shared" si="68"/>
        <v>0980</v>
      </c>
      <c r="C1039" s="324" t="str">
        <f t="shared" si="69"/>
        <v>52640</v>
      </c>
      <c r="D1039" s="1103" t="s">
        <v>663</v>
      </c>
      <c r="E1039" s="324">
        <v>1</v>
      </c>
      <c r="F1039" s="827">
        <f>IF(AND(COUNTIF(Addenda!A:A,"*HUME XS45*")&gt;0,COUNTIF(Addenda!A:A,"*TRANS*")&gt;0),COUNTIFS(Name,"*DOOR ENTRY*",Length,"1.200"),0)+IF(AND(COUNTIF(Addenda!A:A,"*HUME XS45*")&gt;0,COUNTIF(Addenda!A:A,"*TRANS*")&gt;0),COUNTIFS(NameFF,"*DOOR ENTRY*",'CSV FF'!$C:$C,"1.200"),0)</f>
        <v>0</v>
      </c>
      <c r="G1039" s="829">
        <v>677.95</v>
      </c>
      <c r="H1039" s="1111" t="s">
        <v>1516</v>
      </c>
      <c r="I1039" s="1205"/>
      <c r="J1039" s="2" t="str">
        <f>IF(Table5[[#This Row],[Entered]]&lt;&gt;Table5[[#This Row],[Quantity]],"Check","")</f>
        <v/>
      </c>
    </row>
    <row r="1040" spans="1:10" ht="15" x14ac:dyDescent="0.2">
      <c r="A1040" s="324" t="s">
        <v>2980</v>
      </c>
      <c r="B1040" s="324" t="str">
        <f t="shared" si="68"/>
        <v>0980</v>
      </c>
      <c r="C1040" s="324" t="str">
        <f t="shared" si="69"/>
        <v>52640</v>
      </c>
      <c r="D1040" s="1103" t="s">
        <v>663</v>
      </c>
      <c r="E1040" s="324">
        <v>1</v>
      </c>
      <c r="F1040" s="827">
        <f>IF(AND(COUNTIF(Addenda!A:A,"*HUME VER1*")&gt;0,COUNTIF(Addenda!A:A,"*CLEAR*")&gt;0),COUNTIFS(Name,"*DOOR ENTRY*",Length,"1.200"),0)+IF(AND(COUNTIF(Addenda!A:A,"*HUME VER1*")&gt;0,COUNTIF(Addenda!A:A,"*CLEAR*")&gt;0),COUNTIFS(NameFF,"*DOOR ENTRY*",'CSV FF'!$C:$C,"1.200"),0)</f>
        <v>0</v>
      </c>
      <c r="G1040" s="829">
        <v>443.3</v>
      </c>
      <c r="H1040" s="1111" t="s">
        <v>1519</v>
      </c>
      <c r="I1040" s="1205"/>
      <c r="J1040" s="2" t="str">
        <f>IF(Table5[[#This Row],[Entered]]&lt;&gt;Table5[[#This Row],[Quantity]],"Check","")</f>
        <v/>
      </c>
    </row>
    <row r="1041" spans="1:10" ht="15" x14ac:dyDescent="0.2">
      <c r="A1041" s="324" t="s">
        <v>2980</v>
      </c>
      <c r="B1041" s="324" t="str">
        <f t="shared" si="68"/>
        <v>0980</v>
      </c>
      <c r="C1041" s="324" t="str">
        <f t="shared" si="69"/>
        <v>52640</v>
      </c>
      <c r="D1041" s="1103" t="s">
        <v>663</v>
      </c>
      <c r="E1041" s="324">
        <v>1</v>
      </c>
      <c r="F1041" s="827">
        <f>IF(AND(COUNTIF(Addenda!A:A,"*HUME VER1*")&gt;0,COUNTIF(Addenda!A:A,"*TRANS*")&gt;0),COUNTIFS(Name,"*DOOR ENTRY*",Length,"1.200"),0)+IF(AND(COUNTIF(Addenda!A:A,"*HUME VER1*")&gt;0,COUNTIF(Addenda!A:A,"*TRANS*")&gt;0),COUNTIFS(NameFF,"*DOOR ENTRY*",'CSV FF'!$C:$C,"1.200"),0)</f>
        <v>0</v>
      </c>
      <c r="G1041" s="829">
        <v>473.85</v>
      </c>
      <c r="H1041" s="1111" t="s">
        <v>1518</v>
      </c>
      <c r="I1041" s="1205"/>
      <c r="J1041" s="2" t="str">
        <f>IF(Table5[[#This Row],[Entered]]&lt;&gt;Table5[[#This Row],[Quantity]],"Check","")</f>
        <v/>
      </c>
    </row>
    <row r="1042" spans="1:10" ht="15" x14ac:dyDescent="0.2">
      <c r="A1042" s="324" t="s">
        <v>2980</v>
      </c>
      <c r="B1042" s="324" t="str">
        <f t="shared" si="68"/>
        <v>0980</v>
      </c>
      <c r="C1042" s="324" t="str">
        <f t="shared" si="69"/>
        <v>52640</v>
      </c>
      <c r="D1042" s="1103" t="s">
        <v>663</v>
      </c>
      <c r="E1042" s="324">
        <v>1</v>
      </c>
      <c r="F1042" s="827">
        <f>IF(AND(COUNTIF(Addenda!A:A,"*HUME VER2*")&gt;0,COUNTIF(Addenda!A:A,"*CLEAR*")&gt;0),COUNTIFS(Name,"*DOOR ENTRY*",Length,"1.200"),0)+IF(AND(COUNTIF(Addenda!A:A,"*HUME VER2*")&gt;0,COUNTIF(Addenda!A:A,"*CLEAR*")&gt;0),COUNTIFS(NameFF,"*DOOR ENTRY*",'CSV FF'!$C:$C,"1.200"),0)</f>
        <v>0</v>
      </c>
      <c r="G1042" s="829">
        <v>473.85</v>
      </c>
      <c r="H1042" s="1111" t="s">
        <v>1521</v>
      </c>
      <c r="I1042" s="1205"/>
      <c r="J1042" s="2" t="str">
        <f>IF(Table5[[#This Row],[Entered]]&lt;&gt;Table5[[#This Row],[Quantity]],"Check","")</f>
        <v/>
      </c>
    </row>
    <row r="1043" spans="1:10" ht="15" x14ac:dyDescent="0.2">
      <c r="A1043" s="324" t="s">
        <v>2980</v>
      </c>
      <c r="B1043" s="324" t="str">
        <f t="shared" si="68"/>
        <v>0980</v>
      </c>
      <c r="C1043" s="324" t="str">
        <f t="shared" si="69"/>
        <v>52640</v>
      </c>
      <c r="D1043" s="1103" t="s">
        <v>663</v>
      </c>
      <c r="E1043" s="324">
        <v>1</v>
      </c>
      <c r="F1043" s="827">
        <f>IF(AND(COUNTIF(Addenda!A:A,"*HUME VER2*")&gt;0,COUNTIF(Addenda!A:A,"*TRANS*")&gt;0),COUNTIFS(Name,"*DOOR ENTRY*",Length,"1.200"),0)+IF(AND(COUNTIF(Addenda!A:A,"*HUME VER2*")&gt;0,COUNTIF(Addenda!A:A,"*TRANS*")&gt;0),COUNTIFS(NameFF,"*DOOR ENTRY*",'CSV FF'!$C:$C,"1.200"),0)</f>
        <v>0</v>
      </c>
      <c r="G1043" s="829">
        <v>504.4</v>
      </c>
      <c r="H1043" s="1111" t="s">
        <v>1520</v>
      </c>
      <c r="I1043" s="1205"/>
      <c r="J1043" s="2" t="str">
        <f>IF(Table5[[#This Row],[Entered]]&lt;&gt;Table5[[#This Row],[Quantity]],"Check","")</f>
        <v/>
      </c>
    </row>
    <row r="1044" spans="1:10" ht="15" x14ac:dyDescent="0.2">
      <c r="A1044" s="324" t="s">
        <v>2980</v>
      </c>
      <c r="B1044" s="324" t="str">
        <f t="shared" si="68"/>
        <v>0980</v>
      </c>
      <c r="C1044" s="324" t="str">
        <f t="shared" si="69"/>
        <v>52640</v>
      </c>
      <c r="D1044" s="1103" t="s">
        <v>663</v>
      </c>
      <c r="E1044" s="324">
        <v>1</v>
      </c>
      <c r="F1044" s="827">
        <f>IF(AND(COUNTIF(Addenda!A:A,"*HUME VER4*")&gt;0,COUNTIF(Addenda!A:A,"*CLEAR*")&gt;0),COUNTIFS(Name,"*DOOR ENTRY*",Length,"1.200"),0)+IF(AND(COUNTIF(Addenda!A:A,"*HUME VER4*")&gt;0,COUNTIF(Addenda!A:A,"*CLEAR*")&gt;0),COUNTIFS(NameFF,"*DOOR ENTRY*",'CSV FF'!$C:$C,"1.200"),0)</f>
        <v>0</v>
      </c>
      <c r="G1044" s="829">
        <v>484.9</v>
      </c>
      <c r="H1044" s="1111" t="s">
        <v>1522</v>
      </c>
      <c r="I1044" s="1205"/>
      <c r="J1044" s="2" t="str">
        <f>IF(Table5[[#This Row],[Entered]]&lt;&gt;Table5[[#This Row],[Quantity]],"Check","")</f>
        <v/>
      </c>
    </row>
    <row r="1045" spans="1:10" ht="15" x14ac:dyDescent="0.2">
      <c r="A1045" s="324" t="s">
        <v>2980</v>
      </c>
      <c r="B1045" s="324" t="str">
        <f t="shared" si="68"/>
        <v>0980</v>
      </c>
      <c r="C1045" s="324" t="str">
        <f t="shared" si="69"/>
        <v>52640</v>
      </c>
      <c r="D1045" s="1103" t="s">
        <v>663</v>
      </c>
      <c r="E1045" s="324">
        <v>1</v>
      </c>
      <c r="F1045" s="827">
        <f>IF(AND(COUNTIF(Addenda!A:A,"*HUME VER4*")&gt;0,COUNTIF(Addenda!A:A,"*TRANS*")&gt;0),COUNTIFS(Name,"*DOOR ENTRY*",Length,"1.200"),0)+IF(AND(COUNTIF(Addenda!A:A,"*HUME VER4*")&gt;0,COUNTIF(Addenda!A:A,"*TRANS*")&gt;0),COUNTIFS(NameFF,"*DOOR ENTRY*",'CSV FF'!$C:$C,"1.200"),0)</f>
        <v>0</v>
      </c>
      <c r="G1045" s="829">
        <v>521.29999999999995</v>
      </c>
      <c r="H1045" s="1111" t="s">
        <v>1523</v>
      </c>
      <c r="I1045" s="1205"/>
      <c r="J1045" s="2" t="str">
        <f>IF(Table5[[#This Row],[Entered]]&lt;&gt;Table5[[#This Row],[Quantity]],"Check","")</f>
        <v/>
      </c>
    </row>
    <row r="1046" spans="1:10" ht="15" x14ac:dyDescent="0.2">
      <c r="A1046" s="324" t="s">
        <v>2980</v>
      </c>
      <c r="B1046" s="324" t="str">
        <f t="shared" si="68"/>
        <v>0980</v>
      </c>
      <c r="C1046" s="324" t="str">
        <f t="shared" si="69"/>
        <v>52640</v>
      </c>
      <c r="D1046" s="1103" t="s">
        <v>663</v>
      </c>
      <c r="E1046" s="324">
        <v>1</v>
      </c>
      <c r="F1046" s="827">
        <f>IF(AND(COUNTIF(Addenda!A:A,"*HUME VER6*")&gt;0,COUNTIF(Addenda!A:A,"*CLEAR*")&gt;0),COUNTIFS(Name,"*DOOR ENTRY*",Length,"1.200"),0)+IF(AND(COUNTIF(Addenda!A:A,"*HUME VER6*")&gt;0,COUNTIF(Addenda!A:A,"*CLEAR*")&gt;0),COUNTIFS(NameFF,"*DOOR ENTRY*",'CSV FF'!$C:$C,"1.200"),0)</f>
        <v>0</v>
      </c>
      <c r="G1046" s="829">
        <v>514.15</v>
      </c>
      <c r="H1046" s="1111" t="s">
        <v>1529</v>
      </c>
      <c r="I1046" s="1205"/>
      <c r="J1046" s="2" t="str">
        <f>IF(Table5[[#This Row],[Entered]]&lt;&gt;Table5[[#This Row],[Quantity]],"Check","")</f>
        <v/>
      </c>
    </row>
    <row r="1047" spans="1:10" ht="15" x14ac:dyDescent="0.2">
      <c r="A1047" s="324" t="s">
        <v>2980</v>
      </c>
      <c r="B1047" s="324" t="str">
        <f t="shared" si="68"/>
        <v>0980</v>
      </c>
      <c r="C1047" s="324" t="str">
        <f t="shared" si="69"/>
        <v>52640</v>
      </c>
      <c r="D1047" s="1103" t="s">
        <v>663</v>
      </c>
      <c r="E1047" s="324">
        <v>1</v>
      </c>
      <c r="F1047" s="827">
        <f>IF(AND(COUNTIF(Addenda!A:A,"*HUME VER6*")&gt;0,COUNTIF(Addenda!A:A,"*TRANS*")&gt;0),COUNTIFS(Name,"*DOOR ENTRY*",Length,"1.200"),0)+IF(AND(COUNTIF(Addenda!A:A,"*HUME VER6*")&gt;0,COUNTIF(Addenda!A:A,"*TRANS*")&gt;0),COUNTIFS(NameFF,"*DOOR ENTRY*",'CSV FF'!$C:$C,"1.200"),0)</f>
        <v>0</v>
      </c>
      <c r="G1047" s="829">
        <v>547.95000000000005</v>
      </c>
      <c r="H1047" s="1111" t="s">
        <v>1528</v>
      </c>
      <c r="I1047" s="1205"/>
      <c r="J1047" s="2" t="str">
        <f>IF(Table5[[#This Row],[Entered]]&lt;&gt;Table5[[#This Row],[Quantity]],"Check","")</f>
        <v/>
      </c>
    </row>
    <row r="1048" spans="1:10" ht="15" x14ac:dyDescent="0.2">
      <c r="A1048" s="324" t="s">
        <v>2980</v>
      </c>
      <c r="B1048" s="324" t="str">
        <f t="shared" si="68"/>
        <v>0980</v>
      </c>
      <c r="C1048" s="324" t="str">
        <f t="shared" si="69"/>
        <v>52640</v>
      </c>
      <c r="D1048" s="1103" t="s">
        <v>663</v>
      </c>
      <c r="E1048" s="324">
        <v>1</v>
      </c>
      <c r="F1048" s="827">
        <f>IF(AND(COUNTIF(Addenda!A:A,"*HUME VER8*")&gt;0,COUNTIF(Addenda!A:A,"*CLEAR*")&gt;0),COUNTIFS(Name,"*DOOR ENTRY*",Length,"1.200"),0)+IF(AND(COUNTIF(Addenda!A:A,"*HUME VER8*")&gt;0,COUNTIF(Addenda!A:A,"*CLEAR*")&gt;0),COUNTIFS(NameFF,"*DOOR ENTRY*",'CSV FF'!$C:$C,"1.200"),0)</f>
        <v>0</v>
      </c>
      <c r="G1048" s="829">
        <v>541.45000000000005</v>
      </c>
      <c r="H1048" s="1111" t="s">
        <v>1525</v>
      </c>
      <c r="I1048" s="1205"/>
      <c r="J1048" s="2" t="str">
        <f>IF(Table5[[#This Row],[Entered]]&lt;&gt;Table5[[#This Row],[Quantity]],"Check","")</f>
        <v/>
      </c>
    </row>
    <row r="1049" spans="1:10" ht="15" x14ac:dyDescent="0.2">
      <c r="A1049" s="324" t="s">
        <v>2980</v>
      </c>
      <c r="B1049" s="324" t="str">
        <f t="shared" si="68"/>
        <v>0980</v>
      </c>
      <c r="C1049" s="324" t="str">
        <f t="shared" si="69"/>
        <v>52640</v>
      </c>
      <c r="D1049" s="1103" t="s">
        <v>663</v>
      </c>
      <c r="E1049" s="324">
        <v>1</v>
      </c>
      <c r="F1049" s="827">
        <f>IF(AND(COUNTIF(Addenda!A:A,"*HUME VER8*")&gt;0,COUNTIF(Addenda!A:A,"*TRANS*")&gt;0),COUNTIFS(Name,"*DOOR ENTRY*",Length,"1.200"),0)+IF(AND(COUNTIF(Addenda!A:A,"*HUME VER8*")&gt;0,COUNTIF(Addenda!A:A,"*TRANS*")&gt;0),COUNTIFS(NameFF,"*DOOR ENTRY*",'CSV FF'!$C:$C,"1.200"),0)</f>
        <v>0</v>
      </c>
      <c r="G1049" s="829">
        <v>575.25</v>
      </c>
      <c r="H1049" s="1111" t="s">
        <v>1524</v>
      </c>
      <c r="I1049" s="1205"/>
      <c r="J1049" s="2" t="str">
        <f>IF(Table5[[#This Row],[Entered]]&lt;&gt;Table5[[#This Row],[Quantity]],"Check","")</f>
        <v/>
      </c>
    </row>
    <row r="1050" spans="1:10" ht="15" x14ac:dyDescent="0.2">
      <c r="A1050" s="324" t="s">
        <v>2980</v>
      </c>
      <c r="B1050" s="324" t="str">
        <f t="shared" si="68"/>
        <v>0980</v>
      </c>
      <c r="C1050" s="324" t="str">
        <f t="shared" si="69"/>
        <v>52640</v>
      </c>
      <c r="D1050" s="1103" t="s">
        <v>663</v>
      </c>
      <c r="E1050" s="324">
        <v>1</v>
      </c>
      <c r="F1050" s="827">
        <f>IF(AND(COUNTIF(Addenda!A:A,"*HUME VER11*")&gt;0,COUNTIF(Addenda!A:A,"*CLEAR*")&gt;0),COUNTIFS(Name,"*DOOR ENTRY*",Length,"1.200"),0)+IF(AND(COUNTIF(Addenda!A:A,"*HUME VER11*")&gt;0,COUNTIF(Addenda!A:A,"*CLEAR*")&gt;0),COUNTIFS(NameFF,"*DOOR ENTRY*",'CSV FF'!$C:$C,"1.200"),0)</f>
        <v>0</v>
      </c>
      <c r="G1050" s="829">
        <v>473.85</v>
      </c>
      <c r="H1050" s="1111" t="s">
        <v>1527</v>
      </c>
      <c r="I1050" s="1205"/>
      <c r="J1050" s="2" t="str">
        <f>IF(Table5[[#This Row],[Entered]]&lt;&gt;Table5[[#This Row],[Quantity]],"Check","")</f>
        <v/>
      </c>
    </row>
    <row r="1051" spans="1:10" ht="15" x14ac:dyDescent="0.2">
      <c r="A1051" s="324" t="s">
        <v>2980</v>
      </c>
      <c r="B1051" s="324" t="str">
        <f t="shared" si="68"/>
        <v>0980</v>
      </c>
      <c r="C1051" s="324" t="str">
        <f t="shared" si="69"/>
        <v>52640</v>
      </c>
      <c r="D1051" s="1103" t="s">
        <v>663</v>
      </c>
      <c r="E1051" s="324">
        <v>1</v>
      </c>
      <c r="F1051" s="827">
        <f>IF(AND(COUNTIF(Addenda!A:A,"*HUME VER11*")&gt;0,COUNTIF(Addenda!A:A,"*TRANS*")&gt;0),COUNTIFS(Name,"*DOOR ENTRY*",Length,"1.200"),0)+IF(AND(COUNTIF(Addenda!A:A,"*HUME VER11*")&gt;0,COUNTIF(Addenda!A:A,"*TRANS*")&gt;0),COUNTIFS(NameFF,"*DOOR ENTRY*",'CSV FF'!$C:$C,"1.200"),0)</f>
        <v>0</v>
      </c>
      <c r="G1051" s="829">
        <v>504.4</v>
      </c>
      <c r="H1051" s="1111" t="s">
        <v>1526</v>
      </c>
      <c r="I1051" s="1205"/>
      <c r="J1051" s="2" t="str">
        <f>IF(Table5[[#This Row],[Entered]]&lt;&gt;Table5[[#This Row],[Quantity]],"Check","")</f>
        <v/>
      </c>
    </row>
    <row r="1052" spans="1:10" ht="15" x14ac:dyDescent="0.2">
      <c r="A1052" s="324" t="s">
        <v>2980</v>
      </c>
      <c r="B1052" s="324" t="str">
        <f t="shared" si="68"/>
        <v>0980</v>
      </c>
      <c r="C1052" s="324" t="str">
        <f t="shared" si="69"/>
        <v>52640</v>
      </c>
      <c r="D1052" s="1103" t="s">
        <v>663</v>
      </c>
      <c r="E1052" s="324">
        <v>1</v>
      </c>
      <c r="F1052" s="827">
        <f>IF(AND(COUNTIF(Addenda!C12,"*MAD 111*")&gt;0,COUNTIF(Addenda!C12,"*CLEAR*")&gt;0,COUNTIF(Addenda!C12,"*ROSEWOOD*")&gt;0),COUNTIFS(Name,"*DOOR ENTRY*",Length,"0.92"),0)+IF(AND(COUNTIF(Addenda!C12,"*MAD 111*")&gt;0,COUNTIF(Addenda!C12,"*CLEAR*")&gt;0,COUNTIF(Addenda!C12,"*ROSEWOOD*")&gt;0),COUNTIFS(Name,"*DOOR ENTRY*",Length,"0.92"),0)+IF(AND(COUNTIF(Addenda!A:A,"*MAD 111*")&gt;0,COUNTIF(Addenda!A:A,"*CLEAR*")&gt;0,COUNTIF(Addenda!A:A,"*ROSEWOOD*")&gt;0),COUNTIFS(NameFF,"*DOOR ENTRY*",'CSV FF'!$C:$C,"0.92"),0)+IF(AND(COUNTIF(Addenda!A:A,"*MAD 111*")&gt;0,COUNTIF(Addenda!A:A,"*CLEAR*")&gt;0,COUNTIF(Addenda!A:A,"*ROSEWOOD*")&gt;0),COUNTIFS(NameFF,"*DOOR ENTRY*",'CSV FF'!$C:$C,"0.92"),0)</f>
        <v>0</v>
      </c>
      <c r="G1052" s="829">
        <v>501.55</v>
      </c>
      <c r="H1052" s="1111" t="s">
        <v>1087</v>
      </c>
      <c r="I1052" s="1205"/>
      <c r="J1052" s="2" t="str">
        <f>IF(Table5[[#This Row],[Entered]]&lt;&gt;Table5[[#This Row],[Quantity]],"Check","")</f>
        <v/>
      </c>
    </row>
    <row r="1053" spans="1:10" ht="15" x14ac:dyDescent="0.2">
      <c r="A1053" s="324" t="s">
        <v>2980</v>
      </c>
      <c r="B1053" s="324" t="str">
        <f t="shared" si="68"/>
        <v>0980</v>
      </c>
      <c r="C1053" s="324" t="str">
        <f t="shared" si="69"/>
        <v>52640</v>
      </c>
      <c r="D1053" s="1103" t="s">
        <v>663</v>
      </c>
      <c r="E1053" s="324">
        <v>1</v>
      </c>
      <c r="F1053" s="827">
        <f>IF(COUNTIFS(Addenda!A:A,"*PMAD 111*")&gt;0,IF(COUNTIFS(Addenda!A:A,"*CLEAR*")&gt;0,IF(COUNTIFS(Name,"DOOR ENTRY DBL")&gt;0,2,COUNTIFS(Name,"DOOR ENTRY*")),0),0)+IF(COUNTIFS(Addenda!A:A,"*PMAD 111*")&gt;0,IF(COUNTIFS(Addenda!A:A,"*CLEAR*")&gt;0,IF(COUNTIFS(NameFF,"DOOR ENTRY DBL")&gt;0,2,COUNTIFS(NameFF,"DOOR ENTRY*")),0),0)</f>
        <v>0</v>
      </c>
      <c r="G1053" s="829">
        <v>381.55</v>
      </c>
      <c r="H1053" s="1111" t="s">
        <v>1078</v>
      </c>
      <c r="I1053" s="1205"/>
      <c r="J1053" s="2" t="str">
        <f>IF(Table5[[#This Row],[Entered]]&lt;&gt;Table5[[#This Row],[Quantity]],"Check","")</f>
        <v/>
      </c>
    </row>
    <row r="1054" spans="1:10" ht="15" x14ac:dyDescent="0.2">
      <c r="A1054" s="324" t="s">
        <v>2980</v>
      </c>
      <c r="B1054" s="324" t="str">
        <f t="shared" si="68"/>
        <v>0980</v>
      </c>
      <c r="C1054" s="324" t="str">
        <f t="shared" si="69"/>
        <v>52640</v>
      </c>
      <c r="D1054" s="1103" t="s">
        <v>663</v>
      </c>
      <c r="E1054" s="324">
        <v>1</v>
      </c>
      <c r="F1054" s="827">
        <f>IF(COUNTIFS(Addenda!A:A,"*PSTD 5V4*")&gt;0,IF(COUNTIFS(Addenda!A:A,"*TRANS*")&gt;0,IF(COUNTIFS(Name,"DOOR ENTRY DBL")&gt;0,2,COUNTIFS(Name,"DOOR ENTRY*")),0),0)+IF(COUNTIFS(Addenda!A:A,"*PSTD 5V4*")&gt;0,IF(COUNTIFS(Addenda!A:A,"*TRANS*")&gt;0,IF(COUNTIFS(NameFF,"DOOR ENTRY DBL")&gt;0,2,COUNTIFS(NameFF,"DOOR ENTRY*")),0),0)</f>
        <v>0</v>
      </c>
      <c r="G1054" s="829">
        <v>414.05</v>
      </c>
      <c r="H1054" s="1111" t="s">
        <v>1168</v>
      </c>
      <c r="I1054" s="1205"/>
      <c r="J1054" s="2" t="str">
        <f>IF(Table5[[#This Row],[Entered]]&lt;&gt;Table5[[#This Row],[Quantity]],"Check","")</f>
        <v/>
      </c>
    </row>
    <row r="1055" spans="1:10" ht="15" x14ac:dyDescent="0.2">
      <c r="A1055" s="324" t="s">
        <v>2980</v>
      </c>
      <c r="B1055" s="324" t="str">
        <f t="shared" si="68"/>
        <v>0980</v>
      </c>
      <c r="C1055" s="324" t="str">
        <f t="shared" si="69"/>
        <v>52640</v>
      </c>
      <c r="D1055" s="1103" t="s">
        <v>663</v>
      </c>
      <c r="E1055" s="324">
        <v>1</v>
      </c>
      <c r="F1055" s="827">
        <f>IF(COUNTIFS(Addenda!A:A,"*PSTD 5V8*")&gt;0,IF(COUNTIFS(Addenda!A:A,"*CLEAR*")&gt;0,IF(COUNTIFS(Name,"DOOR ENTRY DBL")&gt;0,2,COUNTIFS(Name,"DOOR ENTRY*")),0),0)+IF(COUNTIFS(Addenda!A:A,"*PSTD 5V8*")&gt;0,IF(COUNTIFS(Addenda!A:A,"*CLEAR*")&gt;0,IF(COUNTIFS(NameFF,"DOOR ENTRY DBL")&gt;0,2,COUNTIFS(NameFF,"DOOR ENTRY*")),0),0)</f>
        <v>0</v>
      </c>
      <c r="G1055" s="829">
        <v>536.25</v>
      </c>
      <c r="H1055" s="1111" t="s">
        <v>1343</v>
      </c>
      <c r="I1055" s="1205"/>
      <c r="J1055" s="2" t="str">
        <f>IF(Table5[[#This Row],[Entered]]&lt;&gt;Table5[[#This Row],[Quantity]],"Check","")</f>
        <v/>
      </c>
    </row>
    <row r="1056" spans="1:10" ht="15" x14ac:dyDescent="0.2">
      <c r="A1056" s="324" t="s">
        <v>2980</v>
      </c>
      <c r="B1056" s="324" t="str">
        <f t="shared" si="68"/>
        <v>0980</v>
      </c>
      <c r="C1056" s="324" t="str">
        <f t="shared" si="69"/>
        <v>52640</v>
      </c>
      <c r="D1056" s="1103" t="s">
        <v>663</v>
      </c>
      <c r="E1056" s="324">
        <v>1</v>
      </c>
      <c r="F1056" s="827">
        <f>IF(COUNTIFS(Addenda!A:A,"*SUN ARC*")&gt;0,IF(COUNTIFS(Addenda!A:A,"*CLEAR*")&gt;0,IF(COUNTIFS(Name,"DOOR ENTRY DBL")&gt;0,2,COUNTIFS(Name,"DOOR ENTRY")),0),0)+IF(COUNTIFS(Addenda!A:A,"*SUN ARC*")&gt;0,IF(COUNTIFS(Addenda!A:A,"*CLEAR*")&gt;0,IF(COUNTIFS(NameFF,"DOOR ENTRY DBL")&gt;0,2,COUNTIFS(NameFF,"DOOR ENTRY")),0),0)</f>
        <v>0</v>
      </c>
      <c r="G1056" s="829">
        <v>647.4</v>
      </c>
      <c r="H1056" s="1111" t="s">
        <v>1236</v>
      </c>
      <c r="I1056" s="1205"/>
      <c r="J1056" s="2" t="str">
        <f>IF(Table5[[#This Row],[Entered]]&lt;&gt;Table5[[#This Row],[Quantity]],"Check","")</f>
        <v/>
      </c>
    </row>
    <row r="1057" spans="1:10" ht="15" x14ac:dyDescent="0.2">
      <c r="A1057" s="324" t="s">
        <v>2980</v>
      </c>
      <c r="B1057" s="324" t="str">
        <f t="shared" si="68"/>
        <v>0980</v>
      </c>
      <c r="C1057" s="324" t="str">
        <f t="shared" si="69"/>
        <v>52640</v>
      </c>
      <c r="D1057" s="1103" t="s">
        <v>663</v>
      </c>
      <c r="E1057" s="324">
        <v>1</v>
      </c>
      <c r="F1057" s="827">
        <f>IF(COUNTIFS(Addenda!A:A,"*PSLM 208*")&gt;0,IF(COUNTIFS(Addenda!A:A,"*TRANS*")&gt;0,IF(COUNTIFS(Name,"DOOR ENTRY DBL")&gt;0,2,COUNTIFS(Name,"DOOR ENTRY*")),0),0)+IF(COUNTIFS(Addenda!A:A,"*PSLM 208*")&gt;0,IF(COUNTIFS(Addenda!A:A,"*TRANS*")&gt;0,IF(COUNTIFS(NameFF,"DOOR ENTRY DBL")&gt;0,2,COUNTIFS(NameFF,"DOOR ENTRY*")),0),0)</f>
        <v>0</v>
      </c>
      <c r="G1057" s="829">
        <v>557.70000000000005</v>
      </c>
      <c r="H1057" s="1111" t="s">
        <v>1233</v>
      </c>
      <c r="I1057" s="1205"/>
      <c r="J1057" s="2" t="str">
        <f>IF(Table5[[#This Row],[Entered]]&lt;&gt;Table5[[#This Row],[Quantity]],"Check","")</f>
        <v/>
      </c>
    </row>
    <row r="1058" spans="1:10" ht="15" x14ac:dyDescent="0.2">
      <c r="A1058" s="324" t="s">
        <v>2980</v>
      </c>
      <c r="B1058" s="324" t="str">
        <f t="shared" si="68"/>
        <v>0980</v>
      </c>
      <c r="C1058" s="324" t="str">
        <f t="shared" si="69"/>
        <v>52640</v>
      </c>
      <c r="D1058" s="1103" t="s">
        <v>663</v>
      </c>
      <c r="E1058" s="324">
        <v>1</v>
      </c>
      <c r="F1058" s="827">
        <f>IF(COUNTIFS(Addenda!A:A,"*ELEGANCE*",Addenda!A:A,"*111*")&gt;0,IF(COUNTIFS(Addenda!A:A,"*TRANSLUCENT*")&gt;0,IF(COUNTIFS(Name,"DOOR ENTRY DBL")&gt;0,2,COUNTIFS(Name,"DOOR ENTRY*")),0),0)+IF(COUNTIFS(Addenda!A:A,"*ELEGANCE*",Addenda!A:A,"*111*")&gt;0,IF(COUNTIFS(Addenda!A:A,"*TRANSLUCENT*")&gt;0,IF(COUNTIFS(NameFF,"DOOR ENTRY DBL")&gt;0,2,COUNTIFS(NameFF,"DOOR ENTRY*")),0),0)</f>
        <v>0</v>
      </c>
      <c r="G1058" s="829">
        <v>497.25</v>
      </c>
      <c r="H1058" s="1111" t="s">
        <v>1375</v>
      </c>
      <c r="I1058" s="1205"/>
      <c r="J1058" s="2" t="str">
        <f>IF(Table5[[#This Row],[Entered]]&lt;&gt;Table5[[#This Row],[Quantity]],"Check","")</f>
        <v/>
      </c>
    </row>
    <row r="1059" spans="1:10" ht="15" x14ac:dyDescent="0.2">
      <c r="A1059" s="324" t="s">
        <v>2980</v>
      </c>
      <c r="B1059" s="324" t="str">
        <f t="shared" si="68"/>
        <v>0980</v>
      </c>
      <c r="C1059" s="324" t="str">
        <f t="shared" si="69"/>
        <v>52640</v>
      </c>
      <c r="D1059" s="1103" t="s">
        <v>663</v>
      </c>
      <c r="E1059" s="324">
        <v>1</v>
      </c>
      <c r="F1059" s="827">
        <f>IF(COUNTIFS(Addenda!A:A,"*WINDSOR 7G*")&gt;0,IF(COUNTIFS(Addenda!A:A,"*ROSE JEWEL CERAMICA*")&gt;0,IF(COUNTIFS(Name,"DOOR ENTRY DBL")&gt;0,2,COUNTIFS(Name,"DOOR ENTRY*")),0),0)+IF(COUNTIFS(Addenda!A:A,"*WINDSOR 7G*")&gt;0,IF(COUNTIFS(Addenda!A:A,"*ROSE JEWEL CERAMICA*")&gt;0,IF(COUNTIFS(NameFF,"DOOR ENTRY DBL")&gt;0,2,COUNTIFS(NameFF,"DOOR ENTRY*")),0),0)</f>
        <v>0</v>
      </c>
      <c r="G1059" s="829">
        <v>419.9</v>
      </c>
      <c r="H1059" s="1111" t="s">
        <v>1333</v>
      </c>
      <c r="I1059" s="1205"/>
      <c r="J1059" s="2" t="str">
        <f>IF(Table5[[#This Row],[Entered]]&lt;&gt;Table5[[#This Row],[Quantity]],"Check","")</f>
        <v/>
      </c>
    </row>
    <row r="1060" spans="1:10" ht="15" x14ac:dyDescent="0.2">
      <c r="A1060" s="324" t="s">
        <v>2980</v>
      </c>
      <c r="B1060" s="324" t="str">
        <f t="shared" si="68"/>
        <v>0980</v>
      </c>
      <c r="C1060" s="324" t="str">
        <f t="shared" si="69"/>
        <v>52640</v>
      </c>
      <c r="D1060" s="324" t="str">
        <f>"7000"</f>
        <v>7000</v>
      </c>
      <c r="E1060" s="324">
        <v>1</v>
      </c>
      <c r="F1060" s="827">
        <f>IF(COUNTIFS(Addenda!A:A,"*PMAD 104*")&gt;0,IF(COUNTIFS(Addenda!A:A,"*CLEAR*")&gt;0,IF(COUNTIFS(Name,"DOOR ENTRY DBL",Length,0.82)&gt;0,2,COUNTIFS(Name,"DOOR ENTRY*",Length,0.82)),0),0)+IF(COUNTIFS(Addenda!A:A,"*PMAD 104*")&gt;0,IF(COUNTIFS(Addenda!A:A,"*CLEAR*")&gt;0,IF(COUNTIFS(NameFF,"DOOR ENTRY DBL")&gt;0,2,COUNTIFS(NameFF,"DOOR ENTRY*")),0),0)</f>
        <v>0</v>
      </c>
      <c r="G1060" s="829">
        <v>0</v>
      </c>
      <c r="H1060" s="412" t="s">
        <v>3798</v>
      </c>
      <c r="I1060" s="1258"/>
      <c r="J1060" s="2" t="str">
        <f>IF(Table5[[#This Row],[Entered]]&lt;&gt;Table5[[#This Row],[Quantity]],"Check","")</f>
        <v/>
      </c>
    </row>
    <row r="1061" spans="1:10" ht="15" x14ac:dyDescent="0.2">
      <c r="A1061" s="324" t="s">
        <v>2980</v>
      </c>
      <c r="B1061" s="324" t="str">
        <f t="shared" si="68"/>
        <v>0980</v>
      </c>
      <c r="C1061" s="324" t="str">
        <f t="shared" si="69"/>
        <v>52640</v>
      </c>
      <c r="D1061" s="1103">
        <f>7</f>
        <v>7</v>
      </c>
      <c r="E1061" s="324">
        <v>1</v>
      </c>
      <c r="F1061" s="827">
        <f>IF(COUNTIFS(Addenda!A:A,"*PSLM 208*")&gt;0,IF(COUNTIFS(Addenda!A:A,"*CLEAR*")&gt;0,IF(COUNTIFS(Name,"DOOR ENTRY DBL")&gt;0,2,COUNTIFS(Name,"DOOR ENTRY*")),0),0)+IF(COUNTIFS(Addenda!A:A,"*PSLM 208*")&gt;0,IF(COUNTIFS(Addenda!A:A,"*CLEAR*")&gt;0,IF(COUNTIFS(NameFF,"DOOR ENTRY DBL")&gt;0,2,COUNTIFS(NameFF,"DOOR ENTRY*")),0),0)</f>
        <v>0</v>
      </c>
      <c r="G1061" s="829"/>
      <c r="H1061" s="1111" t="s">
        <v>1977</v>
      </c>
      <c r="I1061" s="1205"/>
      <c r="J1061" s="2" t="str">
        <f>IF(Table5[[#This Row],[Entered]]&lt;&gt;Table5[[#This Row],[Quantity]],"Check","")</f>
        <v/>
      </c>
    </row>
    <row r="1062" spans="1:10" ht="15" x14ac:dyDescent="0.2">
      <c r="A1062" s="324" t="s">
        <v>2980</v>
      </c>
      <c r="B1062" s="324" t="str">
        <f t="shared" ref="B1062:B1101" si="70">"0980"</f>
        <v>0980</v>
      </c>
      <c r="C1062" s="324" t="str">
        <f t="shared" ref="C1062:C1101" si="71">"52640"</f>
        <v>52640</v>
      </c>
      <c r="D1062" s="1103">
        <f>11</f>
        <v>11</v>
      </c>
      <c r="E1062" s="324">
        <v>1</v>
      </c>
      <c r="F1062" s="827">
        <f>IF(COUNTIFS(Addenda!A:A,"*PMAD 101*")&gt;0,IF(COUNTIFS(Addenda!A:A,"*CLEAR*")&gt;0,IF(COUNTIFS(Name,"DOOR ENTRY DBL")&gt;0,2,COUNTIFS(Name,"DOOR ENTRY*")),0),0)+IF(COUNTIFS(Addenda!A:A,"*PMAD 101*")&gt;0,IF(COUNTIFS(Addenda!A:A,"*CLEAR*")&gt;0,IF(COUNTIFS(NameFF,"DOOR ENTRY DBL")&gt;0,2,COUNTIFS(NameFF,"DOOR ENTRY*")),0),0)</f>
        <v>0</v>
      </c>
      <c r="G1062" s="829"/>
      <c r="H1062" s="1111" t="s">
        <v>1978</v>
      </c>
      <c r="I1062" s="1205"/>
      <c r="J1062" s="2" t="str">
        <f>IF(Table5[[#This Row],[Entered]]&lt;&gt;Table5[[#This Row],[Quantity]],"Check","")</f>
        <v/>
      </c>
    </row>
    <row r="1063" spans="1:10" ht="15" x14ac:dyDescent="0.2">
      <c r="A1063" s="324" t="s">
        <v>2980</v>
      </c>
      <c r="B1063" s="324" t="str">
        <f t="shared" si="70"/>
        <v>0980</v>
      </c>
      <c r="C1063" s="324" t="str">
        <f t="shared" si="71"/>
        <v>52640</v>
      </c>
      <c r="D1063" s="1103">
        <f>22</f>
        <v>22</v>
      </c>
      <c r="E1063" s="324">
        <v>1</v>
      </c>
      <c r="F1063" s="827">
        <f>IF(COUNTIFS(Addenda!A:A,"*PMAD 04*")&gt;0,IF(COUNTIFS(Addenda!A:A,"*TRANS*")&gt;0,IF(COUNTIFS(Name,"DOOR ENTRY DBL")&gt;0,2,COUNTIFS(Name,"DOOR ENTRY*")),0),0)+IF(COUNTIFS(Addenda!A:A,"*PMAD 04*")&gt;0,IF(COUNTIFS(Addenda!A:A,"*TRANS*")&gt;0,IF(COUNTIFS(NameFF,"DOOR ENTRY DBL")&gt;0,2,COUNTIFS(NameFF,"DOOR ENTRY*")),0),0)</f>
        <v>0</v>
      </c>
      <c r="G1063" s="829"/>
      <c r="H1063" s="1111" t="s">
        <v>1979</v>
      </c>
      <c r="I1063" s="1205"/>
      <c r="J1063" s="2" t="str">
        <f>IF(Table5[[#This Row],[Entered]]&lt;&gt;Table5[[#This Row],[Quantity]],"Check","")</f>
        <v/>
      </c>
    </row>
    <row r="1064" spans="1:10" ht="15" x14ac:dyDescent="0.2">
      <c r="A1064" s="324" t="s">
        <v>2980</v>
      </c>
      <c r="B1064" s="324" t="str">
        <f t="shared" si="70"/>
        <v>0980</v>
      </c>
      <c r="C1064" s="324" t="str">
        <f t="shared" si="71"/>
        <v>52640</v>
      </c>
      <c r="D1064" s="1103">
        <f>23</f>
        <v>23</v>
      </c>
      <c r="E1064" s="324">
        <v>1</v>
      </c>
      <c r="F1064" s="827">
        <f>IF(COUNTIFS(Addenda!A:A,"*PMAD 101*")&gt;0,IF(COUNTIFS(Addenda!A:A,"*TRANS*")&gt;0,IF(COUNTIFS(Name,"DOOR ENTRY DBL")&gt;0,2,COUNTIFS(Name,"DOOR ENTRY*")),0),0)+IF(COUNTIFS(Addenda!A:A,"*PMAD 101*")&gt;0,IF(COUNTIFS(Addenda!A:A,"*TRANS*")&gt;0,IF(COUNTIFS(NameFF,"DOOR ENTRY DBL")&gt;0,2,COUNTIFS(NameFF,"DOOR ENTRY*")),0),0)</f>
        <v>0</v>
      </c>
      <c r="G1064" s="829"/>
      <c r="H1064" s="1111" t="s">
        <v>1980</v>
      </c>
      <c r="I1064" s="1205"/>
      <c r="J1064" s="2" t="str">
        <f>IF(Table5[[#This Row],[Entered]]&lt;&gt;Table5[[#This Row],[Quantity]],"Check","")</f>
        <v/>
      </c>
    </row>
    <row r="1065" spans="1:10" ht="15" x14ac:dyDescent="0.2">
      <c r="A1065" s="324" t="s">
        <v>2980</v>
      </c>
      <c r="B1065" s="324" t="str">
        <f t="shared" si="70"/>
        <v>0980</v>
      </c>
      <c r="C1065" s="324" t="str">
        <f t="shared" si="71"/>
        <v>52640</v>
      </c>
      <c r="D1065" s="1103">
        <f>24</f>
        <v>24</v>
      </c>
      <c r="E1065" s="324">
        <v>1</v>
      </c>
      <c r="F1065" s="827">
        <f>IF(COUNTIFS(Addenda!A:A,"*PMAD 104*")&gt;0,IF(COUNTIFS(Addenda!A:A,"*TRANS*")&gt;0,IF(COUNTIFS(Name,"DOOR ENTRY DBL")&gt;0,2,COUNTIFS(Name,"DOOR ENTRY*")),0),0)+IF(COUNTIFS(Addenda!A:A,"*PMAD 104*")&gt;0,IF(COUNTIFS(Addenda!A:A,"*TRANS*")&gt;0,IF(COUNTIFS(NameFF,"DOOR ENTRY DBL")&gt;0,2,COUNTIFS(NameFF,"DOOR ENTRY*")),0),0)</f>
        <v>0</v>
      </c>
      <c r="G1065" s="829"/>
      <c r="H1065" s="1111" t="s">
        <v>1981</v>
      </c>
      <c r="I1065" s="1205"/>
      <c r="J1065" s="2" t="str">
        <f>IF(Table5[[#This Row],[Entered]]&lt;&gt;Table5[[#This Row],[Quantity]],"Check","")</f>
        <v/>
      </c>
    </row>
    <row r="1066" spans="1:10" ht="15" x14ac:dyDescent="0.2">
      <c r="A1066" s="324" t="s">
        <v>2980</v>
      </c>
      <c r="B1066" s="324" t="str">
        <f t="shared" si="70"/>
        <v>0980</v>
      </c>
      <c r="C1066" s="324" t="str">
        <f t="shared" si="71"/>
        <v>52640</v>
      </c>
      <c r="D1066" s="1103">
        <f>25</f>
        <v>25</v>
      </c>
      <c r="E1066" s="324">
        <v>1</v>
      </c>
      <c r="F1066" s="827">
        <f>IF(COUNTIFS(Addenda!A:A,"*PMAD 111*")&gt;0,IF(COUNTIFS(Addenda!A:A,"*TRANS*")&gt;0,IF(COUNTIFS(Name,"DOOR ENTRY DBL")&gt;0,2,COUNTIFS(Name,"DOOR ENTRY*")),0),0)+IF(COUNTIFS(Addenda!A:A,"*PMAD 111*")&gt;0,IF(COUNTIFS(Addenda!A:A,"*TRANS*")&gt;0,IF(COUNTIFS(NameFF,"DOOR ENTRY DBL")&gt;0,2,COUNTIFS(NameFF,"DOOR ENTRY*")),0),0)</f>
        <v>0</v>
      </c>
      <c r="G1066" s="829"/>
      <c r="H1066" s="1111" t="s">
        <v>1982</v>
      </c>
      <c r="I1066" s="1205"/>
      <c r="J1066" s="2" t="str">
        <f>IF(Table5[[#This Row],[Entered]]&lt;&gt;Table5[[#This Row],[Quantity]],"Check","")</f>
        <v/>
      </c>
    </row>
    <row r="1067" spans="1:10" ht="15" x14ac:dyDescent="0.2">
      <c r="A1067" s="324" t="s">
        <v>2980</v>
      </c>
      <c r="B1067" s="324" t="str">
        <f t="shared" si="70"/>
        <v>0980</v>
      </c>
      <c r="C1067" s="324" t="str">
        <f t="shared" si="71"/>
        <v>52640</v>
      </c>
      <c r="D1067" s="1103">
        <v>31</v>
      </c>
      <c r="E1067" s="324">
        <v>1</v>
      </c>
      <c r="F1067" s="827">
        <f>IF(COUNTIFS(Addenda!A:A,"*PMAD 104*")&gt;0,IF(COUNTIFS(Addenda!A:A,"*CLEAR*")&gt;0,IF(COUNTIFS(Name,"DOOR ENTRY DBL",Length,1.02)&gt;0,2,COUNTIFS(Name,"DOOR ENTRY*",Length,1.02)),0),0)+IF(COUNTIFS(Addenda!A:A,"*PMAD 104*")&gt;0,IF(COUNTIFS(Addenda!A:A,"*CLEAR*")&gt;0,IF(COUNTIFS(NameFF,"DOOR ENTRY DBL")&gt;0,2,COUNTIFS(NameFF,"DOOR ENTRY*")),0),0)</f>
        <v>0</v>
      </c>
      <c r="G1067" s="829"/>
      <c r="H1067" s="1111" t="s">
        <v>2433</v>
      </c>
      <c r="I1067" s="1205"/>
      <c r="J1067" s="2" t="str">
        <f>IF(Table5[[#This Row],[Entered]]&lt;&gt;Table5[[#This Row],[Quantity]],"Check","")</f>
        <v/>
      </c>
    </row>
    <row r="1068" spans="1:10" ht="15" x14ac:dyDescent="0.2">
      <c r="A1068" s="324" t="s">
        <v>2980</v>
      </c>
      <c r="B1068" s="324" t="str">
        <f t="shared" si="70"/>
        <v>0980</v>
      </c>
      <c r="C1068" s="324" t="str">
        <f t="shared" si="71"/>
        <v>52640</v>
      </c>
      <c r="D1068" s="1103">
        <f>47</f>
        <v>47</v>
      </c>
      <c r="E1068" s="324">
        <v>1</v>
      </c>
      <c r="F1068" s="827">
        <f>COUNTIFS(Addenda!A:A,"*PURB104*")*IF(COUNTIFS(Name,"DOOR ENTRY DBL")&gt;0,2,COUNTIFS(Name,"DOOR ENTRY*"))+COUNTIFS(Addenda!A:A,"*PURB104*")*IF(COUNTIFS(NameFF,"DOOR ENTRY DBL")&gt;0,2,COUNTIFS(NameFF,"DOOR ENTRY*"))</f>
        <v>0</v>
      </c>
      <c r="G1068" s="829"/>
      <c r="H1068" s="1111" t="s">
        <v>1983</v>
      </c>
      <c r="I1068" s="1205"/>
      <c r="J1068" s="2" t="str">
        <f>IF(Table5[[#This Row],[Entered]]&lt;&gt;Table5[[#This Row],[Quantity]],"Check","")</f>
        <v/>
      </c>
    </row>
    <row r="1069" spans="1:10" ht="15" x14ac:dyDescent="0.2">
      <c r="A1069" s="324" t="s">
        <v>2980</v>
      </c>
      <c r="B1069" s="324" t="str">
        <f t="shared" si="70"/>
        <v>0980</v>
      </c>
      <c r="C1069" s="324" t="str">
        <f t="shared" si="71"/>
        <v>52640</v>
      </c>
      <c r="D1069" s="1103">
        <f>51</f>
        <v>51</v>
      </c>
      <c r="E1069" s="324">
        <v>1</v>
      </c>
      <c r="F1069" s="827">
        <f>COUNTIFS(Addenda!A:A,"*LANDSDOWNE*",Addenda!A:A,"*STAIN*")*(COUNTIFS(Name,"DOOR ENTRY*",Length,0.82)+COUNTIFS(Name,"DOOR ENTRY DBL",Length,0.82))+COUNTIFS(Addenda!A:A,"*LANDSDOWNE*",Addenda!A:A,"*STAIN*")*(COUNTIFS(NameFF,"DOOR ENTRY*",LengthFF,0.82)+COUNTIFS(NameFF,"DOOR ENTRY DBL",LengthFF,0.82))</f>
        <v>0</v>
      </c>
      <c r="G1069" s="829"/>
      <c r="H1069" s="1111" t="s">
        <v>1222</v>
      </c>
      <c r="I1069" s="1205"/>
      <c r="J1069" s="2" t="str">
        <f>IF(Table5[[#This Row],[Entered]]&lt;&gt;Table5[[#This Row],[Quantity]],"Check","")</f>
        <v/>
      </c>
    </row>
    <row r="1070" spans="1:10" ht="15" x14ac:dyDescent="0.2">
      <c r="A1070" s="324" t="s">
        <v>2980</v>
      </c>
      <c r="B1070" s="324" t="str">
        <f t="shared" si="70"/>
        <v>0980</v>
      </c>
      <c r="C1070" s="324" t="str">
        <f t="shared" si="71"/>
        <v>52640</v>
      </c>
      <c r="D1070" s="1103">
        <f>52</f>
        <v>52</v>
      </c>
      <c r="E1070" s="324">
        <v>1</v>
      </c>
      <c r="F1070" s="827">
        <f>COUNTIFS(Addenda!A:A,"*RANFORD*",Addenda!A:A,"*STAIN*")*(COUNTIFS(Name,"DOOR ENTRY*",Length,0.82)+COUNTIFS(Name,"DOOR ENTRY DBL",Length,0.82))+COUNTIFS(Addenda!A:A,"*RANFORD*",Addenda!A:A,"*STAIN*")*(COUNTIFS(NameFF,"DOOR ENTRY*",LengthFF,0.82)+COUNTIFS(NameFF,"DOOR ENTRY DBL",LengthFF,0.82))</f>
        <v>0</v>
      </c>
      <c r="G1070" s="829"/>
      <c r="H1070" s="1111" t="s">
        <v>1450</v>
      </c>
      <c r="I1070" s="1205"/>
      <c r="J1070" s="2" t="str">
        <f>IF(Table5[[#This Row],[Entered]]&lt;&gt;Table5[[#This Row],[Quantity]],"Check","")</f>
        <v/>
      </c>
    </row>
    <row r="1071" spans="1:10" ht="15" x14ac:dyDescent="0.2">
      <c r="A1071" s="324" t="s">
        <v>2980</v>
      </c>
      <c r="B1071" s="324" t="str">
        <f t="shared" si="70"/>
        <v>0980</v>
      </c>
      <c r="C1071" s="324" t="str">
        <f t="shared" si="71"/>
        <v>52640</v>
      </c>
      <c r="D1071" s="1103">
        <f>53</f>
        <v>53</v>
      </c>
      <c r="E1071" s="324">
        <v>1</v>
      </c>
      <c r="F1071" s="827">
        <f>COUNTIFS(Addenda!A:A,"*WARRATAH*",Addenda!A:A,"*STAIN*")*(COUNTIFS(Name,"DOOR ENTRY*",Length,0.82)+COUNTIFS(Name,"DOOR ENTRY DBL",Length,0.82))+COUNTIFS(Addenda!A:A,"*WARRATAH*",Addenda!A:A,"*STAIN*")*(COUNTIFS(NameFF,"DOOR ENTRY*",LengthFF,0.82)+COUNTIFS(NameFF,"DOOR ENTRY DBL",LengthFF,0.82))</f>
        <v>0</v>
      </c>
      <c r="G1071" s="829"/>
      <c r="H1071" s="1111" t="s">
        <v>1076</v>
      </c>
      <c r="I1071" s="1205"/>
      <c r="J1071" s="2" t="str">
        <f>IF(Table5[[#This Row],[Entered]]&lt;&gt;Table5[[#This Row],[Quantity]],"Check","")</f>
        <v/>
      </c>
    </row>
    <row r="1072" spans="1:10" ht="15" x14ac:dyDescent="0.2">
      <c r="A1072" s="324" t="s">
        <v>2980</v>
      </c>
      <c r="B1072" s="324" t="str">
        <f t="shared" si="70"/>
        <v>0980</v>
      </c>
      <c r="C1072" s="324" t="str">
        <f t="shared" si="71"/>
        <v>52640</v>
      </c>
      <c r="D1072" s="1103">
        <f>54</f>
        <v>54</v>
      </c>
      <c r="E1072" s="324">
        <v>1</v>
      </c>
      <c r="F1072" s="827">
        <f>COUNTIFS(Addenda!A:A,"*RIVERVALE*",Addenda!A:A,"*STAIN*")*(COUNTIFS(Name,"DOOR ENTRY*",Length,0.82)+COUNTIFS(Name,"DOOR ENTRY DBL",Length,0.82))+COUNTIFS(Addenda!A:A,"*RIVERVALE*",Addenda!A:A,"*STAIN*")*(COUNTIFS(NameFF,"DOOR ENTRY*",LengthFF,0.82)+COUNTIFS(NameFF,"DOOR ENTRY DBL",LengthFF,0.82))</f>
        <v>0</v>
      </c>
      <c r="G1072" s="829"/>
      <c r="H1072" s="1111" t="s">
        <v>1984</v>
      </c>
      <c r="I1072" s="1205"/>
      <c r="J1072" s="2" t="str">
        <f>IF(Table5[[#This Row],[Entered]]&lt;&gt;Table5[[#This Row],[Quantity]],"Check","")</f>
        <v/>
      </c>
    </row>
    <row r="1073" spans="1:10" ht="15" x14ac:dyDescent="0.2">
      <c r="A1073" s="324" t="s">
        <v>2980</v>
      </c>
      <c r="B1073" s="324" t="str">
        <f t="shared" si="70"/>
        <v>0980</v>
      </c>
      <c r="C1073" s="324" t="str">
        <f t="shared" si="71"/>
        <v>52640</v>
      </c>
      <c r="D1073" s="1103">
        <f>55</f>
        <v>55</v>
      </c>
      <c r="E1073" s="324">
        <v>1</v>
      </c>
      <c r="F1073" s="827">
        <f>COUNTIFS(Addenda!A:A,"*DIXON*",Addenda!A:A,"*STAIN*")*(COUNTIFS(Name,"DOOR ENTRY*",Length,0.82)+COUNTIFS(Name,"DOOR ENTRY DBL",Length,0.82))+COUNTIFS(Addenda!A:A,"*DIXON*",Addenda!A:A,"*STAIN*")*(COUNTIFS(NameFF,"DOOR ENTRY*",LengthFF,0.82)+COUNTIFS(NameFF,"DOOR ENTRY DBL",LengthFF,0.82))</f>
        <v>0</v>
      </c>
      <c r="G1073" s="829"/>
      <c r="H1073" s="1111" t="s">
        <v>1985</v>
      </c>
      <c r="I1073" s="1205"/>
      <c r="J1073" s="2" t="str">
        <f>IF(Table5[[#This Row],[Entered]]&lt;&gt;Table5[[#This Row],[Quantity]],"Check","")</f>
        <v/>
      </c>
    </row>
    <row r="1074" spans="1:10" ht="15" x14ac:dyDescent="0.2">
      <c r="A1074" s="324" t="s">
        <v>2980</v>
      </c>
      <c r="B1074" s="324" t="str">
        <f t="shared" si="70"/>
        <v>0980</v>
      </c>
      <c r="C1074" s="324" t="str">
        <f t="shared" si="71"/>
        <v>52640</v>
      </c>
      <c r="D1074" s="1103">
        <f>56</f>
        <v>56</v>
      </c>
      <c r="E1074" s="324">
        <v>1</v>
      </c>
      <c r="F1074" s="827">
        <f>COUNTIFS(Addenda!A:A,"*FREEMAN*",Addenda!A:A,"*STAIN*")*(COUNTIFS(Name,"DOOR ENTRY*",Length,0.82)+COUNTIFS(Name,"DOOR ENTRY DBL",Length,0.82))+COUNTIFS(Addenda!A:A,"*FREEMAN*",Addenda!A:A,"*STAIN*")*(COUNTIFS(NameFF,"DOOR ENTRY*",LengthFF,0.82)+COUNTIFS(NameFF,"DOOR ENTRY DBL",LengthFF,0.82))</f>
        <v>0</v>
      </c>
      <c r="G1074" s="829"/>
      <c r="H1074" s="1111" t="s">
        <v>1095</v>
      </c>
      <c r="I1074" s="1205"/>
      <c r="J1074" s="2" t="str">
        <f>IF(Table5[[#This Row],[Entered]]&lt;&gt;Table5[[#This Row],[Quantity]],"Check","")</f>
        <v/>
      </c>
    </row>
    <row r="1075" spans="1:10" ht="15" x14ac:dyDescent="0.2">
      <c r="A1075" s="324" t="s">
        <v>2980</v>
      </c>
      <c r="B1075" s="324" t="str">
        <f t="shared" si="70"/>
        <v>0980</v>
      </c>
      <c r="C1075" s="324" t="str">
        <f t="shared" si="71"/>
        <v>52640</v>
      </c>
      <c r="D1075" s="1103">
        <f>58</f>
        <v>58</v>
      </c>
      <c r="E1075" s="324">
        <v>1</v>
      </c>
      <c r="F1075" s="827">
        <f>COUNTIFS(Addenda!A:A,"*CANNINGVALE*",Addenda!A:A,"*STAIN*")*(COUNTIFS(Name,"DOOR ENTRY*",Length,0.82)+COUNTIFS(Name,"DOOR ENTRY DBL",Length,0.82))+COUNTIFS(Addenda!A:A,"*CANNINGVALE*",Addenda!A:A,"*STAIN*")*(COUNTIFS(NameFF,"DOOR ENTRY*",LengthFF,0.82)+COUNTIFS(NameFF,"DOOR ENTRY DBL",LengthFF,0.82))</f>
        <v>0</v>
      </c>
      <c r="G1075" s="829"/>
      <c r="H1075" s="1111" t="s">
        <v>1091</v>
      </c>
      <c r="I1075" s="1205"/>
      <c r="J1075" s="2" t="str">
        <f>IF(Table5[[#This Row],[Entered]]&lt;&gt;Table5[[#This Row],[Quantity]],"Check","")</f>
        <v/>
      </c>
    </row>
    <row r="1076" spans="1:10" ht="15" x14ac:dyDescent="0.2">
      <c r="A1076" s="324" t="s">
        <v>2980</v>
      </c>
      <c r="B1076" s="324" t="str">
        <f t="shared" si="70"/>
        <v>0980</v>
      </c>
      <c r="C1076" s="324" t="str">
        <f t="shared" si="71"/>
        <v>52640</v>
      </c>
      <c r="D1076" s="1103">
        <f>61</f>
        <v>61</v>
      </c>
      <c r="E1076" s="324">
        <v>1</v>
      </c>
      <c r="F1076" s="827">
        <f>COUNTIFS(Addenda!A:A,"*LANDSDOWNE*",Addenda!A:A,"&lt;&gt;*STAIN*")*(COUNTIFS(Name,"DOOR ENTRY*",Length,0.82)+COUNTIFS(Name,"DOOR ENTRY DBL",Length,0.82))+COUNTIFS(Addenda!A:A,"*LANDSDOWNE*",Addenda!A:A,"&lt;&gt;*STAIN*")*(COUNTIFS(NameFF,"DOOR ENTRY*",LengthFF,0.82)+COUNTIFS(NameFF,"DOOR ENTRY DBL",LengthFF,0.82))</f>
        <v>0</v>
      </c>
      <c r="G1076" s="829"/>
      <c r="H1076" s="1111" t="s">
        <v>1986</v>
      </c>
      <c r="I1076" s="1205"/>
      <c r="J1076" s="2" t="str">
        <f>IF(Table5[[#This Row],[Entered]]&lt;&gt;Table5[[#This Row],[Quantity]],"Check","")</f>
        <v/>
      </c>
    </row>
    <row r="1077" spans="1:10" ht="15" x14ac:dyDescent="0.2">
      <c r="A1077" s="324" t="s">
        <v>2980</v>
      </c>
      <c r="B1077" s="324" t="str">
        <f t="shared" si="70"/>
        <v>0980</v>
      </c>
      <c r="C1077" s="324" t="str">
        <f t="shared" si="71"/>
        <v>52640</v>
      </c>
      <c r="D1077" s="1103">
        <f>62</f>
        <v>62</v>
      </c>
      <c r="E1077" s="324">
        <v>1</v>
      </c>
      <c r="F1077" s="827">
        <f>COUNTIFS(Addenda!A:A,"*RANFORD*",Addenda!A:A,"&lt;&gt;*STAIN*")*(COUNTIFS(Name,"DOOR ENTRY*",Length,0.82)+COUNTIFS(Name,"DOOR ENTRY DBL",Length,0.82))+COUNTIFS(Addenda!A:A,"*RANFORD*",Addenda!A:A,"&lt;&gt;*STAIN*")*(COUNTIFS(NameFF,"DOOR ENTRY*",LengthFF,0.82)+COUNTIFS(NameFF,"DOOR ENTRY DBL",LengthFF,0.82))</f>
        <v>0</v>
      </c>
      <c r="G1077" s="829"/>
      <c r="H1077" s="1111" t="s">
        <v>1987</v>
      </c>
      <c r="I1077" s="1205"/>
      <c r="J1077" s="2" t="str">
        <f>IF(Table5[[#This Row],[Entered]]&lt;&gt;Table5[[#This Row],[Quantity]],"Check","")</f>
        <v/>
      </c>
    </row>
    <row r="1078" spans="1:10" ht="15" x14ac:dyDescent="0.2">
      <c r="A1078" s="324" t="s">
        <v>2980</v>
      </c>
      <c r="B1078" s="324" t="str">
        <f t="shared" si="70"/>
        <v>0980</v>
      </c>
      <c r="C1078" s="324" t="str">
        <f t="shared" si="71"/>
        <v>52640</v>
      </c>
      <c r="D1078" s="1103">
        <f>63</f>
        <v>63</v>
      </c>
      <c r="E1078" s="324">
        <v>1</v>
      </c>
      <c r="F1078" s="827">
        <f>COUNTIFS(Addenda!A:A,"*WARRATAH*",Addenda!A:A,"&lt;&gt;*STAIN*")*(COUNTIFS(Name,"DOOR ENTRY*",Length,0.82)+COUNTIFS(Name,"DOOR ENTRY DBL",Length,0.82))+COUNTIFS(Addenda!A:A,"*WARRATAH*",Addenda!A:A,"&lt;&gt;*STAIN*")*(COUNTIFS(NameFF,"DOOR ENTRY*",LengthFF,0.82)+COUNTIFS(NameFF,"DOOR ENTRY DBL",LengthFF,0.82))</f>
        <v>0</v>
      </c>
      <c r="G1078" s="829"/>
      <c r="H1078" s="1111" t="s">
        <v>1988</v>
      </c>
      <c r="I1078" s="1205"/>
      <c r="J1078" s="2" t="str">
        <f>IF(Table5[[#This Row],[Entered]]&lt;&gt;Table5[[#This Row],[Quantity]],"Check","")</f>
        <v/>
      </c>
    </row>
    <row r="1079" spans="1:10" ht="15" x14ac:dyDescent="0.2">
      <c r="A1079" s="324" t="s">
        <v>2980</v>
      </c>
      <c r="B1079" s="324" t="str">
        <f t="shared" si="70"/>
        <v>0980</v>
      </c>
      <c r="C1079" s="324" t="str">
        <f t="shared" si="71"/>
        <v>52640</v>
      </c>
      <c r="D1079" s="1103">
        <f>64</f>
        <v>64</v>
      </c>
      <c r="E1079" s="324">
        <v>1</v>
      </c>
      <c r="F1079" s="827">
        <f>COUNTIFS(Addenda!A:A,"*RIVERVALE*",Addenda!A:A,"&lt;&gt;*STAIN*")*(COUNTIFS(Name,"DOOR ENTRY*",Length,0.82)+COUNTIFS(Name,"DOOR ENTRY DBL",Length,0.82))+COUNTIFS(Addenda!A:A,"*RIVERVALE*",Addenda!A:A,"&lt;&gt;*STAIN*")*(COUNTIFS(NameFF,"DOOR ENTRY*",LengthFF,0.82)+COUNTIFS(NameFF,"DOOR ENTRY DBL",LengthFF,0.82))</f>
        <v>0</v>
      </c>
      <c r="G1079" s="829"/>
      <c r="H1079" s="1111" t="s">
        <v>1989</v>
      </c>
      <c r="I1079" s="1205"/>
      <c r="J1079" s="2" t="str">
        <f>IF(Table5[[#This Row],[Entered]]&lt;&gt;Table5[[#This Row],[Quantity]],"Check","")</f>
        <v/>
      </c>
    </row>
    <row r="1080" spans="1:10" ht="15" x14ac:dyDescent="0.2">
      <c r="A1080" s="324" t="s">
        <v>2980</v>
      </c>
      <c r="B1080" s="324" t="str">
        <f t="shared" si="70"/>
        <v>0980</v>
      </c>
      <c r="C1080" s="324" t="str">
        <f t="shared" si="71"/>
        <v>52640</v>
      </c>
      <c r="D1080" s="1103">
        <f>65</f>
        <v>65</v>
      </c>
      <c r="E1080" s="324">
        <v>1</v>
      </c>
      <c r="F1080" s="827">
        <f>COUNTIFS(Addenda!A:A,"*DIXON*",Addenda!A:A,"&lt;&gt;*STAIN*")*(COUNTIFS(Name,"DOOR ENTRY*",Length,0.82)+COUNTIFS(Name,"DOOR ENTRY DBL",Length,0.82))+COUNTIFS(Addenda!A:A,"*DIXON*",Addenda!A:A,"&lt;&gt;*STAIN*")*(COUNTIFS(NameFF,"DOOR ENTRY*",LengthFF,0.82)+COUNTIFS(NameFF,"DOOR ENTRY DBL",LengthFF,0.82))</f>
        <v>0</v>
      </c>
      <c r="G1080" s="829"/>
      <c r="H1080" s="1111" t="s">
        <v>1990</v>
      </c>
      <c r="I1080" s="1205"/>
      <c r="J1080" s="2" t="str">
        <f>IF(Table5[[#This Row],[Entered]]&lt;&gt;Table5[[#This Row],[Quantity]],"Check","")</f>
        <v/>
      </c>
    </row>
    <row r="1081" spans="1:10" ht="15" x14ac:dyDescent="0.2">
      <c r="A1081" s="324" t="s">
        <v>2980</v>
      </c>
      <c r="B1081" s="324" t="str">
        <f t="shared" si="70"/>
        <v>0980</v>
      </c>
      <c r="C1081" s="324" t="str">
        <f t="shared" si="71"/>
        <v>52640</v>
      </c>
      <c r="D1081" s="1103">
        <f>66</f>
        <v>66</v>
      </c>
      <c r="E1081" s="324">
        <v>1</v>
      </c>
      <c r="F1081" s="827">
        <f>COUNTIFS(Addenda!A:A,"*FREEMAN*",Addenda!A:A,"&lt;&gt;*STAIN*")*(COUNTIFS(Name,"DOOR ENTRY*",Length,0.82)+COUNTIFS(Name,"DOOR ENTRY DBL",Length,0.82))+COUNTIFS(Addenda!A:A,"*FREEMAN*",Addenda!A:A,"&lt;&gt;*STAIN*")*(COUNTIFS(NameFF,"DOOR ENTRY*",LengthFF,0.82)+COUNTIFS(NameFF,"DOOR ENTRY DBL",LengthFF,0.82))</f>
        <v>0</v>
      </c>
      <c r="G1081" s="829"/>
      <c r="H1081" s="1111" t="s">
        <v>1991</v>
      </c>
      <c r="I1081" s="1205"/>
      <c r="J1081" s="2" t="str">
        <f>IF(Table5[[#This Row],[Entered]]&lt;&gt;Table5[[#This Row],[Quantity]],"Check","")</f>
        <v/>
      </c>
    </row>
    <row r="1082" spans="1:10" ht="15" x14ac:dyDescent="0.2">
      <c r="A1082" s="324" t="s">
        <v>2980</v>
      </c>
      <c r="B1082" s="324" t="str">
        <f t="shared" si="70"/>
        <v>0980</v>
      </c>
      <c r="C1082" s="324" t="str">
        <f t="shared" si="71"/>
        <v>52640</v>
      </c>
      <c r="D1082" s="1103">
        <f>67</f>
        <v>67</v>
      </c>
      <c r="E1082" s="324">
        <v>1</v>
      </c>
      <c r="F1082" s="827">
        <f>COUNTIFS(Addenda!A:A,"*CANNINGVALE*",Addenda!A:A,"&lt;&gt;*STAIN*")*(COUNTIFS(Name,"DOOR ENTRY*",Length,0.82)+COUNTIFS(Name,"DOOR ENTRY DBL",Length,0.82))+COUNTIFS(Addenda!A:A,"*CANNINGVALE*",Addenda!A:A,"&lt;&gt;*STAIN*")*(COUNTIFS(NameFF,"DOOR ENTRY*",LengthFF,0.82)+COUNTIFS(NameFF,"DOOR ENTRY DBL",LengthFF,0.82))</f>
        <v>0</v>
      </c>
      <c r="G1082" s="829"/>
      <c r="H1082" s="1111" t="s">
        <v>1992</v>
      </c>
      <c r="I1082" s="1205"/>
      <c r="J1082" s="2" t="str">
        <f>IF(Table5[[#This Row],[Entered]]&lt;&gt;Table5[[#This Row],[Quantity]],"Check","")</f>
        <v/>
      </c>
    </row>
    <row r="1083" spans="1:10" ht="15" x14ac:dyDescent="0.2">
      <c r="A1083" s="324" t="s">
        <v>2980</v>
      </c>
      <c r="B1083" s="324" t="str">
        <f t="shared" si="70"/>
        <v>0980</v>
      </c>
      <c r="C1083" s="324" t="str">
        <f t="shared" si="71"/>
        <v>52640</v>
      </c>
      <c r="D1083" s="1103">
        <f>68</f>
        <v>68</v>
      </c>
      <c r="E1083" s="324">
        <v>1</v>
      </c>
      <c r="F1083" s="827">
        <f>COUNTIFS(Addenda!A:A,"*CANNINGVALE*",Addenda!A:A,"&lt;&gt;*STAIN*")*IF(COUNTIFS(Name,"DOOR ENTRY DBL")&gt;0,2)+COUNTIFS(Addenda!A:A,"*CANNINGVALE*",Addenda!A:A,"&lt;&gt;*STAIN*")*IF(COUNTIFS(NameFF,"DOOR ENTRY DBL")&gt;0,2)</f>
        <v>0</v>
      </c>
      <c r="G1083" s="829"/>
      <c r="H1083" s="1111" t="s">
        <v>1993</v>
      </c>
      <c r="I1083" s="1205"/>
      <c r="J1083" s="2" t="str">
        <f>IF(Table5[[#This Row],[Entered]]&lt;&gt;Table5[[#This Row],[Quantity]],"Check","")</f>
        <v/>
      </c>
    </row>
    <row r="1084" spans="1:10" ht="15" x14ac:dyDescent="0.2">
      <c r="A1084" s="324" t="s">
        <v>2980</v>
      </c>
      <c r="B1084" s="324" t="str">
        <f t="shared" si="70"/>
        <v>0980</v>
      </c>
      <c r="C1084" s="324" t="str">
        <f t="shared" si="71"/>
        <v>52640</v>
      </c>
      <c r="D1084" s="1103">
        <f>75</f>
        <v>75</v>
      </c>
      <c r="E1084" s="324">
        <v>1</v>
      </c>
      <c r="F1084" s="827">
        <f>COUNTIFS(Addenda!A:A,"*CANNINGVALE*",Addenda!A:A,"&lt;&gt;*STAIN*")*IF(COUNTIFS(Name,"DOOR ENTRY DBL")&gt;0,2,COUNTIFS(Name,"DOOR ENTRY*",Length,".87"))+COUNTIFS(Addenda!A:A,"*CANNINGVALE*",Addenda!A:A,"&lt;&gt;*STAIN*")*IF(COUNTIFS(NameFF,"DOOR ENTRY DBL")&gt;0,2,COUNTIFS(NameFF,"DOOR ENTRY*",'CSV FF'!$C:$C,".87"))</f>
        <v>0</v>
      </c>
      <c r="G1084" s="829"/>
      <c r="H1084" s="1111" t="s">
        <v>1994</v>
      </c>
      <c r="I1084" s="1205"/>
      <c r="J1084" s="2" t="str">
        <f>IF(Table5[[#This Row],[Entered]]&lt;&gt;Table5[[#This Row],[Quantity]],"Check","")</f>
        <v/>
      </c>
    </row>
    <row r="1085" spans="1:10" ht="15" x14ac:dyDescent="0.2">
      <c r="A1085" s="324" t="s">
        <v>2980</v>
      </c>
      <c r="B1085" s="324" t="str">
        <f t="shared" si="70"/>
        <v>0980</v>
      </c>
      <c r="C1085" s="324" t="str">
        <f t="shared" si="71"/>
        <v>52640</v>
      </c>
      <c r="D1085" s="1103">
        <f>150</f>
        <v>150</v>
      </c>
      <c r="E1085" s="324">
        <v>1</v>
      </c>
      <c r="F1085" s="827">
        <f>COUNTIFS(Addenda!A:A,"*1200mm*",Addenda!A:A,"*pivot*")</f>
        <v>0</v>
      </c>
      <c r="G1085" s="829"/>
      <c r="H1085" s="1111" t="s">
        <v>1995</v>
      </c>
      <c r="I1085" s="1205"/>
      <c r="J1085" s="2" t="str">
        <f>IF(Table5[[#This Row],[Entered]]&lt;&gt;Table5[[#This Row],[Quantity]],"Check","")</f>
        <v/>
      </c>
    </row>
    <row r="1086" spans="1:10" ht="15" x14ac:dyDescent="0.2">
      <c r="A1086" s="324" t="s">
        <v>2980</v>
      </c>
      <c r="B1086" s="324" t="str">
        <f t="shared" si="70"/>
        <v>0980</v>
      </c>
      <c r="C1086" s="324" t="str">
        <f t="shared" si="71"/>
        <v>52640</v>
      </c>
      <c r="D1086" s="324">
        <v>5231</v>
      </c>
      <c r="E1086" s="324">
        <v>1</v>
      </c>
      <c r="F1086" s="827">
        <f>COUNTIFS(Addenda!A:A,"*ELEMENTS*")*COUNTIFS(Name,"DOOR PA*",Length,".820")+COUNTIFS(Addenda!A:A,"*ELEMENTS*")*COUNTIFS('CSV FF'!A:A,"DOOR PA*",'CSV FF'!C:C,".820")+COUNTIFS(Addenda!A:A,"*ELEMENTS*")*COUNTIFS(NameFF,"DOOR PA*",'CSV FF'!$C:$C,".820")+COUNTIFS(Addenda!A:A,"*ELEMENTS*")*COUNTIFS(NameFF,"DOOR PA*",'CSV FF'!$C:$C,".820")+COUNTIFS(Addenda!A:A,"*ELEMENTS*")*COUNTIFS(Name,"DOOR SHPR*",Length,".820")+COUNTIFS(Addenda!A:A,"*ELEMENTS*")*COUNTIFS('CSV FF'!A:A,"DOOR SHPR*",'CSV FF'!C:C,".820")+COUNTIFS(Addenda!A:A,"*ELEMENTS*")*COUNTIFS(NameFF,"DOOR SHPR*",'CSV FF'!$C:$C,".820")+COUNTIFS(Addenda!A:A,"*ELEMENTS*")*COUNTIFS(NameFF,"DOOR SHPR*",'CSV FF'!$C:$C,".820")</f>
        <v>0</v>
      </c>
      <c r="G1086" s="829">
        <v>205.07</v>
      </c>
      <c r="H1086" s="412" t="s">
        <v>3552</v>
      </c>
      <c r="I1086" s="1258"/>
      <c r="J1086" s="2" t="str">
        <f>IF(Table5[[#This Row],[Entered]]&lt;&gt;Table5[[#This Row],[Quantity]],"Check","")</f>
        <v/>
      </c>
    </row>
    <row r="1087" spans="1:10" ht="15" x14ac:dyDescent="0.2">
      <c r="A1087" s="324" t="s">
        <v>2980</v>
      </c>
      <c r="B1087" s="324" t="str">
        <f t="shared" si="70"/>
        <v>0980</v>
      </c>
      <c r="C1087" s="324" t="str">
        <f t="shared" si="71"/>
        <v>52640</v>
      </c>
      <c r="D1087" s="324">
        <f>7232</f>
        <v>7232</v>
      </c>
      <c r="E1087" s="324">
        <v>1</v>
      </c>
      <c r="F1087" s="827">
        <f>COUNTIFS(Addenda!A:A,"*ELEMENTS*")*COUNTIFS(Name,"DOOR PA*",Length,".920")+COUNTIFS(Addenda!A:A,"*ELEMENTS*")*COUNTIFS('CSV FF'!A:A,"DOOR PA*",'CSV FF'!C:C,".920")+COUNTIFS(Addenda!A:A,"*ELEMENTS*")*COUNTIFS(NameFF,"DOOR PA*",'CSV FF'!$C:$C,".920")+COUNTIFS(Addenda!A:A,"*ELEMENTS*")*COUNTIFS(NameFF,"DOOR PA*",'CSV FF'!$C:$C,".920")+COUNTIFS(Addenda!A:A,"*ELEMENTS*")*COUNTIFS(Name,"DOOR SHPR*",Length,".920")+COUNTIFS(Addenda!A:A,"*ELEMENTS*")*COUNTIFS('CSV FF'!A:A,"DOOR SHPR*",'CSV FF'!C:C,".920")+COUNTIFS(Addenda!A:A,"*ELEMENTS*")*COUNTIFS(NameFF,"DOOR SHPR*",'CSV FF'!$C:$C,".920")+COUNTIFS(Addenda!A:A,"*ELEMENTS*")*COUNTIFS(NameFF,"DOOR SHPR*",'CSV FF'!$C:$C,".920")</f>
        <v>0</v>
      </c>
      <c r="G1087" s="829">
        <v>220.82</v>
      </c>
      <c r="H1087" s="412" t="s">
        <v>2446</v>
      </c>
      <c r="I1087" s="1205"/>
      <c r="J1087" s="2" t="str">
        <f>IF(Table5[[#This Row],[Entered]]&lt;&gt;Table5[[#This Row],[Quantity]],"Check","")</f>
        <v/>
      </c>
    </row>
    <row r="1088" spans="1:10" ht="15" x14ac:dyDescent="0.2">
      <c r="A1088" s="324" t="s">
        <v>2980</v>
      </c>
      <c r="B1088" s="324" t="str">
        <f t="shared" si="70"/>
        <v>0980</v>
      </c>
      <c r="C1088" s="324" t="str">
        <f t="shared" si="71"/>
        <v>52640</v>
      </c>
      <c r="D1088" s="1103">
        <f>270</f>
        <v>270</v>
      </c>
      <c r="E1088" s="324">
        <v>1</v>
      </c>
      <c r="F1088" s="827">
        <f>COUNTIFS(Addenda!A:A,"*SOLID*",Addenda!A:A,"*DECO 1D*")*COUNTIFS(Name,"DOOR SHPR*",Length,".820")+COUNTIFS(Addenda!A:A,"*SOLID*",Addenda!A:A,"*DECO 1S*")*COUNTIFS(Name,"DOOR SHPR*",Length,".820")+COUNTIFS(Addenda!$A:$A,"*SOLID*",Addenda!$A:$A,"*DECO 1D*")*COUNTIFS(NameFF,"DOOR SHPR*",'CSV FF'!$C:$C,".820")+COUNTIFS(Addenda!$A:$A,"*SOLID*",Addenda!$A:$A,"*DECO 1S*")*COUNTIFS(NameFF,"DOOR SHPR*",'CSV FF'!$C:$C,".820")</f>
        <v>0</v>
      </c>
      <c r="G1088" s="829"/>
      <c r="H1088" s="1111" t="s">
        <v>1996</v>
      </c>
      <c r="I1088" s="1205"/>
      <c r="J1088" s="2" t="str">
        <f>IF(Table5[[#This Row],[Entered]]&lt;&gt;Table5[[#This Row],[Quantity]],"Check","")</f>
        <v/>
      </c>
    </row>
    <row r="1089" spans="1:10" ht="15" x14ac:dyDescent="0.2">
      <c r="A1089" s="324" t="s">
        <v>2980</v>
      </c>
      <c r="B1089" s="324" t="str">
        <f t="shared" si="70"/>
        <v>0980</v>
      </c>
      <c r="C1089" s="324" t="str">
        <f t="shared" si="71"/>
        <v>52640</v>
      </c>
      <c r="D1089" s="1103">
        <f>271</f>
        <v>271</v>
      </c>
      <c r="E1089" s="324">
        <v>1</v>
      </c>
      <c r="F1089" s="827">
        <f>COUNTIFS(Addenda!A:A,"*SOLID*",Addenda!A:A,"*DECO 2D*")*COUNTIFS(Name,"DOOR SHPR*",Length,".820")+COUNTIFS(Addenda!A:A,"*SOLID*",Addenda!A:A,"*DECO 2S*")*COUNTIFS(Name,"DOOR SHPR*",Length,".820")+COUNTIFS(Addenda!$A:$A,"*SOLID*",Addenda!$A:$A,"*DECO 2D*")*COUNTIFS(NameFF,"DOOR SHPR*",'CSV FF'!$C:$C,".820")+COUNTIFS(Addenda!$A:$A,"*SOLID*",Addenda!$A:$A,"*DECO 2S*")*COUNTIFS(NameFF,"DOOR SHPR*",'CSV FF'!$C:$C,".820")</f>
        <v>0</v>
      </c>
      <c r="G1089" s="829"/>
      <c r="H1089" s="1111" t="s">
        <v>1997</v>
      </c>
      <c r="I1089" s="1205"/>
      <c r="J1089" s="2" t="str">
        <f>IF(Table5[[#This Row],[Entered]]&lt;&gt;Table5[[#This Row],[Quantity]],"Check","")</f>
        <v/>
      </c>
    </row>
    <row r="1090" spans="1:10" ht="15" x14ac:dyDescent="0.2">
      <c r="A1090" s="324" t="s">
        <v>2980</v>
      </c>
      <c r="B1090" s="324" t="str">
        <f t="shared" si="70"/>
        <v>0980</v>
      </c>
      <c r="C1090" s="324" t="str">
        <f t="shared" si="71"/>
        <v>52640</v>
      </c>
      <c r="D1090" s="1103">
        <f>272</f>
        <v>272</v>
      </c>
      <c r="E1090" s="324">
        <v>1</v>
      </c>
      <c r="F1090" s="827">
        <f>COUNTIFS(Addenda!A:A,"*SOLID*",Addenda!A:A,"*DECO 3D*")*COUNTIFS(Name,"DOOR SHPR*",Length,".820")+COUNTIFS(Addenda!A:A,"*SOLID*",Addenda!A:A,"*DECO 3S*")*COUNTIFS(Name,"DOOR SHPR*",Length,".820")+COUNTIFS(Addenda!$A:$A,"*SOLID*",Addenda!$A:$A,"*DECO 3D*")*COUNTIFS(NameFF,"DOOR SHPR*",'CSV FF'!$C:$C,".820")+COUNTIFS(Addenda!$A:$A,"*SOLID*",Addenda!$A:$A,"*DECO 3S*")*COUNTIFS(NameFF,"DOOR SHPR*",'CSV FF'!$C:$C,".820")</f>
        <v>0</v>
      </c>
      <c r="G1090" s="829"/>
      <c r="H1090" s="1111" t="s">
        <v>1998</v>
      </c>
      <c r="I1090" s="1205"/>
      <c r="J1090" s="2" t="str">
        <f>IF(Table5[[#This Row],[Entered]]&lt;&gt;Table5[[#This Row],[Quantity]],"Check","")</f>
        <v/>
      </c>
    </row>
    <row r="1091" spans="1:10" ht="15" x14ac:dyDescent="0.2">
      <c r="A1091" s="324" t="s">
        <v>2980</v>
      </c>
      <c r="B1091" s="324" t="str">
        <f t="shared" si="70"/>
        <v>0980</v>
      </c>
      <c r="C1091" s="324" t="str">
        <f t="shared" si="71"/>
        <v>52640</v>
      </c>
      <c r="D1091" s="1103">
        <f>273</f>
        <v>273</v>
      </c>
      <c r="E1091" s="324">
        <v>1</v>
      </c>
      <c r="F1091" s="827">
        <f>COUNTIFS(Addenda!A:A,"*SOLID*",Addenda!A:A,"*DECO 4D*")*COUNTIFS(Name,"DOOR SHPR*",Length,".820")+COUNTIFS(Addenda!A:A,"*SOLID*",Addenda!A:A,"*DECO 4D*")*COUNTIFS(Name,"DOOR SHPR*",Length,".820")+COUNTIFS(Addenda!$A:$A,"*SOLID*",Addenda!$A:$A,"*DECO 4D*")*COUNTIFS(NameFF,"DOOR SHPR*",'CSV FF'!$C:$C,".820")+COUNTIFS(Addenda!$A:$A,"*SOLID*",Addenda!$A:$A,"*DECO 4D*")*COUNTIFS(NameFF,"DOOR SHPR*",'CSV FF'!$C:$C,".820")</f>
        <v>0</v>
      </c>
      <c r="G1091" s="829"/>
      <c r="H1091" s="1111" t="s">
        <v>1999</v>
      </c>
      <c r="I1091" s="1205"/>
      <c r="J1091" s="2" t="str">
        <f>IF(Table5[[#This Row],[Entered]]&lt;&gt;Table5[[#This Row],[Quantity]],"Check","")</f>
        <v/>
      </c>
    </row>
    <row r="1092" spans="1:10" ht="15" x14ac:dyDescent="0.2">
      <c r="A1092" s="324" t="s">
        <v>2980</v>
      </c>
      <c r="B1092" s="324" t="str">
        <f t="shared" si="70"/>
        <v>0980</v>
      </c>
      <c r="C1092" s="324" t="str">
        <f t="shared" si="71"/>
        <v>52640</v>
      </c>
      <c r="D1092" s="324" t="str">
        <f>"2220"</f>
        <v>2220</v>
      </c>
      <c r="E1092" s="324">
        <v>1</v>
      </c>
      <c r="F1092" s="827">
        <f>IF(AND(COUNTIF(Addenda!A:A,"*Balmoral PBAL4*")&gt;0,COUNTIF(Addenda!A:A,"*Readicoat*")=0),COUNTIFS(Name,"Door LH",Length,"0.82")+COUNTIFS(Name,"Door RH",Length,"0.82")+COUNTIFS(Name,"Door Dbl",Length,"0.82")*2+COUNTIFS(Name,"Door Cvty",Length,"0.82")+COUNTIFS(Name,"Door Cvty Dbl",Length,"0.82")*2+COUNTIFS('CSV FF'!A:A,"Door LH",'CSV FF'!C:C,"0.82")+COUNTIFS('CSV FF'!A:A,"Door RH",'CSV FF'!C:C,"0.82")+COUNTIFS('CSV FF'!A:A,"Door Dbl",'CSV FF'!C:C,"0.82")*2+COUNTIFS('CSV FF'!A:A,"Door Cvty",'CSV FF'!C:C,"0.82")+COUNTIFS('CSV FF'!A:A,"Door Cvty Dbl",'CSV FF'!C:C,"0.82")*2,0)+F1096</f>
        <v>0</v>
      </c>
      <c r="G1092" s="829">
        <v>182.86</v>
      </c>
      <c r="H1092" s="412" t="s">
        <v>3828</v>
      </c>
      <c r="I1092" s="1207"/>
      <c r="J1092" s="73" t="str">
        <f>IF(Table5[[#This Row],[Entered]]&lt;&gt;Table5[[#This Row],[Quantity]],"Check","")</f>
        <v/>
      </c>
    </row>
    <row r="1093" spans="1:10" ht="15" x14ac:dyDescent="0.2">
      <c r="A1093" s="324" t="s">
        <v>2980</v>
      </c>
      <c r="B1093" s="324" t="str">
        <f t="shared" si="70"/>
        <v>0980</v>
      </c>
      <c r="C1093" s="324" t="str">
        <f t="shared" si="71"/>
        <v>52640</v>
      </c>
      <c r="D1093" s="324" t="str">
        <f>"2221"</f>
        <v>2221</v>
      </c>
      <c r="E1093" s="324">
        <v>1</v>
      </c>
      <c r="F1093" s="827">
        <f>IF(AND(COUNTIF(Addenda!A:A,"*Balmoral PBAL4*")&gt;0,COUNTIF(Addenda!A:A,"*Readicoat*")=0),COUNTIFS(Name,"Door LH",Length,"0.72")+COUNTIFS(Name,"Door RH",Length,"0.72")+COUNTIFS(Name,"Door Dbl",Length,"0.72")*2+COUNTIFS(Name,"Door Cvty",Length,"0.72")+COUNTIFS(Name,"Door Cvty Dbl",Length,"0.72")*2+COUNTIFS('CSV FF'!A:A,"Door LH",'CSV FF'!C:C,"0.72")+COUNTIFS('CSV FF'!A:A,"Door RH",'CSV FF'!C:C,"0.72")+COUNTIFS('CSV FF'!A:A,"Door Dbl",'CSV FF'!C:C,"0.72")*2+COUNTIFS('CSV FF'!A:A,"Door Cvty",'CSV FF'!C:C,"0.72")+COUNTIFS('CSV FF'!A:A,"Door Cvty Dbl",'CSV FF'!C:C,"0.72")*2,0)+F1097</f>
        <v>0</v>
      </c>
      <c r="G1093" s="829">
        <v>182.86</v>
      </c>
      <c r="H1093" s="412" t="s">
        <v>3829</v>
      </c>
      <c r="I1093" s="1207"/>
      <c r="J1093" s="73" t="str">
        <f>IF(Table5[[#This Row],[Entered]]&lt;&gt;Table5[[#This Row],[Quantity]],"Check","")</f>
        <v/>
      </c>
    </row>
    <row r="1094" spans="1:10" ht="15" x14ac:dyDescent="0.2">
      <c r="A1094" s="324" t="s">
        <v>2980</v>
      </c>
      <c r="B1094" s="324" t="str">
        <f t="shared" si="70"/>
        <v>0980</v>
      </c>
      <c r="C1094" s="324" t="str">
        <f t="shared" si="71"/>
        <v>52640</v>
      </c>
      <c r="D1094" s="324" t="str">
        <f>"2222"</f>
        <v>2222</v>
      </c>
      <c r="E1094" s="324">
        <v>1</v>
      </c>
      <c r="F1094" s="827">
        <f>IF(AND(COUNTIF(Addenda!A:A,"*Balmoral PBAL4*")&gt;0,COUNTIF(Addenda!A:A,"*Readicoat*")=0),COUNTIFS(Name,"Door LH",Length,"0.62")+COUNTIFS(Name,"Door RH",Length,"0.62")+COUNTIFS(Name,"Door Dbl",Length,"0.62")*2+COUNTIFS(Name,"Door Cvty",Length,"0.62")+COUNTIFS(Name,"Door Cvty Dbl",Length,"0.62")*2+COUNTIFS('CSV FF'!A:A,"Door LH",'CSV FF'!C:C,"0.62")+COUNTIFS('CSV FF'!A:A,"Door RH",'CSV FF'!C:C,"0.62")+COUNTIFS('CSV FF'!A:A,"Door Dbl",'CSV FF'!C:C,"0.62")*2+COUNTIFS('CSV FF'!A:A,"Door Cvty",'CSV FF'!C:C,"0.62")+COUNTIFS('CSV FF'!A:A,"Door Cvty Dbl",'CSV FF'!C:C,"0.62")*2,0)+F1098</f>
        <v>0</v>
      </c>
      <c r="G1094" s="829">
        <v>182.86</v>
      </c>
      <c r="H1094" s="412" t="s">
        <v>3830</v>
      </c>
      <c r="I1094" s="1207"/>
      <c r="J1094" s="73" t="str">
        <f>IF(Table5[[#This Row],[Entered]]&lt;&gt;Table5[[#This Row],[Quantity]],"Check","")</f>
        <v/>
      </c>
    </row>
    <row r="1095" spans="1:10" ht="15" x14ac:dyDescent="0.2">
      <c r="A1095" s="324" t="s">
        <v>2980</v>
      </c>
      <c r="B1095" s="324" t="str">
        <f t="shared" si="70"/>
        <v>0980</v>
      </c>
      <c r="C1095" s="324" t="str">
        <f t="shared" si="71"/>
        <v>52640</v>
      </c>
      <c r="D1095" s="324" t="str">
        <f>"2223"</f>
        <v>2223</v>
      </c>
      <c r="E1095" s="324">
        <v>1</v>
      </c>
      <c r="F1095" s="827">
        <f>IF(AND(COUNTIF(Addenda!A:A,"*Balmoral PBAL4*")&gt;0,COUNTIF(Addenda!A:A,"*Readicoat*")=0),COUNTIFS(Name,"Door LH",Length,"0.52")+COUNTIFS(Name,"Door RH",Length,"0.52")+COUNTIFS(Name,"Door Dbl",Length,"0.52")*2+COUNTIFS(Name,"Door Cvty",Length,"0.52")+COUNTIFS(Name,"Door Cvty Dbl",Length,"0.52")*2+COUNTIFS('CSV FF'!A:A,"Door LH",'CSV FF'!C:C,"0.52")+COUNTIFS('CSV FF'!A:A,"Door RH",'CSV FF'!C:C,"0.52")+COUNTIFS('CSV FF'!A:A,"Door Dbl",'CSV FF'!C:C,"0.52")*2+COUNTIFS('CSV FF'!A:A,"Door Cvty",'CSV FF'!C:C,"0.52")+COUNTIFS('CSV FF'!A:A,"Door Cvty Dbl",'CSV FF'!C:C,"0.52")*2,0)+F1099</f>
        <v>0</v>
      </c>
      <c r="G1095" s="829">
        <v>182.86</v>
      </c>
      <c r="H1095" s="412" t="s">
        <v>3831</v>
      </c>
      <c r="I1095" s="1207"/>
      <c r="J1095" s="73" t="str">
        <f>IF(Table5[[#This Row],[Entered]]&lt;&gt;Table5[[#This Row],[Quantity]],"Check","")</f>
        <v/>
      </c>
    </row>
    <row r="1096" spans="1:10" ht="15" x14ac:dyDescent="0.2">
      <c r="A1096" s="324" t="s">
        <v>2980</v>
      </c>
      <c r="B1096" s="324" t="str">
        <f t="shared" si="70"/>
        <v>0980</v>
      </c>
      <c r="C1096" s="324" t="str">
        <f t="shared" si="71"/>
        <v>52640</v>
      </c>
      <c r="D1096" s="324" t="str">
        <f>"7000"</f>
        <v>7000</v>
      </c>
      <c r="E1096" s="324">
        <v>1</v>
      </c>
      <c r="F1096" s="827">
        <f>IF(AND(COUNTIFS(Addenda!A:A,"*Balmoral PBAL4*")&gt;0,(COUNTIFS(Addenda!A:A,"*READICOAT*")=0)),COUNTIFS(Name,"*door wc lh",Name,"&lt;&gt;*garage*",Length,".820")+COUNTIFS(Name,"*door wc rh",Name,"&lt;&gt;*garage*",Length,".820"),0)+IF(AND(COUNTIFS(Addenda!$A:$A,"*Balmoral PBAL4*")&gt;0,(COUNTIFS(Addenda!$A:$A,"*READICOAT*")+0)),COUNTIFS(NameFF,"*door wc lh",NameFF,"&lt;&gt;*garage*",'CSV FF'!$C:$C,".820")+COUNTIFS(NameFF,"*door wc rh",NameFF,"&lt;&gt;*garage*",'CSV FF'!$C:$C,".820"),0)+IF(AND(COUNTIFS(Addenda!$A:$A,"*Balmoral PBAL4*")&gt;0,(COUNTIFS(Addenda!$A:$A,"*READICOAT*")=0)),COUNTIFS(NameFF,"*door wc lh",NameFF,"&lt;&gt;*garage*",'CSV FF'!$C:$C,".820")+COUNTIFS(NameFF,"*door wc rh",NameFF,"&lt;&gt;*garage*",'CSV FF'!$C:$C,".820"),0)</f>
        <v>0</v>
      </c>
      <c r="G1096" s="829">
        <v>0</v>
      </c>
      <c r="H1096" s="412" t="s">
        <v>3832</v>
      </c>
      <c r="I1096" s="1207"/>
      <c r="J1096" s="73" t="str">
        <f>IF(Table5[[#This Row],[Entered]]&lt;&gt;Table5[[#This Row],[Quantity]],"Check","")</f>
        <v/>
      </c>
    </row>
    <row r="1097" spans="1:10" ht="15" x14ac:dyDescent="0.2">
      <c r="A1097" s="324" t="s">
        <v>2980</v>
      </c>
      <c r="B1097" s="324" t="str">
        <f t="shared" si="70"/>
        <v>0980</v>
      </c>
      <c r="C1097" s="324" t="str">
        <f t="shared" si="71"/>
        <v>52640</v>
      </c>
      <c r="D1097" s="324" t="str">
        <f>"7001"</f>
        <v>7001</v>
      </c>
      <c r="E1097" s="324">
        <v>1</v>
      </c>
      <c r="F1097" s="827">
        <f>IF(AND(COUNTIFS(Addenda!A:A,"*Balmoral PBAL4*")&gt;0,(COUNTIFS(Addenda!A:A,"*READICOAT*")=0)),COUNTIFS(Name,"*door wc lh",Name,"&lt;&gt;*garage*",Length,".720")+COUNTIFS(Name,"*door wc rh",Name,"&lt;&gt;*garage*",Length,".720"),0)+IF(AND(COUNTIFS(Addenda!$A:$A,"*Balmoral PBAL4*")&gt;0,(COUNTIFS(Addenda!$A:$A,"*READICOAT*")+0)),COUNTIFS(NameFF,"*door wc lh",NameFF,"&lt;&gt;*garage*",'CSV FF'!$C:$C,".720")+COUNTIFS(NameFF,"*door wc rh",NameFF,"&lt;&gt;*garage*",'CSV FF'!$C:$C,".720"),0)+IF(AND(COUNTIFS(Addenda!$A:$A,"*Balmoral PBAL4*")&gt;0,(COUNTIFS(Addenda!$A:$A,"*READICOAT*")=0)),COUNTIFS(NameFF,"*door wc lh",NameFF,"&lt;&gt;*garage*",'CSV FF'!$C:$C,".720")+COUNTIFS(NameFF,"*door wc rh",NameFF,"&lt;&gt;*garage*",'CSV FF'!$C:$C,".720"),0)</f>
        <v>0</v>
      </c>
      <c r="G1097" s="829">
        <v>0</v>
      </c>
      <c r="H1097" s="412" t="s">
        <v>3833</v>
      </c>
      <c r="I1097" s="1207"/>
      <c r="J1097" s="73" t="str">
        <f>IF(Table5[[#This Row],[Entered]]&lt;&gt;Table5[[#This Row],[Quantity]],"Check","")</f>
        <v/>
      </c>
    </row>
    <row r="1098" spans="1:10" ht="15" x14ac:dyDescent="0.2">
      <c r="A1098" s="324" t="s">
        <v>2980</v>
      </c>
      <c r="B1098" s="324" t="str">
        <f t="shared" si="70"/>
        <v>0980</v>
      </c>
      <c r="C1098" s="324" t="str">
        <f t="shared" si="71"/>
        <v>52640</v>
      </c>
      <c r="D1098" s="324" t="str">
        <f>"7002"</f>
        <v>7002</v>
      </c>
      <c r="E1098" s="324">
        <v>1</v>
      </c>
      <c r="F1098" s="827">
        <f>IF(AND(COUNTIFS(Addenda!A:A,"*Balmoral PBAL4*")&gt;0,(COUNTIFS(Addenda!A:A,"*READICOAT*")=0)),COUNTIFS(Name,"*door wc lh",Name,"&lt;&gt;*garage*",Length,".620")+COUNTIFS(Name,"*door wc rh",Name,"&lt;&gt;*garage*",Length,".620"),0)+IF(AND(COUNTIFS(Addenda!$A:$A,"*Balmoral PBAL4*")&gt;0,(COUNTIFS(Addenda!$A:$A,"*READICOAT*")+0)),COUNTIFS(NameFF,"*door wc lh",NameFF,"&lt;&gt;*garage*",'CSV FF'!$C:$C,".620")+COUNTIFS(NameFF,"*door wc rh",NameFF,"&lt;&gt;*garage*",'CSV FF'!$C:$C,".620"),0)+IF(AND(COUNTIFS(Addenda!$A:$A,"*Balmoral PBAL4*")&gt;0,(COUNTIFS(Addenda!$A:$A,"*READICOAT*")=0)),COUNTIFS(NameFF,"*door wc lh",NameFF,"&lt;&gt;*garage*",'CSV FF'!$C:$C,".620")+COUNTIFS(NameFF,"*door wc rh",NameFF,"&lt;&gt;*garage*",'CSV FF'!$C:$C,".620"),0)</f>
        <v>0</v>
      </c>
      <c r="G1098" s="829">
        <v>0</v>
      </c>
      <c r="H1098" s="412" t="s">
        <v>3834</v>
      </c>
      <c r="I1098" s="1207"/>
      <c r="J1098" s="73" t="str">
        <f>IF(Table5[[#This Row],[Entered]]&lt;&gt;Table5[[#This Row],[Quantity]],"Check","")</f>
        <v/>
      </c>
    </row>
    <row r="1099" spans="1:10" ht="15" x14ac:dyDescent="0.2">
      <c r="A1099" s="324" t="s">
        <v>2980</v>
      </c>
      <c r="B1099" s="324" t="str">
        <f t="shared" si="70"/>
        <v>0980</v>
      </c>
      <c r="C1099" s="324" t="str">
        <f t="shared" si="71"/>
        <v>52640</v>
      </c>
      <c r="D1099" s="324" t="str">
        <f>"7002"</f>
        <v>7002</v>
      </c>
      <c r="E1099" s="324">
        <v>1</v>
      </c>
      <c r="F1099" s="827">
        <f>IF(AND(COUNTIFS(Addenda!A:A,"*Balmoral PBAL4*")&gt;0,(COUNTIFS(Addenda!A:A,"*READICOAT*")=0)),COUNTIFS(Name,"*door wc lh",Name,"&lt;&gt;*garage*",Length,".520")+COUNTIFS(Name,"*door wc rh",Name,"&lt;&gt;*garage*",Length,".520"),0)+IF(AND(COUNTIFS(Addenda!$A:$A,"*Balmoral PBAL4*")&gt;0,(COUNTIFS(Addenda!$A:$A,"*READICOAT*")+0)),COUNTIFS(NameFF,"*door wc lh",NameFF,"&lt;&gt;*garage*",'CSV FF'!$C:$C,".520")+COUNTIFS(NameFF,"*door wc rh",NameFF,"&lt;&gt;*garage*",'CSV FF'!$C:$C,".520"),0)+IF(AND(COUNTIFS(Addenda!$A:$A,"*Balmoral PBAL4*")&gt;0,(COUNTIFS(Addenda!$A:$A,"*READICOAT*")=0)),COUNTIFS(NameFF,"*door wc lh",NameFF,"&lt;&gt;*garage*",'CSV FF'!$C:$C,".520")+COUNTIFS(NameFF,"*door wc rh",NameFF,"&lt;&gt;*garage*",'CSV FF'!$C:$C,".520"),0)</f>
        <v>0</v>
      </c>
      <c r="G1099" s="829">
        <v>0</v>
      </c>
      <c r="H1099" s="412" t="s">
        <v>3835</v>
      </c>
      <c r="I1099" s="1207"/>
      <c r="J1099" s="73" t="str">
        <f>IF(Table5[[#This Row],[Entered]]&lt;&gt;Table5[[#This Row],[Quantity]],"Check","")</f>
        <v/>
      </c>
    </row>
    <row r="1100" spans="1:10" ht="15" x14ac:dyDescent="0.2">
      <c r="A1100" s="324" t="s">
        <v>2980</v>
      </c>
      <c r="B1100" s="324" t="str">
        <f t="shared" si="70"/>
        <v>0980</v>
      </c>
      <c r="C1100" s="324" t="str">
        <f t="shared" si="71"/>
        <v>52640</v>
      </c>
      <c r="D1100" s="324" t="str">
        <f>"0405"</f>
        <v>0405</v>
      </c>
      <c r="E1100" s="324">
        <v>1</v>
      </c>
      <c r="F1100" s="827">
        <f>IF(COUNTIFS(Addenda!A:A,"*Solidor*")&gt;0,1,0)*COUNTIFS(Name,"DOOR SHPR*",Length,".820")+IF(COUNTIFS(Addenda!A:A,"*Duracote Tempered Hardboard Door*")&gt;0,1,0)*COUNTIFS('CSV FF'!A:A,"DOOR SHPR*",'CSV FF'!C:C,".820")+IF(COUNTIFS(Addenda!$A:$A,"*SOLIDOR*",Addenda!$A:$A,"*CORINTHIAN*")&gt;0,1,0)*COUNTIFS(Name,"DOOR SHPR*",Length,".820")+IF(COUNTIFS(Addenda!$A:$A,"*SOLIDOR*",Addenda!$A:$A,"*CORINTHIAN*")&gt;0,1,0)*COUNTIFS(NameFF,"DOOR SHPR*",'CSV FF'!$C:$C,".820")</f>
        <v>0</v>
      </c>
      <c r="G1100" s="829">
        <v>95.35</v>
      </c>
      <c r="H1100" s="412" t="s">
        <v>3160</v>
      </c>
      <c r="I1100" s="1258"/>
      <c r="J1100" s="2" t="str">
        <f>IF(Table5[[#This Row],[Entered]]&lt;&gt;Table5[[#This Row],[Quantity]],"Check","")</f>
        <v/>
      </c>
    </row>
    <row r="1101" spans="1:10" ht="15" x14ac:dyDescent="0.2">
      <c r="A1101" s="324" t="s">
        <v>2980</v>
      </c>
      <c r="B1101" s="324" t="str">
        <f t="shared" si="70"/>
        <v>0980</v>
      </c>
      <c r="C1101" s="324" t="str">
        <f t="shared" si="71"/>
        <v>52640</v>
      </c>
      <c r="D1101" s="324">
        <f>7405</f>
        <v>7405</v>
      </c>
      <c r="E1101" s="324">
        <v>1</v>
      </c>
      <c r="F1101" s="827">
        <f>IF(COUNTIFS(Addenda!A:A,"*Duracote Tempered Hardboard Door*")&gt;0,1,0)*COUNTIFS(Name,"DOOR SHPR*",Length,".870")+IF(COUNTIFS(Addenda!A:A,"*Duracote Tempered Hardboard Door*")&gt;0,1,0)*COUNTIFS('CSV FF'!A:A,"DOOR SHPR*",'CSV FF'!C:C,".870")+IF(COUNTIFS(Addenda!$A:$A,"*SOLIDOR*",Addenda!$A:$A,"*CORINTHIAN*")&gt;0,1,0)*COUNTIFS(Name,"DOOR SHPR*",Length,".870")+IF(COUNTIFS(Addenda!$A:$A,"*SOLIDOR*",Addenda!$A:$A,"*CORINTHIAN*")&gt;0,1,0)*COUNTIFS(NameFF,"DOOR SHPR*",'CSV FF'!$C:$C,".870")</f>
        <v>0</v>
      </c>
      <c r="G1101" s="829"/>
      <c r="H1101" s="412" t="s">
        <v>3622</v>
      </c>
      <c r="I1101" s="1205"/>
      <c r="J1101" s="2" t="str">
        <f>IF(Table5[[#This Row],[Entered]]&lt;&gt;Table5[[#This Row],[Quantity]],"Check","")</f>
        <v/>
      </c>
    </row>
    <row r="1102" spans="1:10" ht="15" x14ac:dyDescent="0.2">
      <c r="A1102" s="324" t="s">
        <v>2980</v>
      </c>
      <c r="B1102" s="324" t="str">
        <f t="shared" ref="B1102:B1133" si="72">"0980"</f>
        <v>0980</v>
      </c>
      <c r="C1102" s="324" t="str">
        <f t="shared" ref="C1102:C1133" si="73">"52640"</f>
        <v>52640</v>
      </c>
      <c r="D1102" s="324">
        <f>7410</f>
        <v>7410</v>
      </c>
      <c r="E1102" s="324">
        <v>1</v>
      </c>
      <c r="F1102" s="827">
        <f>IF(COUNTIFS(Addenda!A:A,"*Duracote Tempered Hardboard Door*")&gt;0,1,0)*COUNTIFS(Name,"DOOR SHPR*",Length,".920")+IF(COUNTIFS(Addenda!A:A,"*Duracote Tempered Hardboard Door*")&gt;0,1,0)*COUNTIFS('CSV FF'!A:A,"DOOR SHPR*",'CSV FF'!C:C,".920")+IF(COUNTIFS(Addenda!$A:$A,"*SOLIDOR*",Addenda!$A:$A,"*CORINTHIAN*")&gt;0,1,0)*COUNTIFS(Name,"DOOR SHPR*",Length,".920")+IF(COUNTIFS(Addenda!$A:$A,"*SOLIDOR*",Addenda!$A:$A,"*CORINTHIAN*")&gt;0,1,0)*COUNTIFS(NameFF,"DOOR SHPR*",'CSV FF'!$C:$C,".920")</f>
        <v>0</v>
      </c>
      <c r="G1102" s="829">
        <v>166.25</v>
      </c>
      <c r="H1102" s="412" t="s">
        <v>3623</v>
      </c>
      <c r="I1102" s="1205"/>
      <c r="J1102" s="2" t="str">
        <f>IF(Table5[[#This Row],[Entered]]&lt;&gt;Table5[[#This Row],[Quantity]],"Check","")</f>
        <v/>
      </c>
    </row>
    <row r="1103" spans="1:10" ht="15" x14ac:dyDescent="0.2">
      <c r="A1103" s="324" t="s">
        <v>2980</v>
      </c>
      <c r="B1103" s="324" t="str">
        <f t="shared" si="72"/>
        <v>0980</v>
      </c>
      <c r="C1103" s="324" t="str">
        <f t="shared" si="73"/>
        <v>52640</v>
      </c>
      <c r="D1103" s="324" t="str">
        <f>"0050"</f>
        <v>0050</v>
      </c>
      <c r="E1103" s="324">
        <v>1</v>
      </c>
      <c r="F1103" s="827">
        <f>IF((COUNTIFS(Addenda!A:A,"*Redicote*")+COUNTIFS(Addenda!A:A,"*RMDF*")&gt;0),COUNTIFS(Name,"*door lh",Name,"&lt;&gt;*garage*",Length,".820")+COUNTIFS(Name,"*door rh",Name,"&lt;&gt;*garage*",Length,".820")+COUNTIFS(Name,"*door dbl",Name,"&lt;&gt;*garage*",Length,".820")*2+COUNTIFS(Name,"Door Cvty",Length,"=0.870")+COUNTIFS(Name,"DOOR CVTY",Length,0.82)+COUNTIFS(Name,"DOOR CVTY DBL",Length,0.82)*2,0)+IF((COUNTIFS(Addenda!A:A,"*Redicote*")&gt;0),COUNTIFS('CSV FF'!A:A,"*door lh",'CSV FF'!A:A,"&lt;&gt;*garage*",'CSV FF'!C:C,".820")+COUNTIFS('CSV FF'!A:A,"*door rh",'CSV FF'!A:A,"&lt;&gt;*garage*",'CSV FF'!C:C,".820")+COUNTIFS('CSV FF'!A:A,"*door dbl",'CSV FF'!A:A,"&lt;&gt;*garage*",'CSV FF'!C:C,".820")*2+COUNTIFS('CSV FF'!A:A,"Door Cvty",'CSV FF'!C:C,"=0.870")+COUNTIFS('CSV FF'!A:A,"DOOR CVTY",'CSV FF'!C:C,0.82)+COUNTIFS('CSV FF'!A:A,"DOOR CVTY DBL",'CSV FF'!C:C,0.82)*2,0)</f>
        <v>0</v>
      </c>
      <c r="G1103" s="829">
        <v>36.590000000000003</v>
      </c>
      <c r="H1103" s="412" t="s">
        <v>3158</v>
      </c>
      <c r="I1103" s="1258"/>
      <c r="J1103" s="2" t="str">
        <f>IF(Table5[[#This Row],[Entered]]&lt;&gt;Table5[[#This Row],[Quantity]],"Check","")</f>
        <v/>
      </c>
    </row>
    <row r="1104" spans="1:10" ht="15" x14ac:dyDescent="0.2">
      <c r="A1104" s="324" t="s">
        <v>2980</v>
      </c>
      <c r="B1104" s="324" t="str">
        <f t="shared" si="72"/>
        <v>0980</v>
      </c>
      <c r="C1104" s="324" t="str">
        <f t="shared" si="73"/>
        <v>52640</v>
      </c>
      <c r="D1104" s="324" t="str">
        <f>"0040"</f>
        <v>0040</v>
      </c>
      <c r="E1104" s="324">
        <v>1</v>
      </c>
      <c r="F1104" s="827">
        <f>IF((COUNTIFS(Addenda!A:A,"*Redicote*")+COUNTIFS(Addenda!A:A,"*RMDF*")&gt;0),COUNTIFS(Name,"*door lh",Name,"&lt;&gt;*garage*",Length,".720")+COUNTIFS(Name,"*door rh",Name,"&lt;&gt;*garage*",Length,".720")+COUNTIFS(Name,"*door dbl",Name,"&lt;&gt;*garage*",Length,".720")*2+COUNTIFS(Name,"Door Cvty",Length,"=0.770")+COUNTIFS(Name,"DOOR CVTY",Length,0.72)+COUNTIFS(Name,"DOOR CVTY DBL",Length,0.72)*2,0)+IF((COUNTIFS(Addenda!A:A,"*Redicote*")&gt;0),COUNTIFS('CSV FF'!A:A,"*door lh",'CSV FF'!A:A,"&lt;&gt;*garage*",'CSV FF'!C:C,".720")+COUNTIFS('CSV FF'!A:A,"*door rh",'CSV FF'!A:A,"&lt;&gt;*garage*",'CSV FF'!C:C,".720")+COUNTIFS('CSV FF'!A:A,"*door dbl",'CSV FF'!A:A,"&lt;&gt;*garage*",'CSV FF'!C:C,".720")*2+COUNTIFS('CSV FF'!A:A,"Door Cvty",'CSV FF'!C:C,"=0.770")+COUNTIFS('CSV FF'!A:A,"DOOR CVTY",'CSV FF'!C:C,0.72)+COUNTIFS('CSV FF'!A:A,"DOOR CVTY DBL",'CSV FF'!C:C,0.72)*2,0)</f>
        <v>0</v>
      </c>
      <c r="G1104" s="829">
        <v>36.590000000000003</v>
      </c>
      <c r="H1104" s="412" t="s">
        <v>3157</v>
      </c>
      <c r="I1104" s="1258"/>
      <c r="J1104" s="2" t="str">
        <f>IF(Table5[[#This Row],[Entered]]&lt;&gt;Table5[[#This Row],[Quantity]],"Check","")</f>
        <v/>
      </c>
    </row>
    <row r="1105" spans="1:10" ht="15" x14ac:dyDescent="0.2">
      <c r="A1105" s="324" t="s">
        <v>2980</v>
      </c>
      <c r="B1105" s="324" t="str">
        <f t="shared" si="72"/>
        <v>0980</v>
      </c>
      <c r="C1105" s="324" t="str">
        <f t="shared" si="73"/>
        <v>52640</v>
      </c>
      <c r="D1105" s="324" t="str">
        <f>"0030"</f>
        <v>0030</v>
      </c>
      <c r="E1105" s="324">
        <v>1</v>
      </c>
      <c r="F1105" s="827">
        <f>IF((COUNTIFS(Addenda!A:A,"*Redicote*")+COUNTIFS(Addenda!A:A,"*RMDF*")&gt;0),COUNTIFS(Name,"*door lh",Name,"&lt;&gt;*garage*",Length,".620")+COUNTIFS(Name,"*door rh",Name,"&lt;&gt;*garage*",Length,".620")+COUNTIFS(Name,"*door dbl",Name,"&lt;&gt;*garage*",Length,".620")*2+COUNTIFS(Name,"Door Cvty",Length,"=0.670")+COUNTIFS(Name,"DOOR CVTY",Length,0.62)+COUNTIFS(Name,"DOOR CVTY DBL",Length,0.62)*2,0)+IF((COUNTIFS(Addenda!A:A,"*Redicote*")&gt;0),COUNTIFS('CSV FF'!A:A,"*door lh",'CSV FF'!A:A,"&lt;&gt;*garage*",'CSV FF'!C:C,".620")+COUNTIFS('CSV FF'!A:A,"*door rh",'CSV FF'!A:A,"&lt;&gt;*garage*",'CSV FF'!C:C,".620")+COUNTIFS('CSV FF'!A:A,"*door dbl",'CSV FF'!A:A,"&lt;&gt;*garage*",'CSV FF'!C:C,".620")*2+COUNTIFS('CSV FF'!A:A,"Door Cvty",'CSV FF'!C:C,"=0.670")+COUNTIFS('CSV FF'!A:A,"DOOR CVTY",'CSV FF'!C:C,0.62)+COUNTIFS('CSV FF'!A:A,"DOOR CVTY DBL",'CSV FF'!C:C,0.62)*2,0)</f>
        <v>0</v>
      </c>
      <c r="G1105" s="829">
        <v>36.590000000000003</v>
      </c>
      <c r="H1105" s="412" t="s">
        <v>3156</v>
      </c>
      <c r="I1105" s="1258"/>
      <c r="J1105" s="2" t="str">
        <f>IF(Table5[[#This Row],[Entered]]&lt;&gt;Table5[[#This Row],[Quantity]],"Check","")</f>
        <v/>
      </c>
    </row>
    <row r="1106" spans="1:10" ht="15" x14ac:dyDescent="0.2">
      <c r="A1106" s="324" t="s">
        <v>2980</v>
      </c>
      <c r="B1106" s="324" t="str">
        <f t="shared" si="72"/>
        <v>0980</v>
      </c>
      <c r="C1106" s="324" t="str">
        <f t="shared" si="73"/>
        <v>52640</v>
      </c>
      <c r="D1106" s="324" t="str">
        <f>"0020"</f>
        <v>0020</v>
      </c>
      <c r="E1106" s="324">
        <v>1</v>
      </c>
      <c r="F1106" s="827">
        <f>IF((COUNTIFS(Addenda!A:A,"*Redicote*")+COUNTIFS(Addenda!A:A,"*RMDF*")&gt;0),COUNTIFS(Name,"*door lh",Name,"&lt;&gt;*garage*",Length,".520")+COUNTIFS(Name,"*door rh",Name,"&lt;&gt;*garage*",Length,".520")+COUNTIFS(Name,"*door dbl",Name,"&lt;&gt;*garage*",Length,".520")*2+COUNTIFS(Name,"Door Cvty",Length,"=0.570")+COUNTIFS(Name,"DOOR CVTY",Length,0.52)+COUNTIFS(Name,"DOOR CVTY DBL",Length,0.52)*2,0)+IF((COUNTIFS(Addenda!A:A,"*Redicote*")&gt;0),COUNTIFS('CSV FF'!A:A,"*door lh",'CSV FF'!A:A,"&lt;&gt;*garage*",'CSV FF'!C:C,".520")+COUNTIFS('CSV FF'!A:A,"*door rh",'CSV FF'!A:A,"&lt;&gt;*garage*",'CSV FF'!C:C,".520")+COUNTIFS('CSV FF'!A:A,"*door dbl",'CSV FF'!A:A,"&lt;&gt;*garage*",'CSV FF'!C:C,".520")*2+COUNTIFS('CSV FF'!A:A,"Door Cvty",'CSV FF'!C:C,"=0.570")+COUNTIFS('CSV FF'!A:A,"DOOR CVTY",'CSV FF'!C:C,0.52)+COUNTIFS('CSV FF'!A:A,"DOOR CVTY DBL",'CSV FF'!C:C,0.52)*2,0)</f>
        <v>0</v>
      </c>
      <c r="G1106" s="829"/>
      <c r="H1106" s="412" t="s">
        <v>3155</v>
      </c>
      <c r="I1106" s="1258"/>
      <c r="J1106" s="2" t="str">
        <f>IF(Table5[[#This Row],[Entered]]&lt;&gt;Table5[[#This Row],[Quantity]],"Check","")</f>
        <v/>
      </c>
    </row>
    <row r="1107" spans="1:10" ht="15" x14ac:dyDescent="0.2">
      <c r="A1107" s="324" t="s">
        <v>2980</v>
      </c>
      <c r="B1107" s="324" t="str">
        <f t="shared" si="72"/>
        <v>0980</v>
      </c>
      <c r="C1107" s="324" t="str">
        <f t="shared" si="73"/>
        <v>52640</v>
      </c>
      <c r="D1107" s="324" t="str">
        <f>"0035"</f>
        <v>0035</v>
      </c>
      <c r="E1107" s="324">
        <v>1</v>
      </c>
      <c r="F1107" s="827">
        <f>IF((COUNTIFS(Addenda!A:A,"*Redicote*")+COUNTIFS(Addenda!A:A,"*RMDF*")&gt;0),COUNTIFS(Name,"*door wc lh",Name,"&lt;&gt;*garage*",Length,".620")+COUNTIFS(Name,"*door wc rh",Name,"&lt;&gt;*garage*",Length,".620"),0)+IF((COUNTIFS(Addenda!A:A,"*Redicote*")&gt;0),COUNTIFS('CSV FF'!A:A,"*door wc lh",'CSV FF'!A:A,"&lt;&gt;*garage*",'CSV FF'!C:C,".620")+COUNTIFS('CSV FF'!A:A,"*door wc rh",'CSV FF'!A:A,"&lt;&gt;*garage*",'CSV FF'!C:C,".620"),0)</f>
        <v>0</v>
      </c>
      <c r="G1107" s="829">
        <v>36.590000000000003</v>
      </c>
      <c r="H1107" s="412" t="s">
        <v>3154</v>
      </c>
      <c r="I1107" s="1258"/>
      <c r="J1107" s="2" t="str">
        <f>IF(Table5[[#This Row],[Entered]]&lt;&gt;Table5[[#This Row],[Quantity]],"Check","")</f>
        <v/>
      </c>
    </row>
    <row r="1108" spans="1:10" ht="15" x14ac:dyDescent="0.2">
      <c r="A1108" s="324" t="s">
        <v>2980</v>
      </c>
      <c r="B1108" s="324" t="str">
        <f t="shared" si="72"/>
        <v>0980</v>
      </c>
      <c r="C1108" s="324" t="str">
        <f t="shared" si="73"/>
        <v>52640</v>
      </c>
      <c r="D1108" s="1103" t="s">
        <v>664</v>
      </c>
      <c r="E1108" s="324">
        <v>1</v>
      </c>
      <c r="F1108" s="827">
        <f>IF((COUNTIFS(Addenda!A:A,"*DECO 1*")&gt;0),COUNTIFS(Name,"*door sld",Name,"&lt;&gt;*garage*",Length,".870")+(COUNTIFS(Name,"door sld dbl",Name,"&lt;&gt;*garage*",Length,".870")*2),0)+IF((COUNTIFS(Addenda!$A:$A,"*DECO 1*")&gt;0),COUNTIFS(NameFF,"*door sld",NameFF,"&lt;&gt;*garage*",'CSV FF'!$C:$C,".870")+(COUNTIFS(NameFF,"door sld dbl",NameFF,"&lt;&gt;*garage*",'CSV FF'!$C:$C,".870")*2),0)</f>
        <v>0</v>
      </c>
      <c r="G1108" s="829"/>
      <c r="H1108" s="1111" t="s">
        <v>1234</v>
      </c>
      <c r="I1108" s="1205"/>
      <c r="J1108" s="2" t="str">
        <f>IF(Table5[[#This Row],[Entered]]&lt;&gt;Table5[[#This Row],[Quantity]],"Check","")</f>
        <v/>
      </c>
    </row>
    <row r="1109" spans="1:10" ht="15" x14ac:dyDescent="0.2">
      <c r="A1109" s="324" t="s">
        <v>2980</v>
      </c>
      <c r="B1109" s="324" t="str">
        <f t="shared" si="72"/>
        <v>0980</v>
      </c>
      <c r="C1109" s="324" t="str">
        <f t="shared" si="73"/>
        <v>52640</v>
      </c>
      <c r="D1109" s="324" t="str">
        <f>"0080"</f>
        <v>0080</v>
      </c>
      <c r="E1109" s="324">
        <v>1</v>
      </c>
      <c r="F1109" s="827">
        <f>IF((COUNTIFS(Addenda!A:A,"*Redicote*")&gt;0),COUNTIFS(Name,"*door sld",Name,"&lt;&gt;*garage*",Length,".870")+(COUNTIFS(Name,"door sld dbl",Name,"&lt;&gt;*garage*",Length,".870")*2),0)+IF((COUNTIFS(Addenda!A:A,"*Redicote*")&gt;0),COUNTIFS('CSV FF'!A:A,"*door sld",'CSV FF'!A:A,"&lt;&gt;*garage*",'CSV FF'!C:C,".870")+(COUNTIFS('CSV FF'!A:A,"door sld dbl",'CSV FF'!A:A,"&lt;&gt;*garage*",'CSV FF'!C:C,".870")*2),0)+IF((COUNTIFS(Addenda!$A:$A,"*Redicote*")&gt;0),COUNTIFS(NameFF,"*door sld",NameFF,"&lt;&gt;*garage*",'CSV FF'!$C:$C,".870")+(COUNTIFS(NameFF,"door sld dbl",NameFF,"&lt;&gt;*garage*",'CSV FF'!$C:$C,".870")*2),0)+IF((COUNTIFS(Addenda!$A:$A,"*Redicote*")&gt;0),COUNTIFS(NameFF,"*door sld",NameFF,"&lt;&gt;*garage*",'CSV FF'!$C:$C,".870")+(COUNTIFS(NameFF,"door sld dbl",NameFF,"&lt;&gt;*garage*",'CSV FF'!$C:$C,".870")*2),0)</f>
        <v>0</v>
      </c>
      <c r="G1109" s="829"/>
      <c r="H1109" s="412" t="s">
        <v>3159</v>
      </c>
      <c r="I1109" s="1258"/>
      <c r="J1109" s="2" t="str">
        <f>IF(Table5[[#This Row],[Entered]]&lt;&gt;Table5[[#This Row],[Quantity]],"Check","")</f>
        <v/>
      </c>
    </row>
    <row r="1110" spans="1:10" ht="15" x14ac:dyDescent="0.2">
      <c r="A1110" s="324" t="s">
        <v>2980</v>
      </c>
      <c r="B1110" s="324" t="str">
        <f t="shared" si="72"/>
        <v>0980</v>
      </c>
      <c r="C1110" s="324" t="str">
        <f t="shared" si="73"/>
        <v>52640</v>
      </c>
      <c r="D1110" s="1103" t="s">
        <v>2297</v>
      </c>
      <c r="E1110" s="324">
        <v>1</v>
      </c>
      <c r="F1110" s="827">
        <f>IF((COUNTIFS(Addenda!A:A,"*Redicote*")&gt;0),COUNTIFS(Name,"*door sld",Name,"&lt;&gt;*garage*",Length,".820")+(COUNTIFS(Name,"door sld dbl",Name,"&lt;&gt;*garage*",Length,".820")*2),0)+IF((COUNTIFS(Addenda!A:A,"*Redicote*")&gt;0),COUNTIFS('CSV FF'!A:A,"*door sld",'CSV FF'!A:A,"&lt;&gt;*garage*",'CSV FF'!C:C,".820")+(COUNTIFS('CSV FF'!A:A,"door sld dbl",'CSV FF'!A:A,"&lt;&gt;*garage*",'CSV FF'!C:C,".820")*2),0)+IF((COUNTIFS(Addenda!$A:$A,"*Redicote*")&gt;0),COUNTIFS(NameFF,"*door sld",NameFF,"&lt;&gt;*garage*",'CSV FF'!$C:$C,".820")+(COUNTIFS(NameFF,"door sld dbl",NameFF,"&lt;&gt;*garage*",'CSV FF'!$C:$C,".820")*2),0)+IF((COUNTIFS(Addenda!$A:$A,"*Redicote*")&gt;0),COUNTIFS(NameFF,"*door sld",NameFF,"&lt;&gt;*garage*",'CSV FF'!$C:$C,".820")+(COUNTIFS(NameFF,"door sld dbl",NameFF,"&lt;&gt;*garage*",'CSV FF'!$C:$C,".820")*2),0)</f>
        <v>0</v>
      </c>
      <c r="G1110" s="829"/>
      <c r="H1110" s="1111" t="s">
        <v>1559</v>
      </c>
      <c r="I1110" s="1205"/>
      <c r="J1110" s="2" t="str">
        <f>IF(Table5[[#This Row],[Entered]]&lt;&gt;Table5[[#This Row],[Quantity]],"Check","")</f>
        <v/>
      </c>
    </row>
    <row r="1111" spans="1:10" ht="15" x14ac:dyDescent="0.2">
      <c r="A1111" s="324" t="s">
        <v>2980</v>
      </c>
      <c r="B1111" s="324" t="str">
        <f t="shared" si="72"/>
        <v>0980</v>
      </c>
      <c r="C1111" s="324" t="str">
        <f t="shared" si="73"/>
        <v>52640</v>
      </c>
      <c r="D1111" s="1103" t="s">
        <v>2298</v>
      </c>
      <c r="E1111" s="324">
        <v>1</v>
      </c>
      <c r="F1111" s="827">
        <f>IF((COUNTIFS(Addenda!A:A,"*Redicote*")&gt;0),COUNTIFS(Name,"*door sld",Name,"&lt;&gt;*garage*",Length,".920")+(COUNTIFS(Name,"door sld dbl",Name,"&lt;&gt;*garage*",Length,".920")*2),0)+IF((COUNTIFS(Addenda!A:A,"*Redicote*")&gt;0),COUNTIFS('CSV FF'!A:A,"*door sld",'CSV FF'!A:A,"&lt;&gt;*garage*",'CSV FF'!C:C,".920")+(COUNTIFS('CSV FF'!A:A,"door sld dbl",'CSV FF'!A:A,"&lt;&gt;*garage*",'CSV FF'!C:C,".920")*2),0)+IF((COUNTIFS(Addenda!$A:$A,"*Redicote*")&gt;0),COUNTIFS(NameFF,"*door sld",NameFF,"&lt;&gt;*garage*",'CSV FF'!$C:$C,".920")+(COUNTIFS(NameFF,"door sld dbl",NameFF,"&lt;&gt;*garage*",'CSV FF'!$C:$C,".920")*2),0)+IF((COUNTIFS(Addenda!$A:$A,"*Redicote*")&gt;0),COUNTIFS(NameFF,"*door sld",NameFF,"&lt;&gt;*garage*",'CSV FF'!$C:$C,".920")+(COUNTIFS(NameFF,"door sld dbl",NameFF,"&lt;&gt;*garage*",'CSV FF'!$C:$C,".920")*2),0)</f>
        <v>0</v>
      </c>
      <c r="G1111" s="829"/>
      <c r="H1111" s="1111" t="s">
        <v>1621</v>
      </c>
      <c r="I1111" s="1205"/>
      <c r="J1111" s="2" t="str">
        <f>IF(Table5[[#This Row],[Entered]]&lt;&gt;Table5[[#This Row],[Quantity]],"Check","")</f>
        <v/>
      </c>
    </row>
    <row r="1112" spans="1:10" ht="15" x14ac:dyDescent="0.2">
      <c r="A1112" s="324" t="s">
        <v>2980</v>
      </c>
      <c r="B1112" s="324" t="str">
        <f t="shared" si="72"/>
        <v>0980</v>
      </c>
      <c r="C1112" s="324" t="str">
        <f t="shared" si="73"/>
        <v>52640</v>
      </c>
      <c r="D1112" s="1103">
        <f>381</f>
        <v>381</v>
      </c>
      <c r="E1112" s="324">
        <v>1</v>
      </c>
      <c r="F1112" s="827">
        <f>IF((COUNTIFS(Addenda!A:A,"*Redicote*")&gt;0),COUNTIFS(Name,"*door sld",Name,"&lt;&gt;*garage*",Length,".770")+(COUNTIFS(Name,"door sld dbl",Name,"&lt;&gt;*garage*",Length,".770")*2),0)+IF((COUNTIFS(Addenda!A:A,"*Redicote*")&gt;0),COUNTIFS('CSV FF'!A:A,"*door sld",'CSV FF'!A:A,"&lt;&gt;*garage*",'CSV FF'!C:C,".770")+(COUNTIFS('CSV FF'!A:A,"door sld dbl",'CSV FF'!A:A,"&lt;&gt;*garage*",'CSV FF'!C:C,".770")*2),0)+IF((COUNTIFS(Addenda!$A:$A,"*Redicote*")&gt;0),COUNTIFS(NameFF,"*door sld",NameFF,"&lt;&gt;*garage*",'CSV FF'!$C:$C,".770")+(COUNTIFS(NameFF,"door sld dbl",NameFF,"&lt;&gt;*garage*",'CSV FF'!$C:$C,".770")*2),0)+IF((COUNTIFS(Addenda!$A:$A,"*Redicote*")&gt;0),COUNTIFS(NameFF,"*door sld",NameFF,"&lt;&gt;*garage*",'CSV FF'!$C:$C,".770")+(COUNTIFS(NameFF,"door sld dbl",NameFF,"&lt;&gt;*garage*",'CSV FF'!$C:$C,".770")*2),0)</f>
        <v>0</v>
      </c>
      <c r="G1112" s="829"/>
      <c r="H1112" s="1111" t="s">
        <v>2000</v>
      </c>
      <c r="I1112" s="1205"/>
      <c r="J1112" s="2" t="str">
        <f>IF(Table5[[#This Row],[Entered]]&lt;&gt;Table5[[#This Row],[Quantity]],"Check","")</f>
        <v/>
      </c>
    </row>
    <row r="1113" spans="1:10" ht="15" x14ac:dyDescent="0.2">
      <c r="A1113" s="324" t="s">
        <v>2980</v>
      </c>
      <c r="B1113" s="324" t="str">
        <f t="shared" si="72"/>
        <v>0980</v>
      </c>
      <c r="C1113" s="324" t="str">
        <f t="shared" si="73"/>
        <v>52640</v>
      </c>
      <c r="D1113" s="324" t="str">
        <f>"0036"</f>
        <v>0036</v>
      </c>
      <c r="E1113" s="324">
        <v>1</v>
      </c>
      <c r="F1113" s="827">
        <f>IF((COUNTIFS(Addenda!A:A,"*Redicote*")&gt;0),COUNTIFS(Name,"*door wc lh",Name,"&lt;&gt;*garage*",Length,".720")+COUNTIFS(Name,"*door wc rh",Name,"&lt;&gt;*garage*",Length,".720"),0)+IF((COUNTIFS(Addenda!A:A,"*Redicote*")&gt;0),COUNTIFS('CSV FF'!A:A,"*door wc lh",'CSV FF'!A:A,"&lt;&gt;*garage*",'CSV FF'!C:C,".720")+COUNTIFS('CSV FF'!A:A,"*door wc rh",'CSV FF'!A:A,"&lt;&gt;*garage*",'CSV FF'!C:C,".720"),0)</f>
        <v>0</v>
      </c>
      <c r="G1113" s="829">
        <v>39.119999999999997</v>
      </c>
      <c r="H1113" s="412" t="s">
        <v>3153</v>
      </c>
      <c r="I1113" s="1258"/>
      <c r="J1113" s="2" t="str">
        <f>IF(Table5[[#This Row],[Entered]]&lt;&gt;Table5[[#This Row],[Quantity]],"Check","")</f>
        <v/>
      </c>
    </row>
    <row r="1114" spans="1:10" ht="15" x14ac:dyDescent="0.2">
      <c r="A1114" s="324" t="s">
        <v>2980</v>
      </c>
      <c r="B1114" s="324" t="str">
        <f t="shared" si="72"/>
        <v>0980</v>
      </c>
      <c r="C1114" s="324" t="str">
        <f t="shared" si="73"/>
        <v>52640</v>
      </c>
      <c r="D1114" s="1103">
        <f>391</f>
        <v>391</v>
      </c>
      <c r="E1114" s="324">
        <v>1</v>
      </c>
      <c r="F1114" s="827">
        <f>IF((COUNTIFS(Addenda!A:A,"*Redicote*")&gt;0),COUNTIFS(Name,"*door wc lh",Name,"&lt;&gt;*garage*",Length,".820")+COUNTIFS(Name,"*door wc rh",Name,"&lt;&gt;*garage*",Length,".820"),0)+IF((COUNTIFS(Addenda!A:A,"*Redicote*")&gt;0),COUNTIFS('CSV FF'!A:A,"*door wc lh",'CSV FF'!A:A,"&lt;&gt;*garage*",'CSV FF'!C:C,".820")+COUNTIFS('CSV FF'!A:A,"*door wc rh",'CSV FF'!A:A,"&lt;&gt;*garage*",'CSV FF'!C:C,".820"),0)</f>
        <v>0</v>
      </c>
      <c r="G1114" s="829"/>
      <c r="H1114" s="1111" t="s">
        <v>2001</v>
      </c>
      <c r="I1114" s="1205"/>
      <c r="J1114" s="2" t="str">
        <f>IF(Table5[[#This Row],[Entered]]&lt;&gt;Table5[[#This Row],[Quantity]],"Check","")</f>
        <v/>
      </c>
    </row>
    <row r="1115" spans="1:10" ht="15" x14ac:dyDescent="0.2">
      <c r="A1115" s="324" t="s">
        <v>2980</v>
      </c>
      <c r="B1115" s="324" t="str">
        <f t="shared" si="72"/>
        <v>0980</v>
      </c>
      <c r="C1115" s="324" t="str">
        <f t="shared" si="73"/>
        <v>52640</v>
      </c>
      <c r="D1115" s="1103" t="s">
        <v>1735</v>
      </c>
      <c r="E1115" s="324">
        <v>1</v>
      </c>
      <c r="F1115" s="827">
        <f>IF((COUNTIFS(Addenda!A:A,"*Redicote*")&gt;0),COUNTIFS(Name,"*door wc lh",Name,"&lt;&gt;*garage*",Length,".870")+COUNTIFS(Name,"*door wc rh",Name,"&lt;&gt;*garage*",Length,".870"),0)+IF((COUNTIFS(Addenda!A:A,"*Redicote*")&gt;0),COUNTIFS('CSV FF'!A:A,"*door wc lh",'CSV FF'!A:A,"&lt;&gt;*garage*",'CSV FF'!C:C,".870")+COUNTIFS('CSV FF'!A:A,"*door wc rh",'CSV FF'!A:A,"&lt;&gt;*garage*",'CSV FF'!C:C,".870"),0)</f>
        <v>0</v>
      </c>
      <c r="G1115" s="829"/>
      <c r="H1115" s="1111" t="s">
        <v>1733</v>
      </c>
      <c r="I1115" s="1205"/>
      <c r="J1115" s="2" t="str">
        <f>IF(Table5[[#This Row],[Entered]]&lt;&gt;Table5[[#This Row],[Quantity]],"Check","")</f>
        <v/>
      </c>
    </row>
    <row r="1116" spans="1:10" ht="15" x14ac:dyDescent="0.2">
      <c r="A1116" s="324" t="s">
        <v>2980</v>
      </c>
      <c r="B1116" s="324" t="str">
        <f t="shared" si="72"/>
        <v>0980</v>
      </c>
      <c r="C1116" s="324" t="str">
        <f t="shared" si="73"/>
        <v>52640</v>
      </c>
      <c r="D1116" s="1103" t="s">
        <v>1736</v>
      </c>
      <c r="E1116" s="324">
        <v>1</v>
      </c>
      <c r="F1116" s="827">
        <f>IF((COUNTIFS(Addenda!A:A,"*Redicote*")&gt;0),COUNTIFS(Name,"*door wc lh",Name,"&lt;&gt;*garage*",Length,".920")+COUNTIFS(Name,"*door wc rh",Name,"&lt;&gt;*garage*",Length,".920"),0)+IF((COUNTIFS(Addenda!A:A,"*Redicote*")&gt;0),COUNTIFS('CSV FF'!A:A,"*door wc lh",'CSV FF'!A:A,"&lt;&gt;*garage*",'CSV FF'!C:C,".920")+COUNTIFS('CSV FF'!A:A,"*door wc rh",'CSV FF'!A:A,"&lt;&gt;*garage*",'CSV FF'!C:C,".920"),0)</f>
        <v>0</v>
      </c>
      <c r="G1116" s="829"/>
      <c r="H1116" s="1111" t="s">
        <v>1734</v>
      </c>
      <c r="I1116" s="1205"/>
      <c r="J1116" s="2" t="str">
        <f>IF(Table5[[#This Row],[Entered]]&lt;&gt;Table5[[#This Row],[Quantity]],"Check","")</f>
        <v/>
      </c>
    </row>
    <row r="1117" spans="1:10" ht="15" x14ac:dyDescent="0.2">
      <c r="A1117" s="324" t="s">
        <v>2980</v>
      </c>
      <c r="B1117" s="324" t="str">
        <f t="shared" si="72"/>
        <v>0980</v>
      </c>
      <c r="C1117" s="324" t="str">
        <f t="shared" si="73"/>
        <v>52640</v>
      </c>
      <c r="D1117" s="1103">
        <f>395</f>
        <v>395</v>
      </c>
      <c r="E1117" s="324">
        <v>1</v>
      </c>
      <c r="F1117" s="827">
        <f>IF((COUNTIFS(Addenda!A:A,"*Redicote*")&gt;0),COUNTIFS(Name,"*door lh",Name,"&lt;&gt;*garage*",Length,".870")+COUNTIFS(Name,"*door rh",Name,"&lt;&gt;*garage*",Length,".870")+COUNTIFS(Name,"*door dbl",Name,"&lt;&gt;*garage*",Length,".870")*2+COUNTIFS(Name,"Door Cvty",Length,"=0.87")+COUNTIFS(Name,"DOOR CVTY",Length,0.87)+COUNTIFS(Name,"DOOR CVTY DBL",Length,0.87),0)+IF((COUNTIFS(Addenda!A:A,"*Redicote*")&gt;0),COUNTIFS('CSV FF'!A:A,"*door lh",'CSV FF'!A:A,"&lt;&gt;*garage*",'CSV FF'!C:C,".870")+COUNTIFS('CSV FF'!A:A,"*door rh",'CSV FF'!A:A,"&lt;&gt;*garage*",'CSV FF'!C:C,".870")+COUNTIFS('CSV FF'!A:A,"*door dbl",'CSV FF'!A:A,"&lt;&gt;*garage*",'CSV FF'!C:C,".870")*2+COUNTIFS('CSV FF'!A:A,"Door Cvty",'CSV FF'!C:C,"=0.87")+COUNTIFS('CSV FF'!A:A,"DOOR CVTY",'CSV FF'!C:C,0.87)+COUNTIFS('CSV FF'!A:A,"DOOR CVTY DBL",'CSV FF'!C:C,0.87),0)</f>
        <v>0</v>
      </c>
      <c r="G1117" s="829"/>
      <c r="H1117" s="1111" t="s">
        <v>2002</v>
      </c>
      <c r="I1117" s="1205"/>
      <c r="J1117" s="2" t="str">
        <f>IF(Table5[[#This Row],[Entered]]&lt;&gt;Table5[[#This Row],[Quantity]],"Check","")</f>
        <v/>
      </c>
    </row>
    <row r="1118" spans="1:10" ht="15" x14ac:dyDescent="0.2">
      <c r="A1118" s="324" t="s">
        <v>2980</v>
      </c>
      <c r="B1118" s="324" t="str">
        <f t="shared" si="72"/>
        <v>0980</v>
      </c>
      <c r="C1118" s="324" t="str">
        <f t="shared" si="73"/>
        <v>52640</v>
      </c>
      <c r="D1118" s="324">
        <v>2346</v>
      </c>
      <c r="E1118" s="324">
        <v>1</v>
      </c>
      <c r="F1118" s="827">
        <f>IF((COUNTIFS(Addenda!A:A,"*Redicote*")&gt;0),COUNTIFS(Name,"*door lh",Name,"&lt;&gt;*garage*",Length,".920")+COUNTIFS(Name,"*door rh",Name,"&lt;&gt;*garage*",Length,".920")+COUNTIFS(Name,"*door dbl",Name,"&lt;&gt;*garage*",Length,".920")+COUNTIFS(Name,"Door Cvty",Length,"=0.970")+COUNTIFS(Name,"DOOR CVTY",Length,0.92)+COUNTIFS(Name,"DOOR CVTY DBL",Length,0.92),0)+IF((COUNTIFS(Addenda!A:A,"*Redicote*")&gt;0),COUNTIFS('CSV FF'!A:A,"*door lh",'CSV FF'!A:A,"&lt;&gt;*garage*",'CSV FF'!C:C,".920")+COUNTIFS('CSV FF'!A:A,"*door rh",'CSV FF'!A:A,"&lt;&gt;*garage*",'CSV FF'!C:C,".920")+COUNTIFS('CSV FF'!A:A,"*door dbl",'CSV FF'!A:A,"&lt;&gt;*garage*",'CSV FF'!C:C,".920")+COUNTIFS('CSV FF'!A:A,"Door Cvty",'CSV FF'!C:C,"=0.970")+COUNTIFS('CSV FF'!A:A,"DOOR CVTY",'CSV FF'!C:C,0.92)+COUNTIFS('CSV FF'!A:A,"DOOR CVTY DBL",'CSV FF'!C:C,0.92),0)</f>
        <v>0</v>
      </c>
      <c r="G1118" s="829">
        <v>53.66</v>
      </c>
      <c r="H1118" s="412" t="s">
        <v>3624</v>
      </c>
      <c r="I1118" s="1205"/>
      <c r="J1118" s="2" t="str">
        <f>IF(Table5[[#This Row],[Entered]]&lt;&gt;Table5[[#This Row],[Quantity]],"Check","")</f>
        <v/>
      </c>
    </row>
    <row r="1119" spans="1:10" ht="15" x14ac:dyDescent="0.2">
      <c r="A1119" s="324" t="s">
        <v>2980</v>
      </c>
      <c r="B1119" s="324" t="str">
        <f t="shared" si="72"/>
        <v>0980</v>
      </c>
      <c r="C1119" s="324" t="str">
        <f t="shared" si="73"/>
        <v>52640</v>
      </c>
      <c r="D1119" s="1103">
        <f>510</f>
        <v>510</v>
      </c>
      <c r="E1119" s="324">
        <v>1</v>
      </c>
      <c r="F1119" s="827">
        <f>IF(AND(COUNTIF(Addenda!A:A,"*Stanford*")&gt;0,COUNTIF(Addenda!A:A,"*Readicoat*")=0),COUNTIFS(Name,"Door LH",Length,"0.82")+COUNTIFS(Name,"Door RH",Length,"0.82")+COUNTIFS(Name,"Door Dbl",Length,"0.82")*2+COUNTIFS(Name,"Door Cvty",Length,"0.82")+COUNTIFS(Name,"Door Cvty Dbl",Length,"0.82")*2+COUNTIFS('CSV FF'!A:A,"Door LH",'CSV FF'!C:C,"0.82")+COUNTIFS('CSV FF'!A:A,"Door RH",'CSV FF'!C:C,"0.82")+COUNTIFS('CSV FF'!A:A,"Door Dbl",'CSV FF'!C:C,"0.82")*2+COUNTIFS('CSV FF'!A:A,"Door Cvty",'CSV FF'!C:C,"0.82")+COUNTIFS('CSV FF'!A:A,"Door Cvty Dbl",'CSV FF'!C:C,"0.82")*2,0)</f>
        <v>0</v>
      </c>
      <c r="G1119" s="829"/>
      <c r="H1119" s="1111" t="s">
        <v>2003</v>
      </c>
      <c r="I1119" s="1205"/>
      <c r="J1119" s="2" t="str">
        <f>IF(Table5[[#This Row],[Entered]]&lt;&gt;Table5[[#This Row],[Quantity]],"Check","")</f>
        <v/>
      </c>
    </row>
    <row r="1120" spans="1:10" ht="15" x14ac:dyDescent="0.2">
      <c r="A1120" s="324" t="s">
        <v>2980</v>
      </c>
      <c r="B1120" s="324" t="str">
        <f t="shared" si="72"/>
        <v>0980</v>
      </c>
      <c r="C1120" s="324" t="str">
        <f t="shared" si="73"/>
        <v>52640</v>
      </c>
      <c r="D1120" s="1103">
        <f>511</f>
        <v>511</v>
      </c>
      <c r="E1120" s="324">
        <v>1</v>
      </c>
      <c r="F1120" s="827">
        <f>IF(AND(COUNTIFS(Addenda!A:A,"*ATHERTON*")&gt;0,(COUNTIFS(Addenda!A:A,"*READICOAT*")=0)),COUNTIFS(Name,"*door lh",Name,"&lt;&gt;*garage*",Length,".820")+COUNTIFS(Name,"*door rh",Name,"&lt;&gt;*garage*",Length,".820")+COUNTIFS(Name,"*door dbl",Name,"&lt;&gt;*garage*",Length,".820")+COUNTIFS(Name,"Door Cvty",Length,"=0.870")+COUNTIFS(Name,"DOOR CVTY",Length,0.82)+COUNTIFS(Name,"DOOR CVTY DBL",Length,0.82),0)+IF(AND(COUNTIFS(Addenda!$A:$A,"*ATHERTON*")&gt;0,(COUNTIFS(Addenda!$A:$A,"*READICOAT*")+0)),COUNTIFS(NameFF,"*door lh",NameFF,"&lt;&gt;*garage*",'CSV FF'!$C:$C,".820")+COUNTIFS(NameFF,"*door rh",NameFF,"&lt;&gt;*garage*",'CSV FF'!$C:$C,".820")+COUNTIFS(NameFF,"*door dbl",NameFF,"&lt;&gt;*garage*",'CSV FF'!$C:$C,".820")+COUNTIFS(NameFF,"Door Cvty",'CSV FF'!$C:$C,"+0.870")+COUNTIFS(NameFF,"DOOR CVTY",'CSV FF'!$C:$C,0.82)+COUNTIFS(NameFF,"DOOR CVTY DBL",'CSV FF'!$C:$C,0.82),0)</f>
        <v>0</v>
      </c>
      <c r="G1120" s="829"/>
      <c r="H1120" s="1111" t="s">
        <v>2004</v>
      </c>
      <c r="I1120" s="1205"/>
      <c r="J1120" s="2" t="str">
        <f>IF(Table5[[#This Row],[Entered]]&lt;&gt;Table5[[#This Row],[Quantity]],"Check","")</f>
        <v/>
      </c>
    </row>
    <row r="1121" spans="1:10" ht="15" x14ac:dyDescent="0.2">
      <c r="A1121" s="324" t="s">
        <v>2980</v>
      </c>
      <c r="B1121" s="324" t="str">
        <f t="shared" si="72"/>
        <v>0980</v>
      </c>
      <c r="C1121" s="324" t="str">
        <f t="shared" si="73"/>
        <v>52640</v>
      </c>
      <c r="D1121" s="1103">
        <f>520</f>
        <v>520</v>
      </c>
      <c r="E1121" s="324">
        <v>1</v>
      </c>
      <c r="F1121" s="827">
        <f>IF(AND(COUNTIF(Addenda!A:A,"*Stanford*")&gt;0,COUNTIF(Addenda!A:A,"*Readicoat*")=0),COUNTIFS(Name,"Door LH",Length,"0.72")+COUNTIFS(Name,"Door RH",Length,"0.72")+COUNTIFS(Name,"Door Dbl",Length,"0.72")*2+COUNTIFS(Name,"Door Cvty",Length,"0.72")+COUNTIFS(Name,"Door Cvty Dbl",Length,"0.72")*2+COUNTIFS('CSV FF'!A:A,"Door LH",'CSV FF'!C:C,"0.72")+COUNTIFS('CSV FF'!A:A,"Door RH",'CSV FF'!C:C,"0.72")+COUNTIFS('CSV FF'!A:A,"Door Dbl",'CSV FF'!C:C,"0.72")*2+COUNTIFS('CSV FF'!A:A,"Door Cvty",'CSV FF'!C:C,"0.72")+COUNTIFS('CSV FF'!A:A,"Door Cvty Dbl",'CSV FF'!C:C,"0.72")*2,0)</f>
        <v>0</v>
      </c>
      <c r="G1121" s="829"/>
      <c r="H1121" s="1111" t="s">
        <v>2005</v>
      </c>
      <c r="I1121" s="1205"/>
      <c r="J1121" s="2" t="str">
        <f>IF(Table5[[#This Row],[Entered]]&lt;&gt;Table5[[#This Row],[Quantity]],"Check","")</f>
        <v/>
      </c>
    </row>
    <row r="1122" spans="1:10" ht="15" x14ac:dyDescent="0.2">
      <c r="A1122" s="324" t="s">
        <v>2980</v>
      </c>
      <c r="B1122" s="324" t="str">
        <f t="shared" si="72"/>
        <v>0980</v>
      </c>
      <c r="C1122" s="324" t="str">
        <f t="shared" si="73"/>
        <v>52640</v>
      </c>
      <c r="D1122" s="1103">
        <f>521</f>
        <v>521</v>
      </c>
      <c r="E1122" s="324">
        <v>1</v>
      </c>
      <c r="F1122" s="827">
        <f>IF(AND(COUNTIFS(Addenda!A:A,"*ATHERTON*")&gt;0,(COUNTIFS(Addenda!A:A,"*READICOAT*")=0)),COUNTIFS(Name,"*door lh",Name,"&lt;&gt;*garage*",Length,".720")+COUNTIFS(Name,"*door rh",Name,"&lt;&gt;*garage*",Length,".720")+COUNTIFS(Name,"*door dbl",Name,"&lt;&gt;*garage*",Length,".720")*2+COUNTIFS(Name,"Door Cvty",Length,"=0.77")+COUNTIFS(Name,"DOOR CVTY",Length,0.72)+COUNTIFS(Name,"DOOR CVTY DBL",Length,0.72),0)+IF(AND(COUNTIFS(Addenda!$A:$A,"*ATHERTON*")&gt;0,(COUNTIFS(Addenda!$A:$A,"*READICOAT*")+0)),COUNTIFS(NameFF,"*door lh",NameFF,"&lt;&gt;*garage*",'CSV FF'!$C:$C,".720")+COUNTIFS(NameFF,"*door rh",NameFF,"&lt;&gt;*garage*",'CSV FF'!$C:$C,".720")+COUNTIFS(NameFF,"*door dbl",NameFF,"&lt;&gt;*garage*",'CSV FF'!$C:$C,".720")*2+COUNTIFS(NameFF,"Door Cvty",'CSV FF'!$C:$C,"+0.77")+COUNTIFS(NameFF,"DOOR CVTY",'CSV FF'!$C:$C,0.72)+COUNTIFS(NameFF,"DOOR CVTY DBL",'CSV FF'!$C:$C,0.72),0)</f>
        <v>0</v>
      </c>
      <c r="G1122" s="829"/>
      <c r="H1122" s="1111" t="s">
        <v>2006</v>
      </c>
      <c r="I1122" s="1205"/>
      <c r="J1122" s="2" t="str">
        <f>IF(Table5[[#This Row],[Entered]]&lt;&gt;Table5[[#This Row],[Quantity]],"Check","")</f>
        <v/>
      </c>
    </row>
    <row r="1123" spans="1:10" ht="15" x14ac:dyDescent="0.2">
      <c r="A1123" s="324" t="s">
        <v>2980</v>
      </c>
      <c r="B1123" s="324" t="str">
        <f t="shared" si="72"/>
        <v>0980</v>
      </c>
      <c r="C1123" s="324" t="str">
        <f t="shared" si="73"/>
        <v>52640</v>
      </c>
      <c r="D1123" s="1103">
        <f>530</f>
        <v>530</v>
      </c>
      <c r="E1123" s="324">
        <v>1</v>
      </c>
      <c r="F1123" s="827">
        <f>IF(AND(COUNTIF(Addenda!A:A,"*Stanford*")&gt;0,COUNTIF(Addenda!A:A,"*Readicoat*")=0),COUNTIFS(Name,"Door LH",Length,"0.62")+COUNTIFS(Name,"Door RH",Length,"0.62")+COUNTIFS(Name,"Door Dbl",Length,"0.62")*2+COUNTIFS(Name,"Door Cvty",Length,"0.62")+COUNTIFS(Name,"Door Cvty Dbl",Length,"0.62")*2+COUNTIFS('CSV FF'!A:A,"Door LH",'CSV FF'!C:C,"0.62")+COUNTIFS('CSV FF'!A:A,"Door RH",'CSV FF'!C:C,"0.62")+COUNTIFS('CSV FF'!A:A,"Door Dbl",'CSV FF'!C:C,"0.62")*2+COUNTIFS('CSV FF'!A:A,"Door Cvty",'CSV FF'!C:C,"0.62")+COUNTIFS('CSV FF'!A:A,"Door Cvty Dbl",'CSV FF'!C:C,"0.62")*2,0)</f>
        <v>0</v>
      </c>
      <c r="G1123" s="829"/>
      <c r="H1123" s="1111" t="s">
        <v>2007</v>
      </c>
      <c r="I1123" s="1205"/>
      <c r="J1123" s="2" t="str">
        <f>IF(Table5[[#This Row],[Entered]]&lt;&gt;Table5[[#This Row],[Quantity]],"Check","")</f>
        <v/>
      </c>
    </row>
    <row r="1124" spans="1:10" ht="15" x14ac:dyDescent="0.2">
      <c r="A1124" s="324" t="s">
        <v>2980</v>
      </c>
      <c r="B1124" s="324" t="str">
        <f t="shared" si="72"/>
        <v>0980</v>
      </c>
      <c r="C1124" s="324" t="str">
        <f t="shared" si="73"/>
        <v>52640</v>
      </c>
      <c r="D1124" s="1103">
        <f>531</f>
        <v>531</v>
      </c>
      <c r="E1124" s="324">
        <v>1</v>
      </c>
      <c r="F1124" s="827">
        <f>IF(AND(COUNTIFS(Addenda!A:A,"*ATHERTON*")&gt;0,(COUNTIFS(Addenda!A:A,"*READICOAT*")=0)),COUNTIFS(Name,"*door lh",Name,"&lt;&gt;*garage*",Length,".620")+COUNTIFS(Name,"*door rh",Name,"&lt;&gt;*garage*",Length,".620")+COUNTIFS(Name,"*door dbl",Name,"&lt;&gt;*garage*",Length,".620")*2+COUNTIFS(Name,"Door Cvty",Length,"=0.670")+COUNTIFS(Name,"DOOR CVTY",Length,0.62)+COUNTIFS(Name,"DOOR CVTY DBL",Length,0.62),0)+IF(AND(COUNTIFS(Addenda!$A:$A,"*ATHERTON*")&gt;0,(COUNTIFS(Addenda!$A:$A,"*READICOAT*")+0)),COUNTIFS(NameFF,"*door lh",NameFF,"&lt;&gt;*garage*",'CSV FF'!$C:$C,".620")+COUNTIFS(NameFF,"*door rh",NameFF,"&lt;&gt;*garage*",'CSV FF'!$C:$C,".620")+COUNTIFS(NameFF,"*door dbl",NameFF,"&lt;&gt;*garage*",'CSV FF'!$C:$C,".620")*2+COUNTIFS(NameFF,"Door Cvty",'CSV FF'!$C:$C,"+0.670")+COUNTIFS(NameFF,"DOOR CVTY",'CSV FF'!$C:$C,0.62)+COUNTIFS(NameFF,"DOOR CVTY DBL",'CSV FF'!$C:$C,0.62),0)</f>
        <v>0</v>
      </c>
      <c r="G1124" s="829"/>
      <c r="H1124" s="1111" t="s">
        <v>2008</v>
      </c>
      <c r="I1124" s="1205"/>
      <c r="J1124" s="2" t="str">
        <f>IF(Table5[[#This Row],[Entered]]&lt;&gt;Table5[[#This Row],[Quantity]],"Check","")</f>
        <v/>
      </c>
    </row>
    <row r="1125" spans="1:10" ht="15" x14ac:dyDescent="0.2">
      <c r="A1125" s="324" t="s">
        <v>2980</v>
      </c>
      <c r="B1125" s="324" t="str">
        <f t="shared" si="72"/>
        <v>0980</v>
      </c>
      <c r="C1125" s="324" t="str">
        <f t="shared" si="73"/>
        <v>52640</v>
      </c>
      <c r="D1125" s="1103">
        <f>540</f>
        <v>540</v>
      </c>
      <c r="E1125" s="324">
        <v>1</v>
      </c>
      <c r="F1125" s="827">
        <f>IF(AND(COUNTIF(Addenda!A:A,"*Stanford*")&gt;0,COUNTIF(Addenda!A:A,"*Readicoat*")=0),COUNTIFS(Name,"Door LH",Length,"0.52")+COUNTIFS(Name,"Door RH",Length,"0.52")+COUNTIFS(Name,"Door Dbl",Length,"0.52")*2+COUNTIFS(Name,"Door Cvty",Length,"0.52")+COUNTIFS(Name,"Door Cvty Dbl",Length,"0.52")*2+COUNTIFS('CSV FF'!A:A,"Door LH",'CSV FF'!C:C,"0.52")+COUNTIFS('CSV FF'!A:A,"Door RH",'CSV FF'!C:C,"0.52")+COUNTIFS('CSV FF'!A:A,"Door Dbl",'CSV FF'!C:C,"0.52")*2+COUNTIFS('CSV FF'!A:A,"Door Cvty",'CSV FF'!C:C,"0.52")+COUNTIFS('CSV FF'!A:A,"Door Cvty Dbl",'CSV FF'!C:C,"0.52")*2,0)</f>
        <v>0</v>
      </c>
      <c r="G1125" s="829"/>
      <c r="H1125" s="1111" t="s">
        <v>2009</v>
      </c>
      <c r="I1125" s="1205"/>
      <c r="J1125" s="2" t="str">
        <f>IF(Table5[[#This Row],[Entered]]&lt;&gt;Table5[[#This Row],[Quantity]],"Check","")</f>
        <v/>
      </c>
    </row>
    <row r="1126" spans="1:10" ht="15" x14ac:dyDescent="0.2">
      <c r="A1126" s="324" t="s">
        <v>2980</v>
      </c>
      <c r="B1126" s="324" t="str">
        <f t="shared" si="72"/>
        <v>0980</v>
      </c>
      <c r="C1126" s="324" t="str">
        <f t="shared" si="73"/>
        <v>52640</v>
      </c>
      <c r="D1126" s="1103">
        <f>550</f>
        <v>550</v>
      </c>
      <c r="E1126" s="324">
        <v>1</v>
      </c>
      <c r="F1126" s="827">
        <f>IF(AND(COUNTIF(Addenda!A:A,"*Stanford*")&gt;0,COUNTIF(Addenda!A:A,"*Readicoat*")=0),COUNTIFS('CSV FF'!A:A,"Door WC LH",'CSV FF'!C:C,"0.62")+COUNTIFS('CSV FF'!A:A,"Door WC RH",'CSV FF'!C:C,"0.62")+COUNTIFS(Name,"Door WC LH",Length,"0.62")+COUNTIFS(Name,"Door WC RH",Length,"0.62"),0)</f>
        <v>0</v>
      </c>
      <c r="G1126" s="829"/>
      <c r="H1126" s="1111" t="s">
        <v>2010</v>
      </c>
      <c r="I1126" s="1205"/>
      <c r="J1126" s="2" t="str">
        <f>IF(Table5[[#This Row],[Entered]]&lt;&gt;Table5[[#This Row],[Quantity]],"Check","")</f>
        <v/>
      </c>
    </row>
    <row r="1127" spans="1:10" ht="15" x14ac:dyDescent="0.2">
      <c r="A1127" s="324" t="s">
        <v>2980</v>
      </c>
      <c r="B1127" s="324" t="str">
        <f t="shared" si="72"/>
        <v>0980</v>
      </c>
      <c r="C1127" s="324" t="str">
        <f t="shared" si="73"/>
        <v>52640</v>
      </c>
      <c r="D1127" s="1103">
        <f>551</f>
        <v>551</v>
      </c>
      <c r="E1127" s="324">
        <v>1</v>
      </c>
      <c r="F1127" s="827">
        <f>IF(AND(COUNTIF(Addenda!A:A,"*Stanford*")&gt;0,COUNTIF(Addenda!A:A,"*Readicoat*")=0),COUNTIFS('CSV FF'!A:A,"Door WC LH",'CSV FF'!C:C,"0.72")+COUNTIFS('CSV FF'!A:A,"Door WC RH",'CSV FF'!C:C,"0.72")+COUNTIFS(Name,"Door WC LH",Length,"0.72")+COUNTIFS(Name,"Door WC RH",Length,"0.72"),0)</f>
        <v>0</v>
      </c>
      <c r="G1127" s="829"/>
      <c r="H1127" s="1111" t="s">
        <v>2011</v>
      </c>
      <c r="I1127" s="1205"/>
      <c r="J1127" s="2" t="str">
        <f>IF(Table5[[#This Row],[Entered]]&lt;&gt;Table5[[#This Row],[Quantity]],"Check","")</f>
        <v/>
      </c>
    </row>
    <row r="1128" spans="1:10" ht="15" x14ac:dyDescent="0.2">
      <c r="A1128" s="324" t="s">
        <v>2980</v>
      </c>
      <c r="B1128" s="324" t="str">
        <f t="shared" si="72"/>
        <v>0980</v>
      </c>
      <c r="C1128" s="324" t="str">
        <f t="shared" si="73"/>
        <v>52640</v>
      </c>
      <c r="D1128" s="1103">
        <f>560</f>
        <v>560</v>
      </c>
      <c r="E1128" s="324">
        <v>1</v>
      </c>
      <c r="F1128" s="827">
        <f>IF(AND(COUNTIF(Addenda!A:A,"*Stanford*")&gt;0,COUNTIF(Addenda!A:A,"*Readicoat*")=0),COUNTIFS(Name,"Door Sld",Length,"0.87")+COUNTIFS(Name,"Door Sld Dbl",Length,"0.87")*2+COUNTIFS('CSV FF'!A:A,"Door Sld",'CSV FF'!C:C,"0.87")+COUNTIFS('CSV FF'!A:A,"Door Sld Dbl",'CSV FF'!C:C,"0.87")*2,0)</f>
        <v>0</v>
      </c>
      <c r="G1128" s="829"/>
      <c r="H1128" s="1111" t="s">
        <v>2012</v>
      </c>
      <c r="I1128" s="1205"/>
      <c r="J1128" s="2" t="str">
        <f>IF(Table5[[#This Row],[Entered]]&lt;&gt;Table5[[#This Row],[Quantity]],"Check","")</f>
        <v/>
      </c>
    </row>
    <row r="1129" spans="1:10" ht="15" x14ac:dyDescent="0.2">
      <c r="A1129" s="324" t="s">
        <v>2980</v>
      </c>
      <c r="B1129" s="324" t="str">
        <f t="shared" si="72"/>
        <v>0980</v>
      </c>
      <c r="C1129" s="324" t="str">
        <f t="shared" si="73"/>
        <v>52640</v>
      </c>
      <c r="D1129" s="1103">
        <f>565</f>
        <v>565</v>
      </c>
      <c r="E1129" s="324">
        <v>1</v>
      </c>
      <c r="F1129" s="827">
        <f>IF(AND(COUNTIF(Addenda!A:A,"*Stanford*")&gt;0,COUNTIF(Addenda!A:A,"*Readicoat*")=0),COUNTIFS(Name,"Door Sld",Length,"0.77")+COUNTIFS(Name,"Door Sld Dbl",Length,"0.77")*2+COUNTIFS('CSV FF'!A:A,"Door Sld",'CSV FF'!C:C,"0.77")+COUNTIFS('CSV FF'!A:A,"Door Sld Dbl",'CSV FF'!C:C,"0.77")*2,0)</f>
        <v>0</v>
      </c>
      <c r="G1129" s="829"/>
      <c r="H1129" s="1111" t="s">
        <v>2013</v>
      </c>
      <c r="I1129" s="1205"/>
      <c r="J1129" s="2" t="str">
        <f>IF(Table5[[#This Row],[Entered]]&lt;&gt;Table5[[#This Row],[Quantity]],"Check","")</f>
        <v/>
      </c>
    </row>
    <row r="1130" spans="1:10" ht="15" x14ac:dyDescent="0.2">
      <c r="A1130" s="324" t="s">
        <v>2980</v>
      </c>
      <c r="B1130" s="324" t="str">
        <f t="shared" si="72"/>
        <v>0980</v>
      </c>
      <c r="C1130" s="324" t="str">
        <f t="shared" si="73"/>
        <v>52640</v>
      </c>
      <c r="D1130" s="1103">
        <f>580</f>
        <v>580</v>
      </c>
      <c r="E1130" s="324">
        <v>1</v>
      </c>
      <c r="F1130" s="827">
        <f>COUNTIFS(Name,"Door Entry Dbl*")*2+COUNTIFS(NameFF,"Door Entry Dbl*")*2</f>
        <v>0</v>
      </c>
      <c r="G1130" s="829"/>
      <c r="H1130" s="1111" t="s">
        <v>2014</v>
      </c>
      <c r="I1130" s="1205"/>
      <c r="J1130" s="2" t="str">
        <f>IF(Table5[[#This Row],[Entered]]&lt;&gt;Table5[[#This Row],[Quantity]],"Check","")</f>
        <v/>
      </c>
    </row>
    <row r="1131" spans="1:10" ht="15" x14ac:dyDescent="0.2">
      <c r="A1131" s="324" t="s">
        <v>2980</v>
      </c>
      <c r="B1131" s="324" t="str">
        <f t="shared" si="72"/>
        <v>0980</v>
      </c>
      <c r="C1131" s="324" t="str">
        <f t="shared" si="73"/>
        <v>52640</v>
      </c>
      <c r="D1131" s="324">
        <v>7000</v>
      </c>
      <c r="E1131" s="324">
        <v>1</v>
      </c>
      <c r="F1131" s="827">
        <f>IF(AND(COUNTIFS(Addenda!A:A,"*IMPRESSIONS CMB*")&gt;0,(COUNTIFS(Addenda!A:A,"*READICOAT*")=0)),COUNTIFS(Name,"*door lh",Name,"&lt;&gt;*garage*",Length,".820")+COUNTIFS(Name,"*door rh",Name,"&lt;&gt;*garage*",Length,".820")+COUNTIFS(Name,"*door dbl",Name,"&lt;&gt;*garage*",Length,".820")+COUNTIFS(Name,"Door Cvty",Length,"=0.870")+COUNTIFS(Name,"DOOR CVTY",Length,0.82)+COUNTIFS(Name,"DOOR CVTY DBL",Length,0.82),0)+IF(AND(COUNTIFS(Addenda!$A:$A,"*IMPRESSIONS CMB*")&gt;0,(COUNTIFS(Addenda!$A:$A,"*READICOAT*")+0)),COUNTIFS(NameFF,"*door lh",NameFF,"&lt;&gt;*garage*",'CSV FF'!$C:$C,".820")+COUNTIFS(NameFF,"*door rh",NameFF,"&lt;&gt;*garage*",'CSV FF'!$C:$C,".820")+COUNTIFS(NameFF,"*door dbl",NameFF,"&lt;&gt;*garage*",'CSV FF'!$C:$C,".820")+COUNTIFS(NameFF,"Door Cvty",'CSV FF'!$C:$C,"+0.870")+COUNTIFS(NameFF,"DOOR CVTY",'CSV FF'!$C:$C,0.82)+COUNTIFS(NameFF,"DOOR CVTY DBL",'CSV FF'!$C:$C,0.82),0)</f>
        <v>0</v>
      </c>
      <c r="G1131" s="829">
        <f>126*(1-0.335)</f>
        <v>83.79</v>
      </c>
      <c r="H1131" s="412" t="s">
        <v>2992</v>
      </c>
      <c r="I1131" s="1258"/>
      <c r="J1131" s="2" t="str">
        <f>IF(Table5[[#This Row],[Entered]]&lt;&gt;Table5[[#This Row],[Quantity]],"Check","")</f>
        <v/>
      </c>
    </row>
    <row r="1132" spans="1:10" ht="15" x14ac:dyDescent="0.2">
      <c r="A1132" s="324" t="s">
        <v>2980</v>
      </c>
      <c r="B1132" s="324" t="str">
        <f t="shared" si="72"/>
        <v>0980</v>
      </c>
      <c r="C1132" s="324" t="str">
        <f t="shared" si="73"/>
        <v>52640</v>
      </c>
      <c r="D1132" s="324">
        <v>7001</v>
      </c>
      <c r="E1132" s="324">
        <v>1</v>
      </c>
      <c r="F1132" s="827">
        <f>IF(AND(COUNTIFS(Addenda!A:A,"*IMPRESSIONS CMB*")&gt;0,(COUNTIFS(Addenda!A:A,"*READICOAT*")=0)),COUNTIFS(Name,"*door lh",Name,"&lt;&gt;*garage*",Length,".720")+COUNTIFS(Name,"*door rh",Name,"&lt;&gt;*garage*",Length,".720")+COUNTIFS(Name,"*door dbl",Name,"&lt;&gt;*garage*",Length,".720")*2+COUNTIFS(Name,"Door Cvty",Length,"=0.77")+COUNTIFS(Name,"DOOR CVTY",Length,0.72)+COUNTIFS(Name,"DOOR CVTY DBL",Length,0.72),0)+IF(AND(COUNTIFS(Addenda!$A:$A,"*IMPRESSIONS CMB*")&gt;0,(COUNTIFS(Addenda!$A:$A,"*READICOAT*")+0)),COUNTIFS(NameFF,"*door lh",NameFF,"&lt;&gt;*garage*",'CSV FF'!$C:$C,".720")+COUNTIFS(NameFF,"*door rh",NameFF,"&lt;&gt;*garage*",'CSV FF'!$C:$C,".720")+COUNTIFS(NameFF,"*door dbl",NameFF,"&lt;&gt;*garage*",'CSV FF'!$C:$C,".720")*2+COUNTIFS(NameFF,"Door Cvty",'CSV FF'!$C:$C,"+0.77")+COUNTIFS(NameFF,"DOOR CVTY",'CSV FF'!$C:$C,0.72)+COUNTIFS(NameFF,"DOOR CVTY DBL",'CSV FF'!$C:$C,0.72),0)</f>
        <v>0</v>
      </c>
      <c r="G1132" s="829">
        <f>126*(1-0.335)</f>
        <v>83.79</v>
      </c>
      <c r="H1132" s="412" t="s">
        <v>2993</v>
      </c>
      <c r="I1132" s="1258"/>
      <c r="J1132" s="2" t="str">
        <f>IF(Table5[[#This Row],[Entered]]&lt;&gt;Table5[[#This Row],[Quantity]],"Check","")</f>
        <v/>
      </c>
    </row>
    <row r="1133" spans="1:10" ht="15" x14ac:dyDescent="0.2">
      <c r="A1133" s="324" t="s">
        <v>2980</v>
      </c>
      <c r="B1133" s="324" t="str">
        <f t="shared" si="72"/>
        <v>0980</v>
      </c>
      <c r="C1133" s="324" t="str">
        <f t="shared" si="73"/>
        <v>52640</v>
      </c>
      <c r="D1133" s="324">
        <v>7002</v>
      </c>
      <c r="E1133" s="324">
        <v>1</v>
      </c>
      <c r="F1133" s="827">
        <f>IF(AND(COUNTIFS(Addenda!A:A,"*IMPRESSIONS CMB*")&gt;0,(COUNTIFS(Addenda!A:A,"*READICOAT*")=0)),COUNTIFS(Name,"*door lh",Name,"&lt;&gt;*garage*",Length,".620")+COUNTIFS(Name,"*door rh",Name,"&lt;&gt;*garage*",Length,".620")+COUNTIFS(Name,"*door dbl",Name,"&lt;&gt;*garage*",Length,".620")*2+COUNTIFS(Name,"Door Cvty",Length,"=0.670")+COUNTIFS(Name,"DOOR CVTY",Length,0.62)+COUNTIFS(Name,"DOOR CVTY DBL",Length,0.62),0)+IF(AND(COUNTIFS(Addenda!$A:$A,"*IMPRESSIONS CMB*")&gt;0,(COUNTIFS(Addenda!$A:$A,"*READICOAT*")+0)),COUNTIFS(NameFF,"*door lh",NameFF,"&lt;&gt;*garage*",'CSV FF'!$C:$C,".620")+COUNTIFS(NameFF,"*door rh",NameFF,"&lt;&gt;*garage*",'CSV FF'!$C:$C,".620")+COUNTIFS(NameFF,"*door dbl",NameFF,"&lt;&gt;*garage*",'CSV FF'!$C:$C,".620")*2+COUNTIFS(NameFF,"Door Cvty",'CSV FF'!$C:$C,"+0.670")+COUNTIFS(NameFF,"DOOR CVTY",'CSV FF'!$C:$C,0.62)+COUNTIFS(NameFF,"DOOR CVTY DBL",'CSV FF'!$C:$C,0.62),0)</f>
        <v>0</v>
      </c>
      <c r="G1133" s="829">
        <f>126*(1-0.335)</f>
        <v>83.79</v>
      </c>
      <c r="H1133" s="412" t="s">
        <v>2994</v>
      </c>
      <c r="I1133" s="1258"/>
      <c r="J1133" s="2" t="str">
        <f>IF(Table5[[#This Row],[Entered]]&lt;&gt;Table5[[#This Row],[Quantity]],"Check","")</f>
        <v/>
      </c>
    </row>
    <row r="1134" spans="1:10" ht="15" x14ac:dyDescent="0.2">
      <c r="A1134" s="324" t="s">
        <v>2980</v>
      </c>
      <c r="B1134" s="324" t="str">
        <f t="shared" ref="B1134:B1179" si="74">"0980"</f>
        <v>0980</v>
      </c>
      <c r="C1134" s="324" t="str">
        <f t="shared" ref="C1134:C1179" si="75">"52640"</f>
        <v>52640</v>
      </c>
      <c r="D1134" s="324">
        <v>7003</v>
      </c>
      <c r="E1134" s="324">
        <v>1</v>
      </c>
      <c r="F1134" s="827">
        <f>IF(AND(COUNTIFS(Addenda!A:A,"*IMPRESSIONS CMB*")&gt;0,(COUNTIFS(Addenda!A:A,"*READICOAT*")=0)),COUNTIFS(Name,"*door wc lh",Name,"&lt;&gt;*garage*",Length,".620")+COUNTIFS(Name,"*DOOR WC RH",Name,"&lt;&gt;*garage*",Length,".620"),0)+IF(AND(COUNTIFS(Addenda!$A:$A,"*IMPRESSIONS CMB*")&gt;0,(COUNTIFS(Addenda!$A:$A,"*READICOAT*")+0)),COUNTIFS(NameFF,"*door wc lh",NameFF,"&lt;&gt;*garage*",'CSV FF'!$C:$C,".620")+COUNTIFS(NameFF,"*DOOR WC RH",NameFF,"&lt;&gt;*garage*",'CSV FF'!$C:$C,".620"),0)</f>
        <v>0</v>
      </c>
      <c r="G1134" s="829">
        <f>154*(1-0.335)</f>
        <v>102.41000000000001</v>
      </c>
      <c r="H1134" s="412" t="s">
        <v>2995</v>
      </c>
      <c r="I1134" s="1258"/>
      <c r="J1134" s="2" t="str">
        <f>IF(Table5[[#This Row],[Entered]]&lt;&gt;Table5[[#This Row],[Quantity]],"Check","")</f>
        <v/>
      </c>
    </row>
    <row r="1135" spans="1:10" ht="15" x14ac:dyDescent="0.2">
      <c r="A1135" s="324" t="s">
        <v>2980</v>
      </c>
      <c r="B1135" s="324" t="str">
        <f t="shared" si="74"/>
        <v>0980</v>
      </c>
      <c r="C1135" s="324" t="str">
        <f t="shared" si="75"/>
        <v>52640</v>
      </c>
      <c r="D1135" s="324">
        <v>7004</v>
      </c>
      <c r="E1135" s="324">
        <v>1</v>
      </c>
      <c r="F1135" s="827">
        <f>IF(AND(COUNTIFS(Addenda!A:A,"*IMPRESSIONS CMB*")&gt;0,(COUNTIFS(Addenda!A:A,"*READICOAT*")=0)),COUNTIFS(Name,"*door wc lh",Name,"&lt;&gt;*garage*",Length,".720")+COUNTIFS(Name,"*DOOR WC RH",Name,"&lt;&gt;*garage*",Length,".720"),0)+IF(AND(COUNTIFS(Addenda!$A:$A,"*IMPRESSIONS CMB*")&gt;0,(COUNTIFS(Addenda!$A:$A,"*READICOAT*")+0)),COUNTIFS(NameFF,"*door wc lh",NameFF,"&lt;&gt;*garage*",'CSV FF'!$C:$C,".720")+COUNTIFS(NameFF,"*DOOR WC RH",NameFF,"&lt;&gt;*garage*",'CSV FF'!$C:$C,".720"),0)</f>
        <v>0</v>
      </c>
      <c r="G1135" s="829">
        <f>154*(1-0.335)</f>
        <v>102.41000000000001</v>
      </c>
      <c r="H1135" s="412" t="s">
        <v>2997</v>
      </c>
      <c r="I1135" s="1258"/>
      <c r="J1135" s="2" t="str">
        <f>IF(Table5[[#This Row],[Entered]]&lt;&gt;Table5[[#This Row],[Quantity]],"Check","")</f>
        <v/>
      </c>
    </row>
    <row r="1136" spans="1:10" ht="15" x14ac:dyDescent="0.2">
      <c r="A1136" s="324" t="s">
        <v>2980</v>
      </c>
      <c r="B1136" s="324" t="str">
        <f t="shared" si="74"/>
        <v>0980</v>
      </c>
      <c r="C1136" s="324" t="str">
        <f t="shared" si="75"/>
        <v>52640</v>
      </c>
      <c r="D1136" s="324">
        <v>7005</v>
      </c>
      <c r="E1136" s="324">
        <v>1</v>
      </c>
      <c r="F1136" s="827">
        <f>IF(AND(COUNTIFS(Addenda!A:A,"*IMPRESSIONS CMB*")&gt;0,(COUNTIFS(Addenda!A:A,"*READICOAT*")=0)),COUNTIFS(Name,"*door wc lh",Name,"&lt;&gt;*garage*",Length,".820")+COUNTIFS(Name,"*DOOR WC RH",Name,"&lt;&gt;*garage*",Length,".820"),0)+IF(AND(COUNTIFS(Addenda!$A:$A,"*IMPRESSIONS CMB*")&gt;0,(COUNTIFS(Addenda!$A:$A,"*READICOAT*")+0)),COUNTIFS(NameFF,"*door wc lh",NameFF,"&lt;&gt;*garage*",'CSV FF'!$C:$C,".820")+COUNTIFS(NameFF,"*DOOR WC RH",NameFF,"&lt;&gt;*garage*",'CSV FF'!$C:$C,".820"),0)</f>
        <v>0</v>
      </c>
      <c r="G1136" s="829">
        <f>154*(1-0.335)</f>
        <v>102.41000000000001</v>
      </c>
      <c r="H1136" s="412" t="s">
        <v>2998</v>
      </c>
      <c r="I1136" s="1258"/>
      <c r="J1136" s="2" t="str">
        <f>IF(Table5[[#This Row],[Entered]]&lt;&gt;Table5[[#This Row],[Quantity]],"Check","")</f>
        <v/>
      </c>
    </row>
    <row r="1137" spans="1:10" ht="15" x14ac:dyDescent="0.2">
      <c r="A1137" s="324" t="s">
        <v>2980</v>
      </c>
      <c r="B1137" s="324" t="str">
        <f t="shared" si="74"/>
        <v>0980</v>
      </c>
      <c r="C1137" s="324" t="str">
        <f t="shared" si="75"/>
        <v>52640</v>
      </c>
      <c r="D1137" s="324">
        <v>7006</v>
      </c>
      <c r="E1137" s="324">
        <v>1</v>
      </c>
      <c r="F1137" s="827">
        <f>IF(AND(COUNTIFS(Addenda!A:A,"*IMPRESSIONS CMB*")&gt;0,(COUNTIFS(Addenda!A:A,"*READICOAT*")=0)),COUNTIFS(Name,"*door sld",Name,"&lt;&gt;*garage*",Length,".770")+(COUNTIFS(Name,"door sld dbl",Name,"&lt;&gt;*garage*",Length,".770")*2),0)+IF(AND(COUNTIFS(Addenda!$A:$A,"*IMPRESSIONS CMB*")&gt;0,(COUNTIFS(Addenda!$A:$A,"*READICOAT*")+0)),COUNTIFS(NameFF,"*door sld",NameFF,"&lt;&gt;*garage*",'CSV FF'!$C:$C,".770")+(COUNTIFS(NameFF,"door sld dbl",NameFF,"&lt;&gt;*garage*",'CSV FF'!$C:$C,".770")*2),0)</f>
        <v>0</v>
      </c>
      <c r="G1137" s="829">
        <f>206*(1-0.335)</f>
        <v>136.99</v>
      </c>
      <c r="H1137" s="412" t="s">
        <v>2999</v>
      </c>
      <c r="I1137" s="1258"/>
      <c r="J1137" s="2" t="str">
        <f>IF(Table5[[#This Row],[Entered]]&lt;&gt;Table5[[#This Row],[Quantity]],"Check","")</f>
        <v/>
      </c>
    </row>
    <row r="1138" spans="1:10" ht="15" x14ac:dyDescent="0.2">
      <c r="A1138" s="324" t="s">
        <v>2980</v>
      </c>
      <c r="B1138" s="324" t="str">
        <f t="shared" si="74"/>
        <v>0980</v>
      </c>
      <c r="C1138" s="324" t="str">
        <f t="shared" si="75"/>
        <v>52640</v>
      </c>
      <c r="D1138" s="324">
        <v>7007</v>
      </c>
      <c r="E1138" s="324">
        <v>1</v>
      </c>
      <c r="F1138" s="827">
        <f>IF(AND(COUNTIFS(Addenda!A:A,"*IMPRESSIONS CMB*")&gt;0,(COUNTIFS(Addenda!A:A,"*READICOAT*")=0)),COUNTIFS(Name,"*door sld",Name,"&lt;&gt;*garage*",Length,".870")+(COUNTIFS(Name,"door sld dbl",Name,"&lt;&gt;*garage*",Length,".870")*2),0)+IF(AND(COUNTIFS(Addenda!$A:$A,"*IMPRESSIONS CMB*")&gt;0,(COUNTIFS(Addenda!$A:$A,"*READICOAT*")+0)),COUNTIFS(NameFF,"*door sld",NameFF,"&lt;&gt;*garage*",'CSV FF'!$C:$C,".870")+(COUNTIFS(NameFF,"door sld dbl",NameFF,"&lt;&gt;*garage*",'CSV FF'!$C:$C,".870")*2),0)</f>
        <v>0</v>
      </c>
      <c r="G1138" s="829">
        <f>206*(1-0.335)</f>
        <v>136.99</v>
      </c>
      <c r="H1138" s="412" t="s">
        <v>2996</v>
      </c>
      <c r="I1138" s="1258"/>
      <c r="J1138" s="2" t="str">
        <f>IF(Table5[[#This Row],[Entered]]&lt;&gt;Table5[[#This Row],[Quantity]],"Check","")</f>
        <v/>
      </c>
    </row>
    <row r="1139" spans="1:10" ht="15" x14ac:dyDescent="0.2">
      <c r="A1139" s="324" t="s">
        <v>2980</v>
      </c>
      <c r="B1139" s="324" t="str">
        <f t="shared" si="74"/>
        <v>0980</v>
      </c>
      <c r="C1139" s="324" t="str">
        <f t="shared" si="75"/>
        <v>52640</v>
      </c>
      <c r="D1139" s="324">
        <v>7008</v>
      </c>
      <c r="E1139" s="324">
        <v>1</v>
      </c>
      <c r="F1139" s="827">
        <f>IF(AND(COUNTIFS(Addenda!A:A,"*IMPRESSIONS CMB*")&gt;0,(COUNTIFS(Addenda!A:A,"*READICOAT*")=0)),COUNTIFS(Name,"*door SHPR*",Name,"&lt;&gt;*garage*",Length,".820")+(COUNTIFS(Name,"door sld dbl",Name,"&lt;&gt;*garage*",Length,".820")*2),0)+IF(AND(COUNTIFS(Addenda!$A:$A,"*IMPRESSIONS CMB*")&gt;0,(COUNTIFS(Addenda!$A:$A,"*READICOAT*")+0)),COUNTIFS(NameFF,"*door sld",NameFF,"&lt;&gt;*garage*",'CSV FF'!$C:$C,".820")+(COUNTIFS(NameFF,"door sld dbl",NameFF,"&lt;&gt;*garage*",'CSV FF'!$C:$C,".820")*2),0)</f>
        <v>0</v>
      </c>
      <c r="G1139" s="829">
        <f>(126+184)*(1-0.335)</f>
        <v>206.15</v>
      </c>
      <c r="H1139" s="412" t="s">
        <v>3000</v>
      </c>
      <c r="I1139" s="1258"/>
      <c r="J1139" s="2" t="str">
        <f>IF(Table5[[#This Row],[Entered]]&lt;&gt;Table5[[#This Row],[Quantity]],"Check","")</f>
        <v/>
      </c>
    </row>
    <row r="1140" spans="1:10" ht="15" x14ac:dyDescent="0.2">
      <c r="A1140" s="324" t="s">
        <v>2980</v>
      </c>
      <c r="B1140" s="324" t="str">
        <f t="shared" si="74"/>
        <v>0980</v>
      </c>
      <c r="C1140" s="324" t="str">
        <f t="shared" si="75"/>
        <v>52640</v>
      </c>
      <c r="D1140" s="324">
        <v>7000</v>
      </c>
      <c r="E1140" s="324">
        <v>1</v>
      </c>
      <c r="F1140" s="1128">
        <f>IF(AND(COUNTIFS(Addenda!A:A,"*IMPRESSIONS ROC*")&gt;0,(COUNTIFS(Addenda!A:A,"*READICOAT*")=0)),COUNTIFS(Name,"*door lh",Name,"&lt;&gt;*garage*",Length,".820")+COUNTIFS(Name,"*door rh",Name,"&lt;&gt;*garage*",Length,".820")+COUNTIFS(Name,"*door dbl",Name,"&lt;&gt;*garage*",Length,".820")+COUNTIFS(Name,"Door Cvty",Length,"=0.870")+COUNTIFS(Name,"DOOR CVTY",Length,0.82)+COUNTIFS(Name,"DOOR CVTY DBL",Length,0.82),0)+IF(AND(COUNTIFS(Addenda!$A:$A,"*IMPRESSIONS ROC*")&gt;0,(COUNTIFS(Addenda!$A:$A,"*READICOAT*")+0)),COUNTIFS(NameFF,"*door lh",NameFF,"&lt;&gt;*garage*",'CSV FF'!$C:$C,".820")+COUNTIFS(NameFF,"*door rh",NameFF,"&lt;&gt;*garage*",'CSV FF'!$C:$C,".820")+COUNTIFS(NameFF,"*door dbl",NameFF,"&lt;&gt;*garage*",'CSV FF'!$C:$C,".820")+COUNTIFS(NameFF,"Door Cvty",'CSV FF'!$C:$C,"+0.870")+COUNTIFS(NameFF,"DOOR CVTY",'CSV FF'!$C:$C,0.82)+COUNTIFS(NameFF,"DOOR CVTY DBL",'CSV FF'!$C:$C,0.82),0)</f>
        <v>0</v>
      </c>
      <c r="G1140" s="829">
        <v>65.849999999999994</v>
      </c>
      <c r="H1140" s="412" t="s">
        <v>3641</v>
      </c>
      <c r="I1140" s="1207"/>
      <c r="J1140" s="73" t="str">
        <f>IF(Table5[[#This Row],[Entered]]&lt;&gt;Table5[[#This Row],[Quantity]],"Check","")</f>
        <v/>
      </c>
    </row>
    <row r="1141" spans="1:10" ht="15" x14ac:dyDescent="0.2">
      <c r="A1141" s="324" t="s">
        <v>2980</v>
      </c>
      <c r="B1141" s="324" t="str">
        <f t="shared" si="74"/>
        <v>0980</v>
      </c>
      <c r="C1141" s="324" t="str">
        <f t="shared" si="75"/>
        <v>52640</v>
      </c>
      <c r="D1141" s="324">
        <v>7001</v>
      </c>
      <c r="E1141" s="324">
        <v>1</v>
      </c>
      <c r="F1141" s="827">
        <f>IF(AND(COUNTIFS(Addenda!A:A,"*IMPRESSIONS ROC*")&gt;0,(COUNTIFS(Addenda!A:A,"*READICOAT*")=0)),COUNTIFS(Name,"*door lh",Name,"&lt;&gt;*garage*",Length,".720")+COUNTIFS(Name,"*door rh",Name,"&lt;&gt;*garage*",Length,".720")+COUNTIFS(Name,"*door dbl",Name,"&lt;&gt;*garage*",Length,".720")*2+COUNTIFS(Name,"Door Cvty",Length,"=0.77")+COUNTIFS(Name,"DOOR CVTY",Length,0.72)+COUNTIFS(Name,"DOOR CVTY DBL",Length,0.72),0)+IF(AND(COUNTIFS(Addenda!$A:$A,"*IMPRESSIONS ROC*")&gt;0,(COUNTIFS(Addenda!$A:$A,"*READICOAT*")+0)),COUNTIFS(NameFF,"*door lh",NameFF,"&lt;&gt;*garage*",'CSV FF'!$C:$C,".720")+COUNTIFS(NameFF,"*door rh",NameFF,"&lt;&gt;*garage*",'CSV FF'!$C:$C,".720")+COUNTIFS(NameFF,"*door dbl",NameFF,"&lt;&gt;*garage*",'CSV FF'!$C:$C,".720")*2+COUNTIFS(NameFF,"Door Cvty",'CSV FF'!$C:$C,"+0.77")+COUNTIFS(NameFF,"DOOR CVTY",'CSV FF'!$C:$C,0.72)+COUNTIFS(NameFF,"DOOR CVTY DBL",'CSV FF'!$C:$C,0.72),0)</f>
        <v>0</v>
      </c>
      <c r="G1141" s="829">
        <v>65.849999999999994</v>
      </c>
      <c r="H1141" s="412" t="s">
        <v>3642</v>
      </c>
      <c r="I1141" s="1207"/>
      <c r="J1141" s="73" t="str">
        <f>IF(Table5[[#This Row],[Entered]]&lt;&gt;Table5[[#This Row],[Quantity]],"Check","")</f>
        <v/>
      </c>
    </row>
    <row r="1142" spans="1:10" ht="15" x14ac:dyDescent="0.2">
      <c r="A1142" s="324" t="s">
        <v>2980</v>
      </c>
      <c r="B1142" s="324" t="str">
        <f t="shared" si="74"/>
        <v>0980</v>
      </c>
      <c r="C1142" s="324" t="str">
        <f t="shared" si="75"/>
        <v>52640</v>
      </c>
      <c r="D1142" s="324">
        <v>7002</v>
      </c>
      <c r="E1142" s="324">
        <v>1</v>
      </c>
      <c r="F1142" s="827">
        <f>IF(AND(COUNTIFS(Addenda!A:A,"*IMPRESSIONS ROC*")&gt;0,(COUNTIFS(Addenda!A:A,"*READICOAT*")=0)),COUNTIFS(Name,"*door lh",Name,"&lt;&gt;*garage*",Length,".620")+COUNTIFS(Name,"*door rh",Name,"&lt;&gt;*garage*",Length,".620")+COUNTIFS(Name,"*door dbl",Name,"&lt;&gt;*garage*",Length,".620")*2+COUNTIFS(Name,"Door Cvty",Length,"=0.670")+COUNTIFS(Name,"DOOR CVTY",Length,0.62)+COUNTIFS(Name,"DOOR CVTY DBL",Length,0.62),0)+IF(AND(COUNTIFS(Addenda!$A:$A,"*IMPRESSIONS ROC*")&gt;0,(COUNTIFS(Addenda!$A:$A,"*READICOAT*")+0)),COUNTIFS(NameFF,"*door lh",NameFF,"&lt;&gt;*garage*",'CSV FF'!$C:$C,".620")+COUNTIFS(NameFF,"*door rh",NameFF,"&lt;&gt;*garage*",'CSV FF'!$C:$C,".620")+COUNTIFS(NameFF,"*door dbl",NameFF,"&lt;&gt;*garage*",'CSV FF'!$C:$C,".620")*2+COUNTIFS(NameFF,"Door Cvty",'CSV FF'!$C:$C,"+0.670")+COUNTIFS(NameFF,"DOOR CVTY",'CSV FF'!$C:$C,0.62)+COUNTIFS(NameFF,"DOOR CVTY DBL",'CSV FF'!$C:$C,0.62),0)</f>
        <v>0</v>
      </c>
      <c r="G1142" s="829">
        <v>65.849999999999994</v>
      </c>
      <c r="H1142" s="412" t="s">
        <v>3643</v>
      </c>
      <c r="I1142" s="1207"/>
      <c r="J1142" s="73" t="str">
        <f>IF(Table5[[#This Row],[Entered]]&lt;&gt;Table5[[#This Row],[Quantity]],"Check","")</f>
        <v/>
      </c>
    </row>
    <row r="1143" spans="1:10" ht="15" x14ac:dyDescent="0.2">
      <c r="A1143" s="324" t="s">
        <v>2980</v>
      </c>
      <c r="B1143" s="324" t="str">
        <f t="shared" si="74"/>
        <v>0980</v>
      </c>
      <c r="C1143" s="324" t="str">
        <f t="shared" si="75"/>
        <v>52640</v>
      </c>
      <c r="D1143" s="324">
        <v>7003</v>
      </c>
      <c r="E1143" s="324">
        <v>1</v>
      </c>
      <c r="F1143" s="827">
        <f>IF(AND(COUNTIFS(Addenda!A:A,"*IMPRESSIONS ROC*")&gt;0,(COUNTIFS(Addenda!A:A,"*READICOAT*")=0)),COUNTIFS(Name,"*door wc lh",Name,"&lt;&gt;*garage*",Length,".620")+COUNTIFS(Name,"*DOOR WC RH",Name,"&lt;&gt;*garage*",Length,".620"),0)+IF(AND(COUNTIFS(Addenda!$A:$A,"*IMPRESSIONS ROC*")&gt;0,(COUNTIFS(Addenda!$A:$A,"*READICOAT*")+0)),COUNTIFS(NameFF,"*door wc lh",NameFF,"&lt;&gt;*garage*",'CSV FF'!$C:$C,".620")+COUNTIFS(NameFF,"*DOOR WC RH",NameFF,"&lt;&gt;*garage*",'CSV FF'!$C:$C,".620"),0)</f>
        <v>0</v>
      </c>
      <c r="G1143" s="829">
        <v>75.61</v>
      </c>
      <c r="H1143" s="412" t="s">
        <v>3644</v>
      </c>
      <c r="I1143" s="1207"/>
      <c r="J1143" s="73" t="str">
        <f>IF(Table5[[#This Row],[Entered]]&lt;&gt;Table5[[#This Row],[Quantity]],"Check","")</f>
        <v/>
      </c>
    </row>
    <row r="1144" spans="1:10" ht="15" x14ac:dyDescent="0.2">
      <c r="A1144" s="324" t="s">
        <v>2980</v>
      </c>
      <c r="B1144" s="324" t="str">
        <f t="shared" si="74"/>
        <v>0980</v>
      </c>
      <c r="C1144" s="324" t="str">
        <f t="shared" si="75"/>
        <v>52640</v>
      </c>
      <c r="D1144" s="324">
        <v>7004</v>
      </c>
      <c r="E1144" s="324">
        <v>1</v>
      </c>
      <c r="F1144" s="827">
        <f>IF(AND(COUNTIFS(Addenda!A:A,"*IMPRESSIONS ROC*")&gt;0,(COUNTIFS(Addenda!A:A,"*READICOAT*")=0)),COUNTIFS(Name,"*door wc lh",Name,"&lt;&gt;*garage*",Length,".720")+COUNTIFS(Name,"*DOOR WC RH",Name,"&lt;&gt;*garage*",Length,".720"),0)+IF(AND(COUNTIFS(Addenda!$A:$A,"*IMPRESSIONS ROC*")&gt;0,(COUNTIFS(Addenda!$A:$A,"*READICOAT*")+0)),COUNTIFS(NameFF,"*door wc lh",NameFF,"&lt;&gt;*garage*",'CSV FF'!$C:$C,".720")+COUNTIFS(NameFF,"*DOOR WC RH",NameFF,"&lt;&gt;*garage*",'CSV FF'!$C:$C,".720"),0)</f>
        <v>0</v>
      </c>
      <c r="G1144" s="829">
        <v>75.61</v>
      </c>
      <c r="H1144" s="412" t="s">
        <v>3645</v>
      </c>
      <c r="I1144" s="1207"/>
      <c r="J1144" s="73" t="str">
        <f>IF(Table5[[#This Row],[Entered]]&lt;&gt;Table5[[#This Row],[Quantity]],"Check","")</f>
        <v/>
      </c>
    </row>
    <row r="1145" spans="1:10" ht="15" x14ac:dyDescent="0.2">
      <c r="A1145" s="324" t="s">
        <v>2980</v>
      </c>
      <c r="B1145" s="324" t="str">
        <f t="shared" si="74"/>
        <v>0980</v>
      </c>
      <c r="C1145" s="324" t="str">
        <f t="shared" si="75"/>
        <v>52640</v>
      </c>
      <c r="D1145" s="324">
        <v>7005</v>
      </c>
      <c r="E1145" s="324">
        <v>1</v>
      </c>
      <c r="F1145" s="827">
        <f>IF(AND(COUNTIFS(Addenda!A:A,"*IMPRESSIONS ROC*")&gt;0,(COUNTIFS(Addenda!A:A,"*READICOAT*")=0)),COUNTIFS(Name,"*door wc lh",Name,"&lt;&gt;*garage*",Length,".820")+COUNTIFS(Name,"*DOOR WC RH",Name,"&lt;&gt;*garage*",Length,".820"),0)+IF(AND(COUNTIFS(Addenda!$A:$A,"*IMPRESSIONS ROC*")&gt;0,(COUNTIFS(Addenda!$A:$A,"*READICOAT*")+0)),COUNTIFS(NameFF,"*door wc lh",NameFF,"&lt;&gt;*garage*",'CSV FF'!$C:$C,".820")+COUNTIFS(NameFF,"*DOOR WC RH",NameFF,"&lt;&gt;*garage*",'CSV FF'!$C:$C,".820"),0)</f>
        <v>0</v>
      </c>
      <c r="G1145" s="829">
        <v>75.61</v>
      </c>
      <c r="H1145" s="412" t="s">
        <v>3646</v>
      </c>
      <c r="I1145" s="1207"/>
      <c r="J1145" s="73" t="str">
        <f>IF(Table5[[#This Row],[Entered]]&lt;&gt;Table5[[#This Row],[Quantity]],"Check","")</f>
        <v/>
      </c>
    </row>
    <row r="1146" spans="1:10" ht="15" x14ac:dyDescent="0.2">
      <c r="A1146" s="324" t="s">
        <v>2980</v>
      </c>
      <c r="B1146" s="324" t="str">
        <f t="shared" si="74"/>
        <v>0980</v>
      </c>
      <c r="C1146" s="324" t="str">
        <f t="shared" si="75"/>
        <v>52640</v>
      </c>
      <c r="D1146" s="324">
        <v>7006</v>
      </c>
      <c r="E1146" s="324">
        <v>1</v>
      </c>
      <c r="F1146" s="827">
        <f>IF(AND(COUNTIFS(Addenda!A:A,"*IMPRESSIONS ROC*")&gt;0,(COUNTIFS(Addenda!A:A,"*READICOAT*")=0)),COUNTIFS(Name,"*door sld",Name,"&lt;&gt;*garage*",Length,".770")+(COUNTIFS(Name,"door sld dbl",Name,"&lt;&gt;*garage*",Length,".770")*2),0)+IF(AND(COUNTIFS(Addenda!$A:$A,"*IMPRESSIONS ROC*")&gt;0,(COUNTIFS(Addenda!$A:$A,"*READICOAT*")+0)),COUNTIFS(NameFF,"*door sld",NameFF,"&lt;&gt;*garage*",'CSV FF'!$C:$C,".770")+(COUNTIFS(NameFF,"door sld dbl",NameFF,"&lt;&gt;*garage*",'CSV FF'!$C:$C,".770")*2),0)</f>
        <v>0</v>
      </c>
      <c r="G1146" s="829">
        <v>123.6</v>
      </c>
      <c r="H1146" s="412" t="s">
        <v>3647</v>
      </c>
      <c r="I1146" s="1207"/>
      <c r="J1146" s="73" t="str">
        <f>IF(Table5[[#This Row],[Entered]]&lt;&gt;Table5[[#This Row],[Quantity]],"Check","")</f>
        <v/>
      </c>
    </row>
    <row r="1147" spans="1:10" ht="15" x14ac:dyDescent="0.2">
      <c r="A1147" s="324" t="s">
        <v>2980</v>
      </c>
      <c r="B1147" s="324" t="str">
        <f t="shared" si="74"/>
        <v>0980</v>
      </c>
      <c r="C1147" s="324" t="str">
        <f t="shared" si="75"/>
        <v>52640</v>
      </c>
      <c r="D1147" s="324">
        <v>7007</v>
      </c>
      <c r="E1147" s="324">
        <v>1</v>
      </c>
      <c r="F1147" s="827">
        <f>IF(AND(COUNTIFS(Addenda!A:A,"*IMPRESSIONS ROC*")&gt;0,(COUNTIFS(Addenda!A:A,"*READICOAT*")=0)),COUNTIFS(Name,"*door sld",Name,"&lt;&gt;*garage*",Length,".870")+(COUNTIFS(Name,"door sld dbl",Name,"&lt;&gt;*garage*",Length,".870")*2),0)+IF(AND(COUNTIFS(Addenda!$A:$A,"*IMPRESSIONS ROC*")&gt;0,(COUNTIFS(Addenda!$A:$A,"*READICOAT*")+0)),COUNTIFS(NameFF,"*door sld",NameFF,"&lt;&gt;*garage*",'CSV FF'!$C:$C,".870")+(COUNTIFS(NameFF,"door sld dbl",NameFF,"&lt;&gt;*garage*",'CSV FF'!$C:$C,".870")*2),0)</f>
        <v>0</v>
      </c>
      <c r="G1147" s="829">
        <v>123.6</v>
      </c>
      <c r="H1147" s="412" t="s">
        <v>3648</v>
      </c>
      <c r="I1147" s="1207"/>
      <c r="J1147" s="73" t="str">
        <f>IF(Table5[[#This Row],[Entered]]&lt;&gt;Table5[[#This Row],[Quantity]],"Check","")</f>
        <v/>
      </c>
    </row>
    <row r="1148" spans="1:10" ht="15" x14ac:dyDescent="0.2">
      <c r="A1148" s="324" t="s">
        <v>2980</v>
      </c>
      <c r="B1148" s="324" t="str">
        <f t="shared" si="74"/>
        <v>0980</v>
      </c>
      <c r="C1148" s="324" t="str">
        <f t="shared" si="75"/>
        <v>52640</v>
      </c>
      <c r="D1148" s="324">
        <v>7008</v>
      </c>
      <c r="E1148" s="324">
        <v>1</v>
      </c>
      <c r="F1148" s="1128">
        <f>IF(AND(COUNTIFS(Addenda!A:A,"*IMPRESSIONS ROC*")&gt;0,(COUNTIFS(Addenda!A:A,"*READICOAT*")=0)),COUNTIFS(Name,"*door SHPR*",Name,"&lt;&gt;*garage*",Length,".820")+(COUNTIFS(Name,"door sld dbl",Name,"&lt;&gt;*garage*",Length,".820")*2),0)+IF(AND(COUNTIFS(Addenda!$A:$A,"*IMPRESSIONS ROC*")&gt;0,(COUNTIFS(Addenda!$A:$A,"*READICOAT*")+0)),COUNTIFS(NameFF,"*door sld",NameFF,"&lt;&gt;*garage*",'CSV FF'!$C:$C,".820")+(COUNTIFS(NameFF,"door sld dbl",NameFF,"&lt;&gt;*garage*",'CSV FF'!$C:$C,".820")*2),0)</f>
        <v>0</v>
      </c>
      <c r="G1148" s="829">
        <v>189.53</v>
      </c>
      <c r="H1148" s="412" t="s">
        <v>3649</v>
      </c>
      <c r="I1148" s="1207"/>
      <c r="J1148" s="73" t="str">
        <f>IF(Table5[[#This Row],[Entered]]&lt;&gt;Table5[[#This Row],[Quantity]],"Check","")</f>
        <v/>
      </c>
    </row>
    <row r="1149" spans="1:10" ht="15" x14ac:dyDescent="0.2">
      <c r="A1149" s="324" t="s">
        <v>2980</v>
      </c>
      <c r="B1149" s="324" t="str">
        <f t="shared" si="74"/>
        <v>0980</v>
      </c>
      <c r="C1149" s="324" t="str">
        <f t="shared" si="75"/>
        <v>52640</v>
      </c>
      <c r="D1149" s="324">
        <v>7000</v>
      </c>
      <c r="E1149" s="324">
        <v>1</v>
      </c>
      <c r="F1149" s="827"/>
      <c r="G1149" s="829">
        <v>0</v>
      </c>
      <c r="H1149" s="412" t="s">
        <v>3706</v>
      </c>
      <c r="I1149" s="1207"/>
      <c r="J1149" s="73" t="str">
        <f>IF(Table5[[#This Row],[Entered]]&lt;&gt;Table5[[#This Row],[Quantity]],"Check","")</f>
        <v/>
      </c>
    </row>
    <row r="1150" spans="1:10" ht="15" x14ac:dyDescent="0.2">
      <c r="A1150" s="324" t="s">
        <v>2980</v>
      </c>
      <c r="B1150" s="324" t="str">
        <f t="shared" si="74"/>
        <v>0980</v>
      </c>
      <c r="C1150" s="324" t="str">
        <f t="shared" si="75"/>
        <v>52640</v>
      </c>
      <c r="D1150" s="324">
        <v>7001</v>
      </c>
      <c r="E1150" s="324">
        <v>1</v>
      </c>
      <c r="F1150" s="827"/>
      <c r="G1150" s="829">
        <v>0</v>
      </c>
      <c r="H1150" s="412" t="s">
        <v>3718</v>
      </c>
      <c r="I1150" s="1207"/>
      <c r="J1150" s="73" t="str">
        <f>IF(Table5[[#This Row],[Entered]]&lt;&gt;Table5[[#This Row],[Quantity]],"Check","")</f>
        <v/>
      </c>
    </row>
    <row r="1151" spans="1:10" ht="15" x14ac:dyDescent="0.2">
      <c r="A1151" s="324" t="s">
        <v>2980</v>
      </c>
      <c r="B1151" s="324" t="str">
        <f t="shared" si="74"/>
        <v>0980</v>
      </c>
      <c r="C1151" s="324" t="str">
        <f t="shared" si="75"/>
        <v>52640</v>
      </c>
      <c r="D1151" s="324">
        <v>7002</v>
      </c>
      <c r="E1151" s="324">
        <v>1</v>
      </c>
      <c r="F1151" s="827"/>
      <c r="G1151" s="829">
        <v>0</v>
      </c>
      <c r="H1151" s="412" t="s">
        <v>3707</v>
      </c>
      <c r="I1151" s="1207"/>
      <c r="J1151" s="73" t="str">
        <f>IF(Table5[[#This Row],[Entered]]&lt;&gt;Table5[[#This Row],[Quantity]],"Check","")</f>
        <v/>
      </c>
    </row>
    <row r="1152" spans="1:10" ht="15" x14ac:dyDescent="0.2">
      <c r="A1152" s="324" t="s">
        <v>2980</v>
      </c>
      <c r="B1152" s="324" t="str">
        <f t="shared" si="74"/>
        <v>0980</v>
      </c>
      <c r="C1152" s="324" t="str">
        <f t="shared" si="75"/>
        <v>52640</v>
      </c>
      <c r="D1152" s="324">
        <v>7003</v>
      </c>
      <c r="E1152" s="324">
        <v>1</v>
      </c>
      <c r="F1152" s="827"/>
      <c r="G1152" s="829">
        <v>0</v>
      </c>
      <c r="H1152" s="412" t="s">
        <v>3708</v>
      </c>
      <c r="I1152" s="1207"/>
      <c r="J1152" s="73" t="str">
        <f>IF(Table5[[#This Row],[Entered]]&lt;&gt;Table5[[#This Row],[Quantity]],"Check","")</f>
        <v/>
      </c>
    </row>
    <row r="1153" spans="1:10" ht="15" x14ac:dyDescent="0.2">
      <c r="A1153" s="324" t="s">
        <v>2980</v>
      </c>
      <c r="B1153" s="324" t="str">
        <f t="shared" si="74"/>
        <v>0980</v>
      </c>
      <c r="C1153" s="324" t="str">
        <f t="shared" si="75"/>
        <v>52640</v>
      </c>
      <c r="D1153" s="324">
        <v>7004</v>
      </c>
      <c r="E1153" s="324">
        <v>1</v>
      </c>
      <c r="F1153" s="827"/>
      <c r="G1153" s="829">
        <v>0</v>
      </c>
      <c r="H1153" s="412" t="s">
        <v>3705</v>
      </c>
      <c r="I1153" s="1207"/>
      <c r="J1153" s="73" t="str">
        <f>IF(Table5[[#This Row],[Entered]]&lt;&gt;Table5[[#This Row],[Quantity]],"Check","")</f>
        <v/>
      </c>
    </row>
    <row r="1154" spans="1:10" ht="15" x14ac:dyDescent="0.2">
      <c r="A1154" s="324" t="s">
        <v>2980</v>
      </c>
      <c r="B1154" s="324" t="str">
        <f t="shared" si="74"/>
        <v>0980</v>
      </c>
      <c r="C1154" s="324" t="str">
        <f t="shared" si="75"/>
        <v>52640</v>
      </c>
      <c r="D1154" s="1103">
        <v>670</v>
      </c>
      <c r="E1154" s="324">
        <v>1</v>
      </c>
      <c r="F1154" s="827">
        <f>IF(AND(COUNTIFS(Addenda!A:A,"*MOTP 3D*")&gt;0,(COUNTIFS(Addenda!A:A,"*READICOAT*")=0)),COUNTIFS(Name,"*door lh",Name,"&lt;&gt;*garage*",Length,".92")+COUNTIFS(Name,"*door rh",Name,"&lt;&gt;*garage*",Length,".92")+COUNTIFS(Name,"*door dbl",Name,"&lt;&gt;*garage*",Length,".92")*2+COUNTIFS(Name,"Door Cvty",Length,"=0.970")+COUNTIFS(Name,"DOOR CVTY",Length,0.92)+COUNTIFS(Name,"DOOR CVTY DBL",Length,0.92),0)+IF(AND(COUNTIFS(Addenda!A:A,"*DECO 1S*")&gt;0,(COUNTIFS(Addenda!A:A,"*READICOAT*")=0)),COUNTIFS(Name,"*door lh",Name,"&lt;&gt;*garage*",Length,".92")+COUNTIFS(Name,"*door rh",Name,"&lt;&gt;*garage*",Length,".92")+COUNTIFS(Name,"*door dbl",Name,"&lt;&gt;*garage*",Length,".92")*2+COUNTIFS(Name,"Door Cvty",Length,"=0.970")+COUNTIFS(Name,"DOOR CVTY",Length,0.92)+COUNTIFS(Name,"DOOR CVTY DBL",Length,0.92),0)+IF(AND(COUNTIFS(Addenda!$A:$A,"*MOTP 3D*")&gt;0,(COUNTIFS(Addenda!$A:$A,"*READICOAT*")+0)),COUNTIFS(NameFF,"*door lh",NameFF,"&lt;&gt;*garage*",'CSV FF'!$C:$C,".92")+COUNTIFS(NameFF,"*door rh",NameFF,"&lt;&gt;*garage*",'CSV FF'!$C:$C,".92")+COUNTIFS(NameFF,"*door dbl",NameFF,"&lt;&gt;*garage*",'CSV FF'!$C:$C,".92")*2+COUNTIFS(NameFF,"Door Cvty",'CSV FF'!$C:$C,"+0.970")+COUNTIFS(NameFF,"DOOR CVTY",'CSV FF'!$C:$C,0.92)+COUNTIFS(NameFF,"DOOR CVTY DBL",'CSV FF'!$C:$C,0.92),0)+IF(AND(COUNTIFS(Addenda!$A:$A,"*DECO 1S*")&gt;0,(COUNTIFS(Addenda!$A:$A,"*READICOAT*")+0)),COUNTIFS(NameFF,"*door lh",NameFF,"&lt;&gt;*garage*",'CSV FF'!$C:$C,".92")+COUNTIFS(NameFF,"*door rh",NameFF,"&lt;&gt;*garage*",'CSV FF'!$C:$C,".92")+COUNTIFS(NameFF,"*door dbl",NameFF,"&lt;&gt;*garage*",'CSV FF'!$C:$C,".92")*2+COUNTIFS(NameFF,"Door Cvty",'CSV FF'!$C:$C,"+0.970")+COUNTIFS(NameFF,"DOOR CVTY",'CSV FF'!$C:$C,0.92)+COUNTIFS(NameFF,"DOOR CVTY DBL",'CSV FF'!$C:$C,0.92),0)</f>
        <v>0</v>
      </c>
      <c r="G1154" s="829"/>
      <c r="H1154" s="1111" t="s">
        <v>2322</v>
      </c>
      <c r="I1154" s="1205"/>
      <c r="J1154" s="2" t="str">
        <f>IF(Table5[[#This Row],[Entered]]&lt;&gt;Table5[[#This Row],[Quantity]],"Check","")</f>
        <v/>
      </c>
    </row>
    <row r="1155" spans="1:10" ht="15" x14ac:dyDescent="0.2">
      <c r="A1155" s="324" t="s">
        <v>2980</v>
      </c>
      <c r="B1155" s="324" t="str">
        <f t="shared" si="74"/>
        <v>0980</v>
      </c>
      <c r="C1155" s="324" t="str">
        <f t="shared" si="75"/>
        <v>52640</v>
      </c>
      <c r="D1155" s="1103">
        <v>671</v>
      </c>
      <c r="E1155" s="324">
        <v>1</v>
      </c>
      <c r="F1155" s="827">
        <f>IF(AND(COUNTIFS(Addenda!A:A,"*MOTP 3D*")&gt;0,(COUNTIFS(Addenda!A:A,"*READICOAT*")=0)),COUNTIFS(Name,"*door lh",Name,"&lt;&gt;*garage*",Length,".82")+COUNTIFS(Name,"*door rh",Name,"&lt;&gt;*garage*",Length,".82")+COUNTIFS(Name,"*door dbl",Name,"&lt;&gt;*garage*",Length,".82")*2+COUNTIFS(Name,"Door Cvty",Length,"=0.870")+COUNTIFS(Name,"DOOR CVTY",Length,0.82)+COUNTIFS(Name,"DOOR CVTY DBL",Length,0.82),0)+IF(AND(COUNTIFS(Addenda!A:A,"*DECO 1S*")&gt;0,(COUNTIFS(Addenda!A:A,"*READICOAT*")=0)),COUNTIFS(Name,"*door lh",Name,"&lt;&gt;*garage*",Length,".82")+COUNTIFS(Name,"*door rh",Name,"&lt;&gt;*garage*",Length,".82")+COUNTIFS(Name,"*door dbl",Name,"&lt;&gt;*garage*",Length,".82")*2+COUNTIFS(Name,"Door Cvty",Length,"=0.870")+COUNTIFS(Name,"DOOR CVTY",Length,0.82)+COUNTIFS(Name,"DOOR CVTY DBL",Length,0.82),0)+IF(AND(COUNTIFS(Addenda!$A:$A,"*MOTP 3D*")&gt;0,(COUNTIFS(Addenda!$A:$A,"*READICOAT*")+0)),COUNTIFS(NameFF,"*door lh",NameFF,"&lt;&gt;*garage*",'CSV FF'!$C:$C,".82")+COUNTIFS(NameFF,"*door rh",NameFF,"&lt;&gt;*garage*",'CSV FF'!$C:$C,".82")+COUNTIFS(NameFF,"*door dbl",NameFF,"&lt;&gt;*garage*",'CSV FF'!$C:$C,".82")*2+COUNTIFS(NameFF,"Door Cvty",'CSV FF'!$C:$C,"+0.870")+COUNTIFS(NameFF,"DOOR CVTY",'CSV FF'!$C:$C,0.82)+COUNTIFS(NameFF,"DOOR CVTY DBL",'CSV FF'!$C:$C,0.82),0)+IF(AND(COUNTIFS(Addenda!$A:$A,"*DECO 1S*")&gt;0,(COUNTIFS(Addenda!$A:$A,"*READICOAT*")+0)),COUNTIFS(NameFF,"*door lh",NameFF,"&lt;&gt;*garage*",'CSV FF'!$C:$C,".82")+COUNTIFS(NameFF,"*door rh",NameFF,"&lt;&gt;*garage*",'CSV FF'!$C:$C,".82")+COUNTIFS(NameFF,"*door dbl",NameFF,"&lt;&gt;*garage*",'CSV FF'!$C:$C,".82")*2+COUNTIFS(NameFF,"Door Cvty",'CSV FF'!$C:$C,"+0.870")+COUNTIFS(NameFF,"DOOR CVTY",'CSV FF'!$C:$C,0.82)+COUNTIFS(NameFF,"DOOR CVTY DBL",'CSV FF'!$C:$C,0.82),0)</f>
        <v>0</v>
      </c>
      <c r="G1155" s="829"/>
      <c r="H1155" s="1111" t="s">
        <v>2323</v>
      </c>
      <c r="I1155" s="1205"/>
      <c r="J1155" s="2" t="str">
        <f>IF(Table5[[#This Row],[Entered]]&lt;&gt;Table5[[#This Row],[Quantity]],"Check","")</f>
        <v/>
      </c>
    </row>
    <row r="1156" spans="1:10" ht="15" x14ac:dyDescent="0.2">
      <c r="A1156" s="324" t="s">
        <v>2980</v>
      </c>
      <c r="B1156" s="324" t="str">
        <f t="shared" si="74"/>
        <v>0980</v>
      </c>
      <c r="C1156" s="324" t="str">
        <f t="shared" si="75"/>
        <v>52640</v>
      </c>
      <c r="D1156" s="1103">
        <v>672</v>
      </c>
      <c r="E1156" s="324">
        <v>1</v>
      </c>
      <c r="F1156" s="827">
        <f>IF(AND(COUNTIFS(Addenda!A:A,"*MOTP 3D*")&gt;0,(COUNTIFS(Addenda!A:A,"*READICOAT*")=0)),COUNTIFS(Name,"*door lh",Name,"&lt;&gt;*garage*",Length,".72")+COUNTIFS(Name,"*door rh",Name,"&lt;&gt;*garage*",Length,".72")+COUNTIFS(Name,"*door dbl",Name,"&lt;&gt;*garage*",Length,".72")*2+COUNTIFS(Name,"Door Cvty",Length,"=0.770")+COUNTIFS(Name,"DOOR CVTY",Length,0.72)+COUNTIFS(Name,"DOOR CVTY DBL",Length,0.72),0)+IF(AND(COUNTIFS(Addenda!A:A,"*DECO 1S*")&gt;0,(COUNTIFS(Addenda!A:A,"*READICOAT*")=0)),COUNTIFS(Name,"*door lh",Name,"&lt;&gt;*garage*",Length,".72")+COUNTIFS(Name,"*door rh",Name,"&lt;&gt;*garage*",Length,".72")+COUNTIFS(Name,"*door dbl",Name,"&lt;&gt;*garage*",Length,".72")*2+COUNTIFS(Name,"Door Cvty",Length,"=0.770")+COUNTIFS(Name,"DOOR CVTY",Length,0.72)+COUNTIFS(Name,"DOOR CVTY DBL",Length,0.72),0)+IF(AND(COUNTIFS(Addenda!$A:$A,"*MOTP 3D*")&gt;0,(COUNTIFS(Addenda!$A:$A,"*READICOAT*")+0)),COUNTIFS(NameFF,"*door lh",NameFF,"&lt;&gt;*garage*",'CSV FF'!$C:$C,".72")+COUNTIFS(NameFF,"*door rh",NameFF,"&lt;&gt;*garage*",'CSV FF'!$C:$C,".72")+COUNTIFS(NameFF,"*door dbl",NameFF,"&lt;&gt;*garage*",'CSV FF'!$C:$C,".72")*2+COUNTIFS(NameFF,"Door Cvty",'CSV FF'!$C:$C,"+0.770")+COUNTIFS(NameFF,"DOOR CVTY",'CSV FF'!$C:$C,0.72)+COUNTIFS(NameFF,"DOOR CVTY DBL",'CSV FF'!$C:$C,0.72),0)+IF(AND(COUNTIFS(Addenda!$A:$A,"*DECO 1S*")&gt;0,(COUNTIFS(Addenda!$A:$A,"*READICOAT*")+0)),COUNTIFS(NameFF,"*door lh",NameFF,"&lt;&gt;*garage*",'CSV FF'!$C:$C,".72")+COUNTIFS(NameFF,"*door rh",NameFF,"&lt;&gt;*garage*",'CSV FF'!$C:$C,".72")+COUNTIFS(NameFF,"*door dbl",NameFF,"&lt;&gt;*garage*",'CSV FF'!$C:$C,".72")*2+COUNTIFS(NameFF,"Door Cvty",'CSV FF'!$C:$C,"+0.770")+COUNTIFS(NameFF,"DOOR CVTY",'CSV FF'!$C:$C,0.72)+COUNTIFS(NameFF,"DOOR CVTY DBL",'CSV FF'!$C:$C,0.72),0)</f>
        <v>0</v>
      </c>
      <c r="G1156" s="829"/>
      <c r="H1156" s="1111" t="s">
        <v>2324</v>
      </c>
      <c r="I1156" s="1205"/>
      <c r="J1156" s="2" t="str">
        <f>IF(Table5[[#This Row],[Entered]]&lt;&gt;Table5[[#This Row],[Quantity]],"Check","")</f>
        <v/>
      </c>
    </row>
    <row r="1157" spans="1:10" ht="15" x14ac:dyDescent="0.2">
      <c r="A1157" s="324" t="s">
        <v>2980</v>
      </c>
      <c r="B1157" s="324" t="str">
        <f t="shared" si="74"/>
        <v>0980</v>
      </c>
      <c r="C1157" s="324" t="str">
        <f t="shared" si="75"/>
        <v>52640</v>
      </c>
      <c r="D1157" s="1103">
        <v>673</v>
      </c>
      <c r="E1157" s="324">
        <v>1</v>
      </c>
      <c r="F1157" s="827">
        <f>IF(AND(COUNTIFS(Addenda!A:A,"*MOTP 3D*")&gt;0,(COUNTIFS(Addenda!A:A,"*READICOAT*")=0)),COUNTIFS(Name,"*door lh",Name,"&lt;&gt;*garage*",Length,".62")+COUNTIFS(Name,"*door rh",Name,"&lt;&gt;*garage*",Length,".62")+COUNTIFS(Name,"*door dbl",Name,"&lt;&gt;*garage*",Length,".62")*2+COUNTIFS(Name,"Door Cvty",Length,"=0.670")+COUNTIFS(Name,"DOOR CVTY",Length,0.62)+COUNTIFS(Name,"DOOR CVTY DBL",Length,0.62),0)+IF(AND(COUNTIFS(Addenda!A:A,"*DECO 1S*")&gt;0,(COUNTIFS(Addenda!A:A,"*READICOAT*")=0)),COUNTIFS(Name,"*door lh",Name,"&lt;&gt;*garage*",Length,".62")+COUNTIFS(Name,"*door rh",Name,"&lt;&gt;*garage*",Length,".62")+COUNTIFS(Name,"*door dbl",Name,"&lt;&gt;*garage*",Length,".62")*2+COUNTIFS(Name,"Door Cvty",Length,"=0.670")+COUNTIFS(Name,"DOOR CVTY",Length,0.62)+COUNTIFS(Name,"DOOR CVTY DBL",Length,0.62),0)+IF(AND(COUNTIFS(Addenda!$A:$A,"*MOTP 3D*")&gt;0,(COUNTIFS(Addenda!$A:$A,"*READICOAT*")+0)),COUNTIFS(NameFF,"*door lh",NameFF,"&lt;&gt;*garage*",'CSV FF'!$C:$C,".62")+COUNTIFS(NameFF,"*door rh",NameFF,"&lt;&gt;*garage*",'CSV FF'!$C:$C,".62")+COUNTIFS(NameFF,"*door dbl",NameFF,"&lt;&gt;*garage*",'CSV FF'!$C:$C,".62")*2+COUNTIFS(NameFF,"Door Cvty",'CSV FF'!$C:$C,"+0.670")+COUNTIFS(NameFF,"DOOR CVTY",'CSV FF'!$C:$C,0.62)+COUNTIFS(NameFF,"DOOR CVTY DBL",'CSV FF'!$C:$C,0.62),0)+IF(AND(COUNTIFS(Addenda!$A:$A,"*DECO 1S*")&gt;0,(COUNTIFS(Addenda!$A:$A,"*READICOAT*")+0)),COUNTIFS(NameFF,"*door lh",NameFF,"&lt;&gt;*garage*",'CSV FF'!$C:$C,".62")+COUNTIFS(NameFF,"*door rh",NameFF,"&lt;&gt;*garage*",'CSV FF'!$C:$C,".62")+COUNTIFS(NameFF,"*door dbl",NameFF,"&lt;&gt;*garage*",'CSV FF'!$C:$C,".62")*2+COUNTIFS(NameFF,"Door Cvty",'CSV FF'!$C:$C,"+0.670")+COUNTIFS(NameFF,"DOOR CVTY",'CSV FF'!$C:$C,0.62)+COUNTIFS(NameFF,"DOOR CVTY DBL",'CSV FF'!$C:$C,0.62),0)</f>
        <v>0</v>
      </c>
      <c r="G1157" s="829"/>
      <c r="H1157" s="1111" t="s">
        <v>2325</v>
      </c>
      <c r="I1157" s="1205"/>
      <c r="J1157" s="2" t="str">
        <f>IF(Table5[[#This Row],[Entered]]&lt;&gt;Table5[[#This Row],[Quantity]],"Check","")</f>
        <v/>
      </c>
    </row>
    <row r="1158" spans="1:10" ht="15" x14ac:dyDescent="0.2">
      <c r="A1158" s="324" t="s">
        <v>2980</v>
      </c>
      <c r="B1158" s="324" t="str">
        <f t="shared" si="74"/>
        <v>0980</v>
      </c>
      <c r="C1158" s="324" t="str">
        <f t="shared" si="75"/>
        <v>52640</v>
      </c>
      <c r="D1158" s="1103">
        <v>674</v>
      </c>
      <c r="E1158" s="324">
        <v>1</v>
      </c>
      <c r="F1158" s="827">
        <f>IF(AND(COUNTIF(Addenda!A:A,"*MOTP 3D*")&gt;0,COUNTIF(Addenda!A:A,"*Readicoat*")=0),COUNTIFS('CSV FF'!A:A,"Door WC LH",'CSV FF'!C:C,"0.72")+COUNTIFS('CSV FF'!A:A,"Door WC RH",'CSV FF'!C:C,"0.72")+COUNTIFS(Name,"Door WC LH",Length,"0.72")+COUNTIFS(Name,"Door WC RH",Length,"0.72"),0)</f>
        <v>0</v>
      </c>
      <c r="G1158" s="829"/>
      <c r="H1158" s="1111" t="s">
        <v>2326</v>
      </c>
      <c r="I1158" s="1205"/>
      <c r="J1158" s="2" t="str">
        <f>IF(Table5[[#This Row],[Entered]]&lt;&gt;Table5[[#This Row],[Quantity]],"Check","")</f>
        <v/>
      </c>
    </row>
    <row r="1159" spans="1:10" ht="15" x14ac:dyDescent="0.2">
      <c r="A1159" s="324" t="s">
        <v>2980</v>
      </c>
      <c r="B1159" s="324" t="str">
        <f t="shared" si="74"/>
        <v>0980</v>
      </c>
      <c r="C1159" s="324" t="str">
        <f t="shared" si="75"/>
        <v>52640</v>
      </c>
      <c r="D1159" s="1103">
        <v>675</v>
      </c>
      <c r="E1159" s="324">
        <v>1</v>
      </c>
      <c r="F1159" s="827">
        <f>IF(AND(COUNTIF(Addenda!A:A,"*MOTP 3D*")&gt;0,COUNTIF(Addenda!A:A,"*Readicoat*")=0),COUNTIFS('CSV FF'!A:A,"Door WC LH",'CSV FF'!C:C,"0.62")+COUNTIFS('CSV FF'!A:A,"Door WC RH",'CSV FF'!C:C,"0.62")+COUNTIFS(Name,"Door WC LH",Length,"0.62")+COUNTIFS(Name,"Door WC RH",Length,"0.62"),0)</f>
        <v>0</v>
      </c>
      <c r="G1159" s="829"/>
      <c r="H1159" s="1111" t="s">
        <v>2327</v>
      </c>
      <c r="I1159" s="1205"/>
      <c r="J1159" s="2" t="str">
        <f>IF(Table5[[#This Row],[Entered]]&lt;&gt;Table5[[#This Row],[Quantity]],"Check","")</f>
        <v/>
      </c>
    </row>
    <row r="1160" spans="1:10" ht="15" x14ac:dyDescent="0.2">
      <c r="A1160" s="324" t="s">
        <v>2980</v>
      </c>
      <c r="B1160" s="324" t="str">
        <f t="shared" si="74"/>
        <v>0980</v>
      </c>
      <c r="C1160" s="324" t="str">
        <f t="shared" si="75"/>
        <v>52640</v>
      </c>
      <c r="D1160" s="1103">
        <v>676</v>
      </c>
      <c r="E1160" s="324">
        <v>1</v>
      </c>
      <c r="F1160" s="827">
        <f>IF(AND(COUNTIF(Addenda!A:A,"*MOTP 3D*")&gt;0,COUNTIF(Addenda!A:A,"*Readicoat*")=0),COUNTIFS(Name,"Door Sld",Length,"0.87")+COUNTIFS(Name,"Door Sld Dbl",Length,"0.87")*2+COUNTIFS('CSV FF'!A:A,"Door Sld",'CSV FF'!C:C,"0.87")+COUNTIFS('CSV FF'!A:A,"Door Sld Dbl",'CSV FF'!C:C,"0.87")*2,0)</f>
        <v>0</v>
      </c>
      <c r="G1160" s="829"/>
      <c r="H1160" s="1111" t="s">
        <v>2328</v>
      </c>
      <c r="I1160" s="1205"/>
      <c r="J1160" s="2" t="str">
        <f>IF(Table5[[#This Row],[Entered]]&lt;&gt;Table5[[#This Row],[Quantity]],"Check","")</f>
        <v/>
      </c>
    </row>
    <row r="1161" spans="1:10" ht="15" x14ac:dyDescent="0.2">
      <c r="A1161" s="324" t="s">
        <v>2980</v>
      </c>
      <c r="B1161" s="324" t="str">
        <f t="shared" si="74"/>
        <v>0980</v>
      </c>
      <c r="C1161" s="324" t="str">
        <f t="shared" si="75"/>
        <v>52640</v>
      </c>
      <c r="D1161" s="1103" t="s">
        <v>2329</v>
      </c>
      <c r="E1161" s="324">
        <v>1</v>
      </c>
      <c r="F1161" s="827">
        <f>IF(AND(COUNTIF(Addenda!A:A,"*MOTP 3D*")&gt;0,COUNTIF(Addenda!A:A,"*Readicoat*")=0),COUNTIFS(Name,"Door Sld",Length,"0.77")+COUNTIFS(Name,"Door Sld Dbl",Length,"0.77")*2+COUNTIFS('CSV FF'!A:A,"Door Sld",'CSV FF'!C:C,"0.77")+COUNTIFS('CSV FF'!A:A,"Door Sld Dbl",'CSV FF'!C:C,"0.77")*2,0)</f>
        <v>0</v>
      </c>
      <c r="G1161" s="829">
        <v>0</v>
      </c>
      <c r="H1161" s="1111" t="s">
        <v>2330</v>
      </c>
      <c r="I1161" s="1205"/>
      <c r="J1161" s="2" t="str">
        <f>IF(Table5[[#This Row],[Entered]]&lt;&gt;Table5[[#This Row],[Quantity]],"Check","")</f>
        <v/>
      </c>
    </row>
    <row r="1162" spans="1:10" ht="15" x14ac:dyDescent="0.2">
      <c r="A1162" s="324" t="s">
        <v>2980</v>
      </c>
      <c r="B1162" s="324" t="str">
        <f t="shared" si="74"/>
        <v>0980</v>
      </c>
      <c r="C1162" s="324" t="str">
        <f t="shared" si="75"/>
        <v>52640</v>
      </c>
      <c r="D1162" s="1103">
        <f>730</f>
        <v>730</v>
      </c>
      <c r="E1162" s="324">
        <v>1</v>
      </c>
      <c r="F1162" s="827">
        <f>IF(AND(COUNTIFS(Addenda!A:A,"*DECO 1D*")&gt;0,(COUNTIFS(Addenda!A:A,"*READICOAT*")=0)),COUNTIFS(Name,"*door lh",Name,"&lt;&gt;*garage*",Length,".820")+COUNTIFS(Name,"*door rh",Name,"&lt;&gt;*garage*",Length,".820")+COUNTIFS(Name,"*door dbl",Name,"&lt;&gt;*garage*",Length,".820")*2+COUNTIFS(Name,"Door Cvty",Length,"=0.870")+COUNTIFS(Name,"DOOR CVTY",Length,0.82)+COUNTIFS(Name,"DOOR CVTY DBL",Length,0.82),0)+IF(AND(COUNTIFS(Addenda!A:A,"*DECO 1S*")&gt;0,(COUNTIFS(Addenda!A:A,"*READICOAT*")=0)),COUNTIFS(Name,"*door lh",Name,"&lt;&gt;*garage*",Length,".820")+COUNTIFS(Name,"*door rh",Name,"&lt;&gt;*garage*",Length,".820")+COUNTIFS(Name,"*door dbl",Name,"&lt;&gt;*garage*",Length,".820")*2+COUNTIFS(Name,"Door Cvty",Length,"=0.870")+COUNTIFS(Name,"DOOR CVTY",Length,0.82)+COUNTIFS(Name,"DOOR CVTY DBL",Length,0.82),0)+IF(AND(COUNTIFS(Addenda!$A:$A,"*DECO 1D*")&gt;0,(COUNTIFS(Addenda!$A:$A,"*READICOAT*")+0)),COUNTIFS(NameFF,"*door lh",NameFF,"&lt;&gt;*garage*",'CSV FF'!$C:$C,".820")+COUNTIFS(NameFF,"*door rh",NameFF,"&lt;&gt;*garage*",'CSV FF'!$C:$C,".820")+COUNTIFS(NameFF,"*door dbl",NameFF,"&lt;&gt;*garage*",'CSV FF'!$C:$C,".820")*2+COUNTIFS(NameFF,"Door Cvty",'CSV FF'!$C:$C,"+0.870")+COUNTIFS(NameFF,"DOOR CVTY",'CSV FF'!$C:$C,0.82)+COUNTIFS(NameFF,"DOOR CVTY DBL",'CSV FF'!$C:$C,0.82),0)+IF(AND(COUNTIFS(Addenda!$A:$A,"*DECO 1S*")&gt;0,(COUNTIFS(Addenda!$A:$A,"*READICOAT*")+0)),COUNTIFS(NameFF,"*door lh",NameFF,"&lt;&gt;*garage*",'CSV FF'!$C:$C,".820")+COUNTIFS(NameFF,"*door rh",NameFF,"&lt;&gt;*garage*",'CSV FF'!$C:$C,".820")+COUNTIFS(NameFF,"*door dbl",NameFF,"&lt;&gt;*garage*",'CSV FF'!$C:$C,".820")*2+COUNTIFS(NameFF,"Door Cvty",'CSV FF'!$C:$C,"+0.870")+COUNTIFS(NameFF,"DOOR CVTY",'CSV FF'!$C:$C,0.82)+COUNTIFS(NameFF,"DOOR CVTY DBL",'CSV FF'!$C:$C,0.82),0)</f>
        <v>0</v>
      </c>
      <c r="G1162" s="829"/>
      <c r="H1162" s="1111" t="s">
        <v>2015</v>
      </c>
      <c r="I1162" s="1205"/>
      <c r="J1162" s="2" t="str">
        <f>IF(Table5[[#This Row],[Entered]]&lt;&gt;Table5[[#This Row],[Quantity]],"Check","")</f>
        <v/>
      </c>
    </row>
    <row r="1163" spans="1:10" ht="15" x14ac:dyDescent="0.2">
      <c r="A1163" s="324" t="s">
        <v>2980</v>
      </c>
      <c r="B1163" s="324" t="str">
        <f t="shared" si="74"/>
        <v>0980</v>
      </c>
      <c r="C1163" s="324" t="str">
        <f t="shared" si="75"/>
        <v>52640</v>
      </c>
      <c r="D1163" s="1103">
        <f>731</f>
        <v>731</v>
      </c>
      <c r="E1163" s="324">
        <v>1</v>
      </c>
      <c r="F1163" s="827">
        <f>IF(AND(COUNTIFS(Addenda!A:A,"*DECO 2D*")&gt;0,(COUNTIFS(Addenda!A:A,"*READICOAT*")=0)),COUNTIFS(Name,"*door lh",Name,"&lt;&gt;*garage*",Length,".820")+COUNTIFS(Name,"*door rh",Name,"&lt;&gt;*garage*",Length,".820")+COUNTIFS(Name,"*door dbl",Name,"&lt;&gt;*garage*",Length,".820")*2+COUNTIFS(Name,"Door Cvty",Length,"=0.870")+COUNTIFS(Name,"DOOR CVTY",Length,0.82)+COUNTIFS(Name,"DOOR CVTY DBL",Length,0.82),0)+IF(AND(COUNTIFS(Addenda!A:A,"*DECO 2S*")&gt;0,(COUNTIFS(Addenda!A:A,"*READICOAT*")=0)),COUNTIFS(Name,"*door lh",Name,"&lt;&gt;*garage*",Length,".820")+COUNTIFS(Name,"*door rh",Name,"&lt;&gt;*garage*",Length,".820")+COUNTIFS(Name,"*door dbl",Name,"&lt;&gt;*garage*",Length,".820")*2+COUNTIFS(Name,"Door Cvty",Length,"=0.870")+COUNTIFS(Name,"DOOR CVTY",Length,0.82)+COUNTIFS(Name,"DOOR CVTY DBL",Length,0.82),0)+IF(AND(COUNTIFS(Addenda!$A:$A,"*DECO 2D*")&gt;0,(COUNTIFS(Addenda!$A:$A,"*READICOAT*")+0)),COUNTIFS(NameFF,"*door lh",NameFF,"&lt;&gt;*garage*",'CSV FF'!$C:$C,".820")+COUNTIFS(NameFF,"*door rh",NameFF,"&lt;&gt;*garage*",'CSV FF'!$C:$C,".820")+COUNTIFS(NameFF,"*door dbl",NameFF,"&lt;&gt;*garage*",'CSV FF'!$C:$C,".820")*2+COUNTIFS(NameFF,"Door Cvty",'CSV FF'!$C:$C,"+0.870")+COUNTIFS(NameFF,"DOOR CVTY",'CSV FF'!$C:$C,0.82)+COUNTIFS(NameFF,"DOOR CVTY DBL",'CSV FF'!$C:$C,0.82),0)+IF(AND(COUNTIFS(Addenda!$A:$A,"*DECO 2S*")&gt;0,(COUNTIFS(Addenda!$A:$A,"*READICOAT*")+0)),COUNTIFS(NameFF,"*door lh",NameFF,"&lt;&gt;*garage*",'CSV FF'!$C:$C,".820")+COUNTIFS(NameFF,"*door rh",NameFF,"&lt;&gt;*garage*",'CSV FF'!$C:$C,".820")+COUNTIFS(NameFF,"*door dbl",NameFF,"&lt;&gt;*garage*",'CSV FF'!$C:$C,".820")*2+COUNTIFS(NameFF,"Door Cvty",'CSV FF'!$C:$C,"+0.870")+COUNTIFS(NameFF,"DOOR CVTY",'CSV FF'!$C:$C,0.82)+COUNTIFS(NameFF,"DOOR CVTY DBL",'CSV FF'!$C:$C,0.82),0)</f>
        <v>0</v>
      </c>
      <c r="G1163" s="829"/>
      <c r="H1163" s="1111" t="s">
        <v>2016</v>
      </c>
      <c r="I1163" s="1205"/>
      <c r="J1163" s="2" t="str">
        <f>IF(Table5[[#This Row],[Entered]]&lt;&gt;Table5[[#This Row],[Quantity]],"Check","")</f>
        <v/>
      </c>
    </row>
    <row r="1164" spans="1:10" ht="15" x14ac:dyDescent="0.2">
      <c r="A1164" s="324" t="s">
        <v>2980</v>
      </c>
      <c r="B1164" s="324" t="str">
        <f t="shared" si="74"/>
        <v>0980</v>
      </c>
      <c r="C1164" s="324" t="str">
        <f t="shared" si="75"/>
        <v>52640</v>
      </c>
      <c r="D1164" s="1103">
        <f>732</f>
        <v>732</v>
      </c>
      <c r="E1164" s="324">
        <v>1</v>
      </c>
      <c r="F1164" s="827">
        <f>IF(AND(COUNTIFS(Addenda!A:A,"*DECO 3D*")&gt;0,(COUNTIFS(Addenda!A:A,"*READICOAT*")=0)),COUNTIFS(Name,"*door lh",Name,"&lt;&gt;*garage*",Length,".820")+COUNTIFS(Name,"*door rh",Name,"&lt;&gt;*garage*",Length,".820")+COUNTIFS(Name,"*door dbl",Name,"&lt;&gt;*garage*",Length,".820")*2+COUNTIFS(Name,"Door Cvty",Length,"=0.870")+COUNTIFS(Name,"DOOR CVTY",Length,0.82)+COUNTIFS(Name,"DOOR CVTY DBL",Length,0.82),0)+IF(AND(COUNTIFS(Addenda!A:A,"*DECO 3S*")&gt;0,(COUNTIFS(Addenda!A:A,"*READICOAT*")=0)),COUNTIFS(Name,"*door lh",Name,"&lt;&gt;*garage*",Length,".820")+COUNTIFS(Name,"*door rh",Name,"&lt;&gt;*garage*",Length,".820")+COUNTIFS(Name,"*door dbl",Name,"&lt;&gt;*garage*",Length,".820")*2+COUNTIFS(Name,"Door Cvty",Length,"=0.870")+COUNTIFS(Name,"DOOR CVTY",Length,0.82)+COUNTIFS(Name,"DOOR CVTY DBL",Length,0.82),0)+IF(AND(COUNTIFS(Addenda!$A:$A,"*DECO 3D*")&gt;0,(COUNTIFS(Addenda!$A:$A,"*READICOAT*")+0)),COUNTIFS(NameFF,"*door lh",NameFF,"&lt;&gt;*garage*",'CSV FF'!$C:$C,".820")+COUNTIFS(NameFF,"*door rh",NameFF,"&lt;&gt;*garage*",'CSV FF'!$C:$C,".820")+COUNTIFS(NameFF,"*door dbl",NameFF,"&lt;&gt;*garage*",'CSV FF'!$C:$C,".820")*2+COUNTIFS(NameFF,"Door Cvty",'CSV FF'!$C:$C,"+0.870")+COUNTIFS(NameFF,"DOOR CVTY",'CSV FF'!$C:$C,0.82)+COUNTIFS(NameFF,"DOOR CVTY DBL",'CSV FF'!$C:$C,0.82),0)+IF(AND(COUNTIFS(Addenda!$A:$A,"*DECO 3S*")&gt;0,(COUNTIFS(Addenda!$A:$A,"*READICOAT*")+0)),COUNTIFS(NameFF,"*door lh",NameFF,"&lt;&gt;*garage*",'CSV FF'!$C:$C,".820")+COUNTIFS(NameFF,"*door rh",NameFF,"&lt;&gt;*garage*",'CSV FF'!$C:$C,".820")+COUNTIFS(NameFF,"*door dbl",NameFF,"&lt;&gt;*garage*",'CSV FF'!$C:$C,".820")*2+COUNTIFS(NameFF,"Door Cvty",'CSV FF'!$C:$C,"+0.870")+COUNTIFS(NameFF,"DOOR CVTY",'CSV FF'!$C:$C,0.82)+COUNTIFS(NameFF,"DOOR CVTY DBL",'CSV FF'!$C:$C,0.82),0)</f>
        <v>0</v>
      </c>
      <c r="G1164" s="829"/>
      <c r="H1164" s="1111" t="s">
        <v>2017</v>
      </c>
      <c r="I1164" s="1205"/>
      <c r="J1164" s="2" t="str">
        <f>IF(Table5[[#This Row],[Entered]]&lt;&gt;Table5[[#This Row],[Quantity]],"Check","")</f>
        <v/>
      </c>
    </row>
    <row r="1165" spans="1:10" ht="15" x14ac:dyDescent="0.2">
      <c r="A1165" s="324" t="s">
        <v>2980</v>
      </c>
      <c r="B1165" s="324" t="str">
        <f t="shared" si="74"/>
        <v>0980</v>
      </c>
      <c r="C1165" s="324" t="str">
        <f t="shared" si="75"/>
        <v>52640</v>
      </c>
      <c r="D1165" s="1103">
        <f>733</f>
        <v>733</v>
      </c>
      <c r="E1165" s="324">
        <v>1</v>
      </c>
      <c r="F1165" s="827">
        <f>+IF(AND(COUNTIFS(Addenda!$A:$A,"*DECO 4D*")&gt;0,(COUNTIFS(Addenda!$A:$A,"*READICOAT*")+0)),COUNTIFS(NameFF,"*door lh",NameFF,"&lt;&gt;*garage*",'CSV FF'!$C:$C,".820")+COUNTIFS(NameFF,"*door rh",NameFF,"&lt;&gt;*garage*",'CSV FF'!$C:$C,".820")+COUNTIFS(NameFF,"*door dbl",NameFF,"&lt;&gt;*garage*",'CSV FF'!$C:$C,".820")*2+COUNTIFS(NameFF,"Door Cvty",'CSV FF'!$C:$C,"+0.870")+COUNTIFS(NameFF,"DOOR CVTY",'CSV FF'!$C:$C,0.82)+COUNTIFS(NameFF,"DOOR CVTY DBL",'CSV FF'!$C:$C,0.82),0)+IF(AND(COUNTIFS(Addenda!$A:$A,"*DECO 4S*")&gt;0,(COUNTIFS(Addenda!$A:$A,"*READICOAT*")+0)),COUNTIFS(NameFF,"*door lh",NameFF,"&lt;&gt;*garage*",'CSV FF'!$C:$C,".820")+COUNTIFS(NameFF,"*door rh",NameFF,"&lt;&gt;*garage*",'CSV FF'!$C:$C,".820")+COUNTIFS(NameFF,"*door dbl",NameFF,"&lt;&gt;*garage*",'CSV FF'!$C:$C,".820")*2+COUNTIFS(NameFF,"Door Cvty",'CSV FF'!$C:$C,"+0.870")+COUNTIFS(NameFF,"DOOR CVTY",'CSV FF'!$C:$C,0.82)+COUNTIFS(NameFF,"DOOR CVTY DBL",'CSV FF'!$C:$C,0.82),0)</f>
        <v>0</v>
      </c>
      <c r="G1165" s="829"/>
      <c r="H1165" s="1111" t="s">
        <v>2018</v>
      </c>
      <c r="I1165" s="1205"/>
      <c r="J1165" s="2" t="str">
        <f>IF(Table5[[#This Row],[Entered]]&lt;&gt;Table5[[#This Row],[Quantity]],"Check","")</f>
        <v/>
      </c>
    </row>
    <row r="1166" spans="1:10" ht="15" x14ac:dyDescent="0.2">
      <c r="A1166" s="324" t="s">
        <v>2980</v>
      </c>
      <c r="B1166" s="324" t="str">
        <f t="shared" si="74"/>
        <v>0980</v>
      </c>
      <c r="C1166" s="324" t="str">
        <f t="shared" si="75"/>
        <v>52640</v>
      </c>
      <c r="D1166" s="1103">
        <f>740</f>
        <v>740</v>
      </c>
      <c r="E1166" s="324">
        <v>1</v>
      </c>
      <c r="F1166" s="827">
        <f>IF(AND(COUNTIFS(Addenda!A:A,"*DECO 1D*")&gt;0,(COUNTIFS(Addenda!A:A,"*READICOAT*")=0)),COUNTIFS(Name,"*door lh",Name,"&lt;&gt;*garage*",Length,".720")+COUNTIFS(Name,"*door rh",Name,"&lt;&gt;*garage*",Length,".720")+COUNTIFS(Name,"*door dbl",Name,"&lt;&gt;*garage*",Length,".720")*2+COUNTIFS(Name,"Door Cvty",Length,"=0.770")+COUNTIFS(Name,"DOOR CVTY",Length,0.72)+COUNTIFS(Name,"DOOR CVTY DBL",Length,0.72),0)+IF(AND(COUNTIFS(Addenda!A:A,"*DECO 1S*")&gt;0,(COUNTIFS(Addenda!A:A,"*READICOAT*")=0)),COUNTIFS(Name,"*door lh",Name,"&lt;&gt;*garage*",Length,".720")+COUNTIFS(Name,"*door rh",Name,"&lt;&gt;*garage*",Length,".720")+COUNTIFS(Name,"*door dbl",Name,"&lt;&gt;*garage*",Length,".720")*2+COUNTIFS(Name,"Door Cvty",Length,"=0.770")+COUNTIFS(Name,"DOOR CVTY",Length,0.72)+COUNTIFS(Name,"DOOR CVTY DBL",Length,0.72),0)+F1178+IF(AND(COUNTIFS(Addenda!$A:$A,"*DECO 1D*")&gt;0,(COUNTIFS(Addenda!$A:$A,"*READICOAT*")+0)),COUNTIFS(NameFF,"*door lh",NameFF,"&lt;&gt;*garage*",'CSV FF'!$C:$C,".720")+COUNTIFS(NameFF,"*door rh",NameFF,"&lt;&gt;*garage*",'CSV FF'!$C:$C,".720")+COUNTIFS(NameFF,"*door dbl",NameFF,"&lt;&gt;*garage*",'CSV FF'!$C:$C,".720")*2+COUNTIFS(NameFF,"Door Cvty",'CSV FF'!$C:$C,"+0.770")+COUNTIFS(NameFF,"DOOR CVTY",'CSV FF'!$C:$C,0.72)+COUNTIFS(NameFF,"DOOR CVTY DBL",'CSV FF'!$C:$C,0.72),0)+IF(AND(COUNTIFS(Addenda!$A:$A,"*DECO 1S*")&gt;0,(COUNTIFS(Addenda!$A:$A,"*READICOAT*")=0)),COUNTIFS(NameFF,"*door lh",NameFF,"&lt;&gt;*garage*",'CSV FF'!$C:$C,".720")+COUNTIFS(NameFF,"*door rh",NameFF,"&lt;&gt;*garage*",'CSV FF'!$C:$C,".720")+COUNTIFS(NameFF,"*door dbl",NameFF,"&lt;&gt;*garage*",'CSV FF'!$C:$C,".720")*2+COUNTIFS(NameFF,"Door Cvty",'CSV FF'!$C:$C,"+0.770")+COUNTIFS(NameFF,"DOOR CVTY",'CSV FF'!$C:$C,0.72)+COUNTIFS(NameFF,"DOOR CVTY DBL",'CSV FF'!$C:$C,0.72),0)</f>
        <v>0</v>
      </c>
      <c r="G1166" s="829"/>
      <c r="H1166" s="1111" t="s">
        <v>2019</v>
      </c>
      <c r="I1166" s="1205"/>
      <c r="J1166" s="2" t="str">
        <f>IF(Table5[[#This Row],[Entered]]&lt;&gt;Table5[[#This Row],[Quantity]],"Check","")</f>
        <v/>
      </c>
    </row>
    <row r="1167" spans="1:10" ht="15" x14ac:dyDescent="0.2">
      <c r="A1167" s="324" t="s">
        <v>2980</v>
      </c>
      <c r="B1167" s="324" t="str">
        <f t="shared" si="74"/>
        <v>0980</v>
      </c>
      <c r="C1167" s="324" t="str">
        <f t="shared" si="75"/>
        <v>52640</v>
      </c>
      <c r="D1167" s="1103">
        <f>741</f>
        <v>741</v>
      </c>
      <c r="E1167" s="324">
        <v>1</v>
      </c>
      <c r="F1167" s="827">
        <f>IF(AND(COUNTIFS(Addenda!A:A,"*DECO 2D*")&gt;0,(COUNTIFS(Addenda!A:A,"*READICOAT*")=0)),COUNTIFS(Name,"*door lh",Name,"&lt;&gt;*garage*",Length,".720")+COUNTIFS(Name,"*door rh",Name,"&lt;&gt;*garage*",Length,".720")+COUNTIFS(Name,"*door dbl",Name,"&lt;&gt;*garage*",Length,".720")*2+COUNTIFS(Name,"Door Cvty",Length,"=0.77")+COUNTIFS(Name,"DOOR CVTY",Length,0.72)+COUNTIFS(Name,"DOOR CVTY DBL",Length,0.72),0)+IF(AND(COUNTIFS(Addenda!A:A,"*DECO 2S*")&gt;0,(COUNTIFS(Addenda!A:A,"*READICOAT*")=0)),COUNTIFS(Name,"*door lh",Name,"&lt;&gt;*garage*",Length,".720")+COUNTIFS(Name,"*door rh",Name,"&lt;&gt;*garage*",Length,".720")+COUNTIFS(Name,"*door dbl",Name,"&lt;&gt;*garage*",Length,".720")*2+COUNTIFS(Name,"Door Cvty",Length,"=0.77")+COUNTIFS(Name,"DOOR CVTY",Length,0.72)+COUNTIFS(Name,"DOOR CVTY DBL",Length,0.72),0)+F1179+IF(AND(COUNTIFS(Addenda!$A:$A,"*DECO 2D*")&gt;0,(COUNTIFS(Addenda!$A:$A,"*READICOAT*")+0)),COUNTIFS(NameFF,"*door lh",NameFF,"&lt;&gt;*garage*",'CSV FF'!$C:$C,".720")+COUNTIFS(NameFF,"*door rh",NameFF,"&lt;&gt;*garage*",'CSV FF'!$C:$C,".720")+COUNTIFS(NameFF,"*door dbl",NameFF,"&lt;&gt;*garage*",'CSV FF'!$C:$C,".720")*2+COUNTIFS(NameFF,"Door Cvty",'CSV FF'!$C:$C,"+0.77")+COUNTIFS(NameFF,"DOOR CVTY",'CSV FF'!$C:$C,0.72)+COUNTIFS(NameFF,"DOOR CVTY DBL",'CSV FF'!$C:$C,0.72),0)+IF(AND(COUNTIFS(Addenda!$A:$A,"*DECO 2S*")&gt;0,(COUNTIFS(Addenda!$A:$A,"*READICOAT*")=0)),COUNTIFS(NameFF,"*door lh",NameFF,"&lt;&gt;*garage*",'CSV FF'!$C:$C,".720")+COUNTIFS(NameFF,"*door rh",NameFF,"&lt;&gt;*garage*",'CSV FF'!$C:$C,".720")+COUNTIFS(NameFF,"*door dbl",NameFF,"&lt;&gt;*garage*",'CSV FF'!$C:$C,".720")*2+COUNTIFS(NameFF,"Door Cvty",'CSV FF'!$C:$C,"+0.77")+COUNTIFS(NameFF,"DOOR CVTY",'CSV FF'!$C:$C,0.72)+COUNTIFS(NameFF,"DOOR CVTY DBL",'CSV FF'!$C:$C,0.72),0)</f>
        <v>0</v>
      </c>
      <c r="G1167" s="829"/>
      <c r="H1167" s="1111" t="s">
        <v>2020</v>
      </c>
      <c r="I1167" s="1205"/>
      <c r="J1167" s="2" t="str">
        <f>IF(Table5[[#This Row],[Entered]]&lt;&gt;Table5[[#This Row],[Quantity]],"Check","")</f>
        <v/>
      </c>
    </row>
    <row r="1168" spans="1:10" ht="15" x14ac:dyDescent="0.2">
      <c r="A1168" s="324" t="s">
        <v>2980</v>
      </c>
      <c r="B1168" s="324" t="str">
        <f t="shared" si="74"/>
        <v>0980</v>
      </c>
      <c r="C1168" s="324" t="str">
        <f t="shared" si="75"/>
        <v>52640</v>
      </c>
      <c r="D1168" s="1103">
        <f>742</f>
        <v>742</v>
      </c>
      <c r="E1168" s="324">
        <v>1</v>
      </c>
      <c r="F1168" s="827">
        <f>IF(AND(COUNTIFS(Addenda!A:A,"*DECO 3D*")&gt;0,(COUNTIFS(Addenda!A:A,"*READICOAT*")=0)),COUNTIFS(Name,"*door lh",Name,"&lt;&gt;*garage*",Length,".720")+COUNTIFS(Name,"*door rh",Name,"&lt;&gt;*garage*",Length,".720")+COUNTIFS(Name,"*door dbl",Name,"&lt;&gt;*garage*",Length,".720")*2+COUNTIFS(Name,"Door Cvty",Length,"=0.77")+COUNTIFS(Name,"DOOR CVTY",Length,0.72)+COUNTIFS(Name,"DOOR CVTY DBL",Length,0.72),0)+IF(AND(COUNTIFS(Addenda!A:A,"*DECO 3S*")&gt;0,(COUNTIFS(Addenda!A:A,"*READICOAT*")=0)),COUNTIFS(Name,"*door lh",Name,"&lt;&gt;*garage*",Length,".720")+COUNTIFS(Name,"*door rh",Name,"&lt;&gt;*garage*",Length,".720")+COUNTIFS(Name,"*door dbl",Name,"&lt;&gt;*garage*",Length,".720")*2+COUNTIFS(Name,"Door Cvty",Length,"=0.77")+COUNTIFS(Name,"DOOR CVTY",Length,0.72)+COUNTIFS(Name,"DOOR CVTY DBL",Length,0.72),0)+F1180+IF(AND(COUNTIFS(Addenda!$A:$A,"*DECO 3D*")&gt;0,(COUNTIFS(Addenda!$A:$A,"*READICOAT*")+0)),COUNTIFS(NameFF,"*door lh",NameFF,"&lt;&gt;*garage*",'CSV FF'!$C:$C,".720")+COUNTIFS(NameFF,"*door rh",NameFF,"&lt;&gt;*garage*",'CSV FF'!$C:$C,".720")+COUNTIFS(NameFF,"*door dbl",NameFF,"&lt;&gt;*garage*",'CSV FF'!$C:$C,".720")*2+COUNTIFS(NameFF,"Door Cvty",'CSV FF'!$C:$C,"+0.77")+COUNTIFS(NameFF,"DOOR CVTY",'CSV FF'!$C:$C,0.72)+COUNTIFS(NameFF,"DOOR CVTY DBL",'CSV FF'!$C:$C,0.72),0)+IF(AND(COUNTIFS(Addenda!$A:$A,"*DECO 3S*")&gt;0,(COUNTIFS(Addenda!$A:$A,"*READICOAT*")=0)),COUNTIFS(NameFF,"*door lh",NameFF,"&lt;&gt;*garage*",'CSV FF'!$C:$C,".720")+COUNTIFS(NameFF,"*door rh",NameFF,"&lt;&gt;*garage*",'CSV FF'!$C:$C,".720")+COUNTIFS(NameFF,"*door dbl",NameFF,"&lt;&gt;*garage*",'CSV FF'!$C:$C,".720")*2+COUNTIFS(NameFF,"Door Cvty",'CSV FF'!$C:$C,"+0.77")+COUNTIFS(NameFF,"DOOR CVTY",'CSV FF'!$C:$C,0.72)+COUNTIFS(NameFF,"DOOR CVTY DBL",'CSV FF'!$C:$C,0.72),0)</f>
        <v>0</v>
      </c>
      <c r="G1168" s="829"/>
      <c r="H1168" s="1111" t="s">
        <v>2021</v>
      </c>
      <c r="I1168" s="1205"/>
      <c r="J1168" s="2" t="str">
        <f>IF(Table5[[#This Row],[Entered]]&lt;&gt;Table5[[#This Row],[Quantity]],"Check","")</f>
        <v/>
      </c>
    </row>
    <row r="1169" spans="1:19" ht="15" x14ac:dyDescent="0.2">
      <c r="A1169" s="324" t="s">
        <v>2980</v>
      </c>
      <c r="B1169" s="324" t="str">
        <f t="shared" si="74"/>
        <v>0980</v>
      </c>
      <c r="C1169" s="324" t="str">
        <f t="shared" si="75"/>
        <v>52640</v>
      </c>
      <c r="D1169" s="1103">
        <f>743</f>
        <v>743</v>
      </c>
      <c r="E1169" s="324">
        <v>1</v>
      </c>
      <c r="F1169" s="827">
        <f>IF(AND(COUNTIFS(Addenda!A:A,"*DECO 4D*")&gt;0,(COUNTIFS(Addenda!A:A,"*READICOAT*")=0)),COUNTIFS(Name,"*door lh",Name,"&lt;&gt;*garage*",Length,".720")+COUNTIFS(Name,"*door rh",Name,"&lt;&gt;*garage*",Length,".720")+COUNTIFS(Name,"*door dbl",Name,"&lt;&gt;*garage*",Length,".720")*2+COUNTIFS(Name,"Door Cvty",Length,"=0.77")+COUNTIFS(Name,"DOOR CVTY",Length,0.72)+COUNTIFS(Name,"DOOR CVTY DBL",Length,0.72),0)+IF(AND(COUNTIFS(Addenda!A:A,"*DECO 4S*")&gt;0,(COUNTIFS(Addenda!A:A,"*READICOAT*")=0)),COUNTIFS(Name,"*door lh",Name,"&lt;&gt;*garage*",Length,".720")+COUNTIFS(Name,"*door rh",Name,"&lt;&gt;*garage*",Length,".720")+COUNTIFS(Name,"*door dbl",Name,"&lt;&gt;*garage*",Length,".720")*2+COUNTIFS(Name,"Door Cvty",Length,"=0.77")+COUNTIFS(Name,"DOOR CVTY",Length,0.72)+COUNTIFS(Name,"DOOR CVTY DBL",Length,0.72),0)+F1181+IF(AND(COUNTIFS(Addenda!$A:$A,"*DECO 4D*")&gt;0,(COUNTIFS(Addenda!$A:$A,"*READICOAT*")+0)),COUNTIFS(NameFF,"*door lh",NameFF,"&lt;&gt;*garage*",'CSV FF'!$C:$C,".720")+COUNTIFS(NameFF,"*door rh",NameFF,"&lt;&gt;*garage*",'CSV FF'!$C:$C,".720")+COUNTIFS(NameFF,"*door dbl",NameFF,"&lt;&gt;*garage*",'CSV FF'!$C:$C,".720")*2+COUNTIFS(NameFF,"Door Cvty",'CSV FF'!$C:$C,"+0.77")+COUNTIFS(NameFF,"DOOR CVTY",'CSV FF'!$C:$C,0.72)+COUNTIFS(NameFF,"DOOR CVTY DBL",'CSV FF'!$C:$C,0.72),0)+IF(AND(COUNTIFS(Addenda!$A:$A,"*DECO 4S*")&gt;0,(COUNTIFS(Addenda!$A:$A,"*READICOAT*")=0)),COUNTIFS(NameFF,"*door lh",NameFF,"&lt;&gt;*garage*",'CSV FF'!$C:$C,".720")+COUNTIFS(NameFF,"*door rh",NameFF,"&lt;&gt;*garage*",'CSV FF'!$C:$C,".720")+COUNTIFS(NameFF,"*door dbl",NameFF,"&lt;&gt;*garage*",'CSV FF'!$C:$C,".720")*2+COUNTIFS(NameFF,"Door Cvty",'CSV FF'!$C:$C,"+0.77")+COUNTIFS(NameFF,"DOOR CVTY",'CSV FF'!$C:$C,0.72)+COUNTIFS(NameFF,"DOOR CVTY DBL",'CSV FF'!$C:$C,0.72),0)</f>
        <v>0</v>
      </c>
      <c r="G1169" s="829"/>
      <c r="H1169" s="1111" t="s">
        <v>2022</v>
      </c>
      <c r="I1169" s="1205"/>
      <c r="J1169" s="2" t="str">
        <f>IF(Table5[[#This Row],[Entered]]&lt;&gt;Table5[[#This Row],[Quantity]],"Check","")</f>
        <v/>
      </c>
    </row>
    <row r="1170" spans="1:19" ht="15" x14ac:dyDescent="0.2">
      <c r="A1170" s="324" t="s">
        <v>2980</v>
      </c>
      <c r="B1170" s="324" t="str">
        <f t="shared" si="74"/>
        <v>0980</v>
      </c>
      <c r="C1170" s="324" t="str">
        <f t="shared" si="75"/>
        <v>52640</v>
      </c>
      <c r="D1170" s="1103">
        <f>750</f>
        <v>750</v>
      </c>
      <c r="E1170" s="324">
        <v>1</v>
      </c>
      <c r="F1170" s="827">
        <f>IF(AND(COUNTIFS(Addenda!A:A,"*DECO 1D*")&gt;0,(COUNTIFS(Addenda!A:A,"*READICOAT*")=0)),COUNTIFS(Name,"*door lh",Name,"&lt;&gt;*garage*",Length,".620")+COUNTIFS(Name,"*door rh",Name,"&lt;&gt;*garage*",Length,".620")+COUNTIFS(Name,"*door dbl",Name,"&lt;&gt;*garage*",Length,".620")*2+COUNTIFS(Name,"Door Cvty",Length,"=0.670")+COUNTIFS(Name,"DOOR CVTY",Length,0.62)+COUNTIFS(Name,"DOOR CVTY DBL",Length,0.62),0)+IF(AND(COUNTIFS(Addenda!A:A,"*DECO 1S*")&gt;0,(COUNTIFS(Addenda!A:A,"*READICOAT*")=0)),COUNTIFS(Name,"*door lh",Name,"&lt;&gt;*garage*",Length,".620")+COUNTIFS(Name,"*door rh",Name,"&lt;&gt;*garage*",Length,".620")+COUNTIFS(Name,"*door dbl",Name,"&lt;&gt;*garage*",Length,".620")*2+COUNTIFS(Name,"Door Cvty",Length,"=0.670")+COUNTIFS(Name,"DOOR CVTY",Length,0.62)+COUNTIFS(Name,"DOOR CVTY DBL",Length,0.62),0)+F1174+IF(AND(COUNTIFS(Addenda!$A:$A,"*DECO 1D*")&gt;0,(COUNTIFS(Addenda!$A:$A,"*READICOAT*")+0)),COUNTIFS(NameFF,"*door lh",NameFF,"&lt;&gt;*garage*",'CSV FF'!$C:$C,".620")+COUNTIFS(NameFF,"*door rh",NameFF,"&lt;&gt;*garage*",'CSV FF'!$C:$C,".620")+COUNTIFS(NameFF,"*door dbl",NameFF,"&lt;&gt;*garage*",'CSV FF'!$C:$C,".620")*2+COUNTIFS(NameFF,"Door Cvty",'CSV FF'!$C:$C,"+0.670")+COUNTIFS(NameFF,"DOOR CVTY",'CSV FF'!$C:$C,0.62)+COUNTIFS(NameFF,"DOOR CVTY DBL",'CSV FF'!$C:$C,0.62),0)+IF(AND(COUNTIFS(Addenda!$A:$A,"*DECO 1S*")&gt;0,(COUNTIFS(Addenda!$A:$A,"*READICOAT*")=0)),COUNTIFS(NameFF,"*door lh",NameFF,"&lt;&gt;*garage*",'CSV FF'!$C:$C,".620")+COUNTIFS(NameFF,"*door rh",NameFF,"&lt;&gt;*garage*",'CSV FF'!$C:$C,".620")+COUNTIFS(NameFF,"*door dbl",NameFF,"&lt;&gt;*garage*",'CSV FF'!$C:$C,".620")*2+COUNTIFS(NameFF,"Door Cvty",'CSV FF'!$C:$C,"+0.670")+COUNTIFS(NameFF,"DOOR CVTY",'CSV FF'!$C:$C,0.62)+COUNTIFS(NameFF,"DOOR CVTY DBL",'CSV FF'!$C:$C,0.62),0)</f>
        <v>0</v>
      </c>
      <c r="G1170" s="829"/>
      <c r="H1170" s="1111" t="s">
        <v>2023</v>
      </c>
      <c r="I1170" s="1205"/>
      <c r="J1170" s="2" t="str">
        <f>IF(Table5[[#This Row],[Entered]]&lt;&gt;Table5[[#This Row],[Quantity]],"Check","")</f>
        <v/>
      </c>
    </row>
    <row r="1171" spans="1:19" ht="15" x14ac:dyDescent="0.2">
      <c r="A1171" s="324" t="s">
        <v>2980</v>
      </c>
      <c r="B1171" s="324" t="str">
        <f t="shared" si="74"/>
        <v>0980</v>
      </c>
      <c r="C1171" s="324" t="str">
        <f t="shared" si="75"/>
        <v>52640</v>
      </c>
      <c r="D1171" s="1103">
        <f>751</f>
        <v>751</v>
      </c>
      <c r="E1171" s="324">
        <v>1</v>
      </c>
      <c r="F1171" s="827">
        <f>IF(AND(COUNTIFS(Addenda!A:A,"*DECO 2D*")&gt;0,(COUNTIFS(Addenda!A:A,"*READICOAT*")=0)),COUNTIFS(Name,"*door lh",Name,"&lt;&gt;*garage*",Length,".620")+COUNTIFS(Name,"*door rh",Name,"&lt;&gt;*garage*",Length,".620")+COUNTIFS(Name,"*door dbl",Name,"&lt;&gt;*garage*",Length,".620")*2+COUNTIFS(Name,"Door Cvty",Length,"=0.670")+COUNTIFS(Name,"DOOR CVTY",Length,0.62)+COUNTIFS(Name,"DOOR CVTY DBL",Length,0.62),0)+IF(AND(COUNTIFS(Addenda!A:A,"*DECO 2S*")&gt;0,(COUNTIFS(Addenda!A:A,"*READICOAT*")=0)),COUNTIFS(Name,"*door lh",Name,"&lt;&gt;*garage*",Length,".620")+COUNTIFS(Name,"*door rh",Name,"&lt;&gt;*garage*",Length,".620")+COUNTIFS(Name,"*door dbl",Name,"&lt;&gt;*garage*",Length,".620")*2+COUNTIFS(Name,"Door Cvty",Length,"=0.670")+COUNTIFS(Name,"DOOR CVTY",Length,0.62)+COUNTIFS(Name,"DOOR CVTY DBL",Length,0.62),0)+F1175+IF(AND(COUNTIFS(Addenda!$A:$A,"*DECO 2D*")&gt;0,(COUNTIFS(Addenda!$A:$A,"*READICOAT*")+0)),COUNTIFS(NameFF,"*door lh",NameFF,"&lt;&gt;*garage*",'CSV FF'!$C:$C,".620")+COUNTIFS(NameFF,"*door rh",NameFF,"&lt;&gt;*garage*",'CSV FF'!$C:$C,".620")+COUNTIFS(NameFF,"*door dbl",NameFF,"&lt;&gt;*garage*",'CSV FF'!$C:$C,".620")*2+COUNTIFS(NameFF,"Door Cvty",'CSV FF'!$C:$C,"+0.670")+COUNTIFS(NameFF,"DOOR CVTY",'CSV FF'!$C:$C,0.62)+COUNTIFS(NameFF,"DOOR CVTY DBL",'CSV FF'!$C:$C,0.62),0)+IF(AND(COUNTIFS(Addenda!$A:$A,"*DECO 2S*")&gt;0,(COUNTIFS(Addenda!$A:$A,"*READICOAT*")=0)),COUNTIFS(NameFF,"*door lh",NameFF,"&lt;&gt;*garage*",'CSV FF'!$C:$C,".620")+COUNTIFS(NameFF,"*door rh",NameFF,"&lt;&gt;*garage*",'CSV FF'!$C:$C,".620")+COUNTIFS(NameFF,"*door dbl",NameFF,"&lt;&gt;*garage*",'CSV FF'!$C:$C,".620")*2+COUNTIFS(NameFF,"Door Cvty",'CSV FF'!$C:$C,"+0.670")+COUNTIFS(NameFF,"DOOR CVTY",'CSV FF'!$C:$C,0.62)+COUNTIFS(NameFF,"DOOR CVTY DBL",'CSV FF'!$C:$C,0.62),0)</f>
        <v>0</v>
      </c>
      <c r="G1171" s="829"/>
      <c r="H1171" s="1111" t="s">
        <v>2024</v>
      </c>
      <c r="I1171" s="1205"/>
      <c r="J1171" s="2" t="str">
        <f>IF(Table5[[#This Row],[Entered]]&lt;&gt;Table5[[#This Row],[Quantity]],"Check","")</f>
        <v/>
      </c>
    </row>
    <row r="1172" spans="1:19" ht="15" x14ac:dyDescent="0.2">
      <c r="A1172" s="324" t="s">
        <v>2980</v>
      </c>
      <c r="B1172" s="324" t="str">
        <f t="shared" si="74"/>
        <v>0980</v>
      </c>
      <c r="C1172" s="324" t="str">
        <f t="shared" si="75"/>
        <v>52640</v>
      </c>
      <c r="D1172" s="1103">
        <f>752</f>
        <v>752</v>
      </c>
      <c r="E1172" s="324">
        <v>1</v>
      </c>
      <c r="F1172" s="827">
        <f>IF(AND(COUNTIFS(Addenda!A:A,"*DECO 3D*")&gt;0,(COUNTIFS(Addenda!A:A,"*READICOAT*")=0)),COUNTIFS(Name,"*door lh",Name,"&lt;&gt;*garage*",Length,".620")+COUNTIFS(Name,"*door rh",Name,"&lt;&gt;*garage*",Length,".620")+COUNTIFS(Name,"*door dbl",Name,"&lt;&gt;*garage*",Length,".620")*2+COUNTIFS(Name,"Door Cvty",Length,"=0.670")+COUNTIFS(Name,"DOOR CVTY",Length,0.62)+COUNTIFS(Name,"DOOR CVTY DBL",Length,0.62),0)+IF(AND(COUNTIFS(Addenda!A:A,"*DECO 3S*")&gt;0,(COUNTIFS(Addenda!A:A,"*READICOAT*")=0)),COUNTIFS(Name,"*door lh",Name,"&lt;&gt;*garage*",Length,".620")+COUNTIFS(Name,"*door rh",Name,"&lt;&gt;*garage*",Length,".620")+COUNTIFS(Name,"*door dbl",Name,"&lt;&gt;*garage*",Length,".620")*2+COUNTIFS(Name,"Door Cvty",Length,"=0.670")+COUNTIFS(Name,"DOOR CVTY",Length,0.62)+COUNTIFS(Name,"DOOR CVTY DBL",Length,0.62),0)+F1176+IF(AND(COUNTIFS(Addenda!$A:$A,"*DECO 3D*")&gt;0,(COUNTIFS(Addenda!$A:$A,"*READICOAT*")+0)),COUNTIFS(NameFF,"*door lh",NameFF,"&lt;&gt;*garage*",'CSV FF'!$C:$C,".620")+COUNTIFS(NameFF,"*door rh",NameFF,"&lt;&gt;*garage*",'CSV FF'!$C:$C,".620")+COUNTIFS(NameFF,"*door dbl",NameFF,"&lt;&gt;*garage*",'CSV FF'!$C:$C,".620")*2+COUNTIFS(NameFF,"Door Cvty",'CSV FF'!$C:$C,"+0.670")+COUNTIFS(NameFF,"DOOR CVTY",'CSV FF'!$C:$C,0.62)+COUNTIFS(NameFF,"DOOR CVTY DBL",'CSV FF'!$C:$C,0.62),0)+IF(AND(COUNTIFS(Addenda!$A:$A,"*DECO 3S*")&gt;0,(COUNTIFS(Addenda!$A:$A,"*READICOAT*")=0)),COUNTIFS(NameFF,"*door lh",NameFF,"&lt;&gt;*garage*",'CSV FF'!$C:$C,".620")+COUNTIFS(NameFF,"*door rh",NameFF,"&lt;&gt;*garage*",'CSV FF'!$C:$C,".620")+COUNTIFS(NameFF,"*door dbl",NameFF,"&lt;&gt;*garage*",'CSV FF'!$C:$C,".620")*2+COUNTIFS(NameFF,"Door Cvty",'CSV FF'!$C:$C,"+0.670")+COUNTIFS(NameFF,"DOOR CVTY",'CSV FF'!$C:$C,0.62)+COUNTIFS(NameFF,"DOOR CVTY DBL",'CSV FF'!$C:$C,0.62),0)</f>
        <v>0</v>
      </c>
      <c r="G1172" s="829"/>
      <c r="H1172" s="1111" t="s">
        <v>2025</v>
      </c>
      <c r="I1172" s="1205"/>
      <c r="J1172" s="2" t="str">
        <f>IF(Table5[[#This Row],[Entered]]&lt;&gt;Table5[[#This Row],[Quantity]],"Check","")</f>
        <v/>
      </c>
    </row>
    <row r="1173" spans="1:19" ht="15" x14ac:dyDescent="0.2">
      <c r="A1173" s="324" t="s">
        <v>2980</v>
      </c>
      <c r="B1173" s="324" t="str">
        <f t="shared" si="74"/>
        <v>0980</v>
      </c>
      <c r="C1173" s="324" t="str">
        <f t="shared" si="75"/>
        <v>52640</v>
      </c>
      <c r="D1173" s="1103">
        <f>753</f>
        <v>753</v>
      </c>
      <c r="E1173" s="324">
        <v>1</v>
      </c>
      <c r="F1173" s="827">
        <f>IF(AND(COUNTIFS(Addenda!A:A,"*DECO 4D*")&gt;0,(COUNTIFS(Addenda!A:A,"*READICOAT*")=0)),COUNTIFS(Name,"*door lh",Name,"&lt;&gt;*garage*",Length,".620")+COUNTIFS(Name,"*door rh",Name,"&lt;&gt;*garage*",Length,".620")+COUNTIFS(Name,"*door dbl",Name,"&lt;&gt;*garage*",Length,".620")*2+COUNTIFS(Name,"Door Cvty",Length,"=0.670")+COUNTIFS(Name,"DOOR CVTY",Length,0.62)+COUNTIFS(Name,"DOOR CVTY DBL",Length,0.62),0)+IF(AND(COUNTIFS(Addenda!A:A,"*DECO 4S*")&gt;0,(COUNTIFS(Addenda!A:A,"*READICOAT*")=0)),COUNTIFS(Name,"*door lh",Name,"&lt;&gt;*garage*",Length,".620")+COUNTIFS(Name,"*door rh",Name,"&lt;&gt;*garage*",Length,".620")+COUNTIFS(Name,"*door dbl",Name,"&lt;&gt;*garage*",Length,".620")*2+COUNTIFS(Name,"Door Cvty",Length,"=0.670")+COUNTIFS(Name,"DOOR CVTY",Length,0.62)+COUNTIFS(Name,"DOOR CVTY DBL",Length,0.62),0)+F1177+IF(AND(COUNTIFS(Addenda!$A:$A,"*DECO 4D*")&gt;0,(COUNTIFS(Addenda!$A:$A,"*READICOAT*")+0)),COUNTIFS(NameFF,"*door lh",NameFF,"&lt;&gt;*garage*",'CSV FF'!$C:$C,".620")+COUNTIFS(NameFF,"*door rh",NameFF,"&lt;&gt;*garage*",'CSV FF'!$C:$C,".620")+COUNTIFS(NameFF,"*door dbl",NameFF,"&lt;&gt;*garage*",'CSV FF'!$C:$C,".620")*2+COUNTIFS(NameFF,"Door Cvty",'CSV FF'!$C:$C,"+0.670")+COUNTIFS(NameFF,"DOOR CVTY",'CSV FF'!$C:$C,0.62)+COUNTIFS(NameFF,"DOOR CVTY DBL",'CSV FF'!$C:$C,0.62),0)+IF(AND(COUNTIFS(Addenda!$A:$A,"*DECO 4S*")&gt;0,(COUNTIFS(Addenda!$A:$A,"*READICOAT*")=0)),COUNTIFS(NameFF,"*door lh",NameFF,"&lt;&gt;*garage*",'CSV FF'!$C:$C,".620")+COUNTIFS(NameFF,"*door rh",NameFF,"&lt;&gt;*garage*",'CSV FF'!$C:$C,".620")+COUNTIFS(NameFF,"*door dbl",NameFF,"&lt;&gt;*garage*",'CSV FF'!$C:$C,".620")*2+COUNTIFS(NameFF,"Door Cvty",'CSV FF'!$C:$C,"+0.670")+COUNTIFS(NameFF,"DOOR CVTY",'CSV FF'!$C:$C,0.62)+COUNTIFS(NameFF,"DOOR CVTY DBL",'CSV FF'!$C:$C,0.62),0)</f>
        <v>0</v>
      </c>
      <c r="G1173" s="829"/>
      <c r="H1173" s="1111" t="s">
        <v>2026</v>
      </c>
      <c r="I1173" s="1205"/>
      <c r="J1173" s="2" t="str">
        <f>IF(Table5[[#This Row],[Entered]]&lt;&gt;Table5[[#This Row],[Quantity]],"Check","")</f>
        <v/>
      </c>
    </row>
    <row r="1174" spans="1:19" ht="15" x14ac:dyDescent="0.2">
      <c r="A1174" s="324" t="s">
        <v>2980</v>
      </c>
      <c r="B1174" s="324" t="str">
        <f t="shared" si="74"/>
        <v>0980</v>
      </c>
      <c r="C1174" s="324" t="str">
        <f t="shared" si="75"/>
        <v>52640</v>
      </c>
      <c r="D1174" s="1103" t="s">
        <v>663</v>
      </c>
      <c r="E1174" s="324">
        <v>0</v>
      </c>
      <c r="F1174" s="827">
        <f>IF(AND(COUNTIFS(Addenda!A:A,"*DECO 1D*")&gt;0,(COUNTIFS(Addenda!A:A,"*READICOAT*")=0)),COUNTIFS(Name,"*door wc lh",Name,"&lt;&gt;*garage*",Length,".620")+COUNTIFS(Name,"*door wc rh",Name,"&lt;&gt;*garage*",Length,".620"),0)+IF(AND(COUNTIFS(Addenda!A:A,"*DECO 1S*")&gt;0,(COUNTIFS(Addenda!A:A,"*READICOAT*")=0)),COUNTIFS(Name,"*door wc lh",Name,"&lt;&gt;*garage*",Length,".620")+COUNTIFS(Name,"*door wc rh",Name,"&lt;&gt;*garage*",Length,".620"),0)+IF(AND(COUNTIFS(Addenda!$A:$A,"*DECO 1D*")&gt;0,(COUNTIFS(Addenda!$A:$A,"*READICOAT*")+0)),COUNTIFS(NameFF,"*door wc lh",NameFF,"&lt;&gt;*garage*",'CSV FF'!$C:$C,".620")+COUNTIFS(NameFF,"*door wc rh",NameFF,"&lt;&gt;*garage*",'CSV FF'!$C:$C,".620"),0)+IF(AND(COUNTIFS(Addenda!$A:$A,"*DECO 1S*")&gt;0,(COUNTIFS(Addenda!$A:$A,"*READICOAT*")=0)),COUNTIFS(NameFF,"*door wc lh",NameFF,"&lt;&gt;*garage*",'CSV FF'!$C:$C,".620")+COUNTIFS(NameFF,"*door wc rh",NameFF,"&lt;&gt;*garage*",'CSV FF'!$C:$C,".620"),0)</f>
        <v>0</v>
      </c>
      <c r="G1174" s="829"/>
      <c r="H1174" s="1111" t="s">
        <v>1431</v>
      </c>
      <c r="I1174" s="1205"/>
      <c r="J1174" s="2" t="str">
        <f>IF(Table5[[#This Row],[Entered]]&lt;&gt;Table5[[#This Row],[Quantity]],"Check","")</f>
        <v/>
      </c>
    </row>
    <row r="1175" spans="1:19" ht="15" x14ac:dyDescent="0.2">
      <c r="A1175" s="324" t="s">
        <v>2980</v>
      </c>
      <c r="B1175" s="324" t="str">
        <f t="shared" si="74"/>
        <v>0980</v>
      </c>
      <c r="C1175" s="324" t="str">
        <f t="shared" si="75"/>
        <v>52640</v>
      </c>
      <c r="D1175" s="1103" t="s">
        <v>664</v>
      </c>
      <c r="E1175" s="324">
        <v>0</v>
      </c>
      <c r="F1175" s="827">
        <f>IF(AND(COUNTIFS(Addenda!A:A,"*DECO 2D*")&gt;0,(COUNTIFS(Addenda!A:A,"*READICOAT*")=0)),COUNTIFS(Name,"*door wc lh",Name,"&lt;&gt;*garage*",Length,".620")+COUNTIFS(Name,"*door wc rh",Name,"&lt;&gt;*garage*",Length,".620"),0)+IF(AND(COUNTIFS(Addenda!A:A,"*DECO 2S*")&gt;0,(COUNTIFS(Addenda!A:A,"*READICOAT*")=0)),COUNTIFS(Name,"*door wc lh",Name,"&lt;&gt;*garage*",Length,".620")+COUNTIFS(Name,"*door wc rh",Name,"&lt;&gt;*garage*",Length,".620"),0)+IF(AND(COUNTIFS(Addenda!$A:$A,"*DECO 2D*")&gt;0,(COUNTIFS(Addenda!$A:$A,"*READICOAT*")+0)),COUNTIFS(NameFF,"*door wc lh",NameFF,"&lt;&gt;*garage*",'CSV FF'!$C:$C,".620")+COUNTIFS(NameFF,"*door wc rh",NameFF,"&lt;&gt;*garage*",'CSV FF'!$C:$C,".620"),0)+IF(AND(COUNTIFS(Addenda!$A:$A,"*DECO 2S*")&gt;0,(COUNTIFS(Addenda!$A:$A,"*READICOAT*")=0)),COUNTIFS(NameFF,"*door wc lh",NameFF,"&lt;&gt;*garage*",'CSV FF'!$C:$C,".620")+COUNTIFS(NameFF,"*door wc rh",NameFF,"&lt;&gt;*garage*",'CSV FF'!$C:$C,".620"),0)</f>
        <v>0</v>
      </c>
      <c r="G1175" s="829"/>
      <c r="H1175" s="1111" t="s">
        <v>1451</v>
      </c>
      <c r="I1175" s="1205"/>
      <c r="J1175" s="2" t="str">
        <f>IF(Table5[[#This Row],[Entered]]&lt;&gt;Table5[[#This Row],[Quantity]],"Check","")</f>
        <v/>
      </c>
    </row>
    <row r="1176" spans="1:19" ht="15" x14ac:dyDescent="0.2">
      <c r="A1176" s="324" t="s">
        <v>2980</v>
      </c>
      <c r="B1176" s="324" t="str">
        <f t="shared" si="74"/>
        <v>0980</v>
      </c>
      <c r="C1176" s="324" t="str">
        <f t="shared" si="75"/>
        <v>52640</v>
      </c>
      <c r="D1176" s="1103" t="s">
        <v>1062</v>
      </c>
      <c r="E1176" s="324">
        <v>0</v>
      </c>
      <c r="F1176" s="827">
        <f>IF(AND(COUNTIFS(Addenda!A:A,"*DECO 3D*")&gt;0,(COUNTIFS(Addenda!A:A,"*READICOAT*")=0)),COUNTIFS(Name,"*door wc lh",Name,"&lt;&gt;*garage*",Length,".620")+COUNTIFS(Name,"*door wc rh",Name,"&lt;&gt;*garage*",Length,".620"),0)+IF(AND(COUNTIFS(Addenda!A:A,"*DECO 3S*")&gt;0,(COUNTIFS(Addenda!A:A,"*READICOAT*")=0)),COUNTIFS(Name,"*door wc lh",Name,"&lt;&gt;*garage*",Length,".620")+COUNTIFS(Name,"*door wc rh",Name,"&lt;&gt;*garage*",Length,".620"),0)+IF(AND(COUNTIFS(Addenda!$A:$A,"*DECO 3D*")&gt;0,(COUNTIFS(Addenda!$A:$A,"*READICOAT*")+0)),COUNTIFS(NameFF,"*door wc lh",NameFF,"&lt;&gt;*garage*",'CSV FF'!$C:$C,".620")+COUNTIFS(NameFF,"*door wc rh",NameFF,"&lt;&gt;*garage*",'CSV FF'!$C:$C,".620"),0)+IF(AND(COUNTIFS(Addenda!$A:$A,"*DECO 3S*")&gt;0,(COUNTIFS(Addenda!$A:$A,"*READICOAT*")=0)),COUNTIFS(NameFF,"*door wc lh",NameFF,"&lt;&gt;*garage*",'CSV FF'!$C:$C,".620")+COUNTIFS(NameFF,"*door wc rh",NameFF,"&lt;&gt;*garage*",'CSV FF'!$C:$C,".620"),0)</f>
        <v>0</v>
      </c>
      <c r="G1176" s="829"/>
      <c r="H1176" s="1111" t="s">
        <v>1452</v>
      </c>
      <c r="I1176" s="1205"/>
      <c r="J1176" s="2" t="str">
        <f>IF(Table5[[#This Row],[Entered]]&lt;&gt;Table5[[#This Row],[Quantity]],"Check","")</f>
        <v/>
      </c>
    </row>
    <row r="1177" spans="1:19" ht="15" x14ac:dyDescent="0.2">
      <c r="A1177" s="324" t="s">
        <v>2980</v>
      </c>
      <c r="B1177" s="324" t="str">
        <f t="shared" si="74"/>
        <v>0980</v>
      </c>
      <c r="C1177" s="324" t="str">
        <f t="shared" si="75"/>
        <v>52640</v>
      </c>
      <c r="D1177" s="1103" t="s">
        <v>1135</v>
      </c>
      <c r="E1177" s="324">
        <v>0</v>
      </c>
      <c r="F1177" s="827">
        <f>IF(AND(COUNTIFS(Addenda!A:A,"*DECO 4D*")&gt;0,(COUNTIFS(Addenda!A:A,"*READICOAT*")=0)),COUNTIFS(Name,"*door wc lh",Name,"&lt;&gt;*garage*",Length,".620")+COUNTIFS(Name,"*door wc rh",Name,"&lt;&gt;*garage*",Length,".620"),0)+IF(AND(COUNTIFS(Addenda!A:A,"*DECO 4S*")&gt;0,(COUNTIFS(Addenda!A:A,"*READICOAT*")=0)),COUNTIFS(Name,"*door wc lh",Name,"&lt;&gt;*garage*",Length,".620")+COUNTIFS(Name,"*door wc rh",Name,"&lt;&gt;*garage*",Length,".620"),0)+IF(AND(COUNTIFS(Addenda!$A:$A,"*DECO 4D*")&gt;0,(COUNTIFS(Addenda!$A:$A,"*READICOAT*")+0)),COUNTIFS(NameFF,"*door wc lh",NameFF,"&lt;&gt;*garage*",'CSV FF'!$C:$C,".620")+COUNTIFS(NameFF,"*door wc rh",NameFF,"&lt;&gt;*garage*",'CSV FF'!$C:$C,".620"),0)+IF(AND(COUNTIFS(Addenda!$A:$A,"*DECO 4S*")&gt;0,(COUNTIFS(Addenda!$A:$A,"*READICOAT*")=0)),COUNTIFS(NameFF,"*door wc lh",NameFF,"&lt;&gt;*garage*",'CSV FF'!$C:$C,".620")+COUNTIFS(NameFF,"*door wc rh",NameFF,"&lt;&gt;*garage*",'CSV FF'!$C:$C,".620"),0)</f>
        <v>0</v>
      </c>
      <c r="G1177" s="829"/>
      <c r="H1177" s="1111" t="s">
        <v>1453</v>
      </c>
      <c r="I1177" s="1205"/>
      <c r="J1177" s="2" t="str">
        <f>IF(Table5[[#This Row],[Entered]]&lt;&gt;Table5[[#This Row],[Quantity]],"Check","")</f>
        <v/>
      </c>
    </row>
    <row r="1178" spans="1:19" ht="15" x14ac:dyDescent="0.2">
      <c r="A1178" s="324" t="s">
        <v>2980</v>
      </c>
      <c r="B1178" s="324" t="str">
        <f t="shared" si="74"/>
        <v>0980</v>
      </c>
      <c r="C1178" s="324" t="str">
        <f t="shared" si="75"/>
        <v>52640</v>
      </c>
      <c r="D1178" s="1103" t="s">
        <v>663</v>
      </c>
      <c r="E1178" s="324">
        <v>0</v>
      </c>
      <c r="F1178" s="827">
        <f>IF(AND(COUNTIFS(Addenda!A:A,"*DECO 1D*")&gt;0,(COUNTIFS(Addenda!A:A,"*READICOAT*")=0)),COUNTIFS(Name,"*door wc lh",Name,"&lt;&gt;*garage*",Length,".720")+COUNTIFS(Name,"*door wc rh",Name,"&lt;&gt;*garage*",Length,".720"),0)+IF(AND(COUNTIFS(Addenda!A:A,"*DECO 1S*")&gt;0,(COUNTIFS(Addenda!A:A,"*READICOAT*")=0)),COUNTIFS(Name,"*door wc lh",Name,"&lt;&gt;*garage*",Length,".720")+COUNTIFS(Name,"*door wc rh",Name,"&lt;&gt;*garage*",Length,".720"),0)+IF(AND(COUNTIFS(Addenda!$A:$A,"*DECO 1D*")&gt;0,(COUNTIFS(Addenda!$A:$A,"*READICOAT*")+0)),COUNTIFS(NameFF,"*door wc lh",NameFF,"&lt;&gt;*garage*",'CSV FF'!$C:$C,".720")+COUNTIFS(NameFF,"*door wc rh",NameFF,"&lt;&gt;*garage*",'CSV FF'!$C:$C,".720"),0)+IF(AND(COUNTIFS(Addenda!$A:$A,"*DECO 1S*")&gt;0,(COUNTIFS(Addenda!$A:$A,"*READICOAT*")=0)),COUNTIFS(NameFF,"*door wc lh",NameFF,"&lt;&gt;*garage*",'CSV FF'!$C:$C,".720")+COUNTIFS(NameFF,"*door wc rh",NameFF,"&lt;&gt;*garage*",'CSV FF'!$C:$C,".720"),0)</f>
        <v>0</v>
      </c>
      <c r="G1178" s="829"/>
      <c r="H1178" s="1111" t="s">
        <v>1454</v>
      </c>
      <c r="I1178" s="1205"/>
      <c r="J1178" s="2" t="str">
        <f>IF(Table5[[#This Row],[Entered]]&lt;&gt;Table5[[#This Row],[Quantity]],"Check","")</f>
        <v/>
      </c>
    </row>
    <row r="1179" spans="1:19" ht="15" x14ac:dyDescent="0.2">
      <c r="A1179" s="324" t="s">
        <v>2980</v>
      </c>
      <c r="B1179" s="324" t="str">
        <f t="shared" si="74"/>
        <v>0980</v>
      </c>
      <c r="C1179" s="324" t="str">
        <f t="shared" si="75"/>
        <v>52640</v>
      </c>
      <c r="D1179" s="1103" t="s">
        <v>664</v>
      </c>
      <c r="E1179" s="324">
        <v>0</v>
      </c>
      <c r="F1179" s="827">
        <f>IF(AND(COUNTIFS(Addenda!A:A,"*DECO 2D*")&gt;0,(COUNTIFS(Addenda!A:A,"*READICOAT*")=0)),COUNTIFS(Name,"*door wc lh",Name,"&lt;&gt;*garage*",Length,".720")+COUNTIFS(Name,"*door wc rh",Name,"&lt;&gt;*garage*",Length,".720"),0)+IF(AND(COUNTIFS(Addenda!A:A,"*DECO 2S*")&gt;0,(COUNTIFS(Addenda!A:A,"*READICOAT*")=0)),COUNTIFS(Name,"*door wc lh",Name,"&lt;&gt;*garage*",Length,".720")+COUNTIFS(Name,"*door wc rh",Name,"&lt;&gt;*garage*",Length,".720"),0)+IF(AND(COUNTIFS(Addenda!$A:$A,"*DECO 2D*")&gt;0,(COUNTIFS(Addenda!$A:$A,"*READICOAT*")+0)),COUNTIFS(NameFF,"*door wc lh",NameFF,"&lt;&gt;*garage*",'CSV FF'!$C:$C,".720")+COUNTIFS(NameFF,"*door wc rh",NameFF,"&lt;&gt;*garage*",'CSV FF'!$C:$C,".720"),0)+IF(AND(COUNTIFS(Addenda!$A:$A,"*DECO 2S*")&gt;0,(COUNTIFS(Addenda!$A:$A,"*READICOAT*")=0)),COUNTIFS(NameFF,"*door wc lh",NameFF,"&lt;&gt;*garage*",'CSV FF'!$C:$C,".720")+COUNTIFS(NameFF,"*door wc rh",NameFF,"&lt;&gt;*garage*",'CSV FF'!$C:$C,".720"),0)</f>
        <v>0</v>
      </c>
      <c r="G1179" s="829"/>
      <c r="H1179" s="1111" t="s">
        <v>1455</v>
      </c>
      <c r="I1179" s="1205"/>
      <c r="J1179" s="2" t="str">
        <f>IF(Table5[[#This Row],[Entered]]&lt;&gt;Table5[[#This Row],[Quantity]],"Check","")</f>
        <v/>
      </c>
    </row>
    <row r="1180" spans="1:19" ht="15" x14ac:dyDescent="0.2">
      <c r="A1180" s="324" t="s">
        <v>2980</v>
      </c>
      <c r="B1180" s="324" t="str">
        <f t="shared" ref="B1180:B1196" si="76">"0980"</f>
        <v>0980</v>
      </c>
      <c r="C1180" s="324" t="str">
        <f t="shared" ref="C1180:C1196" si="77">"52640"</f>
        <v>52640</v>
      </c>
      <c r="D1180" s="1103" t="s">
        <v>1062</v>
      </c>
      <c r="E1180" s="324">
        <v>0</v>
      </c>
      <c r="F1180" s="827">
        <f>IF(AND(COUNTIFS(Addenda!A:A,"*DECO 3D*")&gt;0,(COUNTIFS(Addenda!A:A,"*READICOAT*")=0)),COUNTIFS(Name,"*door wc lh",Name,"&lt;&gt;*garage*",Length,".720")+COUNTIFS(Name,"*door wc rh",Name,"&lt;&gt;*garage*",Length,".720"),0)+IF(AND(COUNTIFS(Addenda!A:A,"*DECO 3S*")&gt;0,(COUNTIFS(Addenda!A:A,"*READICOAT*")=0)),COUNTIFS(Name,"*door wc lh",Name,"&lt;&gt;*garage*",Length,".720")+COUNTIFS(Name,"*door wc rh",Name,"&lt;&gt;*garage*",Length,".720"),0)+IF(AND(COUNTIFS(Addenda!$A:$A,"*DECO 3D*")&gt;0,(COUNTIFS(Addenda!$A:$A,"*READICOAT*")+0)),COUNTIFS(NameFF,"*door wc lh",NameFF,"&lt;&gt;*garage*",'CSV FF'!$C:$C,".720")+COUNTIFS(NameFF,"*door wc rh",NameFF,"&lt;&gt;*garage*",'CSV FF'!$C:$C,".720"),0)+IF(AND(COUNTIFS(Addenda!$A:$A,"*DECO 3S*")&gt;0,(COUNTIFS(Addenda!$A:$A,"*READICOAT*")=0)),COUNTIFS(NameFF,"*door wc lh",NameFF,"&lt;&gt;*garage*",'CSV FF'!$C:$C,".720")+COUNTIFS(NameFF,"*door wc rh",NameFF,"&lt;&gt;*garage*",'CSV FF'!$C:$C,".720"),0)</f>
        <v>0</v>
      </c>
      <c r="G1180" s="829"/>
      <c r="H1180" s="1111" t="s">
        <v>1456</v>
      </c>
      <c r="I1180" s="1205"/>
      <c r="J1180" s="2" t="str">
        <f>IF(Table5[[#This Row],[Entered]]&lt;&gt;Table5[[#This Row],[Quantity]],"Check","")</f>
        <v/>
      </c>
    </row>
    <row r="1181" spans="1:19" ht="15" x14ac:dyDescent="0.2">
      <c r="A1181" s="324" t="s">
        <v>2980</v>
      </c>
      <c r="B1181" s="324" t="str">
        <f t="shared" si="76"/>
        <v>0980</v>
      </c>
      <c r="C1181" s="324" t="str">
        <f t="shared" si="77"/>
        <v>52640</v>
      </c>
      <c r="D1181" s="1103" t="s">
        <v>1135</v>
      </c>
      <c r="E1181" s="324">
        <v>0</v>
      </c>
      <c r="F1181" s="827">
        <f>IF(AND(COUNTIFS(Addenda!A:A,"*DECO 4D*")&gt;0,(COUNTIFS(Addenda!A:A,"*READICOAT*")=0)),COUNTIFS(Name,"*door wc lh",Name,"&lt;&gt;*garage*",Length,".720")+COUNTIFS(Name,"*door wc rh",Name,"&lt;&gt;*garage*",Length,".720"),0)+IF(AND(COUNTIFS(Addenda!A:A,"*DECO 4S*")&gt;0,(COUNTIFS(Addenda!A:A,"*READICOAT*")=0)),COUNTIFS(Name,"*door wc lh",Name,"&lt;&gt;*garage*",Length,".720")+COUNTIFS(Name,"*door wc rh",Name,"&lt;&gt;*garage*",Length,".720"),0)+IF(AND(COUNTIFS(Addenda!$A:$A,"*DECO 4D*")&gt;0,(COUNTIFS(Addenda!$A:$A,"*READICOAT*")+0)),COUNTIFS(NameFF,"*door wc lh",NameFF,"&lt;&gt;*garage*",'CSV FF'!$C:$C,".720")+COUNTIFS(NameFF,"*door wc rh",NameFF,"&lt;&gt;*garage*",'CSV FF'!$C:$C,".720"),0)+IF(AND(COUNTIFS(Addenda!$A:$A,"*DECO 4S*")&gt;0,(COUNTIFS(Addenda!$A:$A,"*READICOAT*")=0)),COUNTIFS(NameFF,"*door wc lh",NameFF,"&lt;&gt;*garage*",'CSV FF'!$C:$C,".720")+COUNTIFS(NameFF,"*door wc rh",NameFF,"&lt;&gt;*garage*",'CSV FF'!$C:$C,".720"),0)</f>
        <v>0</v>
      </c>
      <c r="G1181" s="829"/>
      <c r="H1181" s="1111" t="s">
        <v>1457</v>
      </c>
      <c r="I1181" s="1205"/>
      <c r="J1181" s="2" t="str">
        <f>IF(Table5[[#This Row],[Entered]]&lt;&gt;Table5[[#This Row],[Quantity]],"Check","")</f>
        <v/>
      </c>
    </row>
    <row r="1182" spans="1:19" ht="15" x14ac:dyDescent="0.2">
      <c r="A1182" s="324" t="s">
        <v>2980</v>
      </c>
      <c r="B1182" s="324" t="str">
        <f t="shared" si="76"/>
        <v>0980</v>
      </c>
      <c r="C1182" s="324" t="str">
        <f t="shared" si="77"/>
        <v>52640</v>
      </c>
      <c r="D1182" s="1103" t="s">
        <v>1065</v>
      </c>
      <c r="E1182" s="324">
        <v>1</v>
      </c>
      <c r="F1182" s="827">
        <v>0</v>
      </c>
      <c r="G1182" s="829"/>
      <c r="H1182" s="1111" t="s">
        <v>1066</v>
      </c>
      <c r="I1182" s="1205"/>
      <c r="J1182" s="2" t="str">
        <f>IF(Table5[[#This Row],[Entered]]&lt;&gt;Table5[[#This Row],[Quantity]],"Check","")</f>
        <v/>
      </c>
    </row>
    <row r="1183" spans="1:19" ht="15" x14ac:dyDescent="0.2">
      <c r="A1183" s="324" t="s">
        <v>2980</v>
      </c>
      <c r="B1183" s="324" t="str">
        <f t="shared" si="76"/>
        <v>0980</v>
      </c>
      <c r="C1183" s="324" t="str">
        <f t="shared" si="77"/>
        <v>52640</v>
      </c>
      <c r="D1183" s="1103" t="s">
        <v>663</v>
      </c>
      <c r="E1183" s="324">
        <v>1</v>
      </c>
      <c r="F1183" s="827">
        <f>IF(AND(COUNTIFS(Addenda!A:A,"*ATHERTON*")&gt;0,(COUNTIFS(Addenda!A:A,"*READICOAT*")=0)),COUNTIFS(Name,"*door wc lh",Name,"&lt;&gt;*garage*",Length,".620")+COUNTIFS(Name,"*door wc rh",Name,"&lt;&gt;*garage*",Length,".620"),0)+IF(AND(COUNTIFS(Addenda!$A:$A,"*ATHERTON*")&gt;0,(COUNTIFS(Addenda!$A:$A,"*READICOAT*")+0)),COUNTIFS(NameFF,"*door wc lh",NameFF,"&lt;&gt;*garage*",'CSV FF'!$C:$C,".620")+COUNTIFS(NameFF,"*door wc rh",NameFF,"&lt;&gt;*garage*",'CSV FF'!$C:$C,".620"),0)</f>
        <v>0</v>
      </c>
      <c r="G1183" s="829"/>
      <c r="H1183" s="1111" t="s">
        <v>1063</v>
      </c>
      <c r="I1183" s="1205"/>
      <c r="J1183" s="2" t="str">
        <f>IF(Table5[[#This Row],[Entered]]&lt;&gt;Table5[[#This Row],[Quantity]],"Check","")</f>
        <v/>
      </c>
      <c r="L1183" s="1133"/>
      <c r="M1183" s="1133"/>
      <c r="N1183" s="1134"/>
      <c r="O1183" s="1134"/>
      <c r="P1183" s="1133"/>
      <c r="Q1183" s="1133"/>
      <c r="R1183" s="1134"/>
    </row>
    <row r="1184" spans="1:19" ht="15" x14ac:dyDescent="0.2">
      <c r="A1184" s="324" t="s">
        <v>2980</v>
      </c>
      <c r="B1184" s="324" t="str">
        <f t="shared" si="76"/>
        <v>0980</v>
      </c>
      <c r="C1184" s="324" t="str">
        <f t="shared" si="77"/>
        <v>52640</v>
      </c>
      <c r="D1184" s="1103" t="s">
        <v>664</v>
      </c>
      <c r="E1184" s="324">
        <v>1</v>
      </c>
      <c r="F1184" s="827">
        <f>IF(AND(COUNTIFS(Addenda!A:A,"*ATHERTON*")&gt;0,(COUNTIFS(Addenda!A:A,"*READICOAT*")=0)),COUNTIFS(Name,"*door wc lh",Name,"&lt;&gt;*garage*",Length,".720")+COUNTIFS(Name,"*door wc rh",Name,"&lt;&gt;*garage*",Length,".720"),0)+IF(AND(COUNTIFS(Addenda!$A:$A,"*ATHERTON*")&gt;0,(COUNTIFS(Addenda!$A:$A,"*READICOAT*")+0)),COUNTIFS(NameFF,"*door wc lh",NameFF,"&lt;&gt;*garage*",'CSV FF'!$C:$C,".720")+COUNTIFS(NameFF,"*door wc rh",NameFF,"&lt;&gt;*garage*",'CSV FF'!$C:$C,".720"),0)</f>
        <v>0</v>
      </c>
      <c r="G1184" s="829"/>
      <c r="H1184" s="1111" t="s">
        <v>1064</v>
      </c>
      <c r="I1184" s="1205"/>
      <c r="J1184" s="2" t="str">
        <f>IF(Table5[[#This Row],[Entered]]&lt;&gt;Table5[[#This Row],[Quantity]],"Check","")</f>
        <v/>
      </c>
      <c r="L1184" s="1134"/>
      <c r="M1184" s="1134"/>
      <c r="N1184" s="1134"/>
      <c r="O1184" s="1134"/>
      <c r="P1184" s="1134"/>
      <c r="Q1184" s="1134"/>
      <c r="R1184" s="1134"/>
      <c r="S1184" s="87"/>
    </row>
    <row r="1185" spans="1:19" ht="15" x14ac:dyDescent="0.2">
      <c r="A1185" s="324" t="s">
        <v>2980</v>
      </c>
      <c r="B1185" s="324" t="str">
        <f t="shared" si="76"/>
        <v>0980</v>
      </c>
      <c r="C1185" s="324" t="str">
        <f t="shared" si="77"/>
        <v>52640</v>
      </c>
      <c r="D1185" s="1103" t="s">
        <v>1062</v>
      </c>
      <c r="E1185" s="324">
        <v>1</v>
      </c>
      <c r="F1185" s="827">
        <v>0</v>
      </c>
      <c r="G1185" s="829"/>
      <c r="H1185" s="1111" t="s">
        <v>1067</v>
      </c>
      <c r="I1185" s="1205"/>
      <c r="J1185" s="2" t="str">
        <f>IF(Table5[[#This Row],[Entered]]&lt;&gt;Table5[[#This Row],[Quantity]],"Check","")</f>
        <v/>
      </c>
      <c r="L1185" s="1134"/>
      <c r="M1185" s="1134"/>
      <c r="N1185" s="1134"/>
      <c r="O1185" s="1134"/>
      <c r="P1185" s="1134"/>
      <c r="Q1185" s="1134"/>
      <c r="R1185" s="1134"/>
      <c r="S1185" s="87"/>
    </row>
    <row r="1186" spans="1:19" ht="15" x14ac:dyDescent="0.2">
      <c r="A1186" s="324" t="s">
        <v>2980</v>
      </c>
      <c r="B1186" s="324" t="str">
        <f t="shared" si="76"/>
        <v>0980</v>
      </c>
      <c r="C1186" s="324" t="str">
        <f t="shared" si="77"/>
        <v>52640</v>
      </c>
      <c r="D1186" s="1103">
        <v>7025</v>
      </c>
      <c r="E1186" s="324">
        <v>0</v>
      </c>
      <c r="F1186" s="827">
        <f>IF(COUNTIF(BAL,"12.5")&gt;0,1,0)</f>
        <v>0</v>
      </c>
      <c r="G1186" s="829"/>
      <c r="H1186" s="1111" t="s">
        <v>1587</v>
      </c>
      <c r="I1186" s="1205"/>
      <c r="J1186" s="2" t="str">
        <f>IF(Table5[[#This Row],[Entered]]&lt;&gt;Table5[[#This Row],[Quantity]],"Check","")</f>
        <v/>
      </c>
      <c r="L1186" s="1134"/>
      <c r="M1186" s="1134"/>
      <c r="N1186" s="1134"/>
      <c r="O1186" s="1134"/>
      <c r="P1186" s="1135"/>
      <c r="Q1186" s="1134"/>
      <c r="R1186" s="1134"/>
    </row>
    <row r="1187" spans="1:19" ht="15" x14ac:dyDescent="0.2">
      <c r="A1187" s="324" t="s">
        <v>2980</v>
      </c>
      <c r="B1187" s="324" t="str">
        <f t="shared" si="76"/>
        <v>0980</v>
      </c>
      <c r="C1187" s="324" t="str">
        <f t="shared" si="77"/>
        <v>52640</v>
      </c>
      <c r="D1187" s="1103" t="s">
        <v>1136</v>
      </c>
      <c r="E1187" s="324">
        <v>0</v>
      </c>
      <c r="F1187" s="827"/>
      <c r="G1187" s="829"/>
      <c r="H1187" s="1111" t="s">
        <v>1747</v>
      </c>
      <c r="I1187" s="1205"/>
      <c r="J1187" s="2" t="str">
        <f>IF(Table5[[#This Row],[Entered]]&lt;&gt;Table5[[#This Row],[Quantity]],"Check","")</f>
        <v/>
      </c>
      <c r="L1187" s="1134"/>
      <c r="M1187" s="1134"/>
      <c r="N1187" s="1134"/>
      <c r="O1187" s="1134"/>
      <c r="P1187" s="1135"/>
      <c r="Q1187" s="1134"/>
      <c r="R1187" s="1134"/>
    </row>
    <row r="1188" spans="1:19" ht="15" x14ac:dyDescent="0.2">
      <c r="A1188" s="324" t="s">
        <v>2980</v>
      </c>
      <c r="B1188" s="324" t="str">
        <f t="shared" si="76"/>
        <v>0980</v>
      </c>
      <c r="C1188" s="324" t="str">
        <f t="shared" si="77"/>
        <v>52640</v>
      </c>
      <c r="D1188" s="1103">
        <v>8000</v>
      </c>
      <c r="E1188" s="324">
        <v>1</v>
      </c>
      <c r="F1188" s="827"/>
      <c r="G1188" s="829"/>
      <c r="H1188" s="1111" t="s">
        <v>1973</v>
      </c>
      <c r="I1188" s="1205"/>
      <c r="J1188" s="2" t="str">
        <f>IF(Table5[[#This Row],[Entered]]&lt;&gt;Table5[[#This Row],[Quantity]],"Check","")</f>
        <v/>
      </c>
      <c r="L1188" s="1134"/>
      <c r="M1188" s="1134"/>
      <c r="N1188" s="1134"/>
      <c r="O1188" s="1134"/>
      <c r="P1188" s="1135"/>
      <c r="Q1188" s="1134"/>
      <c r="R1188" s="1134"/>
    </row>
    <row r="1189" spans="1:19" ht="15" x14ac:dyDescent="0.2">
      <c r="A1189" s="324" t="s">
        <v>2980</v>
      </c>
      <c r="B1189" s="324" t="str">
        <f t="shared" si="76"/>
        <v>0980</v>
      </c>
      <c r="C1189" s="324" t="str">
        <f t="shared" si="77"/>
        <v>52640</v>
      </c>
      <c r="D1189" s="1103">
        <v>8001</v>
      </c>
      <c r="E1189" s="324">
        <v>1</v>
      </c>
      <c r="F1189" s="827"/>
      <c r="G1189" s="829"/>
      <c r="H1189" s="1111" t="s">
        <v>1974</v>
      </c>
      <c r="I1189" s="1205"/>
      <c r="J1189" s="2" t="str">
        <f>IF(Table5[[#This Row],[Entered]]&lt;&gt;Table5[[#This Row],[Quantity]],"Check","")</f>
        <v/>
      </c>
      <c r="L1189" s="1134"/>
      <c r="M1189" s="1134"/>
      <c r="N1189" s="1134"/>
      <c r="O1189" s="1134"/>
      <c r="P1189" s="1135"/>
      <c r="Q1189" s="1134"/>
      <c r="R1189" s="1134"/>
    </row>
    <row r="1190" spans="1:19" ht="15" x14ac:dyDescent="0.2">
      <c r="A1190" s="324" t="s">
        <v>2980</v>
      </c>
      <c r="B1190" s="324" t="str">
        <f t="shared" si="76"/>
        <v>0980</v>
      </c>
      <c r="C1190" s="324" t="str">
        <f t="shared" si="77"/>
        <v>52640</v>
      </c>
      <c r="D1190" s="324">
        <v>7001</v>
      </c>
      <c r="E1190" s="324">
        <v>1</v>
      </c>
      <c r="F1190" s="827">
        <f>IF(AND(COUNTIFS(Addenda!$A:$A,"*PMOD 2*")&gt;0,(COUNTIFS(Addenda!$A:$A,"*READICOAT*")=0)),COUNTIFS(Name,"*door lh",Name,"&lt;&gt;*garage*",Length,".820")+COUNTIFS(Name,"*door rh",Name,"&lt;&gt;*garage*",Length,".820")+COUNTIFS(Name,"*door dbl",Name,"&lt;&gt;*garage*",Length,".820")*2+COUNTIFS(Name,"Door Cvty",Length,"0.870")+COUNTIFS(Name,"DOOR CVTY",Length,0.82)+COUNTIFS(Name,"DOOR CVTY DBL",Length,0.82),0)+IF(AND(COUNTIFS(Addenda!$A:$A,"*PMOD 2*")&gt;0,(COUNTIFS(Addenda!$A:$A,"*READICOAT*")+0)),COUNTIFS(Name,"*door lh",Name,"&lt;&gt;*garage*",Length,".820")+COUNTIFS(Name,"*door rh",Name,"&lt;&gt;*garage*",Length,".820")+COUNTIFS(Name,"*door dbl",Name,"&lt;&gt;*garage*",Length,".820")*2+COUNTIFS(Name,"Door Cvty",Length,"0.870")+COUNTIFS(Name,"DOOR CVTY",Length,0.82)+COUNTIFS(Name,"DOOR CVTY DBL",Length,0.82),0)</f>
        <v>0</v>
      </c>
      <c r="G1190" s="829">
        <v>359.1</v>
      </c>
      <c r="H1190" s="412" t="s">
        <v>3521</v>
      </c>
      <c r="I1190" s="1258"/>
      <c r="J1190" s="2" t="str">
        <f>IF(Table5[[#This Row],[Entered]]&lt;&gt;Table5[[#This Row],[Quantity]],"Check","")</f>
        <v/>
      </c>
      <c r="L1190" s="1134"/>
      <c r="M1190" s="1134"/>
      <c r="N1190" s="1134"/>
      <c r="O1190" s="1134"/>
      <c r="P1190" s="1135"/>
      <c r="Q1190" s="1134"/>
      <c r="R1190" s="1134"/>
    </row>
    <row r="1191" spans="1:19" ht="15" x14ac:dyDescent="0.2">
      <c r="A1191" s="324" t="s">
        <v>2980</v>
      </c>
      <c r="B1191" s="324" t="str">
        <f t="shared" si="76"/>
        <v>0980</v>
      </c>
      <c r="C1191" s="324" t="str">
        <f t="shared" si="77"/>
        <v>52640</v>
      </c>
      <c r="D1191" s="324">
        <v>7002</v>
      </c>
      <c r="E1191" s="324">
        <v>1</v>
      </c>
      <c r="F1191" s="827">
        <f>IF(AND(COUNTIFS(Addenda!$A:$A,"*PMOD 2*")&gt;0,(COUNTIFS(Addenda!$A:$A,"*READICOAT*")=0)),COUNTIFS(Name,"*door lh",Name,"&lt;&gt;*garage*",Length,".720")+COUNTIFS(Name,"*door rh",Name,"&lt;&gt;*garage*",Length,".720")+COUNTIFS(Name,"*door dbl",Name,"&lt;&gt;*garage*",Length,".720")*2+COUNTIFS(Name,"Door Cvty",Length,"0.770")+COUNTIFS(Name,"DOOR CVTY",Length,0.72)+COUNTIFS(Name,"DOOR CVTY DBL",Length,0.72),0)+IF(AND(COUNTIFS(Addenda!$A:$A,"*PMOD 2*")&gt;0,(COUNTIFS(Addenda!$A:$A,"*READICOAT*")+0)),COUNTIFS(Name,"*door lh",Name,"&lt;&gt;*garage*",Length,".720")+COUNTIFS(Name,"*door rh",Name,"&lt;&gt;*garage*",Length,".720")+COUNTIFS(Name,"*door dbl",Name,"&lt;&gt;*garage*",Length,".720")*2+COUNTIFS(Name,"Door Cvty",Length,"0.770")+COUNTIFS(Name,"DOOR CVTY",Length,0.72)+COUNTIFS(Name,"DOOR CVTY DBL",Length,0.72),0)</f>
        <v>0</v>
      </c>
      <c r="G1191" s="829">
        <v>359.1</v>
      </c>
      <c r="H1191" s="412" t="s">
        <v>3522</v>
      </c>
      <c r="I1191" s="1258"/>
      <c r="J1191" s="2" t="str">
        <f>IF(Table5[[#This Row],[Entered]]&lt;&gt;Table5[[#This Row],[Quantity]],"Check","")</f>
        <v/>
      </c>
      <c r="L1191" s="1134"/>
      <c r="M1191" s="1134"/>
      <c r="N1191" s="1134"/>
      <c r="O1191" s="1134"/>
      <c r="P1191" s="1135"/>
      <c r="Q1191" s="1134"/>
      <c r="R1191" s="1134"/>
    </row>
    <row r="1192" spans="1:19" ht="15" x14ac:dyDescent="0.2">
      <c r="A1192" s="324" t="s">
        <v>2980</v>
      </c>
      <c r="B1192" s="324" t="str">
        <f t="shared" si="76"/>
        <v>0980</v>
      </c>
      <c r="C1192" s="324" t="str">
        <f t="shared" si="77"/>
        <v>52640</v>
      </c>
      <c r="D1192" s="324">
        <v>7002</v>
      </c>
      <c r="E1192" s="324">
        <v>1</v>
      </c>
      <c r="F1192" s="827">
        <f>IF(AND(COUNTIFS(Addenda!$A:$A,"*PMOD 2*")&gt;0,(COUNTIFS(Addenda!$A:$A,"*READICOAT*")=0)),COUNTIFS(Name,"*door lh",Name,"&lt;&gt;*garage*",Length,".620")+COUNTIFS(Name,"*door rh",Name,"&lt;&gt;*garage*",Length,".620")+COUNTIFS(Name,"*door dbl",Name,"&lt;&gt;*garage*",Length,".620")*2+COUNTIFS(Name,"Door Cvty",Length,"0.670")+COUNTIFS(Name,"DOOR CVTY",Length,0.62)+COUNTIFS(Name,"DOOR CVTY DBL",Length,0.62),0)+IF(AND(COUNTIFS(Addenda!$A:$A,"*PMOD 2*")&gt;0,(COUNTIFS(Addenda!$A:$A,"*READICOAT*")+0)),COUNTIFS(Name,"*door lh",Name,"&lt;&gt;*garage*",Length,".620")+COUNTIFS(Name,"*door rh",Name,"&lt;&gt;*garage*",Length,".620")+COUNTIFS(Name,"*door dbl",Name,"&lt;&gt;*garage*",Length,".620")*2+COUNTIFS(Name,"Door Cvty",Length,"0.670")+COUNTIFS(Name,"DOOR CVTY",Length,0.62)+COUNTIFS(Name,"DOOR CVTY DBL",Length,0.62),0)</f>
        <v>0</v>
      </c>
      <c r="G1192" s="829"/>
      <c r="H1192" s="412" t="s">
        <v>3523</v>
      </c>
      <c r="I1192" s="1258"/>
      <c r="J1192" s="2" t="str">
        <f>IF(Table5[[#This Row],[Entered]]&lt;&gt;Table5[[#This Row],[Quantity]],"Check","")</f>
        <v/>
      </c>
      <c r="L1192" s="1134"/>
      <c r="M1192" s="1134"/>
      <c r="N1192" s="1134"/>
      <c r="O1192" s="1134"/>
      <c r="P1192" s="1135"/>
      <c r="Q1192" s="1134"/>
      <c r="R1192" s="1134"/>
    </row>
    <row r="1193" spans="1:19" ht="15" x14ac:dyDescent="0.2">
      <c r="A1193" s="324" t="s">
        <v>2980</v>
      </c>
      <c r="B1193" s="324" t="str">
        <f t="shared" si="76"/>
        <v>0980</v>
      </c>
      <c r="C1193" s="324" t="str">
        <f t="shared" si="77"/>
        <v>52640</v>
      </c>
      <c r="D1193" s="324">
        <v>7003</v>
      </c>
      <c r="E1193" s="324">
        <v>1</v>
      </c>
      <c r="F1193" s="827">
        <f>IF(AND(COUNTIFS(Addenda!$A:$A,"*PMOD 2*")&gt;0,(COUNTIFS(Addenda!$A:$A,"*READICOAT*")=0)),COUNTIFS(Name,"*door lh",Name,"&lt;&gt;*garage*",Length,".520")+COUNTIFS(Name,"*door rh",Name,"&lt;&gt;*garage*",Length,".520")+COUNTIFS(Name,"*door dbl",Name,"&lt;&gt;*garage*",Length,".520")*2+COUNTIFS(Name,"Door Cvty",Length,"0.570")+COUNTIFS(Name,"DOOR CVTY",Length,0.52)+COUNTIFS(Name,"DOOR CVTY DBL",Length,0.52),0)+IF(AND(COUNTIFS(Addenda!$A:$A,"*PMOD 2*")&gt;0,(COUNTIFS(Addenda!$A:$A,"*READICOAT*")+0)),COUNTIFS(Name,"*door lh",Name,"&lt;&gt;*garage*",Length,".520")+COUNTIFS(Name,"*door rh",Name,"&lt;&gt;*garage*",Length,".520")+COUNTIFS(Name,"*door dbl",Name,"&lt;&gt;*garage*",Length,".520")*2+COUNTIFS(Name,"Door Cvty",Length,"0.570")+COUNTIFS(Name,"DOOR CVTY",Length,0.52)+COUNTIFS(Name,"DOOR CVTY DBL",Length,0.52),0)</f>
        <v>0</v>
      </c>
      <c r="G1193" s="829"/>
      <c r="H1193" s="412" t="s">
        <v>3524</v>
      </c>
      <c r="I1193" s="1258"/>
      <c r="J1193" s="2" t="str">
        <f>IF(Table5[[#This Row],[Entered]]&lt;&gt;Table5[[#This Row],[Quantity]],"Check","")</f>
        <v/>
      </c>
      <c r="L1193" s="1134"/>
      <c r="M1193" s="1134"/>
      <c r="N1193" s="1134"/>
      <c r="O1193" s="1134"/>
      <c r="P1193" s="1135"/>
      <c r="Q1193" s="1134"/>
      <c r="R1193" s="1134"/>
    </row>
    <row r="1194" spans="1:19" ht="15" x14ac:dyDescent="0.2">
      <c r="A1194" s="324" t="s">
        <v>2980</v>
      </c>
      <c r="B1194" s="324" t="str">
        <f t="shared" si="76"/>
        <v>0980</v>
      </c>
      <c r="C1194" s="324" t="str">
        <f t="shared" si="77"/>
        <v>52640</v>
      </c>
      <c r="D1194" s="324">
        <v>7003</v>
      </c>
      <c r="E1194" s="324">
        <v>1</v>
      </c>
      <c r="F1194" s="827">
        <f>IF(AND(COUNTIFS(Addenda!A:A,"*PMOD 2*")&gt;0,(COUNTIFS(Addenda!A:A,"*READICOAT*")=0)),COUNTIFS(Name,"*door wc lh",Name,"&lt;&gt;*garage*",Length,".620")+COUNTIFS(Name,"*door wc rh",Name,"&lt;&gt;*garage*",Length,".620"),0)</f>
        <v>0</v>
      </c>
      <c r="G1194" s="829">
        <v>359.1</v>
      </c>
      <c r="H1194" s="412" t="s">
        <v>3526</v>
      </c>
      <c r="I1194" s="1258"/>
      <c r="J1194" s="2" t="str">
        <f>IF(Table5[[#This Row],[Entered]]&lt;&gt;Table5[[#This Row],[Quantity]],"Check","")</f>
        <v/>
      </c>
      <c r="P1194" s="1134"/>
      <c r="Q1194" s="1134"/>
      <c r="R1194" s="1134"/>
    </row>
    <row r="1195" spans="1:19" ht="15" x14ac:dyDescent="0.2">
      <c r="A1195" s="324" t="s">
        <v>2980</v>
      </c>
      <c r="B1195" s="324" t="str">
        <f t="shared" si="76"/>
        <v>0980</v>
      </c>
      <c r="C1195" s="324" t="str">
        <f t="shared" si="77"/>
        <v>52640</v>
      </c>
      <c r="D1195" s="324">
        <v>7000</v>
      </c>
      <c r="E1195" s="324">
        <v>1</v>
      </c>
      <c r="F1195" s="827">
        <f>COUNTIFS(Addenda!A:A,"*PRU 101*",Addenda!A:A,"*TRANS*")*(COUNTIFS(Name,"DOOR ENTRY*",Length,1.2)+COUNTIFS(Name,"DOOR ENTRY DBL",Length,1.2))+COUNTIFS(Addenda!A:A,"*PRU 101*",Addenda!A:A,"*TRANS*")*(COUNTIFS(NameFF,"DOOR ENTRY*",LengthFF,1.2)+COUNTIFS(NameFF,"DOOR ENTRY DBL",LengthFF,1.2))</f>
        <v>0</v>
      </c>
      <c r="G1195" s="829">
        <v>671.65</v>
      </c>
      <c r="H1195" s="412" t="s">
        <v>3625</v>
      </c>
      <c r="I1195" s="1207"/>
      <c r="J1195" s="73" t="str">
        <f>IF(Table5[[#This Row],[Entered]]&lt;&gt;Table5[[#This Row],[Quantity]],"Check","")</f>
        <v/>
      </c>
      <c r="P1195" s="1134"/>
      <c r="Q1195" s="1134"/>
      <c r="R1195" s="1134"/>
    </row>
    <row r="1196" spans="1:19" ht="15" x14ac:dyDescent="0.2">
      <c r="A1196" s="324" t="s">
        <v>2980</v>
      </c>
      <c r="B1196" s="324" t="str">
        <f t="shared" si="76"/>
        <v>0980</v>
      </c>
      <c r="C1196" s="324" t="str">
        <f t="shared" si="77"/>
        <v>52640</v>
      </c>
      <c r="D1196" s="324">
        <v>7000</v>
      </c>
      <c r="E1196" s="324">
        <v>1</v>
      </c>
      <c r="F1196" s="827">
        <f>COUNTIFS(Addenda!A:A,"*PMAD 7*")*(COUNTIFS(Name,"DOOR ENTRY*",Length,0.82)+COUNTIFS(Name,"DOOR ENTRY DBL",Length,0.82))+COUNTIFS(Addenda!A:A,"*CANNINGVALE*",Addenda!A:A,"*STAIN*")*(COUNTIFS(NameFF,"DOOR ENTRY*",LengthFF,0.82)+COUNTIFS(NameFF,"DOOR ENTRY DBL",LengthFF,0.82))</f>
        <v>0</v>
      </c>
      <c r="G1196" s="829">
        <v>448.21</v>
      </c>
      <c r="H1196" s="412" t="s">
        <v>3525</v>
      </c>
      <c r="I1196" s="1258"/>
      <c r="J1196" s="2" t="str">
        <f>IF(Table5[[#This Row],[Entered]]&lt;&gt;Table5[[#This Row],[Quantity]],"Check","")</f>
        <v/>
      </c>
    </row>
    <row r="1197" spans="1:19" ht="15" x14ac:dyDescent="0.2">
      <c r="A1197" s="324"/>
      <c r="B1197" s="324"/>
      <c r="C1197" s="324"/>
      <c r="D1197" s="324"/>
      <c r="E1197" s="324"/>
      <c r="F1197" s="827"/>
      <c r="G1197" s="829"/>
      <c r="H1197" s="412"/>
      <c r="I1197" s="1258"/>
      <c r="J1197" s="2" t="str">
        <f>IF(Table5[[#This Row],[Entered]]&lt;&gt;Table5[[#This Row],[Quantity]],"Check","")</f>
        <v/>
      </c>
    </row>
    <row r="1198" spans="1:19" ht="15" x14ac:dyDescent="0.2">
      <c r="A1198" s="324"/>
      <c r="B1198" s="324"/>
      <c r="C1198" s="324"/>
      <c r="D1198" s="324"/>
      <c r="E1198" s="324"/>
      <c r="F1198" s="827" t="str">
        <f>" "</f>
        <v xml:space="preserve"> </v>
      </c>
      <c r="G1198" s="829"/>
      <c r="H1198" s="412"/>
      <c r="I1198" s="1258"/>
      <c r="J1198" s="2" t="str">
        <f>IF(Table5[[#This Row],[Entered]]&lt;&gt;Table5[[#This Row],[Quantity]],"Check","")</f>
        <v>Check</v>
      </c>
    </row>
    <row r="1199" spans="1:19" ht="15" x14ac:dyDescent="0.2">
      <c r="A1199" s="324" t="s">
        <v>2980</v>
      </c>
      <c r="B1199" s="324" t="str">
        <f t="shared" ref="B1199:B1265" si="78">"1000"</f>
        <v>1000</v>
      </c>
      <c r="C1199" s="324" t="str">
        <f>"52640"</f>
        <v>52640</v>
      </c>
      <c r="D1199" s="324" t="str">
        <f>"0005"</f>
        <v>0005</v>
      </c>
      <c r="E1199" s="324">
        <v>1</v>
      </c>
      <c r="F1199" s="827">
        <f>(COUNTIF(Name,"DOOR ENTRY DBL*")*2)+COUNTIF(Name,"DOOR DBL")-COUNTIF(Name,"DUMMY DBL")+COUNTIF('CSV FF'!A:A,"DOOR DBL")-COUNTIF('CSV FF'!A:A,"DUMMY DBL")</f>
        <v>0</v>
      </c>
      <c r="G1199" s="829"/>
      <c r="H1199" s="412" t="s">
        <v>3270</v>
      </c>
      <c r="I1199" s="1258"/>
      <c r="J1199" s="2" t="str">
        <f>IF(Table5[[#This Row],[Entered]]&lt;&gt;Table5[[#This Row],[Quantity]],"Check","")</f>
        <v/>
      </c>
      <c r="P1199" s="1133"/>
      <c r="Q1199" s="1133"/>
      <c r="R1199" s="1134"/>
    </row>
    <row r="1200" spans="1:19" ht="15" x14ac:dyDescent="0.2">
      <c r="A1200" s="324" t="s">
        <v>2980</v>
      </c>
      <c r="B1200" s="324" t="str">
        <f t="shared" si="78"/>
        <v>1000</v>
      </c>
      <c r="C1200" s="324" t="str">
        <f>"52640"</f>
        <v>52640</v>
      </c>
      <c r="D1200" s="324" t="str">
        <f>"0099"</f>
        <v>0099</v>
      </c>
      <c r="E1200" s="324">
        <v>1</v>
      </c>
      <c r="F1200" s="827">
        <f>COUNTIF(Name,"DOOR DBL")-COUNTIF(Name,"DUMMY DBL")+COUNTIF('CSV FF'!A:A,"DOOR DBL")-COUNTIF('CSV FF'!A:A,"DUMMY DBL")</f>
        <v>0</v>
      </c>
      <c r="G1200" s="829"/>
      <c r="H1200" s="412" t="s">
        <v>2106</v>
      </c>
      <c r="I1200" s="1258"/>
      <c r="J1200" s="2" t="str">
        <f>IF(Table5[[#This Row],[Entered]]&lt;&gt;Table5[[#This Row],[Quantity]],"Check","")</f>
        <v/>
      </c>
      <c r="P1200" s="1134"/>
      <c r="Q1200" s="1134"/>
      <c r="R1200" s="1134"/>
    </row>
    <row r="1201" spans="1:18" ht="15" x14ac:dyDescent="0.2">
      <c r="A1201" s="324" t="s">
        <v>2980</v>
      </c>
      <c r="B1201" s="324" t="str">
        <f t="shared" si="78"/>
        <v>1000</v>
      </c>
      <c r="C1201" s="324">
        <v>52640</v>
      </c>
      <c r="D1201" s="324" t="s">
        <v>663</v>
      </c>
      <c r="E1201" s="324">
        <v>1</v>
      </c>
      <c r="F1201" s="827">
        <f>COUNTIFS(Addenda!A:A,"*ELBA*",Addenda!A:A,"*BLACK*")</f>
        <v>0</v>
      </c>
      <c r="G1201" s="829">
        <v>159.52000000000001</v>
      </c>
      <c r="H1201" s="412" t="s">
        <v>2461</v>
      </c>
      <c r="I1201" s="1258"/>
      <c r="J1201" s="2" t="str">
        <f>IF(Table5[[#This Row],[Entered]]&lt;&gt;Table5[[#This Row],[Quantity]],"Check","")</f>
        <v/>
      </c>
      <c r="P1201" s="1134"/>
      <c r="Q1201" s="1134"/>
      <c r="R1201" s="1134"/>
    </row>
    <row r="1202" spans="1:18" ht="15" x14ac:dyDescent="0.2">
      <c r="A1202" s="324" t="s">
        <v>2980</v>
      </c>
      <c r="B1202" s="324" t="str">
        <f t="shared" si="78"/>
        <v>1000</v>
      </c>
      <c r="C1202" s="324" t="str">
        <f t="shared" ref="C1202:C1221" si="79">"52640"</f>
        <v>52640</v>
      </c>
      <c r="D1202" s="324">
        <f>2</f>
        <v>2</v>
      </c>
      <c r="E1202" s="324">
        <v>1</v>
      </c>
      <c r="F1202" s="827">
        <f>IF(COUNTIFS(Addenda!A:A,"*755 SC*")&gt;0,COUNTIFS(Name,"Door Entry")+COUNTIFS(Name,"Door Entry Dbl*"),0)</f>
        <v>0</v>
      </c>
      <c r="G1202" s="829"/>
      <c r="H1202" s="412" t="s">
        <v>2027</v>
      </c>
      <c r="I1202" s="1258"/>
      <c r="J1202" s="2" t="str">
        <f>IF(Table5[[#This Row],[Entered]]&lt;&gt;Table5[[#This Row],[Quantity]],"Check","")</f>
        <v/>
      </c>
      <c r="P1202" s="1135"/>
      <c r="Q1202" s="1134"/>
      <c r="R1202" s="1134"/>
    </row>
    <row r="1203" spans="1:18" ht="15" x14ac:dyDescent="0.2">
      <c r="A1203" s="324" t="s">
        <v>2980</v>
      </c>
      <c r="B1203" s="324" t="str">
        <f t="shared" si="78"/>
        <v>1000</v>
      </c>
      <c r="C1203" s="324" t="str">
        <f t="shared" si="79"/>
        <v>52640</v>
      </c>
      <c r="D1203" s="324">
        <f>3</f>
        <v>3</v>
      </c>
      <c r="E1203" s="324">
        <v>1</v>
      </c>
      <c r="F1203" s="827">
        <f>IF(COUNTIFS(Addenda!A:A,"*9248PH600SS*")&gt;0,COUNTIFS(Name,"Door Entry")*2+COUNTIFS(Name,"Door Entry Dbl*")*2,0)</f>
        <v>0</v>
      </c>
      <c r="G1203" s="829"/>
      <c r="H1203" s="412" t="s">
        <v>2028</v>
      </c>
      <c r="I1203" s="1258"/>
      <c r="J1203" s="2" t="str">
        <f>IF(Table5[[#This Row],[Entered]]&lt;&gt;Table5[[#This Row],[Quantity]],"Check","")</f>
        <v/>
      </c>
      <c r="P1203" s="1134"/>
      <c r="Q1203" s="1134"/>
      <c r="R1203" s="1134"/>
    </row>
    <row r="1204" spans="1:18" ht="15" x14ac:dyDescent="0.2">
      <c r="A1204" s="324" t="s">
        <v>2980</v>
      </c>
      <c r="B1204" s="324" t="str">
        <f t="shared" si="78"/>
        <v>1000</v>
      </c>
      <c r="C1204" s="324" t="str">
        <f t="shared" si="79"/>
        <v>52640</v>
      </c>
      <c r="D1204" s="324">
        <f>4</f>
        <v>4</v>
      </c>
      <c r="E1204" s="324">
        <v>1</v>
      </c>
      <c r="F1204" s="827">
        <f>IF(COUNTIFS(Addenda!A:A,"*775 SC*")&gt;0,COUNTIFS(Name,"Door Entry*"),0)</f>
        <v>0</v>
      </c>
      <c r="G1204" s="829"/>
      <c r="H1204" s="412" t="s">
        <v>2029</v>
      </c>
      <c r="I1204" s="1258"/>
      <c r="J1204" s="2" t="str">
        <f>IF(Table5[[#This Row],[Entered]]&lt;&gt;Table5[[#This Row],[Quantity]],"Check","")</f>
        <v/>
      </c>
    </row>
    <row r="1205" spans="1:18" ht="15" x14ac:dyDescent="0.2">
      <c r="A1205" s="324" t="s">
        <v>2980</v>
      </c>
      <c r="B1205" s="324" t="str">
        <f t="shared" si="78"/>
        <v>1000</v>
      </c>
      <c r="C1205" s="324" t="str">
        <f t="shared" si="79"/>
        <v>52640</v>
      </c>
      <c r="D1205" s="324">
        <f>5</f>
        <v>5</v>
      </c>
      <c r="E1205" s="324">
        <v>1</v>
      </c>
      <c r="F1205" s="827">
        <f>F1204*2</f>
        <v>0</v>
      </c>
      <c r="G1205" s="829"/>
      <c r="H1205" s="412" t="s">
        <v>1088</v>
      </c>
      <c r="I1205" s="1258"/>
      <c r="J1205" s="2" t="str">
        <f>IF(Table5[[#This Row],[Entered]]&lt;&gt;Table5[[#This Row],[Quantity]],"Check","")</f>
        <v/>
      </c>
    </row>
    <row r="1206" spans="1:18" ht="15" x14ac:dyDescent="0.2">
      <c r="A1206" s="324" t="s">
        <v>2980</v>
      </c>
      <c r="B1206" s="324" t="str">
        <f t="shared" si="78"/>
        <v>1000</v>
      </c>
      <c r="C1206" s="324" t="str">
        <f t="shared" si="79"/>
        <v>52640</v>
      </c>
      <c r="D1206" s="324">
        <f>6</f>
        <v>6</v>
      </c>
      <c r="E1206" s="324">
        <v>1</v>
      </c>
      <c r="F1206" s="827">
        <f>IF(COUNTIFS(Addenda!A:A,"*SENATOR*", Addenda!A:A,"*SATIN CHROME*")&gt;0,COUNTIFS(Name,"Door Entry*"),0)</f>
        <v>0</v>
      </c>
      <c r="G1206" s="829"/>
      <c r="H1206" s="412" t="s">
        <v>1357</v>
      </c>
      <c r="I1206" s="1258"/>
      <c r="J1206" s="2" t="str">
        <f>IF(Table5[[#This Row],[Entered]]&lt;&gt;Table5[[#This Row],[Quantity]],"Check","")</f>
        <v/>
      </c>
    </row>
    <row r="1207" spans="1:18" ht="15" x14ac:dyDescent="0.2">
      <c r="A1207" s="324" t="s">
        <v>2980</v>
      </c>
      <c r="B1207" s="324" t="str">
        <f t="shared" si="78"/>
        <v>1000</v>
      </c>
      <c r="C1207" s="324" t="str">
        <f t="shared" si="79"/>
        <v>52640</v>
      </c>
      <c r="D1207" s="324">
        <f>18</f>
        <v>18</v>
      </c>
      <c r="E1207" s="324">
        <v>1</v>
      </c>
      <c r="F1207" s="827">
        <f>COUNTIFS(Addenda!A:A,"*1951*",Addenda!A:A,"*SATIN CHROME*")</f>
        <v>0</v>
      </c>
      <c r="G1207" s="829"/>
      <c r="H1207" s="412" t="s">
        <v>2030</v>
      </c>
      <c r="I1207" s="1258"/>
      <c r="J1207" s="2" t="str">
        <f>IF(Table5[[#This Row],[Entered]]&lt;&gt;Table5[[#This Row],[Quantity]],"Check","")</f>
        <v/>
      </c>
    </row>
    <row r="1208" spans="1:18" ht="15" x14ac:dyDescent="0.2">
      <c r="A1208" s="324" t="s">
        <v>2980</v>
      </c>
      <c r="B1208" s="324" t="str">
        <f t="shared" si="78"/>
        <v>1000</v>
      </c>
      <c r="C1208" s="324" t="str">
        <f t="shared" si="79"/>
        <v>52640</v>
      </c>
      <c r="D1208" s="324">
        <f>19</f>
        <v>19</v>
      </c>
      <c r="E1208" s="324">
        <v>1</v>
      </c>
      <c r="F1208" s="827">
        <f>COUNTIFS(Addenda!A:A,"*1951*",Addenda!A:A,"*BRIGHT CHROME*")</f>
        <v>0</v>
      </c>
      <c r="G1208" s="829"/>
      <c r="H1208" s="412" t="s">
        <v>2031</v>
      </c>
      <c r="I1208" s="1258"/>
      <c r="J1208" s="2" t="str">
        <f>IF(Table5[[#This Row],[Entered]]&lt;&gt;Table5[[#This Row],[Quantity]],"Check","")</f>
        <v/>
      </c>
    </row>
    <row r="1209" spans="1:18" ht="15" x14ac:dyDescent="0.2">
      <c r="A1209" s="324" t="s">
        <v>2980</v>
      </c>
      <c r="B1209" s="324" t="str">
        <f t="shared" si="78"/>
        <v>1000</v>
      </c>
      <c r="C1209" s="324" t="str">
        <f t="shared" si="79"/>
        <v>52640</v>
      </c>
      <c r="D1209" s="324">
        <f>21</f>
        <v>21</v>
      </c>
      <c r="E1209" s="324">
        <v>1</v>
      </c>
      <c r="F1209" s="827">
        <f>COUNTIFS(Addenda!A:A,"*850*",Addenda!A:A,"*STAINLESS STEEL*")</f>
        <v>0</v>
      </c>
      <c r="G1209" s="829"/>
      <c r="H1209" s="412" t="s">
        <v>2032</v>
      </c>
      <c r="I1209" s="1258"/>
      <c r="J1209" s="2" t="str">
        <f>IF(Table5[[#This Row],[Entered]]&lt;&gt;Table5[[#This Row],[Quantity]],"Check","")</f>
        <v/>
      </c>
    </row>
    <row r="1210" spans="1:18" ht="15" x14ac:dyDescent="0.2">
      <c r="A1210" s="324" t="s">
        <v>2980</v>
      </c>
      <c r="B1210" s="324" t="str">
        <f t="shared" si="78"/>
        <v>1000</v>
      </c>
      <c r="C1210" s="324" t="str">
        <f t="shared" si="79"/>
        <v>52640</v>
      </c>
      <c r="D1210" s="324">
        <f>22</f>
        <v>22</v>
      </c>
      <c r="E1210" s="324">
        <v>1</v>
      </c>
      <c r="F1210" s="827">
        <f>COUNTIFS(Addenda!A:A,"*850*",Addenda!A:A,"*POLISHED STAINLESS*")</f>
        <v>0</v>
      </c>
      <c r="G1210" s="829"/>
      <c r="H1210" s="412" t="s">
        <v>2033</v>
      </c>
      <c r="I1210" s="1258"/>
      <c r="J1210" s="2" t="str">
        <f>IF(Table5[[#This Row],[Entered]]&lt;&gt;Table5[[#This Row],[Quantity]],"Check","")</f>
        <v/>
      </c>
    </row>
    <row r="1211" spans="1:18" ht="15" x14ac:dyDescent="0.2">
      <c r="A1211" s="324" t="s">
        <v>2980</v>
      </c>
      <c r="B1211" s="324" t="str">
        <f t="shared" si="78"/>
        <v>1000</v>
      </c>
      <c r="C1211" s="324" t="str">
        <f t="shared" si="79"/>
        <v>52640</v>
      </c>
      <c r="D1211" s="324">
        <f>51</f>
        <v>51</v>
      </c>
      <c r="E1211" s="324">
        <v>1</v>
      </c>
      <c r="F1211" s="827">
        <f>COUNTIFS(Addenda!A:A,"*540*",Addenda!A:A,"*TERRACE*",Addenda!A:A,"*STAINLESS STEEL*")</f>
        <v>0</v>
      </c>
      <c r="G1211" s="829"/>
      <c r="H1211" s="412" t="s">
        <v>2034</v>
      </c>
      <c r="I1211" s="1258"/>
      <c r="J1211" s="2" t="str">
        <f>IF(Table5[[#This Row],[Entered]]&lt;&gt;Table5[[#This Row],[Quantity]],"Check","")</f>
        <v/>
      </c>
    </row>
    <row r="1212" spans="1:18" ht="15" x14ac:dyDescent="0.2">
      <c r="A1212" s="324" t="s">
        <v>2980</v>
      </c>
      <c r="B1212" s="324" t="str">
        <f t="shared" si="78"/>
        <v>1000</v>
      </c>
      <c r="C1212" s="324" t="str">
        <f t="shared" si="79"/>
        <v>52640</v>
      </c>
      <c r="D1212" s="324">
        <f>52</f>
        <v>52</v>
      </c>
      <c r="E1212" s="324">
        <v>1</v>
      </c>
      <c r="F1212" s="827">
        <f>COUNTIFS(Addenda!A:A,"*540*",Addenda!A:A,"*TERRACE*",Addenda!A:A,"*POLISHED STAINLESS*")</f>
        <v>0</v>
      </c>
      <c r="G1212" s="829"/>
      <c r="H1212" s="412" t="s">
        <v>2035</v>
      </c>
      <c r="I1212" s="1258"/>
      <c r="J1212" s="2" t="str">
        <f>IF(Table5[[#This Row],[Entered]]&lt;&gt;Table5[[#This Row],[Quantity]],"Check","")</f>
        <v/>
      </c>
    </row>
    <row r="1213" spans="1:18" ht="15" x14ac:dyDescent="0.2">
      <c r="A1213" s="324" t="s">
        <v>2980</v>
      </c>
      <c r="B1213" s="324" t="str">
        <f t="shared" si="78"/>
        <v>1000</v>
      </c>
      <c r="C1213" s="324" t="str">
        <f t="shared" si="79"/>
        <v>52640</v>
      </c>
      <c r="D1213" s="324">
        <f>71</f>
        <v>71</v>
      </c>
      <c r="E1213" s="324">
        <v>1</v>
      </c>
      <c r="F1213" s="827">
        <f>COUNTIFS(Addenda!A:A,"*540*",Addenda!A:A,"*AMBASSADOR*",Addenda!A:A,"*BRIGHT CHROME*")</f>
        <v>0</v>
      </c>
      <c r="G1213" s="829"/>
      <c r="H1213" s="412" t="s">
        <v>2036</v>
      </c>
      <c r="I1213" s="1258"/>
      <c r="J1213" s="2" t="str">
        <f>IF(Table5[[#This Row],[Entered]]&lt;&gt;Table5[[#This Row],[Quantity]],"Check","")</f>
        <v/>
      </c>
    </row>
    <row r="1214" spans="1:18" ht="15" x14ac:dyDescent="0.2">
      <c r="A1214" s="324" t="s">
        <v>2980</v>
      </c>
      <c r="B1214" s="324" t="str">
        <f t="shared" si="78"/>
        <v>1000</v>
      </c>
      <c r="C1214" s="324" t="str">
        <f t="shared" si="79"/>
        <v>52640</v>
      </c>
      <c r="D1214" s="324">
        <f>72</f>
        <v>72</v>
      </c>
      <c r="E1214" s="324">
        <v>1</v>
      </c>
      <c r="F1214" s="827">
        <f>COUNTIFS(Addenda!A:A,"*540*",Addenda!A:A,"*AMBASSADOR*",Addenda!A:A,"*SATIN CHROME*")</f>
        <v>0</v>
      </c>
      <c r="G1214" s="829"/>
      <c r="H1214" s="412" t="s">
        <v>2037</v>
      </c>
      <c r="I1214" s="1258"/>
      <c r="J1214" s="2" t="str">
        <f>IF(Table5[[#This Row],[Entered]]&lt;&gt;Table5[[#This Row],[Quantity]],"Check","")</f>
        <v/>
      </c>
    </row>
    <row r="1215" spans="1:18" ht="15" x14ac:dyDescent="0.2">
      <c r="A1215" s="324" t="s">
        <v>2980</v>
      </c>
      <c r="B1215" s="324" t="str">
        <f t="shared" si="78"/>
        <v>1000</v>
      </c>
      <c r="C1215" s="324" t="str">
        <f t="shared" si="79"/>
        <v>52640</v>
      </c>
      <c r="D1215" s="324">
        <f>73</f>
        <v>73</v>
      </c>
      <c r="E1215" s="324">
        <v>1</v>
      </c>
      <c r="F1215" s="827">
        <f>COUNTIFS(Addenda!A:A,"*1940*",Addenda!A:A,"*AURORA*",Addenda!A:A,"*BRUSHED SATIN CHROME*")</f>
        <v>0</v>
      </c>
      <c r="G1215" s="829"/>
      <c r="H1215" s="412" t="s">
        <v>2038</v>
      </c>
      <c r="I1215" s="1258"/>
      <c r="J1215" s="2" t="str">
        <f>IF(Table5[[#This Row],[Entered]]&lt;&gt;Table5[[#This Row],[Quantity]],"Check","")</f>
        <v/>
      </c>
    </row>
    <row r="1216" spans="1:18" ht="15" x14ac:dyDescent="0.2">
      <c r="A1216" s="324" t="s">
        <v>2980</v>
      </c>
      <c r="B1216" s="324" t="str">
        <f t="shared" si="78"/>
        <v>1000</v>
      </c>
      <c r="C1216" s="324" t="str">
        <f t="shared" si="79"/>
        <v>52640</v>
      </c>
      <c r="D1216" s="324">
        <f>74</f>
        <v>74</v>
      </c>
      <c r="E1216" s="324">
        <v>1</v>
      </c>
      <c r="F1216" s="827">
        <f>COUNTIFS(Addenda!A:A,"*1940*",Addenda!A:A,"*AURORA*",Addenda!A:A,"*MATT BLACK*")</f>
        <v>0</v>
      </c>
      <c r="G1216" s="829"/>
      <c r="H1216" s="412" t="s">
        <v>2039</v>
      </c>
      <c r="I1216" s="1258"/>
      <c r="J1216" s="2" t="str">
        <f>IF(Table5[[#This Row],[Entered]]&lt;&gt;Table5[[#This Row],[Quantity]],"Check","")</f>
        <v/>
      </c>
    </row>
    <row r="1217" spans="1:10" ht="15" x14ac:dyDescent="0.2">
      <c r="A1217" s="324" t="s">
        <v>2980</v>
      </c>
      <c r="B1217" s="324" t="str">
        <f t="shared" si="78"/>
        <v>1000</v>
      </c>
      <c r="C1217" s="324" t="str">
        <f t="shared" si="79"/>
        <v>52640</v>
      </c>
      <c r="D1217" s="324">
        <f>75</f>
        <v>75</v>
      </c>
      <c r="E1217" s="324">
        <v>1</v>
      </c>
      <c r="F1217" s="827">
        <f>COUNTIFS(Addenda!A:A,"*8901*",Addenda!A:A,"*AURORA*",Addenda!A:A,"*BRUSHED SATIN CHROME*")</f>
        <v>0</v>
      </c>
      <c r="G1217" s="829"/>
      <c r="H1217" s="412" t="s">
        <v>2040</v>
      </c>
      <c r="I1217" s="1258"/>
      <c r="J1217" s="2" t="str">
        <f>IF(Table5[[#This Row],[Entered]]&lt;&gt;Table5[[#This Row],[Quantity]],"Check","")</f>
        <v/>
      </c>
    </row>
    <row r="1218" spans="1:10" ht="15" x14ac:dyDescent="0.2">
      <c r="A1218" s="324" t="s">
        <v>2980</v>
      </c>
      <c r="B1218" s="324" t="str">
        <f t="shared" si="78"/>
        <v>1000</v>
      </c>
      <c r="C1218" s="324" t="str">
        <f t="shared" si="79"/>
        <v>52640</v>
      </c>
      <c r="D1218" s="324">
        <f>76</f>
        <v>76</v>
      </c>
      <c r="E1218" s="324">
        <v>1</v>
      </c>
      <c r="F1218" s="827">
        <f>COUNTIFS(Addenda!A:A,"*8201*",Addenda!A:A,"*AURORA*",Addenda!A:A,"*BRUSHED SATIN CHROME*")</f>
        <v>0</v>
      </c>
      <c r="G1218" s="829"/>
      <c r="H1218" s="412" t="s">
        <v>2041</v>
      </c>
      <c r="I1218" s="1258"/>
      <c r="J1218" s="2" t="str">
        <f>IF(Table5[[#This Row],[Entered]]&lt;&gt;Table5[[#This Row],[Quantity]],"Check","")</f>
        <v/>
      </c>
    </row>
    <row r="1219" spans="1:10" ht="15" x14ac:dyDescent="0.2">
      <c r="A1219" s="324" t="s">
        <v>2980</v>
      </c>
      <c r="B1219" s="324" t="str">
        <f t="shared" si="78"/>
        <v>1000</v>
      </c>
      <c r="C1219" s="324" t="str">
        <f t="shared" si="79"/>
        <v>52640</v>
      </c>
      <c r="D1219" s="324">
        <f>77</f>
        <v>77</v>
      </c>
      <c r="E1219" s="324">
        <v>1</v>
      </c>
      <c r="F1219" s="827">
        <f>COUNTIFS(Addenda!A:A,"*8901*",Addenda!A:A,"*AURORA*",Addenda!A:A,"*MATT BLACK*")</f>
        <v>0</v>
      </c>
      <c r="G1219" s="829"/>
      <c r="H1219" s="412" t="s">
        <v>2042</v>
      </c>
      <c r="I1219" s="1258"/>
      <c r="J1219" s="2" t="str">
        <f>IF(Table5[[#This Row],[Entered]]&lt;&gt;Table5[[#This Row],[Quantity]],"Check","")</f>
        <v/>
      </c>
    </row>
    <row r="1220" spans="1:10" ht="15" x14ac:dyDescent="0.2">
      <c r="A1220" s="324" t="s">
        <v>2980</v>
      </c>
      <c r="B1220" s="324" t="str">
        <f t="shared" si="78"/>
        <v>1000</v>
      </c>
      <c r="C1220" s="324" t="str">
        <f t="shared" si="79"/>
        <v>52640</v>
      </c>
      <c r="D1220" s="324">
        <f>78</f>
        <v>78</v>
      </c>
      <c r="E1220" s="324">
        <v>1</v>
      </c>
      <c r="F1220" s="827">
        <f>COUNTIFS(Addenda!A:A,"*8201*",Addenda!A:A,"*AURORA*",Addenda!A:A,"*MATT BLACK*")</f>
        <v>0</v>
      </c>
      <c r="G1220" s="829"/>
      <c r="H1220" s="412" t="s">
        <v>2043</v>
      </c>
      <c r="I1220" s="1258"/>
      <c r="J1220" s="2" t="str">
        <f>IF(Table5[[#This Row],[Entered]]&lt;&gt;Table5[[#This Row],[Quantity]],"Check","")</f>
        <v/>
      </c>
    </row>
    <row r="1221" spans="1:10" ht="15" x14ac:dyDescent="0.2">
      <c r="A1221" s="324" t="s">
        <v>2980</v>
      </c>
      <c r="B1221" s="324" t="str">
        <f t="shared" si="78"/>
        <v>1000</v>
      </c>
      <c r="C1221" s="324" t="str">
        <f t="shared" si="79"/>
        <v>52640</v>
      </c>
      <c r="D1221" s="324">
        <f>80</f>
        <v>80</v>
      </c>
      <c r="E1221" s="324">
        <v>1</v>
      </c>
      <c r="F1221" s="827">
        <f>COUNTIFS(Addenda!A:A,"*8901*",Addenda!A:A,"*ALIGN*",Addenda!A:A,"*BRIGHT CHROME*")+COUNTIF(Addenda!A:A,"8901ALIBC")</f>
        <v>0</v>
      </c>
      <c r="G1221" s="829"/>
      <c r="H1221" s="412" t="s">
        <v>2044</v>
      </c>
      <c r="I1221" s="1258"/>
      <c r="J1221" s="2" t="str">
        <f>IF(Table5[[#This Row],[Entered]]&lt;&gt;Table5[[#This Row],[Quantity]],"Check","")</f>
        <v/>
      </c>
    </row>
    <row r="1222" spans="1:10" ht="15" x14ac:dyDescent="0.2">
      <c r="A1222" s="324" t="s">
        <v>2980</v>
      </c>
      <c r="B1222" s="324" t="str">
        <f t="shared" si="78"/>
        <v>1000</v>
      </c>
      <c r="C1222" s="324">
        <v>52640</v>
      </c>
      <c r="D1222" s="324" t="str">
        <f>"7060"</f>
        <v>7060</v>
      </c>
      <c r="E1222" s="324">
        <v>1</v>
      </c>
      <c r="F1222" s="827">
        <f>COUNTIFS(Addenda!A:A,"*8901*",Addenda!A:A,"*ALIGN*",Addenda!A:A,"*SATIN CHROME*")+COUNTIF(Addenda!A:A,"8901ALISC")</f>
        <v>0</v>
      </c>
      <c r="G1222" s="829">
        <v>210.53</v>
      </c>
      <c r="H1222" s="412" t="s">
        <v>3650</v>
      </c>
      <c r="I1222" s="1258"/>
      <c r="J1222" s="2" t="str">
        <f>IF(Table5[[#This Row],[Entered]]&lt;&gt;Table5[[#This Row],[Quantity]],"Check","")</f>
        <v/>
      </c>
    </row>
    <row r="1223" spans="1:10" ht="15" x14ac:dyDescent="0.2">
      <c r="A1223" s="324" t="s">
        <v>2980</v>
      </c>
      <c r="B1223" s="324" t="str">
        <f t="shared" si="78"/>
        <v>1000</v>
      </c>
      <c r="C1223" s="324" t="str">
        <f t="shared" ref="C1223:C1243" si="80">"52640"</f>
        <v>52640</v>
      </c>
      <c r="D1223" s="324">
        <f>86</f>
        <v>86</v>
      </c>
      <c r="E1223" s="324">
        <v>1</v>
      </c>
      <c r="F1223" s="827">
        <f>COUNTIFS(Addenda!A:A,"*8901*",Addenda!A:A,"*ANGULAR*",Addenda!A:A,"*BRIGHT CHROME*")+COUNTIF(Addenda!A:A,"8901ANGBC")</f>
        <v>0</v>
      </c>
      <c r="G1223" s="829"/>
      <c r="H1223" s="412" t="s">
        <v>2045</v>
      </c>
      <c r="I1223" s="1258"/>
      <c r="J1223" s="2" t="str">
        <f>IF(Table5[[#This Row],[Entered]]&lt;&gt;Table5[[#This Row],[Quantity]],"Check","")</f>
        <v/>
      </c>
    </row>
    <row r="1224" spans="1:10" ht="15" x14ac:dyDescent="0.2">
      <c r="A1224" s="324" t="s">
        <v>2980</v>
      </c>
      <c r="B1224" s="324" t="str">
        <f t="shared" si="78"/>
        <v>1000</v>
      </c>
      <c r="C1224" s="324" t="str">
        <f t="shared" si="80"/>
        <v>52640</v>
      </c>
      <c r="D1224" s="324" t="str">
        <f>"7051"</f>
        <v>7051</v>
      </c>
      <c r="E1224" s="324">
        <v>1</v>
      </c>
      <c r="F1224" s="1128">
        <f>ROUNDUP(COUNTIF(Addenda!A:A,"8901ANGSC*"),0)</f>
        <v>0</v>
      </c>
      <c r="G1224" s="829">
        <v>225.27</v>
      </c>
      <c r="H1224" s="412" t="s">
        <v>3414</v>
      </c>
      <c r="I1224" s="1258"/>
      <c r="J1224" s="2" t="str">
        <f>IF(Table5[[#This Row],[Entered]]&lt;&gt;Table5[[#This Row],[Quantity]],"Check","")</f>
        <v/>
      </c>
    </row>
    <row r="1225" spans="1:10" ht="15" x14ac:dyDescent="0.2">
      <c r="A1225" s="324" t="s">
        <v>2980</v>
      </c>
      <c r="B1225" s="324" t="str">
        <f t="shared" si="78"/>
        <v>1000</v>
      </c>
      <c r="C1225" s="324" t="str">
        <f t="shared" si="80"/>
        <v>52640</v>
      </c>
      <c r="D1225" s="324">
        <f>88</f>
        <v>88</v>
      </c>
      <c r="E1225" s="324">
        <v>1</v>
      </c>
      <c r="F1225" s="827">
        <f>IF(AND(COUNTIFS(Addenda!A:A,"*8901*",Addenda!A:A,"*ANGULAR*",Addenda!A:A,"*BRIGHT CHROME*")&gt;0,COUNTIFS(Name,"Door Entry Dbl")),1,0)</f>
        <v>0</v>
      </c>
      <c r="G1225" s="829"/>
      <c r="H1225" s="412" t="s">
        <v>2046</v>
      </c>
      <c r="I1225" s="1258"/>
      <c r="J1225" s="2" t="str">
        <f>IF(Table5[[#This Row],[Entered]]&lt;&gt;Table5[[#This Row],[Quantity]],"Check","")</f>
        <v/>
      </c>
    </row>
    <row r="1226" spans="1:10" ht="15" x14ac:dyDescent="0.2">
      <c r="A1226" s="324" t="s">
        <v>2980</v>
      </c>
      <c r="B1226" s="324" t="str">
        <f t="shared" si="78"/>
        <v>1000</v>
      </c>
      <c r="C1226" s="324" t="str">
        <f t="shared" si="80"/>
        <v>52640</v>
      </c>
      <c r="D1226" s="324">
        <f>89</f>
        <v>89</v>
      </c>
      <c r="E1226" s="324">
        <v>1</v>
      </c>
      <c r="F1226" s="827">
        <f>IF(AND(COUNTIFS(Addenda!A:A,"*8901*",Addenda!A:A,"*ANGULAR*",Addenda!A:A,"*BRIGHT CHROME*")&gt;0,COUNTIFS(Name,"Door Entry Dbl")),1,0)</f>
        <v>0</v>
      </c>
      <c r="G1226" s="829"/>
      <c r="H1226" s="412" t="s">
        <v>2047</v>
      </c>
      <c r="I1226" s="1258"/>
      <c r="J1226" s="2" t="str">
        <f>IF(Table5[[#This Row],[Entered]]&lt;&gt;Table5[[#This Row],[Quantity]],"Check","")</f>
        <v/>
      </c>
    </row>
    <row r="1227" spans="1:10" ht="15" x14ac:dyDescent="0.2">
      <c r="A1227" s="324" t="s">
        <v>2980</v>
      </c>
      <c r="B1227" s="324" t="str">
        <f t="shared" si="78"/>
        <v>1000</v>
      </c>
      <c r="C1227" s="324" t="str">
        <f t="shared" si="80"/>
        <v>52640</v>
      </c>
      <c r="D1227" s="324">
        <f>90</f>
        <v>90</v>
      </c>
      <c r="E1227" s="324">
        <v>1</v>
      </c>
      <c r="F1227" s="827">
        <f>IF(SUM(F1222,F1224)=0,COUNTIFS(Addenda!A:A,"*890*",Addenda!A:A,"*TRIL*",Addenda!A:A,"*SATIN CHROME*"),0)</f>
        <v>0</v>
      </c>
      <c r="G1227" s="829"/>
      <c r="H1227" s="412" t="s">
        <v>2048</v>
      </c>
      <c r="I1227" s="1258"/>
      <c r="J1227" s="2" t="str">
        <f>IF(Table5[[#This Row],[Entered]]&lt;&gt;Table5[[#This Row],[Quantity]],"Check","")</f>
        <v/>
      </c>
    </row>
    <row r="1228" spans="1:10" ht="15" x14ac:dyDescent="0.2">
      <c r="A1228" s="324" t="s">
        <v>2980</v>
      </c>
      <c r="B1228" s="324" t="str">
        <f t="shared" si="78"/>
        <v>1000</v>
      </c>
      <c r="C1228" s="324" t="str">
        <f t="shared" si="80"/>
        <v>52640</v>
      </c>
      <c r="D1228" s="324">
        <f>91</f>
        <v>91</v>
      </c>
      <c r="E1228" s="324">
        <v>1</v>
      </c>
      <c r="F1228" s="827">
        <f>IF(SUM(F1221,F1223)=0,COUNTIFS(Addenda!A:A,"*890*",Addenda!A:A,"*TRIL*",Addenda!A:A,"*BRIGHT CHROME*"),0)</f>
        <v>0</v>
      </c>
      <c r="G1228" s="829"/>
      <c r="H1228" s="412" t="s">
        <v>2049</v>
      </c>
      <c r="I1228" s="1258"/>
      <c r="J1228" s="2" t="str">
        <f>IF(Table5[[#This Row],[Entered]]&lt;&gt;Table5[[#This Row],[Quantity]],"Check","")</f>
        <v/>
      </c>
    </row>
    <row r="1229" spans="1:10" ht="15" x14ac:dyDescent="0.2">
      <c r="A1229" s="324" t="s">
        <v>2980</v>
      </c>
      <c r="B1229" s="324" t="str">
        <f t="shared" si="78"/>
        <v>1000</v>
      </c>
      <c r="C1229" s="324" t="str">
        <f t="shared" si="80"/>
        <v>52640</v>
      </c>
      <c r="D1229" s="324">
        <v>7000</v>
      </c>
      <c r="E1229" s="324">
        <v>1</v>
      </c>
      <c r="F1229" s="827">
        <f>IF(COUNTIFS(Addenda!A:A,"*1400PROBELMB*")&gt;0,COUNTIF(Name,"Passage")+COUNTIF('CSV FF'!A:A,"Passage"),0)</f>
        <v>0</v>
      </c>
      <c r="G1229" s="829">
        <v>26.43</v>
      </c>
      <c r="H1229" s="412" t="s">
        <v>3599</v>
      </c>
      <c r="I1229" s="1207"/>
      <c r="J1229" s="73" t="str">
        <f>IF(Table5[[#This Row],[Entered]]&lt;&gt;Table5[[#This Row],[Quantity]],"Check","")</f>
        <v/>
      </c>
    </row>
    <row r="1230" spans="1:10" ht="15" x14ac:dyDescent="0.2">
      <c r="A1230" s="324" t="s">
        <v>2980</v>
      </c>
      <c r="B1230" s="324" t="str">
        <f t="shared" si="78"/>
        <v>1000</v>
      </c>
      <c r="C1230" s="324" t="str">
        <f t="shared" si="80"/>
        <v>52640</v>
      </c>
      <c r="D1230" s="324">
        <v>7001</v>
      </c>
      <c r="E1230" s="324">
        <v>1</v>
      </c>
      <c r="F1230" s="827">
        <f>IF(COUNTIFS(Addenda!A:A,"*1400PROBELMB*")&gt;0,COUNTIF(Name,"Privacy")+COUNTIF('CSV FF'!A:A,"Privacy"),0)</f>
        <v>0</v>
      </c>
      <c r="G1230" s="829">
        <v>27.86</v>
      </c>
      <c r="H1230" s="412" t="s">
        <v>3598</v>
      </c>
      <c r="I1230" s="1207"/>
      <c r="J1230" s="73" t="str">
        <f>IF(Table5[[#This Row],[Entered]]&lt;&gt;Table5[[#This Row],[Quantity]],"Check","")</f>
        <v/>
      </c>
    </row>
    <row r="1231" spans="1:10" ht="15" x14ac:dyDescent="0.2">
      <c r="A1231" s="324" t="s">
        <v>2980</v>
      </c>
      <c r="B1231" s="324" t="str">
        <f t="shared" si="78"/>
        <v>1000</v>
      </c>
      <c r="C1231" s="324" t="str">
        <f t="shared" si="80"/>
        <v>52640</v>
      </c>
      <c r="D1231" s="324">
        <v>7002</v>
      </c>
      <c r="E1231" s="324">
        <v>1</v>
      </c>
      <c r="F1231" s="827">
        <f>IF(COUNTIFS(Addenda!A:A,"*1400PROBELMB*")&gt;0,Dummy_Handle_Count,0)</f>
        <v>0</v>
      </c>
      <c r="G1231" s="829">
        <v>15</v>
      </c>
      <c r="H1231" s="412" t="s">
        <v>3597</v>
      </c>
      <c r="I1231" s="1207"/>
      <c r="J1231" s="73" t="str">
        <f>IF(Table5[[#This Row],[Entered]]&lt;&gt;Table5[[#This Row],[Quantity]],"Check","")</f>
        <v/>
      </c>
    </row>
    <row r="1232" spans="1:10" ht="15" x14ac:dyDescent="0.2">
      <c r="A1232" s="324" t="s">
        <v>2980</v>
      </c>
      <c r="B1232" s="324" t="str">
        <f t="shared" si="78"/>
        <v>1000</v>
      </c>
      <c r="C1232" s="324" t="str">
        <f t="shared" si="80"/>
        <v>52640</v>
      </c>
      <c r="D1232" s="324">
        <v>7000</v>
      </c>
      <c r="E1232" s="324">
        <v>1</v>
      </c>
      <c r="F1232" s="827">
        <f>IF(COUNTIFS(Addenda!A:A,"*1400PROBELSC*")&gt;0,COUNTIF(Name,"Passage")+COUNTIF('CSV FF'!A:A,"Passage"),0)</f>
        <v>0</v>
      </c>
      <c r="G1232" s="829">
        <v>28.88</v>
      </c>
      <c r="H1232" s="412" t="s">
        <v>3527</v>
      </c>
      <c r="I1232" s="1258"/>
      <c r="J1232" s="2" t="str">
        <f>IF(Table5[[#This Row],[Entered]]&lt;&gt;Table5[[#This Row],[Quantity]],"Check","")</f>
        <v/>
      </c>
    </row>
    <row r="1233" spans="1:10" ht="15" x14ac:dyDescent="0.2">
      <c r="A1233" s="324" t="s">
        <v>2980</v>
      </c>
      <c r="B1233" s="324" t="str">
        <f t="shared" si="78"/>
        <v>1000</v>
      </c>
      <c r="C1233" s="324" t="str">
        <f t="shared" si="80"/>
        <v>52640</v>
      </c>
      <c r="D1233" s="324">
        <v>7001</v>
      </c>
      <c r="E1233" s="324">
        <v>1</v>
      </c>
      <c r="F1233" s="827">
        <f>IF(COUNTIFS(Addenda!A:A,"*1400PROBELSC*")&gt;0,COUNTIF(Name,"Privacy")+COUNTIF('CSV FF'!A:A,"Privacy"),0)</f>
        <v>0</v>
      </c>
      <c r="G1233" s="829">
        <v>30.44</v>
      </c>
      <c r="H1233" s="412" t="s">
        <v>3528</v>
      </c>
      <c r="I1233" s="1258"/>
      <c r="J1233" s="2" t="str">
        <f>IF(Table5[[#This Row],[Entered]]&lt;&gt;Table5[[#This Row],[Quantity]],"Check","")</f>
        <v/>
      </c>
    </row>
    <row r="1234" spans="1:10" ht="15" x14ac:dyDescent="0.2">
      <c r="A1234" s="324" t="s">
        <v>2980</v>
      </c>
      <c r="B1234" s="324" t="str">
        <f t="shared" si="78"/>
        <v>1000</v>
      </c>
      <c r="C1234" s="324" t="str">
        <f t="shared" si="80"/>
        <v>52640</v>
      </c>
      <c r="D1234" s="324">
        <v>7002</v>
      </c>
      <c r="E1234" s="324">
        <v>1</v>
      </c>
      <c r="F1234" s="827">
        <f>IF(COUNTIFS(Addenda!A:A,"*1400PROBELSC*")&gt;0,Dummy_Handle_Count,0)</f>
        <v>0</v>
      </c>
      <c r="G1234" s="829">
        <v>16.39</v>
      </c>
      <c r="H1234" s="412" t="s">
        <v>3529</v>
      </c>
      <c r="I1234" s="1258"/>
      <c r="J1234" s="2" t="str">
        <f>IF(Table5[[#This Row],[Entered]]&lt;&gt;Table5[[#This Row],[Quantity]],"Check","")</f>
        <v/>
      </c>
    </row>
    <row r="1235" spans="1:10" ht="15" x14ac:dyDescent="0.2">
      <c r="A1235" s="324" t="s">
        <v>2980</v>
      </c>
      <c r="B1235" s="324" t="str">
        <f t="shared" si="78"/>
        <v>1000</v>
      </c>
      <c r="C1235" s="324" t="str">
        <f t="shared" si="80"/>
        <v>52640</v>
      </c>
      <c r="D1235" s="324">
        <v>7000</v>
      </c>
      <c r="E1235" s="324">
        <v>1</v>
      </c>
      <c r="F1235" s="827">
        <f>IF(COUNTIFS(Addenda!A:A,"*1400PROSQBELSC*")&gt;0,COUNTIF(Name,"Passage")+COUNTIF('CSV FF'!A:A,"Passage"),0)</f>
        <v>0</v>
      </c>
      <c r="G1235" s="829">
        <v>28.88</v>
      </c>
      <c r="H1235" s="412" t="s">
        <v>3530</v>
      </c>
      <c r="I1235" s="1258"/>
      <c r="J1235" s="2" t="str">
        <f>IF(Table5[[#This Row],[Entered]]&lt;&gt;Table5[[#This Row],[Quantity]],"Check","")</f>
        <v/>
      </c>
    </row>
    <row r="1236" spans="1:10" ht="15" x14ac:dyDescent="0.2">
      <c r="A1236" s="324" t="s">
        <v>2980</v>
      </c>
      <c r="B1236" s="324" t="str">
        <f t="shared" si="78"/>
        <v>1000</v>
      </c>
      <c r="C1236" s="324" t="str">
        <f t="shared" si="80"/>
        <v>52640</v>
      </c>
      <c r="D1236" s="324">
        <v>7001</v>
      </c>
      <c r="E1236" s="324">
        <v>1</v>
      </c>
      <c r="F1236" s="827">
        <f>IF(COUNTIFS(Addenda!A:A,"*1400PROSQBELSC*")&gt;0,COUNTIF(Name,"Privacy")+COUNTIF('CSV FF'!A:A,"Privacy"),0)</f>
        <v>0</v>
      </c>
      <c r="G1236" s="829">
        <v>30.44</v>
      </c>
      <c r="H1236" s="412" t="s">
        <v>3531</v>
      </c>
      <c r="I1236" s="1258"/>
      <c r="J1236" s="2" t="str">
        <f>IF(Table5[[#This Row],[Entered]]&lt;&gt;Table5[[#This Row],[Quantity]],"Check","")</f>
        <v/>
      </c>
    </row>
    <row r="1237" spans="1:10" ht="15" x14ac:dyDescent="0.2">
      <c r="A1237" s="324" t="s">
        <v>2980</v>
      </c>
      <c r="B1237" s="324" t="str">
        <f t="shared" si="78"/>
        <v>1000</v>
      </c>
      <c r="C1237" s="324" t="str">
        <f t="shared" si="80"/>
        <v>52640</v>
      </c>
      <c r="D1237" s="324">
        <v>7002</v>
      </c>
      <c r="E1237" s="324">
        <v>1</v>
      </c>
      <c r="F1237" s="827">
        <f>IF(COUNTIFS(Addenda!A:A,"*1400PROSQBELSC*")&gt;0,Dummy_Handle_Count,0)</f>
        <v>0</v>
      </c>
      <c r="G1237" s="829">
        <v>16.39</v>
      </c>
      <c r="H1237" s="412" t="s">
        <v>3532</v>
      </c>
      <c r="I1237" s="1258"/>
      <c r="J1237" s="2" t="str">
        <f>IF(Table5[[#This Row],[Entered]]&lt;&gt;Table5[[#This Row],[Quantity]],"Check","")</f>
        <v/>
      </c>
    </row>
    <row r="1238" spans="1:10" ht="15" x14ac:dyDescent="0.2">
      <c r="A1238" s="324" t="s">
        <v>2980</v>
      </c>
      <c r="B1238" s="324" t="str">
        <f t="shared" si="78"/>
        <v>1000</v>
      </c>
      <c r="C1238" s="324" t="str">
        <f t="shared" si="80"/>
        <v>52640</v>
      </c>
      <c r="D1238" s="324">
        <f>98</f>
        <v>98</v>
      </c>
      <c r="E1238" s="324">
        <v>1</v>
      </c>
      <c r="F1238" s="827">
        <f>IF(COUNTIFS(Addenda!A:A,"*INSTYLE*")&gt;0,COUNTIF(Name,"Passage")+COUNTIF('CSV FF'!A:A,"Passage"),0)</f>
        <v>0</v>
      </c>
      <c r="G1238" s="829"/>
      <c r="H1238" s="412" t="s">
        <v>2050</v>
      </c>
      <c r="I1238" s="1258"/>
      <c r="J1238" s="2" t="str">
        <f>IF(Table5[[#This Row],[Entered]]&lt;&gt;Table5[[#This Row],[Quantity]],"Check","")</f>
        <v/>
      </c>
    </row>
    <row r="1239" spans="1:10" ht="15" x14ac:dyDescent="0.2">
      <c r="A1239" s="324" t="s">
        <v>2980</v>
      </c>
      <c r="B1239" s="324" t="str">
        <f t="shared" si="78"/>
        <v>1000</v>
      </c>
      <c r="C1239" s="324" t="str">
        <f t="shared" si="80"/>
        <v>52640</v>
      </c>
      <c r="D1239" s="324">
        <f>99</f>
        <v>99</v>
      </c>
      <c r="E1239" s="324">
        <v>1</v>
      </c>
      <c r="F1239" s="827">
        <f>IF(COUNTIFS(Addenda!A:A,"*INSTYLE*")&gt;0,COUNTIF(Name,"Privacy")+COUNTIF('CSV FF'!A:A,"Privacy"),0)</f>
        <v>0</v>
      </c>
      <c r="G1239" s="829"/>
      <c r="H1239" s="412" t="s">
        <v>2051</v>
      </c>
      <c r="I1239" s="1258"/>
      <c r="J1239" s="2" t="str">
        <f>IF(Table5[[#This Row],[Entered]]&lt;&gt;Table5[[#This Row],[Quantity]],"Check","")</f>
        <v/>
      </c>
    </row>
    <row r="1240" spans="1:10" ht="15" x14ac:dyDescent="0.2">
      <c r="A1240" s="324" t="s">
        <v>2980</v>
      </c>
      <c r="B1240" s="324" t="str">
        <f t="shared" si="78"/>
        <v>1000</v>
      </c>
      <c r="C1240" s="324" t="str">
        <f t="shared" si="80"/>
        <v>52640</v>
      </c>
      <c r="D1240" s="324">
        <f>100</f>
        <v>100</v>
      </c>
      <c r="E1240" s="324">
        <v>1</v>
      </c>
      <c r="F1240" s="827">
        <f>IF(COUNTIFS(Addenda!A:A,"*INSTYLE*")&gt;0,Dummy_Handle_Count,0)</f>
        <v>0</v>
      </c>
      <c r="G1240" s="829"/>
      <c r="H1240" s="412" t="s">
        <v>2052</v>
      </c>
      <c r="I1240" s="1258"/>
      <c r="J1240" s="2" t="str">
        <f>IF(Table5[[#This Row],[Entered]]&lt;&gt;Table5[[#This Row],[Quantity]],"Check","")</f>
        <v/>
      </c>
    </row>
    <row r="1241" spans="1:10" ht="15" x14ac:dyDescent="0.2">
      <c r="A1241" s="324" t="s">
        <v>2980</v>
      </c>
      <c r="B1241" s="324" t="str">
        <f t="shared" si="78"/>
        <v>1000</v>
      </c>
      <c r="C1241" s="324" t="str">
        <f t="shared" si="80"/>
        <v>52640</v>
      </c>
      <c r="D1241" s="324">
        <f>101</f>
        <v>101</v>
      </c>
      <c r="E1241" s="324">
        <v>1</v>
      </c>
      <c r="F1241" s="827">
        <f>IF(COUNTIFS(Addenda!A:A,"*INSTYLE*")&gt;0,COUNTIF(Name,"Passage")+COUNTIF('CSV FF'!A:A,"Passage"),0)</f>
        <v>0</v>
      </c>
      <c r="G1241" s="829"/>
      <c r="H1241" s="412" t="s">
        <v>2053</v>
      </c>
      <c r="I1241" s="1258"/>
      <c r="J1241" s="2" t="str">
        <f>IF(Table5[[#This Row],[Entered]]&lt;&gt;Table5[[#This Row],[Quantity]],"Check","")</f>
        <v/>
      </c>
    </row>
    <row r="1242" spans="1:10" ht="15" x14ac:dyDescent="0.2">
      <c r="A1242" s="324" t="s">
        <v>2980</v>
      </c>
      <c r="B1242" s="324" t="str">
        <f t="shared" si="78"/>
        <v>1000</v>
      </c>
      <c r="C1242" s="324" t="str">
        <f t="shared" si="80"/>
        <v>52640</v>
      </c>
      <c r="D1242" s="324">
        <f>102</f>
        <v>102</v>
      </c>
      <c r="E1242" s="324">
        <v>1</v>
      </c>
      <c r="F1242" s="827">
        <f>IF(COUNTIFS(Addenda!A:A,"*INSTYLE*")&gt;0,COUNTIF(Name,"Privacy")+COUNTIF('CSV FF'!A:A,"Privacy"),0)</f>
        <v>0</v>
      </c>
      <c r="G1242" s="829"/>
      <c r="H1242" s="412" t="s">
        <v>2054</v>
      </c>
      <c r="I1242" s="1258"/>
      <c r="J1242" s="2" t="str">
        <f>IF(Table5[[#This Row],[Entered]]&lt;&gt;Table5[[#This Row],[Quantity]],"Check","")</f>
        <v/>
      </c>
    </row>
    <row r="1243" spans="1:10" ht="15" x14ac:dyDescent="0.2">
      <c r="A1243" s="324" t="s">
        <v>2980</v>
      </c>
      <c r="B1243" s="324" t="str">
        <f t="shared" si="78"/>
        <v>1000</v>
      </c>
      <c r="C1243" s="324" t="str">
        <f t="shared" si="80"/>
        <v>52640</v>
      </c>
      <c r="D1243" s="324">
        <f>103</f>
        <v>103</v>
      </c>
      <c r="E1243" s="324">
        <v>1</v>
      </c>
      <c r="F1243" s="827">
        <f>IF(COUNTIFS(Addenda!A:A,"*INSTYLE*")&gt;0,Dummy_Handle_Count,0)</f>
        <v>0</v>
      </c>
      <c r="G1243" s="829"/>
      <c r="H1243" s="412" t="s">
        <v>2055</v>
      </c>
      <c r="I1243" s="1258"/>
      <c r="J1243" s="2" t="str">
        <f>IF(Table5[[#This Row],[Entered]]&lt;&gt;Table5[[#This Row],[Quantity]],"Check","")</f>
        <v/>
      </c>
    </row>
    <row r="1244" spans="1:10" ht="15" x14ac:dyDescent="0.2">
      <c r="A1244" s="324" t="s">
        <v>2980</v>
      </c>
      <c r="B1244" s="324" t="str">
        <f t="shared" si="78"/>
        <v>1000</v>
      </c>
      <c r="C1244" s="324">
        <v>52640</v>
      </c>
      <c r="D1244" s="324" t="str">
        <f>"7000"</f>
        <v>7000</v>
      </c>
      <c r="E1244" s="324">
        <v>1</v>
      </c>
      <c r="F1244" s="827">
        <f>IF(COUNTIFS(Addenda!A:A,"*OLIVE*",Addenda!A:A,"*SATIN*")&gt;0,COUNTIF(Name,"Passage"),0)</f>
        <v>0</v>
      </c>
      <c r="G1244" s="829">
        <v>33.799999999999997</v>
      </c>
      <c r="H1244" s="412" t="s">
        <v>3836</v>
      </c>
      <c r="I1244" s="1207"/>
      <c r="J1244" s="73" t="str">
        <f>IF(Table5[[#This Row],[Entered]]&lt;&gt;Table5[[#This Row],[Quantity]],"Check","")</f>
        <v/>
      </c>
    </row>
    <row r="1245" spans="1:10" ht="15" x14ac:dyDescent="0.2">
      <c r="A1245" s="324" t="s">
        <v>2980</v>
      </c>
      <c r="B1245" s="324" t="str">
        <f t="shared" si="78"/>
        <v>1000</v>
      </c>
      <c r="C1245" s="324">
        <v>52640</v>
      </c>
      <c r="D1245" s="324" t="str">
        <f>"7001"</f>
        <v>7001</v>
      </c>
      <c r="E1245" s="324">
        <v>1</v>
      </c>
      <c r="F1245" s="827">
        <f>IF(COUNTIFS(Addenda!A:A,"*OLIVE*",Addenda!A:A,"*SATIN*")&gt;0,COUNTIF(Name,"Privacy"),0)</f>
        <v>0</v>
      </c>
      <c r="G1245" s="829">
        <v>36.82</v>
      </c>
      <c r="H1245" s="412" t="s">
        <v>3837</v>
      </c>
      <c r="I1245" s="1207"/>
      <c r="J1245" s="73" t="str">
        <f>IF(Table5[[#This Row],[Entered]]&lt;&gt;Table5[[#This Row],[Quantity]],"Check","")</f>
        <v/>
      </c>
    </row>
    <row r="1246" spans="1:10" ht="15" x14ac:dyDescent="0.2">
      <c r="A1246" s="324" t="s">
        <v>2980</v>
      </c>
      <c r="B1246" s="324" t="str">
        <f t="shared" si="78"/>
        <v>1000</v>
      </c>
      <c r="C1246" s="324" t="str">
        <f t="shared" ref="C1246" si="81">"52640"</f>
        <v>52640</v>
      </c>
      <c r="D1246" s="324" t="str">
        <f>"7002"</f>
        <v>7002</v>
      </c>
      <c r="E1246" s="324">
        <v>1</v>
      </c>
      <c r="F1246" s="827">
        <f>IF(COUNTIFS(Addenda!A:A,"*OLIVE*",Addenda!A:A,"*SATIN*")&gt;0,Dummy_Handle_Count,0)</f>
        <v>0</v>
      </c>
      <c r="G1246" s="829">
        <v>20.87</v>
      </c>
      <c r="H1246" s="412" t="s">
        <v>3838</v>
      </c>
      <c r="I1246" s="1207"/>
      <c r="J1246" s="73" t="str">
        <f>IF(Table5[[#This Row],[Entered]]&lt;&gt;Table5[[#This Row],[Quantity]],"Check","")</f>
        <v/>
      </c>
    </row>
    <row r="1247" spans="1:10" ht="15" x14ac:dyDescent="0.2">
      <c r="A1247" s="324" t="s">
        <v>2980</v>
      </c>
      <c r="B1247" s="324" t="str">
        <f t="shared" si="78"/>
        <v>1000</v>
      </c>
      <c r="C1247" s="324">
        <v>52640</v>
      </c>
      <c r="D1247" s="324" t="str">
        <f>"7000"</f>
        <v>7000</v>
      </c>
      <c r="E1247" s="324">
        <v>1</v>
      </c>
      <c r="F1247" s="827">
        <f>IF(COUNTIFS(Addenda!A:A,"*OLIVE*",Addenda!A:A,"*BRIGHT*")&gt;0,COUNTIF(Name,"Passage"),0)</f>
        <v>0</v>
      </c>
      <c r="G1247" s="829">
        <v>33.799999999999997</v>
      </c>
      <c r="H1247" s="412" t="s">
        <v>3004</v>
      </c>
      <c r="I1247" s="1258"/>
      <c r="J1247" s="2" t="str">
        <f>IF(Table5[[#This Row],[Entered]]&lt;&gt;Table5[[#This Row],[Quantity]],"Check","")</f>
        <v/>
      </c>
    </row>
    <row r="1248" spans="1:10" ht="15" x14ac:dyDescent="0.2">
      <c r="A1248" s="324" t="s">
        <v>2980</v>
      </c>
      <c r="B1248" s="324" t="str">
        <f t="shared" si="78"/>
        <v>1000</v>
      </c>
      <c r="C1248" s="324">
        <v>52640</v>
      </c>
      <c r="D1248" s="324" t="str">
        <f>"7001"</f>
        <v>7001</v>
      </c>
      <c r="E1248" s="324">
        <v>1</v>
      </c>
      <c r="F1248" s="827">
        <f>IF(COUNTIFS(Addenda!A:A,"*OLIVE*",Addenda!A:A,"*BRIGHT*")&gt;0,COUNTIF(Name,"Privacy"),0)</f>
        <v>0</v>
      </c>
      <c r="G1248" s="829">
        <v>36.82</v>
      </c>
      <c r="H1248" s="412" t="s">
        <v>3005</v>
      </c>
      <c r="I1248" s="1258"/>
      <c r="J1248" s="2" t="str">
        <f>IF(Table5[[#This Row],[Entered]]&lt;&gt;Table5[[#This Row],[Quantity]],"Check","")</f>
        <v/>
      </c>
    </row>
    <row r="1249" spans="1:10" ht="15" x14ac:dyDescent="0.2">
      <c r="A1249" s="324" t="s">
        <v>2980</v>
      </c>
      <c r="B1249" s="324" t="str">
        <f t="shared" si="78"/>
        <v>1000</v>
      </c>
      <c r="C1249" s="324" t="str">
        <f t="shared" ref="C1249" si="82">"52640"</f>
        <v>52640</v>
      </c>
      <c r="D1249" s="324" t="str">
        <f>"7002"</f>
        <v>7002</v>
      </c>
      <c r="E1249" s="324">
        <v>1</v>
      </c>
      <c r="F1249" s="827">
        <f>IF(COUNTIFS(Addenda!A:A,"*OLIVE*",Addenda!A:A,"*BRIGHT*")&gt;0,Dummy_Handle_Count,0)</f>
        <v>0</v>
      </c>
      <c r="G1249" s="829">
        <v>20.87</v>
      </c>
      <c r="H1249" s="412" t="s">
        <v>3003</v>
      </c>
      <c r="I1249" s="1258"/>
      <c r="J1249" s="2" t="str">
        <f>IF(Table5[[#This Row],[Entered]]&lt;&gt;Table5[[#This Row],[Quantity]],"Check","")</f>
        <v/>
      </c>
    </row>
    <row r="1250" spans="1:10" ht="15" x14ac:dyDescent="0.2">
      <c r="A1250" s="324" t="s">
        <v>2980</v>
      </c>
      <c r="B1250" s="324" t="str">
        <f t="shared" si="78"/>
        <v>1000</v>
      </c>
      <c r="C1250" s="324" t="str">
        <f t="shared" ref="C1250:C1280" si="83">"52640"</f>
        <v>52640</v>
      </c>
      <c r="D1250" s="342">
        <f>128</f>
        <v>128</v>
      </c>
      <c r="E1250" s="324">
        <v>1</v>
      </c>
      <c r="F1250" s="827">
        <f>IF(COUNTIFS(Addenda!A:A,"*AMBASSADOR*")&gt;0,COUNTIF(Name,"Passage")+COUNTIF('CSV FF'!A:A,"Passage"),0)</f>
        <v>0</v>
      </c>
      <c r="G1250" s="829"/>
      <c r="H1250" s="503" t="s">
        <v>2056</v>
      </c>
      <c r="I1250" s="1207"/>
      <c r="J1250" s="2" t="str">
        <f>IF(Table5[[#This Row],[Entered]]&lt;&gt;Table5[[#This Row],[Quantity]],"Check","")</f>
        <v/>
      </c>
    </row>
    <row r="1251" spans="1:10" ht="15" x14ac:dyDescent="0.2">
      <c r="A1251" s="324" t="s">
        <v>2980</v>
      </c>
      <c r="B1251" s="324" t="str">
        <f t="shared" si="78"/>
        <v>1000</v>
      </c>
      <c r="C1251" s="324" t="str">
        <f t="shared" si="83"/>
        <v>52640</v>
      </c>
      <c r="D1251" s="342">
        <f>129</f>
        <v>129</v>
      </c>
      <c r="E1251" s="324">
        <v>1</v>
      </c>
      <c r="F1251" s="827">
        <f>IF(COUNTIFS(Addenda!A:A,"*AMBASSADOR*")&gt;0,COUNTIF(Name,"Privacy")+COUNTIF('CSV FF'!A:A,"Privacy"),0)</f>
        <v>0</v>
      </c>
      <c r="G1251" s="829"/>
      <c r="H1251" s="503" t="s">
        <v>2057</v>
      </c>
      <c r="I1251" s="1207"/>
      <c r="J1251" s="2" t="str">
        <f>IF(Table5[[#This Row],[Entered]]&lt;&gt;Table5[[#This Row],[Quantity]],"Check","")</f>
        <v/>
      </c>
    </row>
    <row r="1252" spans="1:10" ht="15" x14ac:dyDescent="0.2">
      <c r="A1252" s="324" t="s">
        <v>2980</v>
      </c>
      <c r="B1252" s="324" t="str">
        <f t="shared" si="78"/>
        <v>1000</v>
      </c>
      <c r="C1252" s="324" t="str">
        <f t="shared" si="83"/>
        <v>52640</v>
      </c>
      <c r="D1252" s="342">
        <f>130</f>
        <v>130</v>
      </c>
      <c r="E1252" s="324">
        <v>1</v>
      </c>
      <c r="F1252" s="827">
        <f>IF(COUNTIFS(Addenda!A:A,"*AMBASSADOR*")&gt;0,Dummy_Handle_Count,0)</f>
        <v>0</v>
      </c>
      <c r="G1252" s="829"/>
      <c r="H1252" s="503" t="s">
        <v>2058</v>
      </c>
      <c r="I1252" s="1207"/>
      <c r="J1252" s="2" t="str">
        <f>IF(Table5[[#This Row],[Entered]]&lt;&gt;Table5[[#This Row],[Quantity]],"Check","")</f>
        <v/>
      </c>
    </row>
    <row r="1253" spans="1:10" ht="15" x14ac:dyDescent="0.2">
      <c r="A1253" s="324" t="s">
        <v>2980</v>
      </c>
      <c r="B1253" s="324" t="str">
        <f t="shared" si="78"/>
        <v>1000</v>
      </c>
      <c r="C1253" s="324" t="str">
        <f t="shared" si="83"/>
        <v>52640</v>
      </c>
      <c r="D1253" s="342">
        <f>131</f>
        <v>131</v>
      </c>
      <c r="E1253" s="324">
        <v>1</v>
      </c>
      <c r="F1253" s="827">
        <f>IF(COUNTIFS(Addenda!A:A,"*ELENA*")&gt;0,COUNTIF(Name,"Passage")+COUNTIF('CSV FF'!A:A,"Passage"),0)</f>
        <v>0</v>
      </c>
      <c r="G1253" s="829"/>
      <c r="H1253" s="503" t="s">
        <v>2059</v>
      </c>
      <c r="I1253" s="1207"/>
      <c r="J1253" s="2" t="str">
        <f>IF(Table5[[#This Row],[Entered]]&lt;&gt;Table5[[#This Row],[Quantity]],"Check","")</f>
        <v/>
      </c>
    </row>
    <row r="1254" spans="1:10" ht="15" x14ac:dyDescent="0.2">
      <c r="A1254" s="324" t="s">
        <v>2980</v>
      </c>
      <c r="B1254" s="324" t="str">
        <f t="shared" si="78"/>
        <v>1000</v>
      </c>
      <c r="C1254" s="324" t="str">
        <f t="shared" si="83"/>
        <v>52640</v>
      </c>
      <c r="D1254" s="342">
        <f>132</f>
        <v>132</v>
      </c>
      <c r="E1254" s="324">
        <v>1</v>
      </c>
      <c r="F1254" s="827">
        <f>IF(COUNTIFS(Addenda!A:A,"*ELENA*")&gt;0,COUNTIF(Name,"Privacy")+COUNTIF('CSV FF'!A:A,"Privacy"),0)</f>
        <v>0</v>
      </c>
      <c r="G1254" s="829"/>
      <c r="H1254" s="503" t="s">
        <v>2060</v>
      </c>
      <c r="I1254" s="1207"/>
      <c r="J1254" s="2" t="str">
        <f>IF(Table5[[#This Row],[Entered]]&lt;&gt;Table5[[#This Row],[Quantity]],"Check","")</f>
        <v/>
      </c>
    </row>
    <row r="1255" spans="1:10" ht="15" x14ac:dyDescent="0.2">
      <c r="A1255" s="324" t="s">
        <v>2980</v>
      </c>
      <c r="B1255" s="324" t="str">
        <f t="shared" si="78"/>
        <v>1000</v>
      </c>
      <c r="C1255" s="324" t="str">
        <f t="shared" si="83"/>
        <v>52640</v>
      </c>
      <c r="D1255" s="342">
        <f>133</f>
        <v>133</v>
      </c>
      <c r="E1255" s="324">
        <v>1</v>
      </c>
      <c r="F1255" s="827">
        <f>IF(COUNTIFS(Addenda!A:A,"*ELENA*")&gt;0,Dummy_Handle_Count,0)</f>
        <v>0</v>
      </c>
      <c r="G1255" s="829"/>
      <c r="H1255" s="503" t="s">
        <v>2061</v>
      </c>
      <c r="I1255" s="1207"/>
      <c r="J1255" s="2" t="str">
        <f>IF(Table5[[#This Row],[Entered]]&lt;&gt;Table5[[#This Row],[Quantity]],"Check","")</f>
        <v/>
      </c>
    </row>
    <row r="1256" spans="1:10" ht="15" x14ac:dyDescent="0.2">
      <c r="A1256" s="324" t="s">
        <v>2980</v>
      </c>
      <c r="B1256" s="324" t="str">
        <f t="shared" si="78"/>
        <v>1000</v>
      </c>
      <c r="C1256" s="324" t="str">
        <f t="shared" si="83"/>
        <v>52640</v>
      </c>
      <c r="D1256" s="342">
        <f>134</f>
        <v>134</v>
      </c>
      <c r="E1256" s="324">
        <v>1</v>
      </c>
      <c r="F1256" s="827">
        <f>IF(COUNTIFS(Addenda!A:A,"*ELENA*")&gt;0,Dummy_Handle_Count,0)</f>
        <v>0</v>
      </c>
      <c r="G1256" s="829"/>
      <c r="H1256" s="503" t="s">
        <v>2062</v>
      </c>
      <c r="I1256" s="1207"/>
      <c r="J1256" s="2" t="str">
        <f>IF(Table5[[#This Row],[Entered]]&lt;&gt;Table5[[#This Row],[Quantity]],"Check","")</f>
        <v/>
      </c>
    </row>
    <row r="1257" spans="1:10" ht="15" x14ac:dyDescent="0.2">
      <c r="A1257" s="324" t="s">
        <v>2980</v>
      </c>
      <c r="B1257" s="324" t="str">
        <f t="shared" si="78"/>
        <v>1000</v>
      </c>
      <c r="C1257" s="324" t="str">
        <f t="shared" si="83"/>
        <v>52640</v>
      </c>
      <c r="D1257" s="342">
        <f>135</f>
        <v>135</v>
      </c>
      <c r="E1257" s="324">
        <v>1</v>
      </c>
      <c r="F1257" s="827">
        <f>IF(COUNTIFS(Addenda!A:A,"*ELENA*")&gt;0,COUNTIF(Name,"Passage")+COUNTIF('CSV FF'!A:A,"Passage"),0)</f>
        <v>0</v>
      </c>
      <c r="G1257" s="829"/>
      <c r="H1257" s="503" t="s">
        <v>2063</v>
      </c>
      <c r="I1257" s="1207"/>
      <c r="J1257" s="2" t="str">
        <f>IF(Table5[[#This Row],[Entered]]&lt;&gt;Table5[[#This Row],[Quantity]],"Check","")</f>
        <v/>
      </c>
    </row>
    <row r="1258" spans="1:10" ht="15" x14ac:dyDescent="0.2">
      <c r="A1258" s="324" t="s">
        <v>2980</v>
      </c>
      <c r="B1258" s="324" t="str">
        <f t="shared" si="78"/>
        <v>1000</v>
      </c>
      <c r="C1258" s="324" t="str">
        <f t="shared" si="83"/>
        <v>52640</v>
      </c>
      <c r="D1258" s="342">
        <f>136</f>
        <v>136</v>
      </c>
      <c r="E1258" s="324">
        <v>1</v>
      </c>
      <c r="F1258" s="827">
        <f>IF(COUNTIFS(Addenda!A:A,"*ELENA*")&gt;0,COUNTIF(Name,"Privacy")+COUNTIF('CSV FF'!A:A,"Privacy"),0)</f>
        <v>0</v>
      </c>
      <c r="G1258" s="829"/>
      <c r="H1258" s="503" t="s">
        <v>2064</v>
      </c>
      <c r="I1258" s="1207"/>
      <c r="J1258" s="2" t="str">
        <f>IF(Table5[[#This Row],[Entered]]&lt;&gt;Table5[[#This Row],[Quantity]],"Check","")</f>
        <v/>
      </c>
    </row>
    <row r="1259" spans="1:10" ht="15" x14ac:dyDescent="0.2">
      <c r="A1259" s="324" t="s">
        <v>2980</v>
      </c>
      <c r="B1259" s="324" t="str">
        <f t="shared" si="78"/>
        <v>1000</v>
      </c>
      <c r="C1259" s="324" t="str">
        <f t="shared" si="83"/>
        <v>52640</v>
      </c>
      <c r="D1259" s="342">
        <f>137</f>
        <v>137</v>
      </c>
      <c r="E1259" s="324">
        <v>1</v>
      </c>
      <c r="F1259" s="827">
        <f>IF(COUNTIFS(Addenda!A:A,"*ELENA*")&gt;0,Dummy_Handle_Count,0)</f>
        <v>0</v>
      </c>
      <c r="G1259" s="829"/>
      <c r="H1259" s="503" t="s">
        <v>2065</v>
      </c>
      <c r="I1259" s="1207"/>
      <c r="J1259" s="2" t="str">
        <f>IF(Table5[[#This Row],[Entered]]&lt;&gt;Table5[[#This Row],[Quantity]],"Check","")</f>
        <v/>
      </c>
    </row>
    <row r="1260" spans="1:10" ht="15" x14ac:dyDescent="0.2">
      <c r="A1260" s="324" t="s">
        <v>2980</v>
      </c>
      <c r="B1260" s="324" t="str">
        <f t="shared" si="78"/>
        <v>1000</v>
      </c>
      <c r="C1260" s="324" t="str">
        <f t="shared" si="83"/>
        <v>52640</v>
      </c>
      <c r="D1260" s="342">
        <f>138</f>
        <v>138</v>
      </c>
      <c r="E1260" s="324">
        <v>1</v>
      </c>
      <c r="F1260" s="827">
        <f>IF(COUNTIFS(Addenda!A:A,"*ELENA*")&gt;0,Dummy_Handle_Count,0)</f>
        <v>0</v>
      </c>
      <c r="G1260" s="829"/>
      <c r="H1260" s="503" t="s">
        <v>2066</v>
      </c>
      <c r="I1260" s="1207"/>
      <c r="J1260" s="2" t="str">
        <f>IF(Table5[[#This Row],[Entered]]&lt;&gt;Table5[[#This Row],[Quantity]],"Check","")</f>
        <v/>
      </c>
    </row>
    <row r="1261" spans="1:10" ht="15" x14ac:dyDescent="0.2">
      <c r="A1261" s="324" t="s">
        <v>2980</v>
      </c>
      <c r="B1261" s="324" t="str">
        <f t="shared" si="78"/>
        <v>1000</v>
      </c>
      <c r="C1261" s="324" t="str">
        <f t="shared" si="83"/>
        <v>52640</v>
      </c>
      <c r="D1261" s="342">
        <f>143</f>
        <v>143</v>
      </c>
      <c r="E1261" s="324">
        <v>1</v>
      </c>
      <c r="F1261" s="827">
        <f>IF(COUNTIFS(Addenda!A:A,"*SOFIA*")&gt;0,COUNTIF(Name,"Passage")+COUNTIF('CSV FF'!A:A,"Passage"),0)</f>
        <v>0</v>
      </c>
      <c r="G1261" s="829"/>
      <c r="H1261" s="503" t="s">
        <v>2067</v>
      </c>
      <c r="I1261" s="1207"/>
      <c r="J1261" s="2" t="str">
        <f>IF(Table5[[#This Row],[Entered]]&lt;&gt;Table5[[#This Row],[Quantity]],"Check","")</f>
        <v/>
      </c>
    </row>
    <row r="1262" spans="1:10" ht="15" x14ac:dyDescent="0.2">
      <c r="A1262" s="324" t="s">
        <v>2980</v>
      </c>
      <c r="B1262" s="324" t="str">
        <f t="shared" si="78"/>
        <v>1000</v>
      </c>
      <c r="C1262" s="324" t="str">
        <f t="shared" si="83"/>
        <v>52640</v>
      </c>
      <c r="D1262" s="342">
        <f>144</f>
        <v>144</v>
      </c>
      <c r="E1262" s="324">
        <v>1</v>
      </c>
      <c r="F1262" s="827">
        <f>IF(COUNTIFS(Addenda!A:A,"*SOFIA*")&gt;0,COUNTIF(Name,"Privacy")+COUNTIF('CSV FF'!A:A,"Privacy"),0)</f>
        <v>0</v>
      </c>
      <c r="G1262" s="829"/>
      <c r="H1262" s="503" t="s">
        <v>2068</v>
      </c>
      <c r="I1262" s="1207"/>
      <c r="J1262" s="2" t="str">
        <f>IF(Table5[[#This Row],[Entered]]&lt;&gt;Table5[[#This Row],[Quantity]],"Check","")</f>
        <v/>
      </c>
    </row>
    <row r="1263" spans="1:10" ht="15" x14ac:dyDescent="0.2">
      <c r="A1263" s="324" t="s">
        <v>2980</v>
      </c>
      <c r="B1263" s="324" t="str">
        <f t="shared" si="78"/>
        <v>1000</v>
      </c>
      <c r="C1263" s="324" t="str">
        <f t="shared" si="83"/>
        <v>52640</v>
      </c>
      <c r="D1263" s="342">
        <f>145</f>
        <v>145</v>
      </c>
      <c r="E1263" s="324">
        <v>1</v>
      </c>
      <c r="F1263" s="827">
        <f>IF(COUNTIFS(Addenda!A:A,"*SOFIA*")&gt;0,Dummy_Handle_Count,0)</f>
        <v>0</v>
      </c>
      <c r="G1263" s="829"/>
      <c r="H1263" s="503" t="s">
        <v>2069</v>
      </c>
      <c r="I1263" s="1207"/>
      <c r="J1263" s="2" t="str">
        <f>IF(Table5[[#This Row],[Entered]]&lt;&gt;Table5[[#This Row],[Quantity]],"Check","")</f>
        <v/>
      </c>
    </row>
    <row r="1264" spans="1:10" ht="15" x14ac:dyDescent="0.2">
      <c r="A1264" s="324" t="s">
        <v>2980</v>
      </c>
      <c r="B1264" s="324" t="str">
        <f t="shared" si="78"/>
        <v>1000</v>
      </c>
      <c r="C1264" s="324" t="str">
        <f t="shared" si="83"/>
        <v>52640</v>
      </c>
      <c r="D1264" s="342">
        <f>146</f>
        <v>146</v>
      </c>
      <c r="E1264" s="324">
        <v>1</v>
      </c>
      <c r="F1264" s="827">
        <f>IF(COUNTIFS(Addenda!A:A,"*SOFIA*")&gt;0,Dummy_Handle_Count,0)</f>
        <v>0</v>
      </c>
      <c r="G1264" s="829"/>
      <c r="H1264" s="503" t="s">
        <v>2070</v>
      </c>
      <c r="I1264" s="1207"/>
      <c r="J1264" s="2" t="str">
        <f>IF(Table5[[#This Row],[Entered]]&lt;&gt;Table5[[#This Row],[Quantity]],"Check","")</f>
        <v/>
      </c>
    </row>
    <row r="1265" spans="1:10" ht="15" x14ac:dyDescent="0.2">
      <c r="A1265" s="324" t="s">
        <v>2980</v>
      </c>
      <c r="B1265" s="324" t="str">
        <f t="shared" si="78"/>
        <v>1000</v>
      </c>
      <c r="C1265" s="324" t="str">
        <f t="shared" si="83"/>
        <v>52640</v>
      </c>
      <c r="D1265" s="342">
        <f>147</f>
        <v>147</v>
      </c>
      <c r="E1265" s="324">
        <v>1</v>
      </c>
      <c r="F1265" s="827">
        <f>IF(COUNTIFS(Addenda!A:A,"*SOFIA*")&gt;0,COUNTIF(Name,"Passage")+COUNTIF('CSV FF'!A:A,"Passage"),0)</f>
        <v>0</v>
      </c>
      <c r="G1265" s="829"/>
      <c r="H1265" s="503" t="s">
        <v>2071</v>
      </c>
      <c r="I1265" s="1207"/>
      <c r="J1265" s="2" t="str">
        <f>IF(Table5[[#This Row],[Entered]]&lt;&gt;Table5[[#This Row],[Quantity]],"Check","")</f>
        <v/>
      </c>
    </row>
    <row r="1266" spans="1:10" ht="15" x14ac:dyDescent="0.2">
      <c r="A1266" s="324" t="s">
        <v>2980</v>
      </c>
      <c r="B1266" s="324" t="str">
        <f t="shared" ref="B1266:B1329" si="84">"1000"</f>
        <v>1000</v>
      </c>
      <c r="C1266" s="324" t="str">
        <f t="shared" si="83"/>
        <v>52640</v>
      </c>
      <c r="D1266" s="342">
        <f>148</f>
        <v>148</v>
      </c>
      <c r="E1266" s="324">
        <v>1</v>
      </c>
      <c r="F1266" s="827">
        <f>IF(COUNTIFS(Addenda!A:A,"*SOFIA*")&gt;0,COUNTIF(Name,"Privacy")+COUNTIF('CSV FF'!A:A,"Privacy"),0)</f>
        <v>0</v>
      </c>
      <c r="G1266" s="829"/>
      <c r="H1266" s="503" t="s">
        <v>2072</v>
      </c>
      <c r="I1266" s="1207"/>
      <c r="J1266" s="2" t="str">
        <f>IF(Table5[[#This Row],[Entered]]&lt;&gt;Table5[[#This Row],[Quantity]],"Check","")</f>
        <v/>
      </c>
    </row>
    <row r="1267" spans="1:10" ht="15" x14ac:dyDescent="0.2">
      <c r="A1267" s="324" t="s">
        <v>2980</v>
      </c>
      <c r="B1267" s="324" t="str">
        <f t="shared" si="84"/>
        <v>1000</v>
      </c>
      <c r="C1267" s="324" t="str">
        <f t="shared" si="83"/>
        <v>52640</v>
      </c>
      <c r="D1267" s="342">
        <f>149</f>
        <v>149</v>
      </c>
      <c r="E1267" s="324">
        <v>1</v>
      </c>
      <c r="F1267" s="827">
        <f>IF(COUNTIFS(Addenda!A:A,"*SOFIA*")&gt;0,Dummy_Handle_Count,0)</f>
        <v>0</v>
      </c>
      <c r="G1267" s="829"/>
      <c r="H1267" s="503" t="s">
        <v>2073</v>
      </c>
      <c r="I1267" s="1207"/>
      <c r="J1267" s="2" t="str">
        <f>IF(Table5[[#This Row],[Entered]]&lt;&gt;Table5[[#This Row],[Quantity]],"Check","")</f>
        <v/>
      </c>
    </row>
    <row r="1268" spans="1:10" ht="15" x14ac:dyDescent="0.2">
      <c r="A1268" s="324" t="s">
        <v>2980</v>
      </c>
      <c r="B1268" s="324" t="str">
        <f t="shared" si="84"/>
        <v>1000</v>
      </c>
      <c r="C1268" s="324" t="str">
        <f t="shared" si="83"/>
        <v>52640</v>
      </c>
      <c r="D1268" s="342">
        <f>150</f>
        <v>150</v>
      </c>
      <c r="E1268" s="324">
        <v>1</v>
      </c>
      <c r="F1268" s="827">
        <f>IF(COUNTIFS(Addenda!A:A,"*SOFIA*")&gt;0,Dummy_Handle_Count,0)</f>
        <v>0</v>
      </c>
      <c r="G1268" s="829"/>
      <c r="H1268" s="503" t="s">
        <v>2074</v>
      </c>
      <c r="I1268" s="1207"/>
      <c r="J1268" s="2" t="str">
        <f>IF(Table5[[#This Row],[Entered]]&lt;&gt;Table5[[#This Row],[Quantity]],"Check","")</f>
        <v/>
      </c>
    </row>
    <row r="1269" spans="1:10" ht="15" x14ac:dyDescent="0.2">
      <c r="A1269" s="324" t="s">
        <v>2980</v>
      </c>
      <c r="B1269" s="324" t="str">
        <f t="shared" si="84"/>
        <v>1000</v>
      </c>
      <c r="C1269" s="324" t="str">
        <f t="shared" si="83"/>
        <v>52640</v>
      </c>
      <c r="D1269" s="342">
        <f>155</f>
        <v>155</v>
      </c>
      <c r="E1269" s="324">
        <v>1</v>
      </c>
      <c r="F1269" s="827">
        <f>IF(COUNTIFS(Addenda!A:A,"*ALYSSIA*",Addenda!A:A,"*BR*")&gt;0,COUNTIF(Name,"Passage")+COUNTIF('CSV FF'!A:A,"Passage"),0)</f>
        <v>0</v>
      </c>
      <c r="G1269" s="829"/>
      <c r="H1269" s="503" t="s">
        <v>2075</v>
      </c>
      <c r="I1269" s="1207"/>
      <c r="J1269" s="2" t="str">
        <f>IF(Table5[[#This Row],[Entered]]&lt;&gt;Table5[[#This Row],[Quantity]],"Check","")</f>
        <v/>
      </c>
    </row>
    <row r="1270" spans="1:10" ht="15" x14ac:dyDescent="0.2">
      <c r="A1270" s="324" t="s">
        <v>2980</v>
      </c>
      <c r="B1270" s="324" t="str">
        <f t="shared" si="84"/>
        <v>1000</v>
      </c>
      <c r="C1270" s="324" t="str">
        <f t="shared" si="83"/>
        <v>52640</v>
      </c>
      <c r="D1270" s="342">
        <f>156</f>
        <v>156</v>
      </c>
      <c r="E1270" s="324">
        <v>1</v>
      </c>
      <c r="F1270" s="827">
        <f>IF(COUNTIFS(Addenda!A:A,"*ALYSSIA*",Addenda!A:A,"*BR*")&gt;0,COUNTIF(Name,"Privacy")+COUNTIF('CSV FF'!A:A,"Privacy"),0)</f>
        <v>0</v>
      </c>
      <c r="G1270" s="829"/>
      <c r="H1270" s="503" t="s">
        <v>2076</v>
      </c>
      <c r="I1270" s="1207"/>
      <c r="J1270" s="2" t="str">
        <f>IF(Table5[[#This Row],[Entered]]&lt;&gt;Table5[[#This Row],[Quantity]],"Check","")</f>
        <v/>
      </c>
    </row>
    <row r="1271" spans="1:10" ht="15" x14ac:dyDescent="0.2">
      <c r="A1271" s="324" t="s">
        <v>2980</v>
      </c>
      <c r="B1271" s="324" t="str">
        <f t="shared" si="84"/>
        <v>1000</v>
      </c>
      <c r="C1271" s="324" t="str">
        <f t="shared" si="83"/>
        <v>52640</v>
      </c>
      <c r="D1271" s="342">
        <f>157</f>
        <v>157</v>
      </c>
      <c r="E1271" s="324">
        <v>1</v>
      </c>
      <c r="F1271" s="827">
        <f>IF(COUNTIFS(Addenda!A:A,"*ALYSSIA*",Addenda!A:A,"*BR*")&gt;0,COUNTIF(Name,"Dummy LH")+COUNTIF(Name,"Dummy Dbl"),0)</f>
        <v>0</v>
      </c>
      <c r="G1271" s="829"/>
      <c r="H1271" s="503" t="s">
        <v>2077</v>
      </c>
      <c r="I1271" s="1207"/>
      <c r="J1271" s="2" t="str">
        <f>IF(Table5[[#This Row],[Entered]]&lt;&gt;Table5[[#This Row],[Quantity]],"Check","")</f>
        <v/>
      </c>
    </row>
    <row r="1272" spans="1:10" ht="15" x14ac:dyDescent="0.2">
      <c r="A1272" s="324" t="s">
        <v>2980</v>
      </c>
      <c r="B1272" s="324" t="str">
        <f t="shared" si="84"/>
        <v>1000</v>
      </c>
      <c r="C1272" s="324" t="str">
        <f t="shared" si="83"/>
        <v>52640</v>
      </c>
      <c r="D1272" s="342">
        <f>158</f>
        <v>158</v>
      </c>
      <c r="E1272" s="324">
        <v>1</v>
      </c>
      <c r="F1272" s="827">
        <f>IF(COUNTIFS(Addenda!A:A,"*ALYSSIA*",Addenda!A:A,"*BR*")&gt;0,COUNTIF(Name,"Dummy LH")+COUNTIF(Name,"Dummy Dbl"),0)</f>
        <v>0</v>
      </c>
      <c r="G1272" s="829"/>
      <c r="H1272" s="503" t="s">
        <v>2078</v>
      </c>
      <c r="I1272" s="1207"/>
      <c r="J1272" s="2" t="str">
        <f>IF(Table5[[#This Row],[Entered]]&lt;&gt;Table5[[#This Row],[Quantity]],"Check","")</f>
        <v/>
      </c>
    </row>
    <row r="1273" spans="1:10" ht="15" x14ac:dyDescent="0.2">
      <c r="A1273" s="324" t="s">
        <v>2980</v>
      </c>
      <c r="B1273" s="324" t="str">
        <f t="shared" si="84"/>
        <v>1000</v>
      </c>
      <c r="C1273" s="324" t="str">
        <f t="shared" si="83"/>
        <v>52640</v>
      </c>
      <c r="D1273" s="342">
        <f>159</f>
        <v>159</v>
      </c>
      <c r="E1273" s="324">
        <v>1</v>
      </c>
      <c r="F1273" s="827">
        <f>IF(COUNTIFS(Addenda!A:A,"*ALYSSIA*",Addenda!A:A,"*SATIN*")&gt;0,COUNTIF(Name,"Passage")+COUNTIF('CSV FF'!A:A,"Passage"),0)</f>
        <v>0</v>
      </c>
      <c r="G1273" s="829"/>
      <c r="H1273" s="503" t="s">
        <v>2079</v>
      </c>
      <c r="I1273" s="1207"/>
      <c r="J1273" s="2" t="str">
        <f>IF(Table5[[#This Row],[Entered]]&lt;&gt;Table5[[#This Row],[Quantity]],"Check","")</f>
        <v/>
      </c>
    </row>
    <row r="1274" spans="1:10" ht="15" x14ac:dyDescent="0.2">
      <c r="A1274" s="324" t="s">
        <v>2980</v>
      </c>
      <c r="B1274" s="324" t="str">
        <f t="shared" si="84"/>
        <v>1000</v>
      </c>
      <c r="C1274" s="324" t="str">
        <f t="shared" si="83"/>
        <v>52640</v>
      </c>
      <c r="D1274" s="342">
        <f>160</f>
        <v>160</v>
      </c>
      <c r="E1274" s="324">
        <v>1</v>
      </c>
      <c r="F1274" s="827">
        <f>IF(COUNTIFS(Addenda!A:A,"*ALYSSIA*",Addenda!A:A,"*SATIN*")&gt;0,COUNTIF(Name,"Privacy")+COUNTIF('CSV FF'!A:A,"Privacy"),0)</f>
        <v>0</v>
      </c>
      <c r="G1274" s="829"/>
      <c r="H1274" s="503" t="s">
        <v>2080</v>
      </c>
      <c r="I1274" s="1207"/>
      <c r="J1274" s="2" t="str">
        <f>IF(Table5[[#This Row],[Entered]]&lt;&gt;Table5[[#This Row],[Quantity]],"Check","")</f>
        <v/>
      </c>
    </row>
    <row r="1275" spans="1:10" ht="15" x14ac:dyDescent="0.2">
      <c r="A1275" s="324" t="s">
        <v>2980</v>
      </c>
      <c r="B1275" s="324" t="str">
        <f t="shared" si="84"/>
        <v>1000</v>
      </c>
      <c r="C1275" s="324" t="str">
        <f t="shared" si="83"/>
        <v>52640</v>
      </c>
      <c r="D1275" s="342">
        <f>161</f>
        <v>161</v>
      </c>
      <c r="E1275" s="324">
        <v>1</v>
      </c>
      <c r="F1275" s="827">
        <f>IF(COUNTIFS(Addenda!A:A,"*ALYSSIA*",Addenda!A:A,"*SATIN*")&gt;0,COUNTIF(Name,"Dummy LH")+COUNTIF(Name,"Dummy Dbl"),0)</f>
        <v>0</v>
      </c>
      <c r="G1275" s="829"/>
      <c r="H1275" s="503" t="s">
        <v>2081</v>
      </c>
      <c r="I1275" s="1207"/>
      <c r="J1275" s="2" t="str">
        <f>IF(Table5[[#This Row],[Entered]]&lt;&gt;Table5[[#This Row],[Quantity]],"Check","")</f>
        <v/>
      </c>
    </row>
    <row r="1276" spans="1:10" ht="15" x14ac:dyDescent="0.2">
      <c r="A1276" s="324" t="s">
        <v>2980</v>
      </c>
      <c r="B1276" s="324" t="str">
        <f t="shared" si="84"/>
        <v>1000</v>
      </c>
      <c r="C1276" s="324" t="str">
        <f t="shared" si="83"/>
        <v>52640</v>
      </c>
      <c r="D1276" s="342">
        <f>162</f>
        <v>162</v>
      </c>
      <c r="E1276" s="324">
        <v>1</v>
      </c>
      <c r="F1276" s="827">
        <f>IF(COUNTIFS(Addenda!A:A,"*ALYSSIA*",Addenda!A:A,"*SATIN*")&gt;0,COUNTIF(Name,"Dummy RH")+COUNTIF(Name,"Dummy Dbl"),0)</f>
        <v>0</v>
      </c>
      <c r="G1276" s="829"/>
      <c r="H1276" s="503" t="s">
        <v>2082</v>
      </c>
      <c r="I1276" s="1207"/>
      <c r="J1276" s="2" t="str">
        <f>IF(Table5[[#This Row],[Entered]]&lt;&gt;Table5[[#This Row],[Quantity]],"Check","")</f>
        <v/>
      </c>
    </row>
    <row r="1277" spans="1:10" ht="15" x14ac:dyDescent="0.2">
      <c r="A1277" s="324" t="s">
        <v>2980</v>
      </c>
      <c r="B1277" s="324" t="str">
        <f t="shared" si="84"/>
        <v>1000</v>
      </c>
      <c r="C1277" s="324" t="str">
        <f t="shared" si="83"/>
        <v>52640</v>
      </c>
      <c r="D1277" s="342">
        <f>167</f>
        <v>167</v>
      </c>
      <c r="E1277" s="324">
        <v>1</v>
      </c>
      <c r="F1277" s="827">
        <f>IF(COUNTIFS(Addenda!A:A,"*LIANNA*",Addenda!A:A,"*BRIGHT*")&gt;0,COUNTIF(Name,"Passage")+COUNTIF('CSV FF'!A:A,"Passage"),0)</f>
        <v>0</v>
      </c>
      <c r="G1277" s="829"/>
      <c r="H1277" s="503" t="s">
        <v>2083</v>
      </c>
      <c r="I1277" s="1207"/>
      <c r="J1277" s="2" t="str">
        <f>IF(Table5[[#This Row],[Entered]]&lt;&gt;Table5[[#This Row],[Quantity]],"Check","")</f>
        <v/>
      </c>
    </row>
    <row r="1278" spans="1:10" ht="15" x14ac:dyDescent="0.2">
      <c r="A1278" s="324" t="s">
        <v>2980</v>
      </c>
      <c r="B1278" s="324" t="str">
        <f t="shared" si="84"/>
        <v>1000</v>
      </c>
      <c r="C1278" s="324" t="str">
        <f t="shared" si="83"/>
        <v>52640</v>
      </c>
      <c r="D1278" s="342">
        <f>168</f>
        <v>168</v>
      </c>
      <c r="E1278" s="324">
        <v>1</v>
      </c>
      <c r="F1278" s="827">
        <f>IF(COUNTIFS(Addenda!A:A,"*LIANNA*",Addenda!A:A,"*BRIGHT*")&gt;0,COUNTIF(Name,"Privacy")+COUNTIF('CSV FF'!A:A,"Privacy"),0)</f>
        <v>0</v>
      </c>
      <c r="G1278" s="829"/>
      <c r="H1278" s="503" t="s">
        <v>2084</v>
      </c>
      <c r="I1278" s="1207"/>
      <c r="J1278" s="2" t="str">
        <f>IF(Table5[[#This Row],[Entered]]&lt;&gt;Table5[[#This Row],[Quantity]],"Check","")</f>
        <v/>
      </c>
    </row>
    <row r="1279" spans="1:10" ht="15" x14ac:dyDescent="0.2">
      <c r="A1279" s="324" t="s">
        <v>2980</v>
      </c>
      <c r="B1279" s="324" t="str">
        <f t="shared" si="84"/>
        <v>1000</v>
      </c>
      <c r="C1279" s="324" t="str">
        <f t="shared" si="83"/>
        <v>52640</v>
      </c>
      <c r="D1279" s="342">
        <f>169</f>
        <v>169</v>
      </c>
      <c r="E1279" s="324">
        <v>1</v>
      </c>
      <c r="F1279" s="827">
        <f>IF(COUNTIFS(Addenda!A:A,"*LIANNA*",Addenda!A:A,"*BRIGHT*")&gt;0,Dummy_Handle_Count,0)</f>
        <v>0</v>
      </c>
      <c r="G1279" s="829"/>
      <c r="H1279" s="503" t="s">
        <v>2085</v>
      </c>
      <c r="I1279" s="1207"/>
      <c r="J1279" s="2" t="str">
        <f>IF(Table5[[#This Row],[Entered]]&lt;&gt;Table5[[#This Row],[Quantity]],"Check","")</f>
        <v/>
      </c>
    </row>
    <row r="1280" spans="1:10" ht="15" x14ac:dyDescent="0.2">
      <c r="A1280" s="324" t="s">
        <v>2980</v>
      </c>
      <c r="B1280" s="324" t="str">
        <f t="shared" si="84"/>
        <v>1000</v>
      </c>
      <c r="C1280" s="324" t="str">
        <f t="shared" si="83"/>
        <v>52640</v>
      </c>
      <c r="D1280" s="342">
        <f>170</f>
        <v>170</v>
      </c>
      <c r="E1280" s="324">
        <v>1</v>
      </c>
      <c r="F1280" s="827">
        <f>IF(COUNTIFS(Addenda!A:A,"*LIANNA*",Addenda!A:A,"*BRIGHT*")&gt;0,Dummy_Handle_Count,0)</f>
        <v>0</v>
      </c>
      <c r="G1280" s="829"/>
      <c r="H1280" s="503" t="s">
        <v>2086</v>
      </c>
      <c r="I1280" s="1207"/>
      <c r="J1280" s="2" t="str">
        <f>IF(Table5[[#This Row],[Entered]]&lt;&gt;Table5[[#This Row],[Quantity]],"Check","")</f>
        <v/>
      </c>
    </row>
    <row r="1281" spans="1:10" ht="15" x14ac:dyDescent="0.2">
      <c r="A1281" s="324" t="s">
        <v>2980</v>
      </c>
      <c r="B1281" s="324" t="str">
        <f t="shared" si="84"/>
        <v>1000</v>
      </c>
      <c r="C1281" s="324" t="str">
        <f t="shared" ref="C1281:C1310" si="85">"52640"</f>
        <v>52640</v>
      </c>
      <c r="D1281" s="324">
        <f>7171</f>
        <v>7171</v>
      </c>
      <c r="E1281" s="324">
        <v>1</v>
      </c>
      <c r="F1281" s="827">
        <f>IF(COUNTIFS(Addenda!A:A,"*LIANNA*",Addenda!A:A,"*SATIN*")&gt;0,COUNTIF(Name,"Passage")+COUNTIF('CSV FF'!A:A,"Passage"),0)</f>
        <v>0</v>
      </c>
      <c r="G1281" s="829">
        <v>31.4</v>
      </c>
      <c r="H1281" s="412" t="s">
        <v>3651</v>
      </c>
      <c r="I1281" s="1207"/>
      <c r="J1281" s="2" t="str">
        <f>IF(Table5[[#This Row],[Entered]]&lt;&gt;Table5[[#This Row],[Quantity]],"Check","")</f>
        <v/>
      </c>
    </row>
    <row r="1282" spans="1:10" ht="15" x14ac:dyDescent="0.2">
      <c r="A1282" s="324" t="s">
        <v>2980</v>
      </c>
      <c r="B1282" s="324" t="str">
        <f t="shared" si="84"/>
        <v>1000</v>
      </c>
      <c r="C1282" s="324" t="str">
        <f t="shared" si="85"/>
        <v>52640</v>
      </c>
      <c r="D1282" s="324">
        <f>7172</f>
        <v>7172</v>
      </c>
      <c r="E1282" s="324">
        <v>1</v>
      </c>
      <c r="F1282" s="827">
        <f>IF(COUNTIFS(Addenda!A:A,"*LIANNA*",Addenda!A:A,"*SATIN*")&gt;0,COUNTIF(Name,"Privacy")+COUNTIF('CSV FF'!A:A,"Privacy"),0)</f>
        <v>0</v>
      </c>
      <c r="G1282" s="829">
        <v>34.21</v>
      </c>
      <c r="H1282" s="412" t="s">
        <v>3652</v>
      </c>
      <c r="I1282" s="1207"/>
      <c r="J1282" s="2" t="str">
        <f>IF(Table5[[#This Row],[Entered]]&lt;&gt;Table5[[#This Row],[Quantity]],"Check","")</f>
        <v/>
      </c>
    </row>
    <row r="1283" spans="1:10" ht="15" x14ac:dyDescent="0.2">
      <c r="A1283" s="324" t="s">
        <v>2980</v>
      </c>
      <c r="B1283" s="324" t="str">
        <f t="shared" si="84"/>
        <v>1000</v>
      </c>
      <c r="C1283" s="324" t="str">
        <f t="shared" si="85"/>
        <v>52640</v>
      </c>
      <c r="D1283" s="324">
        <f>7173</f>
        <v>7173</v>
      </c>
      <c r="E1283" s="324">
        <v>1</v>
      </c>
      <c r="F1283" s="827">
        <f>IF(COUNTIFS(Addenda!A:A,"*LIANNA*",Addenda!A:A,"*SATIN*")&gt;0,Dummy_Handle_Count,0)</f>
        <v>0</v>
      </c>
      <c r="G1283" s="829">
        <v>19.39</v>
      </c>
      <c r="H1283" s="412" t="s">
        <v>3653</v>
      </c>
      <c r="I1283" s="1207"/>
      <c r="J1283" s="2" t="str">
        <f>IF(Table5[[#This Row],[Entered]]&lt;&gt;Table5[[#This Row],[Quantity]],"Check","")</f>
        <v/>
      </c>
    </row>
    <row r="1284" spans="1:10" ht="15" x14ac:dyDescent="0.2">
      <c r="A1284" s="324" t="s">
        <v>2980</v>
      </c>
      <c r="B1284" s="324" t="str">
        <f t="shared" si="84"/>
        <v>1000</v>
      </c>
      <c r="C1284" s="324" t="str">
        <f t="shared" si="85"/>
        <v>52640</v>
      </c>
      <c r="D1284" s="324">
        <f>7174</f>
        <v>7174</v>
      </c>
      <c r="E1284" s="324">
        <v>1</v>
      </c>
      <c r="F1284" s="827">
        <f>IF(COUNTIFS(Addenda!A:A,"*LIANNA*",Addenda!A:A,"*SATIN*")&gt;0,Dummy_Handle_Count,0)</f>
        <v>0</v>
      </c>
      <c r="G1284" s="829">
        <v>19.39</v>
      </c>
      <c r="H1284" s="412" t="s">
        <v>3654</v>
      </c>
      <c r="I1284" s="1207"/>
      <c r="J1284" s="2" t="str">
        <f>IF(Table5[[#This Row],[Entered]]&lt;&gt;Table5[[#This Row],[Quantity]],"Check","")</f>
        <v/>
      </c>
    </row>
    <row r="1285" spans="1:10" ht="15" x14ac:dyDescent="0.2">
      <c r="A1285" s="324" t="s">
        <v>2980</v>
      </c>
      <c r="B1285" s="324" t="str">
        <f t="shared" si="84"/>
        <v>1000</v>
      </c>
      <c r="C1285" s="324" t="str">
        <f t="shared" si="85"/>
        <v>52640</v>
      </c>
      <c r="D1285" s="324">
        <v>7630</v>
      </c>
      <c r="E1285" s="324">
        <v>1</v>
      </c>
      <c r="F1285" s="827">
        <f>IF(COUNTIFS(Addenda!A:A,"*amelia*",Addenda!A:A,"*satin*")&gt;0,COUNTIF(Name,"Passage")+COUNTIF('CSV FF'!A:A,"Passage"),0)</f>
        <v>0</v>
      </c>
      <c r="G1285" s="829">
        <v>32.229999999999997</v>
      </c>
      <c r="H1285" s="412" t="s">
        <v>2087</v>
      </c>
      <c r="I1285" s="1258"/>
      <c r="J1285" s="2" t="str">
        <f>IF(Table5[[#This Row],[Entered]]&lt;&gt;Table5[[#This Row],[Quantity]],"Check","")</f>
        <v/>
      </c>
    </row>
    <row r="1286" spans="1:10" ht="15" x14ac:dyDescent="0.2">
      <c r="A1286" s="324" t="s">
        <v>2980</v>
      </c>
      <c r="B1286" s="324" t="str">
        <f t="shared" si="84"/>
        <v>1000</v>
      </c>
      <c r="C1286" s="324" t="str">
        <f t="shared" si="85"/>
        <v>52640</v>
      </c>
      <c r="D1286" s="324">
        <v>7631</v>
      </c>
      <c r="E1286" s="324">
        <v>1</v>
      </c>
      <c r="F1286" s="827">
        <f>IF(COUNTIFS(Addenda!A:A,"*amelia*",Addenda!A:A,"*satin*")&gt;0,COUNTIF(Name,"Privacy")+COUNTIF('CSV FF'!A:A,"Privacy"),0)</f>
        <v>0</v>
      </c>
      <c r="G1286" s="829">
        <v>35.58</v>
      </c>
      <c r="H1286" s="412" t="s">
        <v>2088</v>
      </c>
      <c r="I1286" s="1258"/>
      <c r="J1286" s="2" t="str">
        <f>IF(Table5[[#This Row],[Entered]]&lt;&gt;Table5[[#This Row],[Quantity]],"Check","")</f>
        <v/>
      </c>
    </row>
    <row r="1287" spans="1:10" ht="15" x14ac:dyDescent="0.2">
      <c r="A1287" s="324" t="s">
        <v>2980</v>
      </c>
      <c r="B1287" s="324" t="str">
        <f t="shared" si="84"/>
        <v>1000</v>
      </c>
      <c r="C1287" s="324" t="str">
        <f t="shared" si="85"/>
        <v>52640</v>
      </c>
      <c r="D1287" s="324">
        <v>7632</v>
      </c>
      <c r="E1287" s="324">
        <v>1</v>
      </c>
      <c r="F1287" s="827">
        <f>IF(COUNTIFS(Addenda!A:A,"*amelia*",Addenda!A:A,"*satin*")&gt;0,Dummy_Handle_Count,0)</f>
        <v>0</v>
      </c>
      <c r="G1287" s="829">
        <v>20.68</v>
      </c>
      <c r="H1287" s="412" t="s">
        <v>2089</v>
      </c>
      <c r="I1287" s="1258"/>
      <c r="J1287" s="2" t="str">
        <f>IF(Table5[[#This Row],[Entered]]&lt;&gt;Table5[[#This Row],[Quantity]],"Check","")</f>
        <v/>
      </c>
    </row>
    <row r="1288" spans="1:10" ht="15" x14ac:dyDescent="0.2">
      <c r="A1288" s="324" t="s">
        <v>2980</v>
      </c>
      <c r="B1288" s="324" t="str">
        <f t="shared" si="84"/>
        <v>1000</v>
      </c>
      <c r="C1288" s="324" t="str">
        <f t="shared" si="85"/>
        <v>52640</v>
      </c>
      <c r="D1288" s="342">
        <f>190</f>
        <v>190</v>
      </c>
      <c r="E1288" s="324">
        <v>1</v>
      </c>
      <c r="F1288" s="827">
        <f>IF(COUNTIFS(Addenda!A:A,"*AURORA*")&gt;0,COUNTIF(Name,"Passage")+COUNTIF('CSV FF'!A:A,"Passage"),0)</f>
        <v>0</v>
      </c>
      <c r="G1288" s="829"/>
      <c r="H1288" s="503" t="s">
        <v>2090</v>
      </c>
      <c r="I1288" s="1207"/>
      <c r="J1288" s="2" t="str">
        <f>IF(Table5[[#This Row],[Entered]]&lt;&gt;Table5[[#This Row],[Quantity]],"Check","")</f>
        <v/>
      </c>
    </row>
    <row r="1289" spans="1:10" ht="15" x14ac:dyDescent="0.2">
      <c r="A1289" s="324" t="s">
        <v>2980</v>
      </c>
      <c r="B1289" s="324" t="str">
        <f t="shared" si="84"/>
        <v>1000</v>
      </c>
      <c r="C1289" s="324" t="str">
        <f t="shared" si="85"/>
        <v>52640</v>
      </c>
      <c r="D1289" s="342">
        <f>191</f>
        <v>191</v>
      </c>
      <c r="E1289" s="324">
        <v>1</v>
      </c>
      <c r="F1289" s="827">
        <f>IF(COUNTIFS(Addenda!A:A,"*AURORA*")&gt;0,COUNTIF(Name,"Privacy")+COUNTIF('CSV FF'!A:A,"Privacy"),0)</f>
        <v>0</v>
      </c>
      <c r="G1289" s="829"/>
      <c r="H1289" s="503" t="s">
        <v>2091</v>
      </c>
      <c r="I1289" s="1207"/>
      <c r="J1289" s="2" t="str">
        <f>IF(Table5[[#This Row],[Entered]]&lt;&gt;Table5[[#This Row],[Quantity]],"Check","")</f>
        <v/>
      </c>
    </row>
    <row r="1290" spans="1:10" ht="15" x14ac:dyDescent="0.2">
      <c r="A1290" s="324" t="s">
        <v>2980</v>
      </c>
      <c r="B1290" s="324" t="str">
        <f t="shared" si="84"/>
        <v>1000</v>
      </c>
      <c r="C1290" s="324" t="str">
        <f t="shared" si="85"/>
        <v>52640</v>
      </c>
      <c r="D1290" s="342">
        <f>192</f>
        <v>192</v>
      </c>
      <c r="E1290" s="324">
        <v>1</v>
      </c>
      <c r="F1290" s="827">
        <f>IF(COUNTIFS(Addenda!A:A,"*AURORA*")&gt;0,Dummy_Handle_Count,0)</f>
        <v>0</v>
      </c>
      <c r="G1290" s="829"/>
      <c r="H1290" s="503" t="s">
        <v>2092</v>
      </c>
      <c r="I1290" s="1207"/>
      <c r="J1290" s="2" t="str">
        <f>IF(Table5[[#This Row],[Entered]]&lt;&gt;Table5[[#This Row],[Quantity]],"Check","")</f>
        <v/>
      </c>
    </row>
    <row r="1291" spans="1:10" ht="15" x14ac:dyDescent="0.2">
      <c r="A1291" s="324" t="s">
        <v>2980</v>
      </c>
      <c r="B1291" s="324" t="str">
        <f t="shared" si="84"/>
        <v>1000</v>
      </c>
      <c r="C1291" s="324" t="str">
        <f t="shared" si="85"/>
        <v>52640</v>
      </c>
      <c r="D1291" s="342">
        <f>193</f>
        <v>193</v>
      </c>
      <c r="E1291" s="324">
        <v>1</v>
      </c>
      <c r="F1291" s="827">
        <f>IF(COUNTIFS(Addenda!A:A,"*AURORA*")&gt;0,COUNTIF(Name,"Passage")+COUNTIF('CSV FF'!A:A,"Passage"),0)</f>
        <v>0</v>
      </c>
      <c r="G1291" s="829"/>
      <c r="H1291" s="503" t="s">
        <v>2093</v>
      </c>
      <c r="I1291" s="1207"/>
      <c r="J1291" s="2" t="str">
        <f>IF(Table5[[#This Row],[Entered]]&lt;&gt;Table5[[#This Row],[Quantity]],"Check","")</f>
        <v/>
      </c>
    </row>
    <row r="1292" spans="1:10" ht="15" x14ac:dyDescent="0.2">
      <c r="A1292" s="324" t="s">
        <v>2980</v>
      </c>
      <c r="B1292" s="324" t="str">
        <f t="shared" si="84"/>
        <v>1000</v>
      </c>
      <c r="C1292" s="324" t="str">
        <f t="shared" si="85"/>
        <v>52640</v>
      </c>
      <c r="D1292" s="342">
        <f>194</f>
        <v>194</v>
      </c>
      <c r="E1292" s="324">
        <v>1</v>
      </c>
      <c r="F1292" s="827">
        <f>IF(COUNTIFS(Addenda!A:A,"*AURORA*")&gt;0,COUNTIF(Name,"Privacy")+COUNTIF('CSV FF'!A:A,"Privacy"),0)</f>
        <v>0</v>
      </c>
      <c r="G1292" s="829"/>
      <c r="H1292" s="503" t="s">
        <v>2095</v>
      </c>
      <c r="I1292" s="1207"/>
      <c r="J1292" s="2" t="str">
        <f>IF(Table5[[#This Row],[Entered]]&lt;&gt;Table5[[#This Row],[Quantity]],"Check","")</f>
        <v/>
      </c>
    </row>
    <row r="1293" spans="1:10" ht="15" x14ac:dyDescent="0.2">
      <c r="A1293" s="324" t="s">
        <v>2980</v>
      </c>
      <c r="B1293" s="324" t="str">
        <f t="shared" si="84"/>
        <v>1000</v>
      </c>
      <c r="C1293" s="324" t="str">
        <f t="shared" si="85"/>
        <v>52640</v>
      </c>
      <c r="D1293" s="342">
        <f>195</f>
        <v>195</v>
      </c>
      <c r="E1293" s="324">
        <v>1</v>
      </c>
      <c r="F1293" s="827">
        <f>IF(COUNTIFS(Addenda!A:A,"*AURORA*")&gt;0,Dummy_Handle_Count,0)</f>
        <v>0</v>
      </c>
      <c r="G1293" s="829"/>
      <c r="H1293" s="503" t="s">
        <v>2094</v>
      </c>
      <c r="I1293" s="1207"/>
      <c r="J1293" s="2" t="str">
        <f>IF(Table5[[#This Row],[Entered]]&lt;&gt;Table5[[#This Row],[Quantity]],"Check","")</f>
        <v/>
      </c>
    </row>
    <row r="1294" spans="1:10" ht="15" x14ac:dyDescent="0.2">
      <c r="A1294" s="324" t="s">
        <v>2980</v>
      </c>
      <c r="B1294" s="324" t="str">
        <f t="shared" si="84"/>
        <v>1000</v>
      </c>
      <c r="C1294" s="324" t="str">
        <f t="shared" si="85"/>
        <v>52640</v>
      </c>
      <c r="D1294" s="342">
        <v>201</v>
      </c>
      <c r="E1294" s="324">
        <v>1</v>
      </c>
      <c r="F1294" s="827">
        <f>IF(COUNTIFS(Addenda!A:A,"*392*",Addenda!A:A,"*Bright Chrome*")&gt;0,$F$1301*2+(COUNTIFS(Name,"DOOR CVTY")*2)+(COUNTIFS(Name,"DOOR CVTY DBL")*4)+(COUNTIFS('CSV FF'!A:A,"DOOR CVTY")*2)+(COUNTIFS('CSV FF'!A:A,"DOOR CVTY DBL")*4),0)</f>
        <v>0</v>
      </c>
      <c r="G1294" s="829"/>
      <c r="H1294" s="503" t="s">
        <v>2097</v>
      </c>
      <c r="I1294" s="1207"/>
      <c r="J1294" s="2" t="str">
        <f>IF(Table5[[#This Row],[Entered]]&lt;&gt;Table5[[#This Row],[Quantity]],"Check","")</f>
        <v/>
      </c>
    </row>
    <row r="1295" spans="1:10" ht="15" x14ac:dyDescent="0.2">
      <c r="A1295" s="324" t="s">
        <v>2980</v>
      </c>
      <c r="B1295" s="324" t="str">
        <f t="shared" si="84"/>
        <v>1000</v>
      </c>
      <c r="C1295" s="324" t="str">
        <f t="shared" si="85"/>
        <v>52640</v>
      </c>
      <c r="D1295" s="342">
        <f>202</f>
        <v>202</v>
      </c>
      <c r="E1295" s="324">
        <v>1</v>
      </c>
      <c r="F1295" s="827">
        <f>IF(COUNTIFS(Addenda!A:A,"*392*",Addenda!A:A,"*Satin Chrome*")&gt;0,$F$1301*2+(COUNTIFS(Name,"DOOR CVTY")*2)+(COUNTIFS(Name,"DOOR CVTY DBL")*4)+(COUNTIFS('CSV FF'!A:A,"DOOR CVTY")*2)+(COUNTIFS('CSV FF'!A:A,"DOOR CVTY DBL")*4),0)</f>
        <v>0</v>
      </c>
      <c r="G1295" s="829"/>
      <c r="H1295" s="503" t="s">
        <v>2096</v>
      </c>
      <c r="I1295" s="1207"/>
      <c r="J1295" s="2" t="str">
        <f>IF(Table5[[#This Row],[Entered]]&lt;&gt;Table5[[#This Row],[Quantity]],"Check","")</f>
        <v/>
      </c>
    </row>
    <row r="1296" spans="1:10" ht="15" x14ac:dyDescent="0.2">
      <c r="A1296" s="324" t="s">
        <v>2980</v>
      </c>
      <c r="B1296" s="324" t="str">
        <f t="shared" si="84"/>
        <v>1000</v>
      </c>
      <c r="C1296" s="324" t="str">
        <f t="shared" si="85"/>
        <v>52640</v>
      </c>
      <c r="D1296" s="342">
        <f>207</f>
        <v>207</v>
      </c>
      <c r="E1296" s="324">
        <v>1</v>
      </c>
      <c r="F1296" s="827">
        <f>IF(COUNTIF(Addenda!A:A,"*BRIGHT CHROME*")&gt;0,COUNTIF(Name,"Privacy Sld")+COUNTIF('CSV FF'!A:A,"Privacy Sld"),0)</f>
        <v>0</v>
      </c>
      <c r="G1296" s="829"/>
      <c r="H1296" s="503" t="s">
        <v>2098</v>
      </c>
      <c r="I1296" s="1207"/>
      <c r="J1296" s="2" t="str">
        <f>IF(Table5[[#This Row],[Entered]]&lt;&gt;Table5[[#This Row],[Quantity]],"Check","")</f>
        <v/>
      </c>
    </row>
    <row r="1297" spans="1:10" ht="15" x14ac:dyDescent="0.2">
      <c r="A1297" s="324" t="s">
        <v>2980</v>
      </c>
      <c r="B1297" s="324" t="str">
        <f t="shared" si="84"/>
        <v>1000</v>
      </c>
      <c r="C1297" s="324" t="str">
        <f t="shared" si="85"/>
        <v>52640</v>
      </c>
      <c r="D1297" s="342" t="s">
        <v>2299</v>
      </c>
      <c r="E1297" s="324">
        <v>1</v>
      </c>
      <c r="F1297" s="827">
        <f>IF(COUNTIF(Addenda!A:A,"*MATT BLACK*")&gt;0,COUNTIF(Name,"Privacy Sld")+COUNTIF('CSV FF'!A:A,"Privacy Sld"),0)</f>
        <v>0</v>
      </c>
      <c r="G1297" s="829">
        <v>0</v>
      </c>
      <c r="H1297" s="503" t="s">
        <v>1740</v>
      </c>
      <c r="I1297" s="1207"/>
      <c r="J1297" s="2" t="str">
        <f>IF(Table5[[#This Row],[Entered]]&lt;&gt;Table5[[#This Row],[Quantity]],"Check","")</f>
        <v/>
      </c>
    </row>
    <row r="1298" spans="1:10" ht="15" x14ac:dyDescent="0.2">
      <c r="A1298" s="324" t="s">
        <v>2980</v>
      </c>
      <c r="B1298" s="324" t="str">
        <f t="shared" si="84"/>
        <v>1000</v>
      </c>
      <c r="C1298" s="324" t="str">
        <f t="shared" si="85"/>
        <v>52640</v>
      </c>
      <c r="D1298" s="342" t="s">
        <v>2299</v>
      </c>
      <c r="E1298" s="324">
        <v>1</v>
      </c>
      <c r="F1298" s="827">
        <f>IF(COUNTIF(Addenda!A:A,"*SATIN CHROME*")&gt;0,COUNTIF(Name,"Privacy Sld")+COUNTIF('CSV FF'!A:A,"Privacy Sld"),0)</f>
        <v>0</v>
      </c>
      <c r="G1298" s="829">
        <v>0</v>
      </c>
      <c r="H1298" s="503" t="s">
        <v>1739</v>
      </c>
      <c r="I1298" s="1207"/>
      <c r="J1298" s="2" t="str">
        <f>IF(Table5[[#This Row],[Entered]]&lt;&gt;Table5[[#This Row],[Quantity]],"Check","")</f>
        <v/>
      </c>
    </row>
    <row r="1299" spans="1:10" ht="15" x14ac:dyDescent="0.2">
      <c r="A1299" s="324" t="s">
        <v>2980</v>
      </c>
      <c r="B1299" s="324" t="str">
        <f t="shared" si="84"/>
        <v>1000</v>
      </c>
      <c r="C1299" s="324" t="str">
        <f t="shared" si="85"/>
        <v>52640</v>
      </c>
      <c r="D1299" s="342" t="s">
        <v>2299</v>
      </c>
      <c r="E1299" s="324">
        <v>1</v>
      </c>
      <c r="F1299" s="827">
        <f t="array" ref="F1299">IF(AND(COUNTIF(Name,"Privacy Sld")+COUNTIF('CSV FF'!A:A,"Privacy Sld")&gt;0,SUM(F1296:F1298=0)),COUNTIF(Name,"Privacy Sld")+COUNTIF('CSV FF'!A:A,"Privacy Sld"),0)</f>
        <v>0</v>
      </c>
      <c r="G1299" s="829"/>
      <c r="H1299" s="503" t="s">
        <v>1741</v>
      </c>
      <c r="I1299" s="1207"/>
      <c r="J1299" s="2" t="str">
        <f>IF(Table5[[#This Row],[Entered]]&lt;&gt;Table5[[#This Row],[Quantity]],"Check","")</f>
        <v/>
      </c>
    </row>
    <row r="1300" spans="1:10" ht="15" x14ac:dyDescent="0.2">
      <c r="A1300" s="324" t="s">
        <v>2980</v>
      </c>
      <c r="B1300" s="324" t="str">
        <f t="shared" si="84"/>
        <v>1000</v>
      </c>
      <c r="C1300" s="324" t="str">
        <f t="shared" si="85"/>
        <v>52640</v>
      </c>
      <c r="D1300" s="324">
        <v>7005</v>
      </c>
      <c r="E1300" s="324">
        <v>1</v>
      </c>
      <c r="F1300" s="827">
        <f>IF(COUNTIF(Addenda!A:A,"*386SCC*")&gt;0,1,0)*COUNTIF(Name,"Door Cvty")</f>
        <v>0</v>
      </c>
      <c r="G1300" s="829">
        <v>0</v>
      </c>
      <c r="H1300" s="412" t="s">
        <v>3535</v>
      </c>
      <c r="I1300" s="1258"/>
      <c r="J1300" s="2" t="str">
        <f>IF(Table5[[#This Row],[Entered]]&lt;&gt;Table5[[#This Row],[Quantity]],"Check","")</f>
        <v/>
      </c>
    </row>
    <row r="1301" spans="1:10" ht="15" x14ac:dyDescent="0.2">
      <c r="A1301" s="324" t="s">
        <v>2980</v>
      </c>
      <c r="B1301" s="324" t="str">
        <f t="shared" si="84"/>
        <v>1000</v>
      </c>
      <c r="C1301" s="324" t="str">
        <f t="shared" si="85"/>
        <v>52640</v>
      </c>
      <c r="D1301" s="324" t="str">
        <f>"0960"</f>
        <v>0960</v>
      </c>
      <c r="E1301" s="324">
        <v>1</v>
      </c>
      <c r="F1301" s="827">
        <f>COUNTIFS(Name,"DOOR SLD")+(COUNTIFS(Name,"DOOR SLD DBL")*2)+COUNTIFS('CSV FF'!A:A,"DOOR SLD")+(COUNTIFS('CSV FF'!A:A,"DOOR SLD DBL")*2)</f>
        <v>0</v>
      </c>
      <c r="G1301" s="829"/>
      <c r="H1301" s="412" t="s">
        <v>3161</v>
      </c>
      <c r="I1301" s="1258"/>
      <c r="J1301" s="2" t="str">
        <f>IF(Table5[[#This Row],[Entered]]&lt;&gt;Table5[[#This Row],[Quantity]],"Check","")</f>
        <v/>
      </c>
    </row>
    <row r="1302" spans="1:10" ht="15" x14ac:dyDescent="0.2">
      <c r="A1302" s="324" t="s">
        <v>2980</v>
      </c>
      <c r="B1302" s="324" t="str">
        <f t="shared" si="84"/>
        <v>1000</v>
      </c>
      <c r="C1302" s="324" t="str">
        <f t="shared" si="85"/>
        <v>52640</v>
      </c>
      <c r="D1302" s="324" t="str">
        <f>"0970"</f>
        <v>0970</v>
      </c>
      <c r="E1302" s="324">
        <v>1</v>
      </c>
      <c r="F1302" s="827">
        <f>F1301</f>
        <v>0</v>
      </c>
      <c r="G1302" s="829"/>
      <c r="H1302" s="412" t="s">
        <v>3162</v>
      </c>
      <c r="I1302" s="1258"/>
      <c r="J1302" s="2" t="str">
        <f>IF(Table5[[#This Row],[Entered]]&lt;&gt;Table5[[#This Row],[Quantity]],"Check","")</f>
        <v/>
      </c>
    </row>
    <row r="1303" spans="1:10" ht="15" x14ac:dyDescent="0.2">
      <c r="A1303" s="324" t="s">
        <v>2980</v>
      </c>
      <c r="B1303" s="324" t="str">
        <f t="shared" si="84"/>
        <v>1000</v>
      </c>
      <c r="C1303" s="324" t="str">
        <f t="shared" si="85"/>
        <v>52640</v>
      </c>
      <c r="D1303" s="324">
        <f>7657</f>
        <v>7657</v>
      </c>
      <c r="E1303" s="324">
        <v>1</v>
      </c>
      <c r="F1303" s="827">
        <f>IF(COUNTIFS(Addenda!A:A,"*1900ANGSC*",Addenda!A:A,"&lt;&gt;*TRILOCK*",Addenda!A:A,"&lt;&gt;*TRILEVER*",Addenda!A:A,"&lt;&gt;*RECTANGULAR*")&gt;0,COUNTIF(Name,"Passage")+COUNTIF('CSV FF'!A:A,"Passage"),0)</f>
        <v>0</v>
      </c>
      <c r="G1303" s="829">
        <v>39.21</v>
      </c>
      <c r="H1303" s="412" t="s">
        <v>3613</v>
      </c>
      <c r="I1303" s="1258"/>
      <c r="J1303" s="2" t="str">
        <f>IF(Table5[[#This Row],[Entered]]&lt;&gt;Table5[[#This Row],[Quantity]],"Check","")</f>
        <v/>
      </c>
    </row>
    <row r="1304" spans="1:10" ht="15" x14ac:dyDescent="0.2">
      <c r="A1304" s="324" t="s">
        <v>2980</v>
      </c>
      <c r="B1304" s="324" t="str">
        <f t="shared" si="84"/>
        <v>1000</v>
      </c>
      <c r="C1304" s="324" t="str">
        <f t="shared" si="85"/>
        <v>52640</v>
      </c>
      <c r="D1304" s="324">
        <v>1658</v>
      </c>
      <c r="E1304" s="324">
        <v>1</v>
      </c>
      <c r="F1304" s="827">
        <f>IF(COUNTIFS(Addenda!A:A,"*1900ANGSC*",Addenda!A:A,"&lt;&gt;*TRILOCK*",Addenda!A:A,"&lt;&gt;*TRILEVER*",Addenda!A:A,"&lt;&gt;*RECTANGULAR*")&gt;0,COUNTIF(Name,"Privacy")+COUNTIF('CSV FF'!A:A,"Privacy"),0)</f>
        <v>0</v>
      </c>
      <c r="G1304" s="829">
        <v>43.58</v>
      </c>
      <c r="H1304" s="412" t="s">
        <v>3614</v>
      </c>
      <c r="I1304" s="1258"/>
      <c r="J1304" s="2" t="str">
        <f>IF(Table5[[#This Row],[Entered]]&lt;&gt;Table5[[#This Row],[Quantity]],"Check","")</f>
        <v/>
      </c>
    </row>
    <row r="1305" spans="1:10" ht="15" x14ac:dyDescent="0.2">
      <c r="A1305" s="324" t="s">
        <v>2980</v>
      </c>
      <c r="B1305" s="324" t="str">
        <f t="shared" si="84"/>
        <v>1000</v>
      </c>
      <c r="C1305" s="324" t="str">
        <f t="shared" si="85"/>
        <v>52640</v>
      </c>
      <c r="D1305" s="324">
        <v>1659</v>
      </c>
      <c r="E1305" s="324">
        <v>1</v>
      </c>
      <c r="F1305" s="827">
        <f>IF(COUNTIFS(Addenda!A:A,"*1900ANGSC*",Addenda!A:A,"&lt;&gt;*TRILEVER*",Addenda!A:A,"&lt;&gt;*RECTANGULAR*")&gt;0,Dummy_Handle_Count,0)</f>
        <v>0</v>
      </c>
      <c r="G1305" s="829">
        <v>26.1</v>
      </c>
      <c r="H1305" s="412" t="s">
        <v>3615</v>
      </c>
      <c r="I1305" s="1258"/>
      <c r="J1305" s="2" t="str">
        <f>IF(Table5[[#This Row],[Entered]]&lt;&gt;Table5[[#This Row],[Quantity]],"Check","")</f>
        <v/>
      </c>
    </row>
    <row r="1306" spans="1:10" ht="15" x14ac:dyDescent="0.2">
      <c r="A1306" s="324" t="s">
        <v>2980</v>
      </c>
      <c r="B1306" s="324" t="str">
        <f t="shared" si="84"/>
        <v>1000</v>
      </c>
      <c r="C1306" s="324" t="str">
        <f t="shared" si="85"/>
        <v>52640</v>
      </c>
      <c r="D1306" s="342">
        <v>7000</v>
      </c>
      <c r="E1306" s="324">
        <v>1</v>
      </c>
      <c r="F1306" s="827">
        <f>IF(COUNTIFS(Addenda!A:A,"*ANGULAR*",Addenda!A:A,"*SQUARE*",Addenda!A:A,"*MATT BLACK*",Addenda!A:A,"&lt;&gt;*RECTANGULAR*")&gt;0,COUNTIF(Name,"Passage")+COUNTIF('CSV FF'!A:A,"Passage"),0)</f>
        <v>0</v>
      </c>
      <c r="G1306" s="829">
        <v>0</v>
      </c>
      <c r="H1306" s="412" t="s">
        <v>3610</v>
      </c>
      <c r="I1306" s="1207"/>
      <c r="J1306" s="2" t="str">
        <f>IF(Table5[[#This Row],[Entered]]&lt;&gt;Table5[[#This Row],[Quantity]],"Check","")</f>
        <v/>
      </c>
    </row>
    <row r="1307" spans="1:10" ht="15" x14ac:dyDescent="0.2">
      <c r="A1307" s="324" t="s">
        <v>2980</v>
      </c>
      <c r="B1307" s="324" t="str">
        <f t="shared" si="84"/>
        <v>1000</v>
      </c>
      <c r="C1307" s="324" t="str">
        <f t="shared" si="85"/>
        <v>52640</v>
      </c>
      <c r="D1307" s="342">
        <v>7001</v>
      </c>
      <c r="E1307" s="324">
        <v>1</v>
      </c>
      <c r="F1307" s="827">
        <f>IF(COUNTIFS(Addenda!A:A,"*ANGULAR*",Addenda!A:A,"*SQUARE*",Addenda!A:A,"*MATT BLACK*",Addenda!A:A,"&lt;&gt;*RECTANGULAR*")&gt;0,COUNTIF(Name,"Privacy")+COUNTIF('CSV FF'!A:A,"Privacy"),0)</f>
        <v>0</v>
      </c>
      <c r="G1307" s="829">
        <v>0</v>
      </c>
      <c r="H1307" s="412" t="s">
        <v>3611</v>
      </c>
      <c r="I1307" s="1207"/>
      <c r="J1307" s="2" t="str">
        <f>IF(Table5[[#This Row],[Entered]]&lt;&gt;Table5[[#This Row],[Quantity]],"Check","")</f>
        <v/>
      </c>
    </row>
    <row r="1308" spans="1:10" ht="15" x14ac:dyDescent="0.2">
      <c r="A1308" s="324" t="s">
        <v>2980</v>
      </c>
      <c r="B1308" s="324" t="str">
        <f t="shared" si="84"/>
        <v>1000</v>
      </c>
      <c r="C1308" s="324" t="str">
        <f t="shared" si="85"/>
        <v>52640</v>
      </c>
      <c r="D1308" s="342">
        <v>7002</v>
      </c>
      <c r="E1308" s="324">
        <v>1</v>
      </c>
      <c r="F1308" s="827">
        <f>IF(COUNTIFS(Addenda!A:A,"*ANGULAR*",Addenda!A:A,"*SQUARE*",Addenda!A:A,"*MATT BLACK*",Addenda!A:A,"&lt;&gt;*RECTANGULAR*")&gt;0,Dummy_Handle_Count,0)</f>
        <v>0</v>
      </c>
      <c r="G1308" s="829">
        <v>0</v>
      </c>
      <c r="H1308" s="412" t="s">
        <v>3612</v>
      </c>
      <c r="I1308" s="1207"/>
      <c r="J1308" s="2" t="str">
        <f>IF(Table5[[#This Row],[Entered]]&lt;&gt;Table5[[#This Row],[Quantity]],"Check","")</f>
        <v/>
      </c>
    </row>
    <row r="1309" spans="1:10" ht="15" x14ac:dyDescent="0.2">
      <c r="A1309" s="324" t="s">
        <v>2980</v>
      </c>
      <c r="B1309" s="324" t="str">
        <f t="shared" si="84"/>
        <v>1000</v>
      </c>
      <c r="C1309" s="324" t="str">
        <f t="shared" si="85"/>
        <v>52640</v>
      </c>
      <c r="D1309" s="324" t="str">
        <f>"0515"</f>
        <v>0515</v>
      </c>
      <c r="E1309" s="324">
        <v>1</v>
      </c>
      <c r="F1309" s="827">
        <v>1</v>
      </c>
      <c r="G1309" s="829">
        <v>0</v>
      </c>
      <c r="H1309" s="412" t="s">
        <v>3114</v>
      </c>
      <c r="I1309" s="1258"/>
      <c r="J1309" s="2" t="str">
        <f>IF(Table5[[#This Row],[Entered]]&lt;&gt;Table5[[#This Row],[Quantity]],"Check","")</f>
        <v>Check</v>
      </c>
    </row>
    <row r="1310" spans="1:10" ht="15" x14ac:dyDescent="0.2">
      <c r="A1310" s="324" t="s">
        <v>2980</v>
      </c>
      <c r="B1310" s="324" t="str">
        <f t="shared" si="84"/>
        <v>1000</v>
      </c>
      <c r="C1310" s="324" t="str">
        <f t="shared" si="85"/>
        <v>52640</v>
      </c>
      <c r="D1310" s="324" t="str">
        <f>"0632"</f>
        <v>0632</v>
      </c>
      <c r="E1310" s="324">
        <v>1</v>
      </c>
      <c r="F1310" s="1128">
        <f>COUNTIFS(Addenda!A:A,"*COSMO*",Addenda!A:A,"*900*",Addenda!A:A,"&lt;&gt;*BLACK*",Addenda!A:A,"*TOWEL*",Addenda!A:A,"*DOUBLE*")</f>
        <v>0</v>
      </c>
      <c r="G1310" s="829">
        <v>69.78</v>
      </c>
      <c r="H1310" s="412" t="s">
        <v>3415</v>
      </c>
      <c r="I1310" s="1258"/>
      <c r="J1310" s="2" t="str">
        <f>IF(Table5[[#This Row],[Entered]]&lt;&gt;Table5[[#This Row],[Quantity]],"Check","")</f>
        <v/>
      </c>
    </row>
    <row r="1311" spans="1:10" ht="15" x14ac:dyDescent="0.2">
      <c r="A1311" s="324" t="s">
        <v>2980</v>
      </c>
      <c r="B1311" s="324" t="str">
        <f t="shared" si="84"/>
        <v>1000</v>
      </c>
      <c r="C1311" s="324">
        <v>52640</v>
      </c>
      <c r="D1311" s="324" t="str">
        <f>"0638"</f>
        <v>0638</v>
      </c>
      <c r="E1311" s="324">
        <v>1</v>
      </c>
      <c r="F1311" s="827">
        <f>COUNTIFS(Addenda!A:A,"*COSMO*",Addenda!A:A,"&lt;&gt;*BLACK*",Addenda!A:A,"*TOILET*")</f>
        <v>0</v>
      </c>
      <c r="G1311" s="829">
        <v>33.880000000000003</v>
      </c>
      <c r="H1311" s="412" t="s">
        <v>3416</v>
      </c>
      <c r="I1311" s="1258"/>
      <c r="J1311" s="2" t="str">
        <f>IF(Table5[[#This Row],[Entered]]&lt;&gt;Table5[[#This Row],[Quantity]],"Check","")</f>
        <v/>
      </c>
    </row>
    <row r="1312" spans="1:10" ht="15" x14ac:dyDescent="0.2">
      <c r="A1312" s="324" t="s">
        <v>2980</v>
      </c>
      <c r="B1312" s="324" t="str">
        <f t="shared" si="84"/>
        <v>1000</v>
      </c>
      <c r="C1312" s="324" t="str">
        <f>"52640"</f>
        <v>52640</v>
      </c>
      <c r="D1312" s="324" t="str">
        <f>"0731"</f>
        <v>0731</v>
      </c>
      <c r="E1312" s="324">
        <v>1</v>
      </c>
      <c r="F1312" s="827">
        <f>COUNTIFS(Name,"Door Entry",Length,"&gt;=.920",Name,"Door Entry",Length,"&lt;=1.200")*4+COUNTIFS(Name,"Door Entry Dbl",Length,"&gt;=.920",Name,"Door Entry Dbl",Length,"&lt;=1.200")*8</f>
        <v>0</v>
      </c>
      <c r="G1312" s="829">
        <v>7.05</v>
      </c>
      <c r="H1312" s="412" t="s">
        <v>3274</v>
      </c>
      <c r="I1312" s="1258"/>
      <c r="J1312" s="2" t="str">
        <f>IF(Table5[[#This Row],[Entered]]&lt;&gt;Table5[[#This Row],[Quantity]],"Check","")</f>
        <v/>
      </c>
    </row>
    <row r="1313" spans="1:10" ht="15" x14ac:dyDescent="0.2">
      <c r="A1313" s="324" t="s">
        <v>2980</v>
      </c>
      <c r="B1313" s="324" t="str">
        <f t="shared" si="84"/>
        <v>1000</v>
      </c>
      <c r="C1313" s="324">
        <v>52640</v>
      </c>
      <c r="D1313" s="324" t="str">
        <f>"0753"</f>
        <v>0753</v>
      </c>
      <c r="E1313" s="324">
        <v>1</v>
      </c>
      <c r="F1313" s="827">
        <f>Mouldings!$AA$34+Mouldings!$AA$35+(Mouldings!$AA$32/2)</f>
        <v>0</v>
      </c>
      <c r="G1313" s="829">
        <v>6.48</v>
      </c>
      <c r="H1313" s="412" t="s">
        <v>3006</v>
      </c>
      <c r="I1313" s="1258"/>
      <c r="J1313" s="2" t="str">
        <f>IF(Table5[[#This Row],[Entered]]&lt;&gt;Table5[[#This Row],[Quantity]],"Check","")</f>
        <v/>
      </c>
    </row>
    <row r="1314" spans="1:10" ht="15" x14ac:dyDescent="0.2">
      <c r="A1314" s="324" t="s">
        <v>2980</v>
      </c>
      <c r="B1314" s="324" t="str">
        <f t="shared" si="84"/>
        <v>1000</v>
      </c>
      <c r="C1314" s="324">
        <v>52640</v>
      </c>
      <c r="D1314" s="324" t="str">
        <f>"0754"</f>
        <v>0754</v>
      </c>
      <c r="E1314" s="324">
        <v>1</v>
      </c>
      <c r="F1314" s="827">
        <f>ROUNDUP(Mouldings!$AA$36+Mouldings!$AA$37+(Mouldings!$AA$33/2),0)</f>
        <v>0</v>
      </c>
      <c r="G1314" s="829">
        <v>8.67</v>
      </c>
      <c r="H1314" s="412" t="s">
        <v>3596</v>
      </c>
      <c r="I1314" s="1258"/>
      <c r="J1314" s="2" t="str">
        <f>IF(Table5[[#This Row],[Entered]]&lt;&gt;Table5[[#This Row],[Quantity]],"Check","")</f>
        <v/>
      </c>
    </row>
    <row r="1315" spans="1:10" ht="15" x14ac:dyDescent="0.2">
      <c r="A1315" s="324" t="s">
        <v>2980</v>
      </c>
      <c r="B1315" s="324" t="str">
        <f t="shared" si="84"/>
        <v>1000</v>
      </c>
      <c r="C1315" s="324">
        <v>52640</v>
      </c>
      <c r="D1315" s="324" t="str">
        <f>"7755"</f>
        <v>7755</v>
      </c>
      <c r="E1315" s="324">
        <v>1</v>
      </c>
      <c r="F1315" s="974">
        <f>Mouldings!$AA$38+Mouldings!$AA$41</f>
        <v>0</v>
      </c>
      <c r="G1315" s="829">
        <f>3.6*3.6</f>
        <v>12.96</v>
      </c>
      <c r="H1315" s="412" t="s">
        <v>3007</v>
      </c>
      <c r="I1315" s="1258"/>
      <c r="J1315" s="2" t="str">
        <f>IF(Table5[[#This Row],[Entered]]&lt;&gt;Table5[[#This Row],[Quantity]],"Check","")</f>
        <v/>
      </c>
    </row>
    <row r="1316" spans="1:10" ht="15" x14ac:dyDescent="0.2">
      <c r="A1316" s="324" t="s">
        <v>2980</v>
      </c>
      <c r="B1316" s="324" t="str">
        <f t="shared" si="84"/>
        <v>1000</v>
      </c>
      <c r="C1316" s="324">
        <v>52640</v>
      </c>
      <c r="D1316" s="324" t="str">
        <f>"0760"</f>
        <v>0760</v>
      </c>
      <c r="E1316" s="324">
        <v>1</v>
      </c>
      <c r="F1316" s="827">
        <f>Mouldings!$AD$44</f>
        <v>0</v>
      </c>
      <c r="G1316" s="829">
        <v>2.58</v>
      </c>
      <c r="H1316" s="412" t="s">
        <v>3008</v>
      </c>
      <c r="I1316" s="1258"/>
      <c r="J1316" s="2" t="str">
        <f>IF(Table5[[#This Row],[Entered]]&lt;&gt;Table5[[#This Row],[Quantity]],"Check","")</f>
        <v/>
      </c>
    </row>
    <row r="1317" spans="1:10" ht="15" x14ac:dyDescent="0.2">
      <c r="A1317" s="324" t="s">
        <v>2980</v>
      </c>
      <c r="B1317" s="324" t="str">
        <f t="shared" si="84"/>
        <v>1000</v>
      </c>
      <c r="C1317" s="324">
        <v>52640</v>
      </c>
      <c r="D1317" s="324" t="str">
        <f>"0770"</f>
        <v>0770</v>
      </c>
      <c r="E1317" s="324">
        <v>1</v>
      </c>
      <c r="F1317" s="827">
        <f>Mouldings!$AD$45</f>
        <v>0</v>
      </c>
      <c r="G1317" s="829">
        <v>1.35</v>
      </c>
      <c r="H1317" s="412" t="s">
        <v>3009</v>
      </c>
      <c r="I1317" s="1258"/>
      <c r="J1317" s="2" t="str">
        <f>IF(Table5[[#This Row],[Entered]]&lt;&gt;Table5[[#This Row],[Quantity]],"Check","")</f>
        <v/>
      </c>
    </row>
    <row r="1318" spans="1:10" ht="15" x14ac:dyDescent="0.2">
      <c r="A1318" s="324" t="s">
        <v>2980</v>
      </c>
      <c r="B1318" s="324" t="str">
        <f t="shared" si="84"/>
        <v>1000</v>
      </c>
      <c r="C1318" s="324">
        <v>52640</v>
      </c>
      <c r="D1318" s="324" t="str">
        <f>"0788"</f>
        <v>0788</v>
      </c>
      <c r="E1318" s="324">
        <v>1</v>
      </c>
      <c r="F1318" s="827">
        <f>COUNTIF(Name,"DOOR*")+COUNTIF('CSV FF'!A:A,"DOOR*")-COUNTIF(Name,"DOOR SHPR*")-COUNTIF('CSV FF'!A:A,"DOOR SHPR*")-COUNTIF(Name,"DOOR PA*")-COUNTIF('CSV FF'!A:A,"DOOR PA*")-COUNTIF(Name,"DOOR ENTRY*")-COUNTIF('CSV FF'!A:A,"DOOR ENTRY*")+COUNTIF(Name,"DOOR DBL")+COUNTIF('CSV FF'!A:A,"DOOR DBL")</f>
        <v>0</v>
      </c>
      <c r="G1318" s="829">
        <v>0.45</v>
      </c>
      <c r="H1318" s="412" t="s">
        <v>3010</v>
      </c>
      <c r="I1318" s="1258"/>
      <c r="J1318" s="2" t="str">
        <f>IF(Table5[[#This Row],[Entered]]&lt;&gt;Table5[[#This Row],[Quantity]],"Check","")</f>
        <v/>
      </c>
    </row>
    <row r="1319" spans="1:10" ht="15" x14ac:dyDescent="0.2">
      <c r="A1319" s="324" t="s">
        <v>2980</v>
      </c>
      <c r="B1319" s="324" t="str">
        <f t="shared" si="84"/>
        <v>1000</v>
      </c>
      <c r="C1319" s="324" t="str">
        <f>"52640"</f>
        <v>52640</v>
      </c>
      <c r="D1319" s="324" t="str">
        <f>"0959"</f>
        <v>0959</v>
      </c>
      <c r="E1319" s="324">
        <v>1</v>
      </c>
      <c r="F1319" s="827">
        <f>COUNTIF(Name,"DOOR SLD")+COUNTIF('CSV FF'!A:A,"DOOR SLD")</f>
        <v>0</v>
      </c>
      <c r="G1319" s="829"/>
      <c r="H1319" s="412" t="s">
        <v>3272</v>
      </c>
      <c r="I1319" s="1258"/>
      <c r="J1319" s="2" t="str">
        <f>IF(Table5[[#This Row],[Entered]]&lt;&gt;Table5[[#This Row],[Quantity]],"Check","")</f>
        <v/>
      </c>
    </row>
    <row r="1320" spans="1:10" ht="15" x14ac:dyDescent="0.2">
      <c r="A1320" s="324" t="s">
        <v>2980</v>
      </c>
      <c r="B1320" s="324" t="str">
        <f t="shared" si="84"/>
        <v>1000</v>
      </c>
      <c r="C1320" s="324" t="str">
        <f>"52640"</f>
        <v>52640</v>
      </c>
      <c r="D1320" s="324" t="str">
        <f>"0957"</f>
        <v>0957</v>
      </c>
      <c r="E1320" s="324">
        <v>1</v>
      </c>
      <c r="F1320" s="827">
        <f>COUNTIF(Name,"DOOR SLD DBL")+COUNTIF('CSV FF'!A:A,"DOOR SLD DBL")</f>
        <v>0</v>
      </c>
      <c r="G1320" s="829"/>
      <c r="H1320" s="412" t="s">
        <v>3273</v>
      </c>
      <c r="I1320" s="1258"/>
      <c r="J1320" s="2" t="str">
        <f>IF(Table5[[#This Row],[Entered]]&lt;&gt;Table5[[#This Row],[Quantity]],"Check","")</f>
        <v/>
      </c>
    </row>
    <row r="1321" spans="1:10" ht="15" x14ac:dyDescent="0.2">
      <c r="A1321" s="324" t="s">
        <v>2980</v>
      </c>
      <c r="B1321" s="324" t="str">
        <f t="shared" si="84"/>
        <v>1000</v>
      </c>
      <c r="C1321" s="324" t="str">
        <f>"52640"</f>
        <v>52640</v>
      </c>
      <c r="D1321" s="324" t="str">
        <f>"0710"</f>
        <v>0710</v>
      </c>
      <c r="E1321" s="324">
        <v>1</v>
      </c>
      <c r="F1321" s="827">
        <f>IF(Coastal="No",COUNTIFS(Name,"Door Entry",Length,"&gt;0",Name,"Door Entry",Length,"&lt;.920")*3+COUNTIFS(Name,"Door Entry Dbl",Length,"&gt;0",Name,"Door Entry Dbl",Length,"&lt;=1.690")*6+((F390+F389+F391+F395+F398)*3),0)</f>
        <v>0</v>
      </c>
      <c r="G1321" s="829">
        <v>1.01</v>
      </c>
      <c r="H1321" s="412" t="s">
        <v>3271</v>
      </c>
      <c r="I1321" s="1258"/>
      <c r="J1321" s="2" t="str">
        <f>IF(Table5[[#This Row],[Entered]]&lt;&gt;Table5[[#This Row],[Quantity]],"Check","")</f>
        <v/>
      </c>
    </row>
    <row r="1322" spans="1:10" ht="15" x14ac:dyDescent="0.2">
      <c r="A1322" s="324" t="s">
        <v>2980</v>
      </c>
      <c r="B1322" s="324" t="str">
        <f t="shared" si="84"/>
        <v>1000</v>
      </c>
      <c r="C1322" s="324" t="str">
        <f>"52640"</f>
        <v>52640</v>
      </c>
      <c r="D1322" s="324" t="str">
        <f>"0712"</f>
        <v>0712</v>
      </c>
      <c r="E1322" s="324">
        <v>1</v>
      </c>
      <c r="F1322" s="827">
        <f>IF(Coastal="Yes",COUNTIFS(Name,"Door Entry",Length,"&gt;0",Name,"Door Entry",Length,"&lt;.920")*3+COUNTIFS(Name,"Door Entry Dbl",Length,"&gt;0",Name,"Door Entry Dbl",Length,"&lt;=1.690")*6+((F391+F390+F392+F396+F399)*3),0)</f>
        <v>0</v>
      </c>
      <c r="G1322" s="829"/>
      <c r="H1322" s="412" t="s">
        <v>3271</v>
      </c>
      <c r="I1322" s="1258"/>
      <c r="J1322" s="2" t="str">
        <f>IF(Table5[[#This Row],[Entered]]&lt;&gt;Table5[[#This Row],[Quantity]],"Check","")</f>
        <v/>
      </c>
    </row>
    <row r="1323" spans="1:10" ht="15" x14ac:dyDescent="0.2">
      <c r="A1323" s="324" t="s">
        <v>2980</v>
      </c>
      <c r="B1323" s="324" t="str">
        <f t="shared" si="84"/>
        <v>1000</v>
      </c>
      <c r="C1323" s="324">
        <v>52640</v>
      </c>
      <c r="D1323" s="324" t="str">
        <f>"0790"</f>
        <v>0790</v>
      </c>
      <c r="E1323" s="324">
        <v>1</v>
      </c>
      <c r="F1323" s="827">
        <f>COUNTIFS(Name,"Door Shpr*")+COUNTIFS(Name,"Door PA*")</f>
        <v>0</v>
      </c>
      <c r="G1323" s="829">
        <v>29.47</v>
      </c>
      <c r="H1323" s="412" t="s">
        <v>3011</v>
      </c>
      <c r="I1323" s="1258"/>
      <c r="J1323" s="2" t="str">
        <f>IF(Table5[[#This Row],[Entered]]&lt;&gt;Table5[[#This Row],[Quantity]],"Check","")</f>
        <v/>
      </c>
    </row>
    <row r="1324" spans="1:10" ht="15" x14ac:dyDescent="0.2">
      <c r="A1324" s="324" t="s">
        <v>2980</v>
      </c>
      <c r="B1324" s="324" t="str">
        <f t="shared" si="84"/>
        <v>1000</v>
      </c>
      <c r="C1324" s="324">
        <v>52640</v>
      </c>
      <c r="D1324" s="324" t="str">
        <f>"0813"</f>
        <v>0813</v>
      </c>
      <c r="E1324" s="324">
        <v>1</v>
      </c>
      <c r="F1324" s="827">
        <f>COUNTIFS(Name,"Door Shpr*")+COUNTIFS(Name,"Door PA*")</f>
        <v>0</v>
      </c>
      <c r="G1324" s="829">
        <v>13.1</v>
      </c>
      <c r="H1324" s="412" t="s">
        <v>3553</v>
      </c>
      <c r="I1324" s="1258"/>
      <c r="J1324" s="2" t="str">
        <f>IF(Table5[[#This Row],[Entered]]&lt;&gt;Table5[[#This Row],[Quantity]],"Check","")</f>
        <v/>
      </c>
    </row>
    <row r="1325" spans="1:10" ht="15" x14ac:dyDescent="0.2">
      <c r="A1325" s="324" t="s">
        <v>2980</v>
      </c>
      <c r="B1325" s="324" t="str">
        <f t="shared" si="84"/>
        <v>1000</v>
      </c>
      <c r="C1325" s="324" t="str">
        <f t="shared" ref="C1325:C1356" si="86">"52640"</f>
        <v>52640</v>
      </c>
      <c r="D1325" s="324" t="str">
        <f>"0727"</f>
        <v>0727</v>
      </c>
      <c r="E1325" s="324">
        <v>1</v>
      </c>
      <c r="F1325" s="827">
        <f>COUNTIF(Name,"*Dummy lh*")+COUNTIF(Name,"*Dummy rh*")+COUNTIF('CSV FF'!A:A,"*Dummy lh*")+COUNTIF('CSV FF'!A:A,"*Dummy rh*")</f>
        <v>0</v>
      </c>
      <c r="G1325" s="829"/>
      <c r="H1325" s="412" t="s">
        <v>3275</v>
      </c>
      <c r="I1325" s="1258"/>
      <c r="J1325" s="2" t="str">
        <f>IF(Table5[[#This Row],[Entered]]&lt;&gt;Table5[[#This Row],[Quantity]],"Check","")</f>
        <v/>
      </c>
    </row>
    <row r="1326" spans="1:10" ht="15" x14ac:dyDescent="0.2">
      <c r="A1326" s="324" t="s">
        <v>2980</v>
      </c>
      <c r="B1326" s="324" t="str">
        <f t="shared" si="84"/>
        <v>1000</v>
      </c>
      <c r="C1326" s="324" t="str">
        <f t="shared" si="86"/>
        <v>52640</v>
      </c>
      <c r="D1326" s="324" t="str">
        <f>"0725"</f>
        <v>0725</v>
      </c>
      <c r="E1326" s="324">
        <v>1</v>
      </c>
      <c r="F1326" s="827">
        <f>COUNTIF(Name,"*Dummy Dbl*")*2+COUNTIF('CSV FF'!A:A,"*Dummy Dbl*")*2</f>
        <v>0</v>
      </c>
      <c r="G1326" s="829"/>
      <c r="H1326" s="412" t="s">
        <v>3276</v>
      </c>
      <c r="I1326" s="1258"/>
      <c r="J1326" s="2" t="str">
        <f>IF(Table5[[#This Row],[Entered]]&lt;&gt;Table5[[#This Row],[Quantity]],"Check","")</f>
        <v/>
      </c>
    </row>
    <row r="1327" spans="1:10" ht="15" x14ac:dyDescent="0.2">
      <c r="A1327" s="342" t="s">
        <v>2980</v>
      </c>
      <c r="B1327" s="324" t="str">
        <f t="shared" si="84"/>
        <v>1000</v>
      </c>
      <c r="C1327" s="342" t="str">
        <f t="shared" si="86"/>
        <v>52640</v>
      </c>
      <c r="D1327" s="342">
        <f>490</f>
        <v>490</v>
      </c>
      <c r="E1327" s="342">
        <v>1</v>
      </c>
      <c r="F1327" s="1159">
        <f>IF(COUNTIFS(Name,"Door Entry Dbl*")&gt;0,F1204,0)</f>
        <v>0</v>
      </c>
      <c r="G1327" s="1160"/>
      <c r="H1327" s="503" t="s">
        <v>2099</v>
      </c>
      <c r="I1327" s="1205"/>
      <c r="J1327" s="2" t="str">
        <f>IF(Table5[[#This Row],[Entered]]&lt;&gt;Table5[[#This Row],[Quantity]],"Check","")</f>
        <v/>
      </c>
    </row>
    <row r="1328" spans="1:10" ht="15" x14ac:dyDescent="0.2">
      <c r="A1328" s="342" t="s">
        <v>2980</v>
      </c>
      <c r="B1328" s="324" t="str">
        <f t="shared" si="84"/>
        <v>1000</v>
      </c>
      <c r="C1328" s="342" t="str">
        <f t="shared" si="86"/>
        <v>52640</v>
      </c>
      <c r="D1328" s="342">
        <f>491</f>
        <v>491</v>
      </c>
      <c r="E1328" s="342">
        <v>1</v>
      </c>
      <c r="F1328" s="1159">
        <f>IF(COUNTIFS(Name,"Door Entry Dbl*")&gt;0,#REF!,0)</f>
        <v>0</v>
      </c>
      <c r="G1328" s="1160"/>
      <c r="H1328" s="503" t="s">
        <v>1344</v>
      </c>
      <c r="I1328" s="1205"/>
      <c r="J1328" s="2" t="str">
        <f>IF(Table5[[#This Row],[Entered]]&lt;&gt;Table5[[#This Row],[Quantity]],"Check","")</f>
        <v/>
      </c>
    </row>
    <row r="1329" spans="1:10" ht="15" x14ac:dyDescent="0.2">
      <c r="A1329" s="342" t="s">
        <v>2980</v>
      </c>
      <c r="B1329" s="324" t="str">
        <f t="shared" si="84"/>
        <v>1000</v>
      </c>
      <c r="C1329" s="342" t="str">
        <f t="shared" si="86"/>
        <v>52640</v>
      </c>
      <c r="D1329" s="342">
        <f>492</f>
        <v>492</v>
      </c>
      <c r="E1329" s="342">
        <v>1</v>
      </c>
      <c r="F1329" s="1159">
        <f>IF(COUNTIFS(Name,"Door Entry Dbl*")&gt;0,#REF!,0)</f>
        <v>0</v>
      </c>
      <c r="G1329" s="1160"/>
      <c r="H1329" s="503" t="s">
        <v>1345</v>
      </c>
      <c r="I1329" s="1205"/>
      <c r="J1329" s="2" t="str">
        <f>IF(Table5[[#This Row],[Entered]]&lt;&gt;Table5[[#This Row],[Quantity]],"Check","")</f>
        <v/>
      </c>
    </row>
    <row r="1330" spans="1:10" ht="15" x14ac:dyDescent="0.2">
      <c r="A1330" s="342" t="s">
        <v>2980</v>
      </c>
      <c r="B1330" s="324" t="str">
        <f t="shared" ref="B1330:B1393" si="87">"1000"</f>
        <v>1000</v>
      </c>
      <c r="C1330" s="342" t="str">
        <f t="shared" si="86"/>
        <v>52640</v>
      </c>
      <c r="D1330" s="342">
        <f>500</f>
        <v>500</v>
      </c>
      <c r="E1330" s="342">
        <v>1</v>
      </c>
      <c r="F1330" s="1159">
        <f>F1333-F1327</f>
        <v>0</v>
      </c>
      <c r="G1330" s="1160"/>
      <c r="H1330" s="503" t="s">
        <v>1346</v>
      </c>
      <c r="I1330" s="1205"/>
      <c r="J1330" s="2" t="str">
        <f>IF(Table5[[#This Row],[Entered]]&lt;&gt;Table5[[#This Row],[Quantity]],"Check","")</f>
        <v/>
      </c>
    </row>
    <row r="1331" spans="1:10" ht="15" x14ac:dyDescent="0.2">
      <c r="A1331" s="342" t="s">
        <v>2980</v>
      </c>
      <c r="B1331" s="324" t="str">
        <f t="shared" si="87"/>
        <v>1000</v>
      </c>
      <c r="C1331" s="342" t="str">
        <f t="shared" si="86"/>
        <v>52640</v>
      </c>
      <c r="D1331" s="342">
        <f>501</f>
        <v>501</v>
      </c>
      <c r="E1331" s="342">
        <v>1</v>
      </c>
      <c r="F1331" s="1159">
        <f>F1334-F1327</f>
        <v>0</v>
      </c>
      <c r="G1331" s="1160"/>
      <c r="H1331" s="503" t="s">
        <v>2100</v>
      </c>
      <c r="I1331" s="1205"/>
      <c r="J1331" s="2" t="str">
        <f>IF(Table5[[#This Row],[Entered]]&lt;&gt;Table5[[#This Row],[Quantity]],"Check","")</f>
        <v/>
      </c>
    </row>
    <row r="1332" spans="1:10" ht="15" x14ac:dyDescent="0.2">
      <c r="A1332" s="342" t="s">
        <v>2980</v>
      </c>
      <c r="B1332" s="324" t="str">
        <f t="shared" si="87"/>
        <v>1000</v>
      </c>
      <c r="C1332" s="342" t="str">
        <f t="shared" si="86"/>
        <v>52640</v>
      </c>
      <c r="D1332" s="342">
        <f>502</f>
        <v>502</v>
      </c>
      <c r="E1332" s="342">
        <v>1</v>
      </c>
      <c r="F1332" s="1159">
        <f>F1335-F1327</f>
        <v>0</v>
      </c>
      <c r="G1332" s="1160"/>
      <c r="H1332" s="503" t="s">
        <v>2101</v>
      </c>
      <c r="I1332" s="1205"/>
      <c r="J1332" s="2" t="str">
        <f>IF(Table5[[#This Row],[Entered]]&lt;&gt;Table5[[#This Row],[Quantity]],"Check","")</f>
        <v/>
      </c>
    </row>
    <row r="1333" spans="1:10" ht="15" x14ac:dyDescent="0.2">
      <c r="A1333" s="342" t="s">
        <v>2980</v>
      </c>
      <c r="B1333" s="324" t="str">
        <f t="shared" si="87"/>
        <v>1000</v>
      </c>
      <c r="C1333" s="342" t="str">
        <f t="shared" si="86"/>
        <v>52640</v>
      </c>
      <c r="D1333" s="342">
        <f>503</f>
        <v>503</v>
      </c>
      <c r="E1333" s="342">
        <v>1</v>
      </c>
      <c r="F1333" s="1159">
        <f>IF(AND(COUNTIFS(Name,"Door Entry Dbl*")&gt;0,F1336=0,COUNTIFS(Addenda!A:A,"*polished brass*",Addenda!A:A,"*deadlock*")),1,0)-F1327</f>
        <v>0</v>
      </c>
      <c r="G1333" s="1160"/>
      <c r="H1333" s="503" t="s">
        <v>1337</v>
      </c>
      <c r="I1333" s="1205"/>
      <c r="J1333" s="2" t="str">
        <f>IF(Table5[[#This Row],[Entered]]&lt;&gt;Table5[[#This Row],[Quantity]],"Check","")</f>
        <v/>
      </c>
    </row>
    <row r="1334" spans="1:10" ht="15" x14ac:dyDescent="0.2">
      <c r="A1334" s="342" t="s">
        <v>2980</v>
      </c>
      <c r="B1334" s="324" t="str">
        <f t="shared" si="87"/>
        <v>1000</v>
      </c>
      <c r="C1334" s="342" t="str">
        <f t="shared" si="86"/>
        <v>52640</v>
      </c>
      <c r="D1334" s="342">
        <f>504</f>
        <v>504</v>
      </c>
      <c r="E1334" s="342">
        <v>1</v>
      </c>
      <c r="F1334" s="1159">
        <f>IF(AND(COUNTIFS(Name,"Door Entry Dbl*")&gt;0,F1337=0,COUNTIFS(Addenda!A:A,"*bright chrome*",Addenda!A:A,"*deadlock*")),1,0)-F1327</f>
        <v>0</v>
      </c>
      <c r="G1334" s="1160"/>
      <c r="H1334" s="503" t="s">
        <v>2102</v>
      </c>
      <c r="I1334" s="1205"/>
      <c r="J1334" s="2" t="str">
        <f>IF(Table5[[#This Row],[Entered]]&lt;&gt;Table5[[#This Row],[Quantity]],"Check","")</f>
        <v/>
      </c>
    </row>
    <row r="1335" spans="1:10" ht="15" x14ac:dyDescent="0.2">
      <c r="A1335" s="342" t="s">
        <v>2980</v>
      </c>
      <c r="B1335" s="324" t="str">
        <f t="shared" si="87"/>
        <v>1000</v>
      </c>
      <c r="C1335" s="342" t="str">
        <f t="shared" si="86"/>
        <v>52640</v>
      </c>
      <c r="D1335" s="342">
        <f>505</f>
        <v>505</v>
      </c>
      <c r="E1335" s="342">
        <v>1</v>
      </c>
      <c r="F1335" s="1159">
        <f>IF(AND(COUNTIFS(Name,"Door Entry Dbl*")&gt;0,F1338=0,COUNTIFS(Addenda!A:A,"*satin chrome*",Addenda!A:A,"*deadlock*")),1,0)-F1327</f>
        <v>0</v>
      </c>
      <c r="G1335" s="1160"/>
      <c r="H1335" s="503" t="s">
        <v>2103</v>
      </c>
      <c r="I1335" s="1205"/>
      <c r="J1335" s="2" t="str">
        <f>IF(Table5[[#This Row],[Entered]]&lt;&gt;Table5[[#This Row],[Quantity]],"Check","")</f>
        <v/>
      </c>
    </row>
    <row r="1336" spans="1:10" ht="15" x14ac:dyDescent="0.2">
      <c r="A1336" s="342" t="s">
        <v>2980</v>
      </c>
      <c r="B1336" s="324" t="str">
        <f t="shared" si="87"/>
        <v>1000</v>
      </c>
      <c r="C1336" s="342" t="str">
        <f t="shared" si="86"/>
        <v>52640</v>
      </c>
      <c r="D1336" s="342">
        <f>506</f>
        <v>506</v>
      </c>
      <c r="E1336" s="342">
        <v>1</v>
      </c>
      <c r="F1336" s="1159">
        <f>IF(AND(COUNTIFS(Name,"Door Entry Dbl*")&gt;0,COUNTIFS(Addenda!A:A,"*polished brass*",Addenda!A:A,"*890*")),1,0)-F1327</f>
        <v>0</v>
      </c>
      <c r="G1336" s="1160"/>
      <c r="H1336" s="503" t="s">
        <v>1336</v>
      </c>
      <c r="I1336" s="1205"/>
      <c r="J1336" s="2" t="str">
        <f>IF(Table5[[#This Row],[Entered]]&lt;&gt;Table5[[#This Row],[Quantity]],"Check","")</f>
        <v/>
      </c>
    </row>
    <row r="1337" spans="1:10" s="1161" customFormat="1" ht="15" x14ac:dyDescent="0.2">
      <c r="A1337" s="342" t="s">
        <v>2980</v>
      </c>
      <c r="B1337" s="324" t="str">
        <f t="shared" si="87"/>
        <v>1000</v>
      </c>
      <c r="C1337" s="342" t="str">
        <f t="shared" si="86"/>
        <v>52640</v>
      </c>
      <c r="D1337" s="342">
        <f>507</f>
        <v>507</v>
      </c>
      <c r="E1337" s="342">
        <v>1</v>
      </c>
      <c r="F1337" s="1159">
        <f>IF(AND(COUNTIFS(Name,"Door Entry Dbl*")&gt;0,COUNTIFS(Addenda!A:A,"*bright chrome*",Addenda!A:A,"*890*")),1,0)-F1327</f>
        <v>0</v>
      </c>
      <c r="G1337" s="1160"/>
      <c r="H1337" s="503" t="s">
        <v>2104</v>
      </c>
      <c r="I1337" s="1205"/>
      <c r="J1337" s="2" t="str">
        <f>IF(Table5[[#This Row],[Entered]]&lt;&gt;Table5[[#This Row],[Quantity]],"Check","")</f>
        <v/>
      </c>
    </row>
    <row r="1338" spans="1:10" s="1161" customFormat="1" ht="15" x14ac:dyDescent="0.2">
      <c r="A1338" s="342" t="s">
        <v>2980</v>
      </c>
      <c r="B1338" s="324" t="str">
        <f t="shared" si="87"/>
        <v>1000</v>
      </c>
      <c r="C1338" s="342" t="str">
        <f t="shared" si="86"/>
        <v>52640</v>
      </c>
      <c r="D1338" s="342">
        <f>508</f>
        <v>508</v>
      </c>
      <c r="E1338" s="342">
        <v>1</v>
      </c>
      <c r="F1338" s="1159">
        <f>IF(AND(COUNTIFS(Name,"Door Entry Dbl*")&gt;0,COUNTIFS(Addenda!A:A,"*satin chrome*",Addenda!A:A,"*890*")),1,0)-F1327</f>
        <v>0</v>
      </c>
      <c r="G1338" s="1160"/>
      <c r="H1338" s="503" t="s">
        <v>2105</v>
      </c>
      <c r="I1338" s="1205"/>
      <c r="J1338" s="2" t="str">
        <f>IF(Table5[[#This Row],[Entered]]&lt;&gt;Table5[[#This Row],[Quantity]],"Check","")</f>
        <v/>
      </c>
    </row>
    <row r="1339" spans="1:10" s="1161" customFormat="1" ht="15" x14ac:dyDescent="0.2">
      <c r="A1339" s="324" t="s">
        <v>2980</v>
      </c>
      <c r="B1339" s="324" t="str">
        <f t="shared" si="87"/>
        <v>1000</v>
      </c>
      <c r="C1339" s="324" t="str">
        <f t="shared" si="86"/>
        <v>52640</v>
      </c>
      <c r="D1339" s="324" t="s">
        <v>2289</v>
      </c>
      <c r="E1339" s="324">
        <v>1</v>
      </c>
      <c r="F1339" s="827">
        <f>IF(AND(COUNTIFS(Name,"Door Entry Dbl*")&gt;0,COUNTIFS(Addenda!A:A,"*MATT BLACK*",Addenda!A:A,"*MULTIFUNCTION*")),1,0)-F1328</f>
        <v>0</v>
      </c>
      <c r="G1339" s="829">
        <v>17.88</v>
      </c>
      <c r="H1339" s="412" t="s">
        <v>1738</v>
      </c>
      <c r="I1339" s="1258"/>
      <c r="J1339" s="2" t="str">
        <f>IF(Table5[[#This Row],[Entered]]&lt;&gt;Table5[[#This Row],[Quantity]],"Check","")</f>
        <v/>
      </c>
    </row>
    <row r="1340" spans="1:10" s="1161" customFormat="1" ht="15" x14ac:dyDescent="0.2">
      <c r="A1340" s="342" t="s">
        <v>2980</v>
      </c>
      <c r="B1340" s="324" t="str">
        <f t="shared" si="87"/>
        <v>1000</v>
      </c>
      <c r="C1340" s="342" t="str">
        <f t="shared" si="86"/>
        <v>52640</v>
      </c>
      <c r="D1340" s="342">
        <f>540</f>
        <v>540</v>
      </c>
      <c r="E1340" s="342">
        <v>1</v>
      </c>
      <c r="F1340" s="1159"/>
      <c r="G1340" s="1160"/>
      <c r="H1340" s="503" t="s">
        <v>2107</v>
      </c>
      <c r="I1340" s="1205"/>
      <c r="J1340" s="2" t="str">
        <f>IF(Table5[[#This Row],[Entered]]&lt;&gt;Table5[[#This Row],[Quantity]],"Check","")</f>
        <v/>
      </c>
    </row>
    <row r="1341" spans="1:10" s="1161" customFormat="1" ht="15" x14ac:dyDescent="0.2">
      <c r="A1341" s="342" t="s">
        <v>2980</v>
      </c>
      <c r="B1341" s="324" t="str">
        <f t="shared" si="87"/>
        <v>1000</v>
      </c>
      <c r="C1341" s="342" t="str">
        <f t="shared" si="86"/>
        <v>52640</v>
      </c>
      <c r="D1341" s="342">
        <f>600</f>
        <v>600</v>
      </c>
      <c r="E1341" s="342">
        <v>1</v>
      </c>
      <c r="F1341" s="1159">
        <f>COUNTIFS(Addenda!A:A,"*ZANDA*")</f>
        <v>0</v>
      </c>
      <c r="G1341" s="1160"/>
      <c r="H1341" s="503" t="s">
        <v>1560</v>
      </c>
      <c r="I1341" s="1205"/>
      <c r="J1341" s="2" t="str">
        <f>IF(Table5[[#This Row],[Entered]]&lt;&gt;Table5[[#This Row],[Quantity]],"Check","")</f>
        <v/>
      </c>
    </row>
    <row r="1342" spans="1:10" s="1161" customFormat="1" ht="15" x14ac:dyDescent="0.2">
      <c r="A1342" s="342" t="s">
        <v>2980</v>
      </c>
      <c r="B1342" s="324" t="str">
        <f t="shared" si="87"/>
        <v>1000</v>
      </c>
      <c r="C1342" s="342" t="str">
        <f t="shared" si="86"/>
        <v>52640</v>
      </c>
      <c r="D1342" s="342">
        <f>610</f>
        <v>610</v>
      </c>
      <c r="E1342" s="342">
        <v>1</v>
      </c>
      <c r="F1342" s="1159">
        <f>COUNTIFS(Addenda!A:A,"*ZANDA*",Addenda!A:A,"*BRUSHED NICKEL*",Addenda!A:A,"*DEADBOLT*")</f>
        <v>0</v>
      </c>
      <c r="G1342" s="1160"/>
      <c r="H1342" s="503" t="s">
        <v>1561</v>
      </c>
      <c r="I1342" s="1205"/>
      <c r="J1342" s="2" t="str">
        <f>IF(Table5[[#This Row],[Entered]]&lt;&gt;Table5[[#This Row],[Quantity]],"Check","")</f>
        <v/>
      </c>
    </row>
    <row r="1343" spans="1:10" s="1161" customFormat="1" ht="15" x14ac:dyDescent="0.2">
      <c r="A1343" s="342" t="s">
        <v>2980</v>
      </c>
      <c r="B1343" s="324" t="str">
        <f t="shared" si="87"/>
        <v>1000</v>
      </c>
      <c r="C1343" s="342" t="str">
        <f t="shared" si="86"/>
        <v>52640</v>
      </c>
      <c r="D1343" s="342">
        <f>620</f>
        <v>620</v>
      </c>
      <c r="E1343" s="342">
        <v>1</v>
      </c>
      <c r="F1343" s="1159">
        <v>0</v>
      </c>
      <c r="G1343" s="1160"/>
      <c r="H1343" s="503" t="s">
        <v>1068</v>
      </c>
      <c r="I1343" s="1205"/>
      <c r="J1343" s="2" t="str">
        <f>IF(Table5[[#This Row],[Entered]]&lt;&gt;Table5[[#This Row],[Quantity]],"Check","")</f>
        <v/>
      </c>
    </row>
    <row r="1344" spans="1:10" s="1161" customFormat="1" ht="15" x14ac:dyDescent="0.2">
      <c r="A1344" s="342" t="s">
        <v>2980</v>
      </c>
      <c r="B1344" s="324" t="str">
        <f t="shared" si="87"/>
        <v>1000</v>
      </c>
      <c r="C1344" s="342" t="str">
        <f t="shared" si="86"/>
        <v>52640</v>
      </c>
      <c r="D1344" s="342">
        <f>630</f>
        <v>630</v>
      </c>
      <c r="E1344" s="342">
        <v>1</v>
      </c>
      <c r="F1344" s="1159">
        <f>IF(COUNTIFS(Addenda!A:A,"*ZANDA*")&gt;0,COUNTIF(Name,"Passage")+COUNTIF('CSV FF'!A:A,"Passage"),0)</f>
        <v>0</v>
      </c>
      <c r="G1344" s="1160"/>
      <c r="H1344" s="503" t="s">
        <v>1555</v>
      </c>
      <c r="I1344" s="1205"/>
      <c r="J1344" s="2" t="str">
        <f>IF(Table5[[#This Row],[Entered]]&lt;&gt;Table5[[#This Row],[Quantity]],"Check","")</f>
        <v/>
      </c>
    </row>
    <row r="1345" spans="1:10" s="1161" customFormat="1" ht="15" x14ac:dyDescent="0.2">
      <c r="A1345" s="342" t="s">
        <v>2980</v>
      </c>
      <c r="B1345" s="324" t="str">
        <f t="shared" si="87"/>
        <v>1000</v>
      </c>
      <c r="C1345" s="342" t="str">
        <f t="shared" si="86"/>
        <v>52640</v>
      </c>
      <c r="D1345" s="342">
        <f>631</f>
        <v>631</v>
      </c>
      <c r="E1345" s="342">
        <v>1</v>
      </c>
      <c r="F1345" s="1159">
        <f>IF(COUNTIFS(Addenda!A:A,"*ZANDA*")&gt;0,COUNTIF(Name,"Privacy")+COUNTIF('CSV FF'!A:A,"Privacy"),0)</f>
        <v>0</v>
      </c>
      <c r="G1345" s="1160"/>
      <c r="H1345" s="503" t="s">
        <v>1556</v>
      </c>
      <c r="I1345" s="1205"/>
      <c r="J1345" s="2" t="str">
        <f>IF(Table5[[#This Row],[Entered]]&lt;&gt;Table5[[#This Row],[Quantity]],"Check","")</f>
        <v/>
      </c>
    </row>
    <row r="1346" spans="1:10" s="1161" customFormat="1" ht="15" x14ac:dyDescent="0.2">
      <c r="A1346" s="342" t="s">
        <v>2980</v>
      </c>
      <c r="B1346" s="324" t="str">
        <f t="shared" si="87"/>
        <v>1000</v>
      </c>
      <c r="C1346" s="342" t="str">
        <f t="shared" si="86"/>
        <v>52640</v>
      </c>
      <c r="D1346" s="342">
        <f>632</f>
        <v>632</v>
      </c>
      <c r="E1346" s="342">
        <v>1</v>
      </c>
      <c r="F1346" s="1159">
        <f>IF(COUNTIFS(Addenda!A:A,"*ZANDA*")&gt;0,Dummy_Handle_Count,0)</f>
        <v>0</v>
      </c>
      <c r="G1346" s="1160"/>
      <c r="H1346" s="503" t="s">
        <v>1557</v>
      </c>
      <c r="I1346" s="1205"/>
      <c r="J1346" s="2" t="str">
        <f>IF(Table5[[#This Row],[Entered]]&lt;&gt;Table5[[#This Row],[Quantity]],"Check","")</f>
        <v/>
      </c>
    </row>
    <row r="1347" spans="1:10" s="1161" customFormat="1" ht="15" x14ac:dyDescent="0.2">
      <c r="A1347" s="342" t="s">
        <v>2980</v>
      </c>
      <c r="B1347" s="324" t="str">
        <f t="shared" si="87"/>
        <v>1000</v>
      </c>
      <c r="C1347" s="342" t="str">
        <f t="shared" si="86"/>
        <v>52640</v>
      </c>
      <c r="D1347" s="342">
        <f>633</f>
        <v>633</v>
      </c>
      <c r="E1347" s="342">
        <v>1</v>
      </c>
      <c r="F1347" s="1159">
        <f>IF(COUNTIFS(Addenda!A:A,"*ZANDA*")&gt;0,COUNTIF(Name,"Passage")+COUNTIF('CSV FF'!A:A,"Passage")+COUNTIF('CSV FF'!A:A,"Passage"),0)</f>
        <v>0</v>
      </c>
      <c r="G1347" s="1160"/>
      <c r="H1347" s="503" t="s">
        <v>1599</v>
      </c>
      <c r="I1347" s="1205"/>
      <c r="J1347" s="2" t="str">
        <f>IF(Table5[[#This Row],[Entered]]&lt;&gt;Table5[[#This Row],[Quantity]],"Check","")</f>
        <v/>
      </c>
    </row>
    <row r="1348" spans="1:10" s="1161" customFormat="1" ht="15" x14ac:dyDescent="0.2">
      <c r="A1348" s="342" t="s">
        <v>2980</v>
      </c>
      <c r="B1348" s="324" t="str">
        <f t="shared" si="87"/>
        <v>1000</v>
      </c>
      <c r="C1348" s="342" t="str">
        <f t="shared" si="86"/>
        <v>52640</v>
      </c>
      <c r="D1348" s="342">
        <f>634</f>
        <v>634</v>
      </c>
      <c r="E1348" s="342">
        <v>1</v>
      </c>
      <c r="F1348" s="1159">
        <f>IF(COUNTIFS(Addenda!A:A,"*ZANDA*")&gt;0,COUNTIF(Name,"Privacy")+COUNTIF('CSV FF'!A:A,"Privacy"),0)</f>
        <v>0</v>
      </c>
      <c r="G1348" s="1160"/>
      <c r="H1348" s="503" t="s">
        <v>1600</v>
      </c>
      <c r="I1348" s="1205"/>
      <c r="J1348" s="2" t="str">
        <f>IF(Table5[[#This Row],[Entered]]&lt;&gt;Table5[[#This Row],[Quantity]],"Check","")</f>
        <v/>
      </c>
    </row>
    <row r="1349" spans="1:10" s="1161" customFormat="1" ht="15" x14ac:dyDescent="0.2">
      <c r="A1349" s="342" t="s">
        <v>2980</v>
      </c>
      <c r="B1349" s="324" t="str">
        <f t="shared" si="87"/>
        <v>1000</v>
      </c>
      <c r="C1349" s="342" t="str">
        <f t="shared" si="86"/>
        <v>52640</v>
      </c>
      <c r="D1349" s="342">
        <f>635</f>
        <v>635</v>
      </c>
      <c r="E1349" s="342">
        <v>1</v>
      </c>
      <c r="F1349" s="1159">
        <f>IF(COUNTIFS(Addenda!A:A,"*ZANDA*")&gt;0,Dummy_Handle_Count,0)</f>
        <v>0</v>
      </c>
      <c r="G1349" s="1160"/>
      <c r="H1349" s="503" t="s">
        <v>1601</v>
      </c>
      <c r="I1349" s="1205"/>
      <c r="J1349" s="2" t="str">
        <f>IF(Table5[[#This Row],[Entered]]&lt;&gt;Table5[[#This Row],[Quantity]],"Check","")</f>
        <v/>
      </c>
    </row>
    <row r="1350" spans="1:10" s="1161" customFormat="1" ht="15" x14ac:dyDescent="0.2">
      <c r="A1350" s="342" t="s">
        <v>2980</v>
      </c>
      <c r="B1350" s="324" t="str">
        <f t="shared" si="87"/>
        <v>1000</v>
      </c>
      <c r="C1350" s="342" t="str">
        <f t="shared" si="86"/>
        <v>52640</v>
      </c>
      <c r="D1350" s="342">
        <f>690</f>
        <v>690</v>
      </c>
      <c r="E1350" s="342">
        <v>1</v>
      </c>
      <c r="F1350" s="1159">
        <f>IF(COUNTIF(Addenda!A:A,"*ZANDA*")&gt;0,COUNTIFS(Name,"DOOR SLD")*2+COUNTIFS(Name,"DOOR SLD DBL")*4+(COUNTIFS(Name,"DOOR CVTY")*2)+(COUNTIFS(Name,"DOOR CVTY DBL")*4),0)</f>
        <v>0</v>
      </c>
      <c r="G1350" s="1160"/>
      <c r="H1350" s="503" t="s">
        <v>1558</v>
      </c>
      <c r="I1350" s="1205"/>
      <c r="J1350" s="2" t="str">
        <f>IF(Table5[[#This Row],[Entered]]&lt;&gt;Table5[[#This Row],[Quantity]],"Check","")</f>
        <v/>
      </c>
    </row>
    <row r="1351" spans="1:10" s="1161" customFormat="1" ht="15" x14ac:dyDescent="0.2">
      <c r="A1351" s="342" t="s">
        <v>2980</v>
      </c>
      <c r="B1351" s="324" t="str">
        <f t="shared" si="87"/>
        <v>1000</v>
      </c>
      <c r="C1351" s="342" t="str">
        <f t="shared" si="86"/>
        <v>52640</v>
      </c>
      <c r="D1351" s="342">
        <f>720</f>
        <v>720</v>
      </c>
      <c r="E1351" s="342">
        <v>1</v>
      </c>
      <c r="F1351" s="1159">
        <f>COUNTIFS(Addenda!A:A,"*DOUBLE*",Addenda!A:A,"*BRIGHT CHROME*",Addenda!A:A,"*SILHOUETTE*")</f>
        <v>0</v>
      </c>
      <c r="G1351" s="1160"/>
      <c r="H1351" s="503" t="s">
        <v>1096</v>
      </c>
      <c r="I1351" s="1205"/>
      <c r="J1351" s="2" t="str">
        <f>IF(Table5[[#This Row],[Entered]]&lt;&gt;Table5[[#This Row],[Quantity]],"Check","")</f>
        <v/>
      </c>
    </row>
    <row r="1352" spans="1:10" s="1161" customFormat="1" ht="15" x14ac:dyDescent="0.2">
      <c r="A1352" s="324" t="s">
        <v>2980</v>
      </c>
      <c r="B1352" s="324" t="str">
        <f t="shared" si="87"/>
        <v>1000</v>
      </c>
      <c r="C1352" s="324" t="str">
        <f t="shared" si="86"/>
        <v>52640</v>
      </c>
      <c r="D1352" s="324" t="str">
        <f>"0634"</f>
        <v>0634</v>
      </c>
      <c r="E1352" s="324">
        <v>1</v>
      </c>
      <c r="F1352" s="827">
        <f>COUNTIFS(Addenda!A:A,"*HAND*",Addenda!A:A,"*TOWEL*",Addenda!A:A,"*CAROMA*")</f>
        <v>0</v>
      </c>
      <c r="G1352" s="1160"/>
      <c r="H1352" s="412" t="s">
        <v>3568</v>
      </c>
      <c r="I1352" s="1205"/>
      <c r="J1352" s="2" t="str">
        <f>IF(Table5[[#This Row],[Entered]]&lt;&gt;Table5[[#This Row],[Quantity]],"Check","")</f>
        <v/>
      </c>
    </row>
    <row r="1353" spans="1:10" s="1161" customFormat="1" ht="15" x14ac:dyDescent="0.2">
      <c r="A1353" s="342" t="s">
        <v>2980</v>
      </c>
      <c r="B1353" s="324" t="str">
        <f t="shared" si="87"/>
        <v>1000</v>
      </c>
      <c r="C1353" s="342" t="str">
        <f t="shared" si="86"/>
        <v>52640</v>
      </c>
      <c r="D1353" s="342">
        <f>732</f>
        <v>732</v>
      </c>
      <c r="E1353" s="342">
        <v>1</v>
      </c>
      <c r="F1353" s="1159">
        <f>COUNTIFS(Addenda!A:A,"*SINGLE*",Addenda!A:A,"*CHROME*",Addenda!A:A,"*CAROMA*",Addenda!A:A,"*600*")</f>
        <v>0</v>
      </c>
      <c r="G1353" s="1160"/>
      <c r="H1353" s="503" t="s">
        <v>2108</v>
      </c>
      <c r="I1353" s="1205"/>
      <c r="J1353" s="2" t="str">
        <f>IF(Table5[[#This Row],[Entered]]&lt;&gt;Table5[[#This Row],[Quantity]],"Check","")</f>
        <v/>
      </c>
    </row>
    <row r="1354" spans="1:10" s="1161" customFormat="1" ht="15" x14ac:dyDescent="0.2">
      <c r="A1354" s="342" t="s">
        <v>2980</v>
      </c>
      <c r="B1354" s="324" t="str">
        <f t="shared" si="87"/>
        <v>1000</v>
      </c>
      <c r="C1354" s="342" t="str">
        <f t="shared" si="86"/>
        <v>52640</v>
      </c>
      <c r="D1354" s="342">
        <f>734</f>
        <v>734</v>
      </c>
      <c r="E1354" s="342">
        <v>1</v>
      </c>
      <c r="F1354" s="1159">
        <f>COUNTIFS(Addenda!A:A,"*DOUBLE*",Addenda!A:A,"*CHROME*",Addenda!A:A,"*CAROMA*",Addenda!A:A,"*630*")</f>
        <v>0</v>
      </c>
      <c r="G1354" s="1160"/>
      <c r="H1354" s="503" t="s">
        <v>2109</v>
      </c>
      <c r="I1354" s="1205"/>
      <c r="J1354" s="2" t="str">
        <f>IF(Table5[[#This Row],[Entered]]&lt;&gt;Table5[[#This Row],[Quantity]],"Check","")</f>
        <v/>
      </c>
    </row>
    <row r="1355" spans="1:10" s="1161" customFormat="1" ht="15" x14ac:dyDescent="0.2">
      <c r="A1355" s="342" t="s">
        <v>2980</v>
      </c>
      <c r="B1355" s="324" t="str">
        <f t="shared" si="87"/>
        <v>1000</v>
      </c>
      <c r="C1355" s="342" t="str">
        <f t="shared" si="86"/>
        <v>52640</v>
      </c>
      <c r="D1355" s="342">
        <f>735</f>
        <v>735</v>
      </c>
      <c r="E1355" s="342">
        <v>1</v>
      </c>
      <c r="F1355" s="1159">
        <f>COUNTIFS(Addenda!A:A,"*SILHOUETTE*",Addenda!A:A,"*TOWEL*",Addenda!A:A,"*RING*")</f>
        <v>0</v>
      </c>
      <c r="G1355" s="1160"/>
      <c r="H1355" s="503" t="s">
        <v>1134</v>
      </c>
      <c r="I1355" s="1205"/>
      <c r="J1355" s="2" t="str">
        <f>IF(Table5[[#This Row],[Entered]]&lt;&gt;Table5[[#This Row],[Quantity]],"Check","")</f>
        <v/>
      </c>
    </row>
    <row r="1356" spans="1:10" s="1161" customFormat="1" ht="15" x14ac:dyDescent="0.2">
      <c r="A1356" s="342" t="s">
        <v>2980</v>
      </c>
      <c r="B1356" s="324" t="str">
        <f t="shared" si="87"/>
        <v>1000</v>
      </c>
      <c r="C1356" s="342" t="str">
        <f t="shared" si="86"/>
        <v>52640</v>
      </c>
      <c r="D1356" s="342">
        <f>737</f>
        <v>737</v>
      </c>
      <c r="E1356" s="342">
        <v>1</v>
      </c>
      <c r="F1356" s="1159">
        <f>COUNTIFS(Addenda!A:A,"*SINGLE*",Addenda!A:A,"*CHROME*",Addenda!A:A,"*CAROMA*",Addenda!A:A,"*900*")</f>
        <v>0</v>
      </c>
      <c r="G1356" s="1160"/>
      <c r="H1356" s="503" t="s">
        <v>2110</v>
      </c>
      <c r="I1356" s="1205"/>
      <c r="J1356" s="2" t="str">
        <f>IF(Table5[[#This Row],[Entered]]&lt;&gt;Table5[[#This Row],[Quantity]],"Check","")</f>
        <v/>
      </c>
    </row>
    <row r="1357" spans="1:10" s="1161" customFormat="1" ht="15" x14ac:dyDescent="0.2">
      <c r="A1357" s="342" t="s">
        <v>2980</v>
      </c>
      <c r="B1357" s="324" t="str">
        <f t="shared" si="87"/>
        <v>1000</v>
      </c>
      <c r="C1357" s="342" t="str">
        <f t="shared" ref="C1357:C1388" si="88">"52640"</f>
        <v>52640</v>
      </c>
      <c r="D1357" s="342">
        <f>738</f>
        <v>738</v>
      </c>
      <c r="E1357" s="342">
        <v>1</v>
      </c>
      <c r="F1357" s="1159">
        <f>COUNTIFS(Addenda!A:A,"*DOUBLE*",Addenda!A:A,"*CHROME*",Addenda!A:A,"*CAROMA*",Addenda!A:A,"*900*")</f>
        <v>0</v>
      </c>
      <c r="G1357" s="1160"/>
      <c r="H1357" s="503" t="s">
        <v>2111</v>
      </c>
      <c r="I1357" s="1205"/>
      <c r="J1357" s="2" t="str">
        <f>IF(Table5[[#This Row],[Entered]]&lt;&gt;Table5[[#This Row],[Quantity]],"Check","")</f>
        <v/>
      </c>
    </row>
    <row r="1358" spans="1:10" s="1161" customFormat="1" ht="15" x14ac:dyDescent="0.2">
      <c r="A1358" s="342" t="s">
        <v>2980</v>
      </c>
      <c r="B1358" s="324" t="str">
        <f t="shared" si="87"/>
        <v>1000</v>
      </c>
      <c r="C1358" s="342" t="str">
        <f t="shared" si="88"/>
        <v>52640</v>
      </c>
      <c r="D1358" s="342">
        <f>739</f>
        <v>739</v>
      </c>
      <c r="E1358" s="342">
        <v>1</v>
      </c>
      <c r="F1358" s="1159">
        <f>COUNTIFS(Addenda!A:A,"*CAROMA*",Addenda!A:A,"*TOWEL*",Addenda!A:A,"*RING*")</f>
        <v>0</v>
      </c>
      <c r="G1358" s="1160"/>
      <c r="H1358" s="503" t="s">
        <v>2112</v>
      </c>
      <c r="I1358" s="1205"/>
      <c r="J1358" s="2" t="str">
        <f>IF(Table5[[#This Row],[Entered]]&lt;&gt;Table5[[#This Row],[Quantity]],"Check","")</f>
        <v/>
      </c>
    </row>
    <row r="1359" spans="1:10" s="1161" customFormat="1" ht="15" x14ac:dyDescent="0.2">
      <c r="A1359" s="342" t="s">
        <v>2980</v>
      </c>
      <c r="B1359" s="324" t="str">
        <f t="shared" si="87"/>
        <v>1000</v>
      </c>
      <c r="C1359" s="342" t="str">
        <f t="shared" si="88"/>
        <v>52640</v>
      </c>
      <c r="D1359" s="342">
        <f>740</f>
        <v>740</v>
      </c>
      <c r="E1359" s="342">
        <v>1</v>
      </c>
      <c r="F1359" s="1159">
        <f>COUNTIFS(Addenda!A:A,"*SINGLE*",Addenda!A:A,"*STAR*",Addenda!A:A,"*750*")</f>
        <v>0</v>
      </c>
      <c r="G1359" s="1160"/>
      <c r="H1359" s="503" t="s">
        <v>2113</v>
      </c>
      <c r="I1359" s="1205"/>
      <c r="J1359" s="2" t="str">
        <f>IF(Table5[[#This Row],[Entered]]&lt;&gt;Table5[[#This Row],[Quantity]],"Check","")</f>
        <v/>
      </c>
    </row>
    <row r="1360" spans="1:10" s="1161" customFormat="1" ht="15" x14ac:dyDescent="0.2">
      <c r="A1360" s="342" t="s">
        <v>2980</v>
      </c>
      <c r="B1360" s="324" t="str">
        <f t="shared" si="87"/>
        <v>1000</v>
      </c>
      <c r="C1360" s="342" t="str">
        <f t="shared" si="88"/>
        <v>52640</v>
      </c>
      <c r="D1360" s="342">
        <f>741</f>
        <v>741</v>
      </c>
      <c r="E1360" s="342">
        <v>1</v>
      </c>
      <c r="F1360" s="1159">
        <f>COUNTIFS(Addenda!A:A,"*SINGLE*",Addenda!A:A,"*STAR*",Addenda!A:A,"*900*")</f>
        <v>0</v>
      </c>
      <c r="G1360" s="1160"/>
      <c r="H1360" s="503" t="s">
        <v>2114</v>
      </c>
      <c r="I1360" s="1205"/>
      <c r="J1360" s="2" t="str">
        <f>IF(Table5[[#This Row],[Entered]]&lt;&gt;Table5[[#This Row],[Quantity]],"Check","")</f>
        <v/>
      </c>
    </row>
    <row r="1361" spans="1:10" s="1161" customFormat="1" ht="15" x14ac:dyDescent="0.2">
      <c r="A1361" s="342" t="s">
        <v>2980</v>
      </c>
      <c r="B1361" s="324" t="str">
        <f t="shared" si="87"/>
        <v>1000</v>
      </c>
      <c r="C1361" s="342" t="str">
        <f t="shared" si="88"/>
        <v>52640</v>
      </c>
      <c r="D1361" s="342">
        <f>742</f>
        <v>742</v>
      </c>
      <c r="E1361" s="342">
        <v>1</v>
      </c>
      <c r="F1361" s="1159">
        <f>COUNTIFS(Addenda!A:A,"*TSTAR*",Addenda!A:A,"*TOWEL*",Addenda!A:A,"*RING*")</f>
        <v>0</v>
      </c>
      <c r="G1361" s="1160"/>
      <c r="H1361" s="503" t="s">
        <v>2115</v>
      </c>
      <c r="I1361" s="1205"/>
      <c r="J1361" s="2" t="str">
        <f>IF(Table5[[#This Row],[Entered]]&lt;&gt;Table5[[#This Row],[Quantity]],"Check","")</f>
        <v/>
      </c>
    </row>
    <row r="1362" spans="1:10" s="1161" customFormat="1" ht="15" x14ac:dyDescent="0.2">
      <c r="A1362" s="342" t="s">
        <v>2980</v>
      </c>
      <c r="B1362" s="324" t="str">
        <f t="shared" si="87"/>
        <v>1000</v>
      </c>
      <c r="C1362" s="342" t="str">
        <f t="shared" si="88"/>
        <v>52640</v>
      </c>
      <c r="D1362" s="342">
        <f>743</f>
        <v>743</v>
      </c>
      <c r="E1362" s="342">
        <v>1</v>
      </c>
      <c r="F1362" s="1159">
        <f>COUNTIFS(Addenda!A:A,"*TOILET*",Addenda!A:A,"*STAR*")</f>
        <v>0</v>
      </c>
      <c r="G1362" s="1160"/>
      <c r="H1362" s="503" t="s">
        <v>2116</v>
      </c>
      <c r="I1362" s="1205"/>
      <c r="J1362" s="2" t="str">
        <f>IF(Table5[[#This Row],[Entered]]&lt;&gt;Table5[[#This Row],[Quantity]],"Check","")</f>
        <v/>
      </c>
    </row>
    <row r="1363" spans="1:10" s="1161" customFormat="1" ht="15" x14ac:dyDescent="0.2">
      <c r="A1363" s="342" t="s">
        <v>2980</v>
      </c>
      <c r="B1363" s="324" t="str">
        <f t="shared" si="87"/>
        <v>1000</v>
      </c>
      <c r="C1363" s="342" t="str">
        <f t="shared" si="88"/>
        <v>52640</v>
      </c>
      <c r="D1363" s="342">
        <f>744</f>
        <v>744</v>
      </c>
      <c r="E1363" s="342">
        <v>1</v>
      </c>
      <c r="F1363" s="1159">
        <f>COUNTIFS(Addenda!A:A,"*DOUBLE*",Addenda!A:A,"*STAR*",Addenda!A:A,"*750*")</f>
        <v>0</v>
      </c>
      <c r="G1363" s="1160"/>
      <c r="H1363" s="503" t="s">
        <v>2117</v>
      </c>
      <c r="I1363" s="1205"/>
      <c r="J1363" s="2" t="str">
        <f>IF(Table5[[#This Row],[Entered]]&lt;&gt;Table5[[#This Row],[Quantity]],"Check","")</f>
        <v/>
      </c>
    </row>
    <row r="1364" spans="1:10" s="1161" customFormat="1" ht="15" x14ac:dyDescent="0.2">
      <c r="A1364" s="342" t="s">
        <v>2980</v>
      </c>
      <c r="B1364" s="324" t="str">
        <f t="shared" si="87"/>
        <v>1000</v>
      </c>
      <c r="C1364" s="342" t="str">
        <f t="shared" si="88"/>
        <v>52640</v>
      </c>
      <c r="D1364" s="342">
        <f>745</f>
        <v>745</v>
      </c>
      <c r="E1364" s="342">
        <v>1</v>
      </c>
      <c r="F1364" s="1159">
        <f>COUNTIFS(Addenda!A:A,"*DOUBLE*",Addenda!A:A,"*STAR*",Addenda!A:A,"*900*")</f>
        <v>0</v>
      </c>
      <c r="G1364" s="1160"/>
      <c r="H1364" s="503" t="s">
        <v>2118</v>
      </c>
      <c r="I1364" s="1205"/>
      <c r="J1364" s="2" t="str">
        <f>IF(Table5[[#This Row],[Entered]]&lt;&gt;Table5[[#This Row],[Quantity]],"Check","")</f>
        <v/>
      </c>
    </row>
    <row r="1365" spans="1:10" s="1161" customFormat="1" ht="15" x14ac:dyDescent="0.2">
      <c r="A1365" s="342" t="s">
        <v>2980</v>
      </c>
      <c r="B1365" s="324" t="str">
        <f t="shared" si="87"/>
        <v>1000</v>
      </c>
      <c r="C1365" s="342" t="str">
        <f t="shared" si="88"/>
        <v>52640</v>
      </c>
      <c r="D1365" s="342">
        <f>746</f>
        <v>746</v>
      </c>
      <c r="E1365" s="342">
        <v>1</v>
      </c>
      <c r="F1365" s="1159">
        <f>COUNTIFS(Addenda!A:A,"*TOILET*",Addenda!A:A,"*SEIMA 1000*",Addenda!A:A,"*POLISHED*")</f>
        <v>0</v>
      </c>
      <c r="G1365" s="1160"/>
      <c r="H1365" s="503" t="s">
        <v>2348</v>
      </c>
      <c r="I1365" s="1205"/>
      <c r="J1365" s="2" t="str">
        <f>IF(Table5[[#This Row],[Entered]]&lt;&gt;Table5[[#This Row],[Quantity]],"Check","")</f>
        <v/>
      </c>
    </row>
    <row r="1366" spans="1:10" s="1161" customFormat="1" ht="15" x14ac:dyDescent="0.2">
      <c r="A1366" s="342" t="s">
        <v>2980</v>
      </c>
      <c r="B1366" s="324" t="str">
        <f t="shared" si="87"/>
        <v>1000</v>
      </c>
      <c r="C1366" s="342" t="str">
        <f t="shared" si="88"/>
        <v>52640</v>
      </c>
      <c r="D1366" s="342">
        <f>747</f>
        <v>747</v>
      </c>
      <c r="E1366" s="342">
        <v>1</v>
      </c>
      <c r="F1366" s="1159">
        <f>COUNTIFS(Addenda!A:A,"*TOILET*",Addenda!A:A,"*SEIMA 1000*",Addenda!A:A,"*SATIN*")</f>
        <v>0</v>
      </c>
      <c r="G1366" s="1160"/>
      <c r="H1366" s="503" t="s">
        <v>2349</v>
      </c>
      <c r="I1366" s="1205"/>
      <c r="J1366" s="2" t="str">
        <f>IF(Table5[[#This Row],[Entered]]&lt;&gt;Table5[[#This Row],[Quantity]],"Check","")</f>
        <v/>
      </c>
    </row>
    <row r="1367" spans="1:10" s="1161" customFormat="1" ht="15" x14ac:dyDescent="0.2">
      <c r="A1367" s="342" t="s">
        <v>2980</v>
      </c>
      <c r="B1367" s="324" t="str">
        <f t="shared" si="87"/>
        <v>1000</v>
      </c>
      <c r="C1367" s="342" t="str">
        <f t="shared" si="88"/>
        <v>52640</v>
      </c>
      <c r="D1367" s="342">
        <f>748</f>
        <v>748</v>
      </c>
      <c r="E1367" s="342">
        <v>1</v>
      </c>
      <c r="F1367" s="1159">
        <f>COUNTIFS(Addenda!A:A,"*SEIMA 1000*",Addenda!A:A,"*TOWEL*",Addenda!A:A,"*RING*",Addenda!A:A,"*POLISHED*")</f>
        <v>0</v>
      </c>
      <c r="G1367" s="1160"/>
      <c r="H1367" s="503" t="s">
        <v>2350</v>
      </c>
      <c r="I1367" s="1205"/>
      <c r="J1367" s="2" t="str">
        <f>IF(Table5[[#This Row],[Entered]]&lt;&gt;Table5[[#This Row],[Quantity]],"Check","")</f>
        <v/>
      </c>
    </row>
    <row r="1368" spans="1:10" s="1161" customFormat="1" ht="15" x14ac:dyDescent="0.2">
      <c r="A1368" s="342" t="s">
        <v>2980</v>
      </c>
      <c r="B1368" s="324" t="str">
        <f t="shared" si="87"/>
        <v>1000</v>
      </c>
      <c r="C1368" s="342" t="str">
        <f t="shared" si="88"/>
        <v>52640</v>
      </c>
      <c r="D1368" s="342">
        <f>749</f>
        <v>749</v>
      </c>
      <c r="E1368" s="342">
        <v>1</v>
      </c>
      <c r="F1368" s="1159">
        <f>COUNTIFS(Addenda!A:A,"*SEIMA 1000*",Addenda!A:A,"*TOWEL*",Addenda!A:A,"*RING*",Addenda!A:A,"*SATIN*")</f>
        <v>0</v>
      </c>
      <c r="G1368" s="1160"/>
      <c r="H1368" s="503" t="s">
        <v>2351</v>
      </c>
      <c r="I1368" s="1205"/>
      <c r="J1368" s="2" t="str">
        <f>IF(Table5[[#This Row],[Entered]]&lt;&gt;Table5[[#This Row],[Quantity]],"Check","")</f>
        <v/>
      </c>
    </row>
    <row r="1369" spans="1:10" s="1161" customFormat="1" ht="15" x14ac:dyDescent="0.2">
      <c r="A1369" s="342" t="s">
        <v>2980</v>
      </c>
      <c r="B1369" s="324" t="str">
        <f t="shared" si="87"/>
        <v>1000</v>
      </c>
      <c r="C1369" s="342" t="str">
        <f t="shared" si="88"/>
        <v>52640</v>
      </c>
      <c r="D1369" s="342">
        <f>750</f>
        <v>750</v>
      </c>
      <c r="E1369" s="342">
        <v>1</v>
      </c>
      <c r="F1369" s="1159">
        <f>COUNTIFS(Addenda!A:A,"*SINGLE*",Addenda!A:A,"*SEIMA 1000*",Addenda!A:A,"*600*",Addenda!A:A,"*POLISHED*")</f>
        <v>0</v>
      </c>
      <c r="G1369" s="1160"/>
      <c r="H1369" s="503" t="s">
        <v>2352</v>
      </c>
      <c r="I1369" s="1205"/>
      <c r="J1369" s="2" t="str">
        <f>IF(Table5[[#This Row],[Entered]]&lt;&gt;Table5[[#This Row],[Quantity]],"Check","")</f>
        <v/>
      </c>
    </row>
    <row r="1370" spans="1:10" s="1161" customFormat="1" ht="15" x14ac:dyDescent="0.2">
      <c r="A1370" s="342" t="s">
        <v>2980</v>
      </c>
      <c r="B1370" s="324" t="str">
        <f t="shared" si="87"/>
        <v>1000</v>
      </c>
      <c r="C1370" s="342" t="str">
        <f t="shared" si="88"/>
        <v>52640</v>
      </c>
      <c r="D1370" s="342">
        <f>751</f>
        <v>751</v>
      </c>
      <c r="E1370" s="342">
        <v>1</v>
      </c>
      <c r="F1370" s="1159">
        <f>COUNTIFS(Addenda!A:A,"*SINGLE*",Addenda!A:A,"*SEIMA 1000*",Addenda!A:A,"*600*",Addenda!A:A,"*SATIN*")</f>
        <v>0</v>
      </c>
      <c r="G1370" s="1160"/>
      <c r="H1370" s="503" t="s">
        <v>2353</v>
      </c>
      <c r="I1370" s="1205"/>
      <c r="J1370" s="2" t="str">
        <f>IF(Table5[[#This Row],[Entered]]&lt;&gt;Table5[[#This Row],[Quantity]],"Check","")</f>
        <v/>
      </c>
    </row>
    <row r="1371" spans="1:10" s="1161" customFormat="1" ht="15" x14ac:dyDescent="0.2">
      <c r="A1371" s="342" t="s">
        <v>2980</v>
      </c>
      <c r="B1371" s="324" t="str">
        <f t="shared" si="87"/>
        <v>1000</v>
      </c>
      <c r="C1371" s="342" t="str">
        <f t="shared" si="88"/>
        <v>52640</v>
      </c>
      <c r="D1371" s="342">
        <f>752</f>
        <v>752</v>
      </c>
      <c r="E1371" s="342">
        <v>1</v>
      </c>
      <c r="F1371" s="1159">
        <f>COUNTIFS(Addenda!A:A,"*DOUBLE*",Addenda!A:A,"*SEIMA 1000*",Addenda!A:A,"*600*",Addenda!A:A,"*POLISHED*")</f>
        <v>0</v>
      </c>
      <c r="G1371" s="1160"/>
      <c r="H1371" s="503" t="s">
        <v>2354</v>
      </c>
      <c r="I1371" s="1205"/>
      <c r="J1371" s="2" t="str">
        <f>IF(Table5[[#This Row],[Entered]]&lt;&gt;Table5[[#This Row],[Quantity]],"Check","")</f>
        <v/>
      </c>
    </row>
    <row r="1372" spans="1:10" s="1161" customFormat="1" ht="15" x14ac:dyDescent="0.2">
      <c r="A1372" s="342" t="s">
        <v>2980</v>
      </c>
      <c r="B1372" s="324" t="str">
        <f t="shared" si="87"/>
        <v>1000</v>
      </c>
      <c r="C1372" s="342" t="str">
        <f t="shared" si="88"/>
        <v>52640</v>
      </c>
      <c r="D1372" s="342">
        <f>753</f>
        <v>753</v>
      </c>
      <c r="E1372" s="342">
        <v>1</v>
      </c>
      <c r="F1372" s="1159">
        <f>COUNTIFS(Addenda!A:A,"*DOUBLE*",Addenda!A:A,"*SEIMA 1000*",Addenda!A:A,"*600*",Addenda!A:A,"*SATIN*")</f>
        <v>0</v>
      </c>
      <c r="G1372" s="1160"/>
      <c r="H1372" s="503" t="s">
        <v>2355</v>
      </c>
      <c r="I1372" s="1205"/>
      <c r="J1372" s="2" t="str">
        <f>IF(Table5[[#This Row],[Entered]]&lt;&gt;Table5[[#This Row],[Quantity]],"Check","")</f>
        <v/>
      </c>
    </row>
    <row r="1373" spans="1:10" s="1161" customFormat="1" ht="15" x14ac:dyDescent="0.2">
      <c r="A1373" s="342" t="s">
        <v>2980</v>
      </c>
      <c r="B1373" s="324" t="str">
        <f t="shared" si="87"/>
        <v>1000</v>
      </c>
      <c r="C1373" s="342" t="str">
        <f t="shared" si="88"/>
        <v>52640</v>
      </c>
      <c r="D1373" s="342">
        <f>754</f>
        <v>754</v>
      </c>
      <c r="E1373" s="342">
        <v>1</v>
      </c>
      <c r="F1373" s="1159">
        <f>COUNTIFS(Addenda!A:A,"*SINGLE*",Addenda!A:A,"*SEIMA 1000*",Addenda!A:A,"*900*",Addenda!A:A,"*POLISHED*")</f>
        <v>0</v>
      </c>
      <c r="G1373" s="1160"/>
      <c r="H1373" s="503" t="s">
        <v>2356</v>
      </c>
      <c r="I1373" s="1205"/>
      <c r="J1373" s="2" t="str">
        <f>IF(Table5[[#This Row],[Entered]]&lt;&gt;Table5[[#This Row],[Quantity]],"Check","")</f>
        <v/>
      </c>
    </row>
    <row r="1374" spans="1:10" s="1161" customFormat="1" ht="15" x14ac:dyDescent="0.2">
      <c r="A1374" s="342" t="s">
        <v>2980</v>
      </c>
      <c r="B1374" s="324" t="str">
        <f t="shared" si="87"/>
        <v>1000</v>
      </c>
      <c r="C1374" s="342" t="str">
        <f t="shared" si="88"/>
        <v>52640</v>
      </c>
      <c r="D1374" s="342">
        <f>755</f>
        <v>755</v>
      </c>
      <c r="E1374" s="342">
        <v>1</v>
      </c>
      <c r="F1374" s="1159">
        <f>COUNTIFS(Addenda!A:A,"*SINGLE*",Addenda!A:A,"*SEIMA 1000*",Addenda!A:A,"*900*",Addenda!A:A,"*SATIN*")</f>
        <v>0</v>
      </c>
      <c r="G1374" s="1160"/>
      <c r="H1374" s="503" t="s">
        <v>2357</v>
      </c>
      <c r="I1374" s="1205"/>
      <c r="J1374" s="2" t="str">
        <f>IF(Table5[[#This Row],[Entered]]&lt;&gt;Table5[[#This Row],[Quantity]],"Check","")</f>
        <v/>
      </c>
    </row>
    <row r="1375" spans="1:10" s="1161" customFormat="1" ht="15" x14ac:dyDescent="0.2">
      <c r="A1375" s="342" t="s">
        <v>2980</v>
      </c>
      <c r="B1375" s="324" t="str">
        <f t="shared" si="87"/>
        <v>1000</v>
      </c>
      <c r="C1375" s="342" t="str">
        <f t="shared" si="88"/>
        <v>52640</v>
      </c>
      <c r="D1375" s="342">
        <f>756</f>
        <v>756</v>
      </c>
      <c r="E1375" s="342">
        <v>1</v>
      </c>
      <c r="F1375" s="1159">
        <f>COUNTIFS(Addenda!A:A,"*DOUBLE*",Addenda!A:A,"*SEIMA 1000*",Addenda!A:A,"*900*",Addenda!A:A,"*POLISHED*")</f>
        <v>0</v>
      </c>
      <c r="G1375" s="1160"/>
      <c r="H1375" s="503" t="s">
        <v>2358</v>
      </c>
      <c r="I1375" s="1205"/>
      <c r="J1375" s="2" t="str">
        <f>IF(Table5[[#This Row],[Entered]]&lt;&gt;Table5[[#This Row],[Quantity]],"Check","")</f>
        <v/>
      </c>
    </row>
    <row r="1376" spans="1:10" s="1161" customFormat="1" ht="15" x14ac:dyDescent="0.2">
      <c r="A1376" s="342" t="s">
        <v>2980</v>
      </c>
      <c r="B1376" s="324" t="str">
        <f t="shared" si="87"/>
        <v>1000</v>
      </c>
      <c r="C1376" s="342" t="str">
        <f t="shared" si="88"/>
        <v>52640</v>
      </c>
      <c r="D1376" s="342">
        <f>757</f>
        <v>757</v>
      </c>
      <c r="E1376" s="342">
        <v>1</v>
      </c>
      <c r="F1376" s="1159">
        <f>COUNTIFS(Addenda!A:A,"*DOUBLE*",Addenda!A:A,"*SEIMA 1000*",Addenda!A:A,"*900*",Addenda!A:A,"*SATIN*")</f>
        <v>0</v>
      </c>
      <c r="G1376" s="1160"/>
      <c r="H1376" s="503" t="s">
        <v>2359</v>
      </c>
      <c r="I1376" s="1205"/>
      <c r="J1376" s="2" t="str">
        <f>IF(Table5[[#This Row],[Entered]]&lt;&gt;Table5[[#This Row],[Quantity]],"Check","")</f>
        <v/>
      </c>
    </row>
    <row r="1377" spans="1:10" s="1161" customFormat="1" ht="15" x14ac:dyDescent="0.2">
      <c r="A1377" s="342" t="s">
        <v>2980</v>
      </c>
      <c r="B1377" s="324" t="str">
        <f t="shared" si="87"/>
        <v>1000</v>
      </c>
      <c r="C1377" s="342" t="str">
        <f t="shared" si="88"/>
        <v>52640</v>
      </c>
      <c r="D1377" s="342"/>
      <c r="E1377" s="342">
        <v>1</v>
      </c>
      <c r="F1377" s="1159">
        <f>COUNTIFS(Addenda!A:A,"*TOILET*",Addenda!A:A,"*CHROME*",Addenda!A:A,"*SILHOUETTE*")</f>
        <v>0</v>
      </c>
      <c r="G1377" s="1160"/>
      <c r="H1377" s="503" t="s">
        <v>1071</v>
      </c>
      <c r="I1377" s="1205"/>
      <c r="J1377" s="2" t="str">
        <f>IF(Table5[[#This Row],[Entered]]&lt;&gt;Table5[[#This Row],[Quantity]],"Check","")</f>
        <v/>
      </c>
    </row>
    <row r="1378" spans="1:10" s="1161" customFormat="1" ht="15" x14ac:dyDescent="0.2">
      <c r="A1378" s="342" t="s">
        <v>2980</v>
      </c>
      <c r="B1378" s="324" t="str">
        <f t="shared" si="87"/>
        <v>1000</v>
      </c>
      <c r="C1378" s="342" t="str">
        <f t="shared" si="88"/>
        <v>52640</v>
      </c>
      <c r="D1378" s="342">
        <f>760</f>
        <v>760</v>
      </c>
      <c r="E1378" s="342">
        <v>1</v>
      </c>
      <c r="F1378" s="1159">
        <f>COUNTIFS(Addenda!A:A,"*TOILET*",Addenda!A:A,"*CHROME*",Addenda!A:A,"*CAROMA*")</f>
        <v>0</v>
      </c>
      <c r="G1378" s="1160"/>
      <c r="H1378" s="503" t="s">
        <v>2119</v>
      </c>
      <c r="I1378" s="1205"/>
      <c r="J1378" s="2" t="str">
        <f>IF(Table5[[#This Row],[Entered]]&lt;&gt;Table5[[#This Row],[Quantity]],"Check","")</f>
        <v/>
      </c>
    </row>
    <row r="1379" spans="1:10" s="1161" customFormat="1" ht="15" x14ac:dyDescent="0.2">
      <c r="A1379" s="342" t="s">
        <v>2980</v>
      </c>
      <c r="B1379" s="324" t="str">
        <f t="shared" si="87"/>
        <v>1000</v>
      </c>
      <c r="C1379" s="342" t="str">
        <f t="shared" si="88"/>
        <v>52640</v>
      </c>
      <c r="D1379" s="342">
        <f>761</f>
        <v>761</v>
      </c>
      <c r="E1379" s="342">
        <v>1</v>
      </c>
      <c r="F1379" s="1159">
        <f>COUNTIFS(Addenda!A:A,"*TOILET*",Addenda!A:A,"*CHROME*",Addenda!A:A,"*DORF*")</f>
        <v>0</v>
      </c>
      <c r="G1379" s="1160"/>
      <c r="H1379" s="503" t="s">
        <v>2120</v>
      </c>
      <c r="I1379" s="1205"/>
      <c r="J1379" s="2" t="str">
        <f>IF(Table5[[#This Row],[Entered]]&lt;&gt;Table5[[#This Row],[Quantity]],"Check","")</f>
        <v/>
      </c>
    </row>
    <row r="1380" spans="1:10" s="1161" customFormat="1" ht="15" x14ac:dyDescent="0.2">
      <c r="A1380" s="342" t="s">
        <v>2980</v>
      </c>
      <c r="B1380" s="324" t="str">
        <f t="shared" si="87"/>
        <v>1000</v>
      </c>
      <c r="C1380" s="342" t="str">
        <f t="shared" si="88"/>
        <v>52640</v>
      </c>
      <c r="D1380" s="342">
        <f>765</f>
        <v>765</v>
      </c>
      <c r="E1380" s="342">
        <v>1</v>
      </c>
      <c r="F1380" s="1159">
        <f>COUNTIFS(Addenda!A:A,"*single*",Addenda!A:A,"*CHROME*",Addenda!A:A,"*DORF*",Addenda!A:A,"*600*")+COUNTIFS(Addenda!A:A,"*single*",Addenda!A:A,"*CHROME*",Addenda!A:A,"*DORF*",Addenda!A:A,"*600*",Addenda!A:A,"*x2*")</f>
        <v>0</v>
      </c>
      <c r="G1380" s="1160"/>
      <c r="H1380" s="503" t="s">
        <v>2121</v>
      </c>
      <c r="I1380" s="1205"/>
      <c r="J1380" s="2" t="str">
        <f>IF(Table5[[#This Row],[Entered]]&lt;&gt;Table5[[#This Row],[Quantity]],"Check","")</f>
        <v/>
      </c>
    </row>
    <row r="1381" spans="1:10" s="1161" customFormat="1" ht="15" x14ac:dyDescent="0.2">
      <c r="A1381" s="342" t="s">
        <v>2980</v>
      </c>
      <c r="B1381" s="324" t="str">
        <f t="shared" si="87"/>
        <v>1000</v>
      </c>
      <c r="C1381" s="342" t="str">
        <f t="shared" si="88"/>
        <v>52640</v>
      </c>
      <c r="D1381" s="342">
        <f>766</f>
        <v>766</v>
      </c>
      <c r="E1381" s="342">
        <v>1</v>
      </c>
      <c r="F1381" s="1159">
        <f>COUNTIFS(Addenda!A:A,"*DOUBLE*",Addenda!A:A,"*CHROME*",Addenda!A:A,"*DORF*",Addenda!A:A,"*600*")</f>
        <v>0</v>
      </c>
      <c r="G1381" s="1160"/>
      <c r="H1381" s="503" t="s">
        <v>2122</v>
      </c>
      <c r="I1381" s="1205"/>
      <c r="J1381" s="2" t="str">
        <f>IF(Table5[[#This Row],[Entered]]&lt;&gt;Table5[[#This Row],[Quantity]],"Check","")</f>
        <v/>
      </c>
    </row>
    <row r="1382" spans="1:10" s="1161" customFormat="1" ht="15" x14ac:dyDescent="0.2">
      <c r="A1382" s="342" t="s">
        <v>2980</v>
      </c>
      <c r="B1382" s="324" t="str">
        <f t="shared" si="87"/>
        <v>1000</v>
      </c>
      <c r="C1382" s="342" t="str">
        <f t="shared" si="88"/>
        <v>52640</v>
      </c>
      <c r="D1382" s="342">
        <f>767</f>
        <v>767</v>
      </c>
      <c r="E1382" s="342">
        <v>1</v>
      </c>
      <c r="F1382" s="1159">
        <f>COUNTIFS(Addenda!A:A,"*SINGLE*",Addenda!A:A,"*CHROME*",Addenda!A:A,"*DORF*",Addenda!A:A,"*900*")+COUNTIFS(Addenda!A:A,"*SINGLE*",Addenda!A:A,"*CHROME*",Addenda!A:A,"*DORF*",Addenda!A:A,"*900*",Addenda!A:A,"*X2*")</f>
        <v>0</v>
      </c>
      <c r="G1382" s="1160"/>
      <c r="H1382" s="503" t="s">
        <v>2123</v>
      </c>
      <c r="I1382" s="1205"/>
      <c r="J1382" s="2" t="str">
        <f>IF(Table5[[#This Row],[Entered]]&lt;&gt;Table5[[#This Row],[Quantity]],"Check","")</f>
        <v/>
      </c>
    </row>
    <row r="1383" spans="1:10" s="1161" customFormat="1" ht="15" x14ac:dyDescent="0.2">
      <c r="A1383" s="342" t="s">
        <v>2980</v>
      </c>
      <c r="B1383" s="324" t="str">
        <f t="shared" si="87"/>
        <v>1000</v>
      </c>
      <c r="C1383" s="342" t="str">
        <f t="shared" si="88"/>
        <v>52640</v>
      </c>
      <c r="D1383" s="342">
        <f>768</f>
        <v>768</v>
      </c>
      <c r="E1383" s="342">
        <v>1</v>
      </c>
      <c r="F1383" s="1159">
        <f>COUNTIFS(Addenda!A:A,"*DOUBLE*",Addenda!A:A,"*CHROME*",Addenda!A:A,"*DORF*",Addenda!A:A,"*900*")</f>
        <v>0</v>
      </c>
      <c r="G1383" s="1160"/>
      <c r="H1383" s="503" t="s">
        <v>2124</v>
      </c>
      <c r="I1383" s="1205"/>
      <c r="J1383" s="2" t="str">
        <f>IF(Table5[[#This Row],[Entered]]&lt;&gt;Table5[[#This Row],[Quantity]],"Check","")</f>
        <v/>
      </c>
    </row>
    <row r="1384" spans="1:10" s="1161" customFormat="1" ht="15" x14ac:dyDescent="0.2">
      <c r="A1384" s="342" t="s">
        <v>2980</v>
      </c>
      <c r="B1384" s="324" t="str">
        <f t="shared" si="87"/>
        <v>1000</v>
      </c>
      <c r="C1384" s="342" t="str">
        <f t="shared" si="88"/>
        <v>52640</v>
      </c>
      <c r="D1384" s="342">
        <f>769</f>
        <v>769</v>
      </c>
      <c r="E1384" s="342">
        <v>1</v>
      </c>
      <c r="F1384" s="1159">
        <f>COUNTIFS(Addenda!A:A,"*TOWEL*",Addenda!A:A,"*CHROME*",Addenda!A:A,"*DORF*",Addenda!A:A,"*HAND*")</f>
        <v>0</v>
      </c>
      <c r="G1384" s="1160"/>
      <c r="H1384" s="503" t="s">
        <v>2125</v>
      </c>
      <c r="I1384" s="1205"/>
      <c r="J1384" s="2" t="str">
        <f>IF(Table5[[#This Row],[Entered]]&lt;&gt;Table5[[#This Row],[Quantity]],"Check","")</f>
        <v/>
      </c>
    </row>
    <row r="1385" spans="1:10" s="1161" customFormat="1" ht="15" x14ac:dyDescent="0.2">
      <c r="A1385" s="342" t="s">
        <v>2980</v>
      </c>
      <c r="B1385" s="324" t="str">
        <f t="shared" si="87"/>
        <v>1000</v>
      </c>
      <c r="C1385" s="342" t="str">
        <f t="shared" si="88"/>
        <v>52640</v>
      </c>
      <c r="D1385" s="342">
        <f>770</f>
        <v>770</v>
      </c>
      <c r="E1385" s="342">
        <v>1</v>
      </c>
      <c r="F1385" s="1159">
        <f>COUNTIFS(Addenda!A:A,"*DORF*",Addenda!A:A,"*TOWEL*",Addenda!A:A,"*RING*")</f>
        <v>0</v>
      </c>
      <c r="G1385" s="1160"/>
      <c r="H1385" s="503" t="s">
        <v>2126</v>
      </c>
      <c r="I1385" s="1205"/>
      <c r="J1385" s="2" t="str">
        <f>IF(Table5[[#This Row],[Entered]]&lt;&gt;Table5[[#This Row],[Quantity]],"Check","")</f>
        <v/>
      </c>
    </row>
    <row r="1386" spans="1:10" s="1161" customFormat="1" ht="15" x14ac:dyDescent="0.2">
      <c r="A1386" s="342" t="s">
        <v>2980</v>
      </c>
      <c r="B1386" s="324" t="str">
        <f t="shared" si="87"/>
        <v>1000</v>
      </c>
      <c r="C1386" s="342" t="str">
        <f t="shared" si="88"/>
        <v>52640</v>
      </c>
      <c r="D1386" s="342">
        <f>779</f>
        <v>779</v>
      </c>
      <c r="E1386" s="342">
        <v>1</v>
      </c>
      <c r="F1386" s="1159">
        <f>COUNTIFS(Addenda!A:A,"*LADDER*",Addenda!A:A,"*ALDER*",Addenda!A:A,"*ALTO*")</f>
        <v>0</v>
      </c>
      <c r="G1386" s="1160"/>
      <c r="H1386" s="503" t="s">
        <v>2127</v>
      </c>
      <c r="I1386" s="1205"/>
      <c r="J1386" s="2" t="str">
        <f>IF(Table5[[#This Row],[Entered]]&lt;&gt;Table5[[#This Row],[Quantity]],"Check","")</f>
        <v/>
      </c>
    </row>
    <row r="1387" spans="1:10" s="1161" customFormat="1" ht="15" x14ac:dyDescent="0.2">
      <c r="A1387" s="342" t="s">
        <v>2980</v>
      </c>
      <c r="B1387" s="324" t="str">
        <f t="shared" si="87"/>
        <v>1000</v>
      </c>
      <c r="C1387" s="342" t="str">
        <f t="shared" si="88"/>
        <v>52640</v>
      </c>
      <c r="D1387" s="342">
        <f>780</f>
        <v>780</v>
      </c>
      <c r="E1387" s="342">
        <v>1</v>
      </c>
      <c r="F1387" s="1159">
        <f>COUNTIFS(Addenda!A:A,"*SINGLE*",Addenda!A:A,"*ALTO*",Addenda!A:A,"*750*")</f>
        <v>0</v>
      </c>
      <c r="G1387" s="1160"/>
      <c r="H1387" s="503" t="s">
        <v>2128</v>
      </c>
      <c r="I1387" s="1205"/>
      <c r="J1387" s="2" t="str">
        <f>IF(Table5[[#This Row],[Entered]]&lt;&gt;Table5[[#This Row],[Quantity]],"Check","")</f>
        <v/>
      </c>
    </row>
    <row r="1388" spans="1:10" s="1161" customFormat="1" ht="15" x14ac:dyDescent="0.2">
      <c r="A1388" s="342" t="s">
        <v>2980</v>
      </c>
      <c r="B1388" s="324" t="str">
        <f t="shared" si="87"/>
        <v>1000</v>
      </c>
      <c r="C1388" s="342" t="str">
        <f t="shared" si="88"/>
        <v>52640</v>
      </c>
      <c r="D1388" s="342">
        <f>781</f>
        <v>781</v>
      </c>
      <c r="E1388" s="342">
        <v>1</v>
      </c>
      <c r="F1388" s="1159">
        <f>COUNTIFS(Addenda!A:A,"*DOUBLE*",Addenda!A:A,"*ALTO*",Addenda!A:A,"*750*")</f>
        <v>0</v>
      </c>
      <c r="G1388" s="1160"/>
      <c r="H1388" s="503" t="s">
        <v>2129</v>
      </c>
      <c r="I1388" s="1205"/>
      <c r="J1388" s="2" t="str">
        <f>IF(Table5[[#This Row],[Entered]]&lt;&gt;Table5[[#This Row],[Quantity]],"Check","")</f>
        <v/>
      </c>
    </row>
    <row r="1389" spans="1:10" s="1161" customFormat="1" ht="15" x14ac:dyDescent="0.2">
      <c r="A1389" s="342" t="s">
        <v>2980</v>
      </c>
      <c r="B1389" s="324" t="str">
        <f t="shared" si="87"/>
        <v>1000</v>
      </c>
      <c r="C1389" s="342" t="str">
        <f t="shared" ref="C1389:C1420" si="89">"52640"</f>
        <v>52640</v>
      </c>
      <c r="D1389" s="342">
        <f>782</f>
        <v>782</v>
      </c>
      <c r="E1389" s="342">
        <v>1</v>
      </c>
      <c r="F1389" s="1159">
        <f>COUNTIFS(Addenda!A:A,"*SINGLE*",Addenda!A:A,"*ALTO*",Addenda!A:A,"*900*")</f>
        <v>0</v>
      </c>
      <c r="G1389" s="1160"/>
      <c r="H1389" s="503" t="s">
        <v>2130</v>
      </c>
      <c r="I1389" s="1205"/>
      <c r="J1389" s="2" t="str">
        <f>IF(Table5[[#This Row],[Entered]]&lt;&gt;Table5[[#This Row],[Quantity]],"Check","")</f>
        <v/>
      </c>
    </row>
    <row r="1390" spans="1:10" s="1161" customFormat="1" ht="15" x14ac:dyDescent="0.2">
      <c r="A1390" s="342" t="s">
        <v>2980</v>
      </c>
      <c r="B1390" s="324" t="str">
        <f t="shared" si="87"/>
        <v>1000</v>
      </c>
      <c r="C1390" s="342" t="str">
        <f t="shared" si="89"/>
        <v>52640</v>
      </c>
      <c r="D1390" s="342">
        <f>783</f>
        <v>783</v>
      </c>
      <c r="E1390" s="342">
        <v>1</v>
      </c>
      <c r="F1390" s="1159">
        <f>COUNTIFS(Addenda!A:A,"*DOUBLE*",Addenda!A:A,"*ALTO*",Addenda!A:A,"*900*")</f>
        <v>0</v>
      </c>
      <c r="G1390" s="1160"/>
      <c r="H1390" s="503" t="s">
        <v>2131</v>
      </c>
      <c r="I1390" s="1205"/>
      <c r="J1390" s="2" t="str">
        <f>IF(Table5[[#This Row],[Entered]]&lt;&gt;Table5[[#This Row],[Quantity]],"Check","")</f>
        <v/>
      </c>
    </row>
    <row r="1391" spans="1:10" s="1161" customFormat="1" ht="15" x14ac:dyDescent="0.2">
      <c r="A1391" s="342" t="s">
        <v>2980</v>
      </c>
      <c r="B1391" s="324" t="str">
        <f t="shared" si="87"/>
        <v>1000</v>
      </c>
      <c r="C1391" s="342" t="str">
        <f t="shared" si="89"/>
        <v>52640</v>
      </c>
      <c r="D1391" s="342">
        <f>784</f>
        <v>784</v>
      </c>
      <c r="E1391" s="342">
        <v>1</v>
      </c>
      <c r="F1391" s="1159">
        <f>COUNTIFS(Addenda!A:A,"*ALTO*",Addenda!A:A,"*TOWEL*",Addenda!A:A,"*RING*")</f>
        <v>0</v>
      </c>
      <c r="G1391" s="1160"/>
      <c r="H1391" s="503" t="s">
        <v>2132</v>
      </c>
      <c r="I1391" s="1205"/>
      <c r="J1391" s="2" t="str">
        <f>IF(Table5[[#This Row],[Entered]]&lt;&gt;Table5[[#This Row],[Quantity]],"Check","")</f>
        <v/>
      </c>
    </row>
    <row r="1392" spans="1:10" s="1161" customFormat="1" ht="15" x14ac:dyDescent="0.2">
      <c r="A1392" s="342" t="s">
        <v>2980</v>
      </c>
      <c r="B1392" s="324" t="str">
        <f t="shared" si="87"/>
        <v>1000</v>
      </c>
      <c r="C1392" s="342" t="str">
        <f t="shared" si="89"/>
        <v>52640</v>
      </c>
      <c r="D1392" s="342">
        <f>785</f>
        <v>785</v>
      </c>
      <c r="E1392" s="342">
        <v>1</v>
      </c>
      <c r="F1392" s="1159"/>
      <c r="G1392" s="1160"/>
      <c r="H1392" s="503" t="s">
        <v>2133</v>
      </c>
      <c r="I1392" s="1205"/>
      <c r="J1392" s="2" t="str">
        <f>IF(Table5[[#This Row],[Entered]]&lt;&gt;Table5[[#This Row],[Quantity]],"Check","")</f>
        <v/>
      </c>
    </row>
    <row r="1393" spans="1:10" s="1161" customFormat="1" ht="15" x14ac:dyDescent="0.2">
      <c r="A1393" s="342" t="s">
        <v>2980</v>
      </c>
      <c r="B1393" s="324" t="str">
        <f t="shared" si="87"/>
        <v>1000</v>
      </c>
      <c r="C1393" s="342" t="str">
        <f t="shared" si="89"/>
        <v>52640</v>
      </c>
      <c r="D1393" s="342">
        <f>786</f>
        <v>786</v>
      </c>
      <c r="E1393" s="342">
        <v>1</v>
      </c>
      <c r="F1393" s="1159">
        <f>COUNTIFS(Addenda!A:A,"*TOILET*",Addenda!A:A,"*SEIMA 1500*",Addenda!A:A,"*POLISHED*")</f>
        <v>0</v>
      </c>
      <c r="G1393" s="1160"/>
      <c r="H1393" s="503" t="s">
        <v>2360</v>
      </c>
      <c r="I1393" s="1205"/>
      <c r="J1393" s="2" t="str">
        <f>IF(Table5[[#This Row],[Entered]]&lt;&gt;Table5[[#This Row],[Quantity]],"Check","")</f>
        <v/>
      </c>
    </row>
    <row r="1394" spans="1:10" s="1161" customFormat="1" ht="15" x14ac:dyDescent="0.2">
      <c r="A1394" s="342" t="s">
        <v>2980</v>
      </c>
      <c r="B1394" s="324" t="str">
        <f t="shared" ref="B1394:B1457" si="90">"1000"</f>
        <v>1000</v>
      </c>
      <c r="C1394" s="342" t="str">
        <f t="shared" si="89"/>
        <v>52640</v>
      </c>
      <c r="D1394" s="342">
        <f>787</f>
        <v>787</v>
      </c>
      <c r="E1394" s="342">
        <v>1</v>
      </c>
      <c r="F1394" s="1159">
        <f>COUNTIFS(Addenda!A:A,"*TOILET*",Addenda!A:A,"*SEIMA 1500*",Addenda!A:A,"*SATIN*")</f>
        <v>0</v>
      </c>
      <c r="G1394" s="1160"/>
      <c r="H1394" s="503" t="s">
        <v>2361</v>
      </c>
      <c r="I1394" s="1205"/>
      <c r="J1394" s="2" t="str">
        <f>IF(Table5[[#This Row],[Entered]]&lt;&gt;Table5[[#This Row],[Quantity]],"Check","")</f>
        <v/>
      </c>
    </row>
    <row r="1395" spans="1:10" s="1161" customFormat="1" ht="15" x14ac:dyDescent="0.2">
      <c r="A1395" s="342" t="s">
        <v>2980</v>
      </c>
      <c r="B1395" s="324" t="str">
        <f t="shared" si="90"/>
        <v>1000</v>
      </c>
      <c r="C1395" s="342" t="str">
        <f t="shared" si="89"/>
        <v>52640</v>
      </c>
      <c r="D1395" s="342">
        <f>788</f>
        <v>788</v>
      </c>
      <c r="E1395" s="342">
        <v>1</v>
      </c>
      <c r="F1395" s="1159">
        <f>COUNTIFS(Addenda!A:A,"*RING*",Addenda!A:A,"*SEIMA 1500*",Addenda!A:A,"*POLISHED*")</f>
        <v>0</v>
      </c>
      <c r="G1395" s="1160"/>
      <c r="H1395" s="503" t="s">
        <v>2362</v>
      </c>
      <c r="I1395" s="1205"/>
      <c r="J1395" s="2" t="str">
        <f>IF(Table5[[#This Row],[Entered]]&lt;&gt;Table5[[#This Row],[Quantity]],"Check","")</f>
        <v/>
      </c>
    </row>
    <row r="1396" spans="1:10" s="1161" customFormat="1" ht="15" x14ac:dyDescent="0.2">
      <c r="A1396" s="342" t="s">
        <v>2980</v>
      </c>
      <c r="B1396" s="324" t="str">
        <f t="shared" si="90"/>
        <v>1000</v>
      </c>
      <c r="C1396" s="342" t="str">
        <f t="shared" si="89"/>
        <v>52640</v>
      </c>
      <c r="D1396" s="342">
        <f>789</f>
        <v>789</v>
      </c>
      <c r="E1396" s="342">
        <v>1</v>
      </c>
      <c r="F1396" s="1159">
        <f>COUNTIFS(Addenda!A:A,"*RING*",Addenda!A:A,"*SEIMA 1500*",Addenda!A:A,"*SATIN*")</f>
        <v>0</v>
      </c>
      <c r="G1396" s="1160"/>
      <c r="H1396" s="503" t="s">
        <v>2363</v>
      </c>
      <c r="I1396" s="1205"/>
      <c r="J1396" s="2" t="str">
        <f>IF(Table5[[#This Row],[Entered]]&lt;&gt;Table5[[#This Row],[Quantity]],"Check","")</f>
        <v/>
      </c>
    </row>
    <row r="1397" spans="1:10" s="1161" customFormat="1" ht="15" x14ac:dyDescent="0.2">
      <c r="A1397" s="342" t="s">
        <v>2980</v>
      </c>
      <c r="B1397" s="324" t="str">
        <f t="shared" si="90"/>
        <v>1000</v>
      </c>
      <c r="C1397" s="342" t="str">
        <f t="shared" si="89"/>
        <v>52640</v>
      </c>
      <c r="D1397" s="342">
        <f>790</f>
        <v>790</v>
      </c>
      <c r="E1397" s="342">
        <v>1</v>
      </c>
      <c r="F1397" s="1159">
        <f>COUNTIFS(Addenda!A:A,"*SINGLE*",Addenda!A:A,"*SEIMA 1500*",Addenda!A:A,"*600*",Addenda!A:A,"*POLISHED*")</f>
        <v>0</v>
      </c>
      <c r="G1397" s="1160"/>
      <c r="H1397" s="503" t="s">
        <v>2364</v>
      </c>
      <c r="I1397" s="1205"/>
      <c r="J1397" s="2" t="str">
        <f>IF(Table5[[#This Row],[Entered]]&lt;&gt;Table5[[#This Row],[Quantity]],"Check","")</f>
        <v/>
      </c>
    </row>
    <row r="1398" spans="1:10" s="1161" customFormat="1" ht="15" x14ac:dyDescent="0.2">
      <c r="A1398" s="342" t="s">
        <v>2980</v>
      </c>
      <c r="B1398" s="324" t="str">
        <f t="shared" si="90"/>
        <v>1000</v>
      </c>
      <c r="C1398" s="342" t="str">
        <f t="shared" si="89"/>
        <v>52640</v>
      </c>
      <c r="D1398" s="342">
        <f>791</f>
        <v>791</v>
      </c>
      <c r="E1398" s="342">
        <v>1</v>
      </c>
      <c r="F1398" s="1159">
        <f>COUNTIFS(Addenda!A:A,"*SINGLE*",Addenda!A:A,"*SEIMA 1500*",Addenda!A:A,"*600*",Addenda!A:A,"*SATIN*")</f>
        <v>0</v>
      </c>
      <c r="G1398" s="1160"/>
      <c r="H1398" s="503" t="s">
        <v>2365</v>
      </c>
      <c r="I1398" s="1205"/>
      <c r="J1398" s="2" t="str">
        <f>IF(Table5[[#This Row],[Entered]]&lt;&gt;Table5[[#This Row],[Quantity]],"Check","")</f>
        <v/>
      </c>
    </row>
    <row r="1399" spans="1:10" s="1161" customFormat="1" ht="15" x14ac:dyDescent="0.2">
      <c r="A1399" s="342" t="s">
        <v>2980</v>
      </c>
      <c r="B1399" s="324" t="str">
        <f t="shared" si="90"/>
        <v>1000</v>
      </c>
      <c r="C1399" s="342" t="str">
        <f t="shared" si="89"/>
        <v>52640</v>
      </c>
      <c r="D1399" s="342">
        <f>792</f>
        <v>792</v>
      </c>
      <c r="E1399" s="342">
        <v>1</v>
      </c>
      <c r="F1399" s="1159">
        <f>COUNTIFS(Addenda!A:A,"*DOUBLE*",Addenda!A:A,"*SEIMA 1500*",Addenda!A:A,"*600*",Addenda!A:A,"*POLISHED*")</f>
        <v>0</v>
      </c>
      <c r="G1399" s="1160"/>
      <c r="H1399" s="503" t="s">
        <v>2366</v>
      </c>
      <c r="I1399" s="1205"/>
      <c r="J1399" s="2" t="str">
        <f>IF(Table5[[#This Row],[Entered]]&lt;&gt;Table5[[#This Row],[Quantity]],"Check","")</f>
        <v/>
      </c>
    </row>
    <row r="1400" spans="1:10" s="1161" customFormat="1" ht="15" x14ac:dyDescent="0.2">
      <c r="A1400" s="342" t="s">
        <v>2980</v>
      </c>
      <c r="B1400" s="324" t="str">
        <f t="shared" si="90"/>
        <v>1000</v>
      </c>
      <c r="C1400" s="342" t="str">
        <f t="shared" si="89"/>
        <v>52640</v>
      </c>
      <c r="D1400" s="342">
        <f>793</f>
        <v>793</v>
      </c>
      <c r="E1400" s="342">
        <v>1</v>
      </c>
      <c r="F1400" s="1159">
        <f>COUNTIFS(Addenda!A:A,"*DOUBLE*",Addenda!A:A,"*SEIMA 1500*",Addenda!A:A,"*600*",Addenda!A:A,"*SATIN*")</f>
        <v>0</v>
      </c>
      <c r="G1400" s="1160"/>
      <c r="H1400" s="503" t="s">
        <v>2367</v>
      </c>
      <c r="I1400" s="1205"/>
      <c r="J1400" s="2" t="str">
        <f>IF(Table5[[#This Row],[Entered]]&lt;&gt;Table5[[#This Row],[Quantity]],"Check","")</f>
        <v/>
      </c>
    </row>
    <row r="1401" spans="1:10" s="1161" customFormat="1" ht="15" x14ac:dyDescent="0.2">
      <c r="A1401" s="342" t="s">
        <v>2980</v>
      </c>
      <c r="B1401" s="324" t="str">
        <f t="shared" si="90"/>
        <v>1000</v>
      </c>
      <c r="C1401" s="342" t="str">
        <f t="shared" si="89"/>
        <v>52640</v>
      </c>
      <c r="D1401" s="342">
        <f>794</f>
        <v>794</v>
      </c>
      <c r="E1401" s="342">
        <v>1</v>
      </c>
      <c r="F1401" s="1159">
        <f>COUNTIFS(Addenda!A:A,"*SINGLE*",Addenda!A:A,"*SEIMA 1500*",Addenda!A:A,"*900*",Addenda!A:A,"*POLISHED*")</f>
        <v>0</v>
      </c>
      <c r="G1401" s="1160"/>
      <c r="H1401" s="503" t="s">
        <v>2368</v>
      </c>
      <c r="I1401" s="1205"/>
      <c r="J1401" s="2" t="str">
        <f>IF(Table5[[#This Row],[Entered]]&lt;&gt;Table5[[#This Row],[Quantity]],"Check","")</f>
        <v/>
      </c>
    </row>
    <row r="1402" spans="1:10" s="1161" customFormat="1" ht="15" x14ac:dyDescent="0.2">
      <c r="A1402" s="342" t="s">
        <v>2980</v>
      </c>
      <c r="B1402" s="324" t="str">
        <f t="shared" si="90"/>
        <v>1000</v>
      </c>
      <c r="C1402" s="342" t="str">
        <f t="shared" si="89"/>
        <v>52640</v>
      </c>
      <c r="D1402" s="342">
        <f>795</f>
        <v>795</v>
      </c>
      <c r="E1402" s="342">
        <v>1</v>
      </c>
      <c r="F1402" s="1159">
        <f>COUNTIFS(Addenda!A:A,"*SINGLE*",Addenda!A:A,"*SEIMA 1500*",Addenda!A:A,"*900*",Addenda!A:A,"*SATIN*")</f>
        <v>0</v>
      </c>
      <c r="G1402" s="1160"/>
      <c r="H1402" s="503" t="s">
        <v>2369</v>
      </c>
      <c r="I1402" s="1205"/>
      <c r="J1402" s="2" t="str">
        <f>IF(Table5[[#This Row],[Entered]]&lt;&gt;Table5[[#This Row],[Quantity]],"Check","")</f>
        <v/>
      </c>
    </row>
    <row r="1403" spans="1:10" s="1161" customFormat="1" ht="15" x14ac:dyDescent="0.2">
      <c r="A1403" s="342" t="s">
        <v>2980</v>
      </c>
      <c r="B1403" s="324" t="str">
        <f t="shared" si="90"/>
        <v>1000</v>
      </c>
      <c r="C1403" s="342" t="str">
        <f t="shared" si="89"/>
        <v>52640</v>
      </c>
      <c r="D1403" s="342">
        <f>796</f>
        <v>796</v>
      </c>
      <c r="E1403" s="342">
        <v>1</v>
      </c>
      <c r="F1403" s="1159">
        <f>COUNTIFS(Addenda!A:A,"*DOUBLE*",Addenda!A:A,"*SEIMA 1500*",Addenda!A:A,"*900*",Addenda!A:A,"*POLISHED*")</f>
        <v>0</v>
      </c>
      <c r="G1403" s="1160"/>
      <c r="H1403" s="503" t="s">
        <v>2370</v>
      </c>
      <c r="I1403" s="1205"/>
      <c r="J1403" s="2" t="str">
        <f>IF(Table5[[#This Row],[Entered]]&lt;&gt;Table5[[#This Row],[Quantity]],"Check","")</f>
        <v/>
      </c>
    </row>
    <row r="1404" spans="1:10" s="1161" customFormat="1" ht="15" x14ac:dyDescent="0.2">
      <c r="A1404" s="342" t="s">
        <v>2980</v>
      </c>
      <c r="B1404" s="324" t="str">
        <f t="shared" si="90"/>
        <v>1000</v>
      </c>
      <c r="C1404" s="342" t="str">
        <f t="shared" si="89"/>
        <v>52640</v>
      </c>
      <c r="D1404" s="342">
        <f>797</f>
        <v>797</v>
      </c>
      <c r="E1404" s="342">
        <v>1</v>
      </c>
      <c r="F1404" s="1159">
        <f>COUNTIFS(Addenda!A:A,"*DOUBLE*",Addenda!A:A,"*SEIMA 1500*",Addenda!A:A,"*900*",Addenda!A:A,"*SATIN*")</f>
        <v>0</v>
      </c>
      <c r="G1404" s="1160"/>
      <c r="H1404" s="503" t="s">
        <v>2371</v>
      </c>
      <c r="I1404" s="1205"/>
      <c r="J1404" s="2" t="str">
        <f>IF(Table5[[#This Row],[Entered]]&lt;&gt;Table5[[#This Row],[Quantity]],"Check","")</f>
        <v/>
      </c>
    </row>
    <row r="1405" spans="1:10" s="1161" customFormat="1" ht="15" x14ac:dyDescent="0.2">
      <c r="A1405" s="342" t="s">
        <v>2980</v>
      </c>
      <c r="B1405" s="324" t="str">
        <f t="shared" si="90"/>
        <v>1000</v>
      </c>
      <c r="C1405" s="342" t="str">
        <f t="shared" si="89"/>
        <v>52640</v>
      </c>
      <c r="D1405" s="342">
        <f>831</f>
        <v>831</v>
      </c>
      <c r="E1405" s="342">
        <v>1</v>
      </c>
      <c r="F1405" s="1159">
        <f>COUNTIFS(Addenda!A:A,"*LECCE*",Addenda!A:A,"*HAND TOWEL*",Addenda!A:A,"*BLACK*")</f>
        <v>0</v>
      </c>
      <c r="G1405" s="1160"/>
      <c r="H1405" s="503" t="s">
        <v>2372</v>
      </c>
      <c r="I1405" s="1205"/>
      <c r="J1405" s="2" t="str">
        <f>IF(Table5[[#This Row],[Entered]]&lt;&gt;Table5[[#This Row],[Quantity]],"Check","")</f>
        <v/>
      </c>
    </row>
    <row r="1406" spans="1:10" s="1161" customFormat="1" ht="15" x14ac:dyDescent="0.2">
      <c r="A1406" s="342" t="s">
        <v>2980</v>
      </c>
      <c r="B1406" s="324" t="str">
        <f t="shared" si="90"/>
        <v>1000</v>
      </c>
      <c r="C1406" s="342" t="str">
        <f t="shared" si="89"/>
        <v>52640</v>
      </c>
      <c r="D1406" s="342">
        <v>867</v>
      </c>
      <c r="E1406" s="342">
        <v>1</v>
      </c>
      <c r="F1406" s="1159">
        <f>COUNTIFS(Addenda!A:A,"*WISH*",Addenda!A:A,"*DOUBLE*",Addenda!A:A,"*TOWEL*",Addenda!A:A,"*600*",Addenda!A:A,"*chrome*")</f>
        <v>0</v>
      </c>
      <c r="G1406" s="1160"/>
      <c r="H1406" s="503" t="s">
        <v>2438</v>
      </c>
      <c r="I1406" s="1205"/>
      <c r="J1406" s="2" t="str">
        <f>IF(Table5[[#This Row],[Entered]]&lt;&gt;Table5[[#This Row],[Quantity]],"Check","")</f>
        <v/>
      </c>
    </row>
    <row r="1407" spans="1:10" s="1161" customFormat="1" ht="15" x14ac:dyDescent="0.2">
      <c r="A1407" s="324" t="s">
        <v>2980</v>
      </c>
      <c r="B1407" s="324" t="str">
        <f t="shared" si="90"/>
        <v>1000</v>
      </c>
      <c r="C1407" s="324" t="str">
        <f t="shared" si="89"/>
        <v>52640</v>
      </c>
      <c r="D1407" s="324" t="str">
        <f>"1801"</f>
        <v>1801</v>
      </c>
      <c r="E1407" s="324">
        <v>1</v>
      </c>
      <c r="F1407" s="827">
        <f>COUNTIFS(Addenda!A:A,"*WISH*",Addenda!A:A,"*CHROME*",Addenda!A:A,"*750*",Addenda!A:A,"*DOUBLE*",Addenda!A:A,"*chrome*")</f>
        <v>0</v>
      </c>
      <c r="G1407" s="829">
        <v>43.1</v>
      </c>
      <c r="H1407" s="412" t="s">
        <v>3799</v>
      </c>
      <c r="I1407" s="1258"/>
      <c r="J1407" s="2" t="str">
        <f>IF(Table5[[#This Row],[Entered]]&lt;&gt;Table5[[#This Row],[Quantity]],"Check","")</f>
        <v/>
      </c>
    </row>
    <row r="1408" spans="1:10" s="1161" customFormat="1" ht="15" x14ac:dyDescent="0.2">
      <c r="A1408" s="324" t="s">
        <v>2980</v>
      </c>
      <c r="B1408" s="324" t="str">
        <f t="shared" si="90"/>
        <v>1000</v>
      </c>
      <c r="C1408" s="324" t="str">
        <f t="shared" si="89"/>
        <v>52640</v>
      </c>
      <c r="D1408" s="324" t="str">
        <f>"1821"</f>
        <v>1821</v>
      </c>
      <c r="E1408" s="324">
        <v>1</v>
      </c>
      <c r="F1408" s="827">
        <f>COUNTIFS(Addenda!A:A,"*WISH*",Addenda!A:A,"*BLACK*",Addenda!A:A,"*750*",Addenda!A:A,"*DOUBLE*")+COUNTIFS(Addenda!A:A,"*DOUBLE*",Addenda!A:A,"*LECCE*",Addenda!A:A,"*800*",Addenda!A:A,"*BLACK*")</f>
        <v>0</v>
      </c>
      <c r="G1408" s="829">
        <v>43.1</v>
      </c>
      <c r="H1408" s="412" t="s">
        <v>3600</v>
      </c>
      <c r="I1408" s="1205"/>
      <c r="J1408" s="2" t="str">
        <f>IF(Table5[[#This Row],[Entered]]&lt;&gt;Table5[[#This Row],[Quantity]],"Check","")</f>
        <v/>
      </c>
    </row>
    <row r="1409" spans="1:10" ht="15" x14ac:dyDescent="0.2">
      <c r="A1409" s="342" t="s">
        <v>2980</v>
      </c>
      <c r="B1409" s="324" t="str">
        <f t="shared" si="90"/>
        <v>1000</v>
      </c>
      <c r="C1409" s="342" t="str">
        <f t="shared" si="89"/>
        <v>52640</v>
      </c>
      <c r="D1409" s="342">
        <v>872</v>
      </c>
      <c r="E1409" s="342">
        <v>1</v>
      </c>
      <c r="F1409" s="1159">
        <f>COUNTIFS(Addenda!A:A,"*WISH*",Addenda!A:A,"*NICKEL*",Addenda!A:A,"*750*",Addenda!A:A,"*DOUBLE*")</f>
        <v>0</v>
      </c>
      <c r="G1409" s="1160"/>
      <c r="H1409" s="503" t="s">
        <v>2439</v>
      </c>
      <c r="I1409" s="1205"/>
      <c r="J1409" s="2" t="str">
        <f>IF(Table5[[#This Row],[Entered]]&lt;&gt;Table5[[#This Row],[Quantity]],"Check","")</f>
        <v/>
      </c>
    </row>
    <row r="1410" spans="1:10" ht="15" x14ac:dyDescent="0.2">
      <c r="A1410" s="324" t="s">
        <v>2980</v>
      </c>
      <c r="B1410" s="324" t="str">
        <f t="shared" si="90"/>
        <v>1000</v>
      </c>
      <c r="C1410" s="324" t="str">
        <f t="shared" si="89"/>
        <v>52640</v>
      </c>
      <c r="D1410" s="324" t="str">
        <f>"1809"</f>
        <v>1809</v>
      </c>
      <c r="E1410" s="324">
        <v>1</v>
      </c>
      <c r="F1410" s="827">
        <f>COUNTIFS(Addenda!A:A,"*WISH*",Addenda!A:A,"*CHROME*",Addenda!A:A,"*TOILET*")</f>
        <v>0</v>
      </c>
      <c r="G1410" s="829">
        <v>21.14</v>
      </c>
      <c r="H1410" s="412" t="s">
        <v>3800</v>
      </c>
      <c r="I1410" s="1258"/>
      <c r="J1410" s="2" t="str">
        <f>IF(Table5[[#This Row],[Entered]]&lt;&gt;Table5[[#This Row],[Quantity]],"Check","")</f>
        <v/>
      </c>
    </row>
    <row r="1411" spans="1:10" ht="15" x14ac:dyDescent="0.2">
      <c r="A1411" s="342" t="s">
        <v>2980</v>
      </c>
      <c r="B1411" s="324" t="str">
        <f t="shared" si="90"/>
        <v>1000</v>
      </c>
      <c r="C1411" s="324" t="str">
        <f t="shared" si="89"/>
        <v>52640</v>
      </c>
      <c r="D1411" s="324" t="str">
        <f>"1829"</f>
        <v>1829</v>
      </c>
      <c r="E1411" s="324">
        <v>1</v>
      </c>
      <c r="F1411" s="827">
        <f>COUNTIFS(Addenda!A:A,"*WISH*",Addenda!A:A,"*BLACK*",Addenda!A:A,"*TOILET*")+COUNTIFS(Addenda!A:A,"*TOILET*",Addenda!A:A,"*LECCE*",Addenda!A:A,"*BLACK*")</f>
        <v>0</v>
      </c>
      <c r="G1411" s="829">
        <v>21.14</v>
      </c>
      <c r="H1411" s="412" t="s">
        <v>3601</v>
      </c>
      <c r="I1411" s="1205"/>
      <c r="J1411" s="2" t="str">
        <f>IF(Table5[[#This Row],[Entered]]&lt;&gt;Table5[[#This Row],[Quantity]],"Check","")</f>
        <v/>
      </c>
    </row>
    <row r="1412" spans="1:10" s="1161" customFormat="1" ht="15" x14ac:dyDescent="0.2">
      <c r="A1412" s="342" t="s">
        <v>2980</v>
      </c>
      <c r="B1412" s="324" t="str">
        <f t="shared" si="90"/>
        <v>1000</v>
      </c>
      <c r="C1412" s="342" t="str">
        <f t="shared" si="89"/>
        <v>52640</v>
      </c>
      <c r="D1412" s="342">
        <v>864</v>
      </c>
      <c r="E1412" s="342">
        <v>1</v>
      </c>
      <c r="F1412" s="1159">
        <f>COUNTIFS(Addenda!A:A,"*WISH*",Addenda!A:A,"*600*",Addenda!A:A,"*SINGLE*",Addenda!A:A,"*BLACK*")+COUNTIFS(Addenda!A:A,"*SINGLE*",Addenda!A:A,"*LECCE*",Addenda!A:A,"*600*",Addenda!A:A,"*BLACK*")</f>
        <v>0</v>
      </c>
      <c r="G1412" s="1160"/>
      <c r="H1412" s="412" t="s">
        <v>2452</v>
      </c>
      <c r="I1412" s="1258"/>
      <c r="J1412" s="2" t="str">
        <f>IF(Table5[[#This Row],[Entered]]&lt;&gt;Table5[[#This Row],[Quantity]],"Check","")</f>
        <v/>
      </c>
    </row>
    <row r="1413" spans="1:10" s="1161" customFormat="1" ht="15" x14ac:dyDescent="0.2">
      <c r="A1413" s="342" t="s">
        <v>2980</v>
      </c>
      <c r="B1413" s="324" t="str">
        <f t="shared" si="90"/>
        <v>1000</v>
      </c>
      <c r="C1413" s="342" t="str">
        <f t="shared" si="89"/>
        <v>52640</v>
      </c>
      <c r="D1413" s="342">
        <v>865</v>
      </c>
      <c r="E1413" s="342">
        <v>1</v>
      </c>
      <c r="F1413" s="1159">
        <f>COUNTIFS(Addenda!A:A,"*WISH*",Addenda!A:A,"*600*",Addenda!A:A,"*DOUBLE*",Addenda!A:A,"*BLACK*")+COUNTIFS(Addenda!A:A,"*DOUBLE*",Addenda!A:A,"*LECCE*",Addenda!A:A,"*600*",Addenda!A:A,"*BLACK*")</f>
        <v>0</v>
      </c>
      <c r="G1413" s="1160"/>
      <c r="H1413" s="412" t="s">
        <v>2453</v>
      </c>
      <c r="I1413" s="1258"/>
      <c r="J1413" s="2" t="str">
        <f>IF(Table5[[#This Row],[Entered]]&lt;&gt;Table5[[#This Row],[Quantity]],"Check","")</f>
        <v/>
      </c>
    </row>
    <row r="1414" spans="1:10" s="1161" customFormat="1" ht="15" x14ac:dyDescent="0.2">
      <c r="A1414" s="342" t="s">
        <v>2980</v>
      </c>
      <c r="B1414" s="324" t="str">
        <f t="shared" si="90"/>
        <v>1000</v>
      </c>
      <c r="C1414" s="342" t="str">
        <f t="shared" si="89"/>
        <v>52640</v>
      </c>
      <c r="D1414" s="342" t="s">
        <v>2454</v>
      </c>
      <c r="E1414" s="342">
        <v>1</v>
      </c>
      <c r="F1414" s="1159">
        <f>COUNTIFS(Addenda!A:A,"*WISH*",Addenda!A:A,"*750*",Addenda!A:A,"*SINGLE*",Addenda!A:A,"*BLACK*")+COUNTIFS(Addenda!A:A,"*SINGLE*",Addenda!A:A,"*LECCE*",Addenda!A:A,"*800*",Addenda!A:A,"*BLACK*")</f>
        <v>0</v>
      </c>
      <c r="G1414" s="1160">
        <v>67.08</v>
      </c>
      <c r="H1414" s="412" t="s">
        <v>2455</v>
      </c>
      <c r="I1414" s="1258"/>
      <c r="J1414" s="2" t="str">
        <f>IF(Table5[[#This Row],[Entered]]&lt;&gt;Table5[[#This Row],[Quantity]],"Check","")</f>
        <v/>
      </c>
    </row>
    <row r="1415" spans="1:10" s="1161" customFormat="1" ht="15" x14ac:dyDescent="0.2">
      <c r="A1415" s="342" t="s">
        <v>2980</v>
      </c>
      <c r="B1415" s="324" t="str">
        <f t="shared" si="90"/>
        <v>1000</v>
      </c>
      <c r="C1415" s="342" t="str">
        <f t="shared" si="89"/>
        <v>52640</v>
      </c>
      <c r="D1415" s="342">
        <f>902</f>
        <v>902</v>
      </c>
      <c r="E1415" s="342">
        <v>1</v>
      </c>
      <c r="F1415" s="1159">
        <f>COUNTIFS(Addenda!A:A,"*BERTONI*",Addenda!A:A,"*CHROME*",Addenda!A:A,"*HOOK*")+COUNTIFS(Addenda!A:A,"*BERTONI*",Addenda!A:A,"*CHROME*",Addenda!A:A,"*HOOK*",Addenda!A:A,"*2*")</f>
        <v>0</v>
      </c>
      <c r="G1415" s="1160"/>
      <c r="H1415" s="503" t="s">
        <v>2134</v>
      </c>
      <c r="I1415" s="1205"/>
      <c r="J1415" s="2" t="str">
        <f>IF(Table5[[#This Row],[Entered]]&lt;&gt;Table5[[#This Row],[Quantity]],"Check","")</f>
        <v/>
      </c>
    </row>
    <row r="1416" spans="1:10" s="1161" customFormat="1" ht="15" x14ac:dyDescent="0.2">
      <c r="A1416" s="342" t="s">
        <v>2980</v>
      </c>
      <c r="B1416" s="324" t="str">
        <f t="shared" si="90"/>
        <v>1000</v>
      </c>
      <c r="C1416" s="342" t="str">
        <f t="shared" si="89"/>
        <v>52640</v>
      </c>
      <c r="D1416" s="342">
        <f>903</f>
        <v>903</v>
      </c>
      <c r="E1416" s="342">
        <v>1</v>
      </c>
      <c r="F1416" s="1159">
        <f>COUNTIFS(Addenda!A:A,"*BERTONI*",Addenda!A:A,"*BLACK*",Addenda!A:A,"*HOOK*")+COUNTIFS(Addenda!A:A,"*BERTONI*",Addenda!A:A,"*BLACK*",Addenda!A:A,"*HOOK*",Addenda!A:A,"*2*")</f>
        <v>0</v>
      </c>
      <c r="G1416" s="1160"/>
      <c r="H1416" s="503" t="s">
        <v>2135</v>
      </c>
      <c r="I1416" s="1205"/>
      <c r="J1416" s="2" t="str">
        <f>IF(Table5[[#This Row],[Entered]]&lt;&gt;Table5[[#This Row],[Quantity]],"Check","")</f>
        <v/>
      </c>
    </row>
    <row r="1417" spans="1:10" s="1161" customFormat="1" ht="15" x14ac:dyDescent="0.2">
      <c r="A1417" s="342" t="s">
        <v>2980</v>
      </c>
      <c r="B1417" s="324" t="str">
        <f t="shared" si="90"/>
        <v>1000</v>
      </c>
      <c r="C1417" s="342" t="str">
        <f t="shared" si="89"/>
        <v>52640</v>
      </c>
      <c r="D1417" s="342">
        <f>910</f>
        <v>910</v>
      </c>
      <c r="E1417" s="342">
        <v>1</v>
      </c>
      <c r="F1417" s="1159">
        <f>COUNTIFS(Addenda!A:A,"*SINGLE*",Addenda!A:A,"*TAYA*",Addenda!A:A,"*750*",Addenda!A:A,"*CHROME*")</f>
        <v>0</v>
      </c>
      <c r="G1417" s="1160"/>
      <c r="H1417" s="503" t="s">
        <v>2136</v>
      </c>
      <c r="I1417" s="1205"/>
      <c r="J1417" s="2" t="str">
        <f>IF(Table5[[#This Row],[Entered]]&lt;&gt;Table5[[#This Row],[Quantity]],"Check","")</f>
        <v/>
      </c>
    </row>
    <row r="1418" spans="1:10" s="1161" customFormat="1" ht="15" x14ac:dyDescent="0.2">
      <c r="A1418" s="342" t="s">
        <v>2980</v>
      </c>
      <c r="B1418" s="324" t="str">
        <f t="shared" si="90"/>
        <v>1000</v>
      </c>
      <c r="C1418" s="342" t="str">
        <f t="shared" si="89"/>
        <v>52640</v>
      </c>
      <c r="D1418" s="342">
        <f>911</f>
        <v>911</v>
      </c>
      <c r="E1418" s="342">
        <v>1</v>
      </c>
      <c r="F1418" s="1159">
        <f>COUNTIFS(Addenda!A:A,"*SINGLE*",Addenda!A:A,"*TAYA*",Addenda!A:A,"*750*",Addenda!A:A,"*BRUSHED*")</f>
        <v>0</v>
      </c>
      <c r="G1418" s="1160"/>
      <c r="H1418" s="503" t="s">
        <v>2137</v>
      </c>
      <c r="I1418" s="1205"/>
      <c r="J1418" s="2" t="str">
        <f>IF(Table5[[#This Row],[Entered]]&lt;&gt;Table5[[#This Row],[Quantity]],"Check","")</f>
        <v/>
      </c>
    </row>
    <row r="1419" spans="1:10" s="1161" customFormat="1" ht="15" x14ac:dyDescent="0.2">
      <c r="A1419" s="342" t="s">
        <v>2980</v>
      </c>
      <c r="B1419" s="324" t="str">
        <f t="shared" si="90"/>
        <v>1000</v>
      </c>
      <c r="C1419" s="342" t="str">
        <f t="shared" si="89"/>
        <v>52640</v>
      </c>
      <c r="D1419" s="342">
        <f>912</f>
        <v>912</v>
      </c>
      <c r="E1419" s="342">
        <v>1</v>
      </c>
      <c r="F1419" s="1159">
        <f>COUNTIFS(Addenda!A:A,"*SINGLE*",Addenda!A:A,"*TAYA*",Addenda!A:A,"*750*",Addenda!A:A,"*BLACK*")</f>
        <v>0</v>
      </c>
      <c r="G1419" s="1160"/>
      <c r="H1419" s="503" t="s">
        <v>2138</v>
      </c>
      <c r="I1419" s="1205"/>
      <c r="J1419" s="2" t="str">
        <f>IF(Table5[[#This Row],[Entered]]&lt;&gt;Table5[[#This Row],[Quantity]],"Check","")</f>
        <v/>
      </c>
    </row>
    <row r="1420" spans="1:10" s="1161" customFormat="1" ht="15" x14ac:dyDescent="0.2">
      <c r="A1420" s="342" t="s">
        <v>2980</v>
      </c>
      <c r="B1420" s="324" t="str">
        <f t="shared" si="90"/>
        <v>1000</v>
      </c>
      <c r="C1420" s="342" t="str">
        <f t="shared" si="89"/>
        <v>52640</v>
      </c>
      <c r="D1420" s="342">
        <f>913</f>
        <v>913</v>
      </c>
      <c r="E1420" s="342">
        <v>1</v>
      </c>
      <c r="F1420" s="1159">
        <f>COUNTIFS(Addenda!A:A,"*DOUBLE*",Addenda!A:A,"*TAYA*",Addenda!A:A,"*750*",Addenda!A:A,"*CHROME*")</f>
        <v>0</v>
      </c>
      <c r="G1420" s="1160"/>
      <c r="H1420" s="503" t="s">
        <v>2139</v>
      </c>
      <c r="I1420" s="1205"/>
      <c r="J1420" s="2" t="str">
        <f>IF(Table5[[#This Row],[Entered]]&lt;&gt;Table5[[#This Row],[Quantity]],"Check","")</f>
        <v/>
      </c>
    </row>
    <row r="1421" spans="1:10" s="1161" customFormat="1" ht="15" x14ac:dyDescent="0.2">
      <c r="A1421" s="324" t="s">
        <v>2980</v>
      </c>
      <c r="B1421" s="324" t="str">
        <f t="shared" si="90"/>
        <v>1000</v>
      </c>
      <c r="C1421" s="324" t="str">
        <f t="shared" ref="C1421:C1429" si="91">"52640"</f>
        <v>52640</v>
      </c>
      <c r="D1421" s="324">
        <v>7864</v>
      </c>
      <c r="E1421" s="324">
        <v>1</v>
      </c>
      <c r="F1421" s="827">
        <f>COUNTIFS(Addenda!A:A,"*DOUBLE*",Addenda!A:A,"*TAYA*",Addenda!A:A,"*750*",Addenda!A:A,"*BRUSHED NICKEL*")</f>
        <v>0</v>
      </c>
      <c r="G1421" s="829">
        <v>61.04</v>
      </c>
      <c r="H1421" s="412" t="s">
        <v>3533</v>
      </c>
      <c r="I1421" s="1258"/>
      <c r="J1421" s="2" t="str">
        <f>IF(Table5[[#This Row],[Entered]]&lt;&gt;Table5[[#This Row],[Quantity]],"Check","")</f>
        <v/>
      </c>
    </row>
    <row r="1422" spans="1:10" s="1161" customFormat="1" ht="15" x14ac:dyDescent="0.2">
      <c r="A1422" s="324" t="s">
        <v>2980</v>
      </c>
      <c r="B1422" s="324" t="str">
        <f t="shared" si="90"/>
        <v>1000</v>
      </c>
      <c r="C1422" s="324" t="str">
        <f t="shared" si="91"/>
        <v>52640</v>
      </c>
      <c r="D1422" s="324">
        <v>7865</v>
      </c>
      <c r="E1422" s="324">
        <v>1</v>
      </c>
      <c r="F1422" s="827">
        <f>COUNTIFS(Addenda!A:A,"*DOUBLE*",Addenda!A:A,"*TAYA*",Addenda!A:A,"*600*",Addenda!A:A,"*BRUSHED NICKEL*")</f>
        <v>0</v>
      </c>
      <c r="G1422" s="829">
        <v>0</v>
      </c>
      <c r="H1422" s="412" t="s">
        <v>3534</v>
      </c>
      <c r="I1422" s="1258"/>
      <c r="J1422" s="2" t="str">
        <f>IF(Table5[[#This Row],[Entered]]&lt;&gt;Table5[[#This Row],[Quantity]],"Check","")</f>
        <v/>
      </c>
    </row>
    <row r="1423" spans="1:10" s="1161" customFormat="1" ht="15" x14ac:dyDescent="0.2">
      <c r="A1423" s="342" t="s">
        <v>2980</v>
      </c>
      <c r="B1423" s="324" t="str">
        <f t="shared" si="90"/>
        <v>1000</v>
      </c>
      <c r="C1423" s="342" t="str">
        <f t="shared" si="91"/>
        <v>52640</v>
      </c>
      <c r="D1423" s="342">
        <f>915</f>
        <v>915</v>
      </c>
      <c r="E1423" s="342">
        <v>1</v>
      </c>
      <c r="F1423" s="1159">
        <f>COUNTIFS(Addenda!A:A,"*DOUBLE*",Addenda!A:A,"*TAYA*",Addenda!A:A,"*750*",Addenda!A:A,"*BLACK*")</f>
        <v>0</v>
      </c>
      <c r="G1423" s="1160"/>
      <c r="H1423" s="503" t="s">
        <v>2140</v>
      </c>
      <c r="I1423" s="1205"/>
      <c r="J1423" s="2" t="str">
        <f>IF(Table5[[#This Row],[Entered]]&lt;&gt;Table5[[#This Row],[Quantity]],"Check","")</f>
        <v/>
      </c>
    </row>
    <row r="1424" spans="1:10" s="1161" customFormat="1" ht="15" x14ac:dyDescent="0.2">
      <c r="A1424" s="342" t="s">
        <v>2980</v>
      </c>
      <c r="B1424" s="324" t="str">
        <f t="shared" si="90"/>
        <v>1000</v>
      </c>
      <c r="C1424" s="342" t="str">
        <f t="shared" si="91"/>
        <v>52640</v>
      </c>
      <c r="D1424" s="342">
        <f>916</f>
        <v>916</v>
      </c>
      <c r="E1424" s="342">
        <v>1</v>
      </c>
      <c r="F1424" s="1159">
        <f>COUNTIFS(Addenda!A:A,"*SINGLE*",Addenda!A:A,"*TAYA*",Addenda!A:A,"*900*",Addenda!A:A,"*CHROME*")</f>
        <v>0</v>
      </c>
      <c r="G1424" s="1160"/>
      <c r="H1424" s="503" t="s">
        <v>2141</v>
      </c>
      <c r="I1424" s="1205"/>
      <c r="J1424" s="2" t="str">
        <f>IF(Table5[[#This Row],[Entered]]&lt;&gt;Table5[[#This Row],[Quantity]],"Check","")</f>
        <v/>
      </c>
    </row>
    <row r="1425" spans="1:10" s="1161" customFormat="1" ht="15" x14ac:dyDescent="0.2">
      <c r="A1425" s="342" t="s">
        <v>2980</v>
      </c>
      <c r="B1425" s="324" t="str">
        <f t="shared" si="90"/>
        <v>1000</v>
      </c>
      <c r="C1425" s="342" t="str">
        <f t="shared" si="91"/>
        <v>52640</v>
      </c>
      <c r="D1425" s="342">
        <f>917</f>
        <v>917</v>
      </c>
      <c r="E1425" s="342">
        <v>1</v>
      </c>
      <c r="F1425" s="1159">
        <f>COUNTIFS(Addenda!A:A,"*DOUBLE*",Addenda!A:A,"*TAYA*",Addenda!A:A,"*900*",Addenda!A:A,"*CHROME*")</f>
        <v>0</v>
      </c>
      <c r="G1425" s="1160"/>
      <c r="H1425" s="503" t="s">
        <v>2142</v>
      </c>
      <c r="I1425" s="1205"/>
      <c r="J1425" s="2" t="str">
        <f>IF(Table5[[#This Row],[Entered]]&lt;&gt;Table5[[#This Row],[Quantity]],"Check","")</f>
        <v/>
      </c>
    </row>
    <row r="1426" spans="1:10" ht="15" x14ac:dyDescent="0.2">
      <c r="A1426" s="342" t="s">
        <v>2980</v>
      </c>
      <c r="B1426" s="324" t="str">
        <f t="shared" si="90"/>
        <v>1000</v>
      </c>
      <c r="C1426" s="342" t="str">
        <f t="shared" si="91"/>
        <v>52640</v>
      </c>
      <c r="D1426" s="342">
        <f>918</f>
        <v>918</v>
      </c>
      <c r="E1426" s="342">
        <v>1</v>
      </c>
      <c r="F1426" s="1159">
        <f>COUNTIFS(Addenda!A:A,"*TAYA*",Addenda!A:A,"*CHROME*",Addenda!A:A,"*TOILET*")</f>
        <v>0</v>
      </c>
      <c r="G1426" s="1160"/>
      <c r="H1426" s="503" t="s">
        <v>2143</v>
      </c>
      <c r="I1426" s="1205"/>
      <c r="J1426" s="2" t="str">
        <f>IF(Table5[[#This Row],[Entered]]&lt;&gt;Table5[[#This Row],[Quantity]],"Check","")</f>
        <v/>
      </c>
    </row>
    <row r="1427" spans="1:10" ht="15" x14ac:dyDescent="0.2">
      <c r="A1427" s="324" t="s">
        <v>2980</v>
      </c>
      <c r="B1427" s="324" t="str">
        <f t="shared" si="90"/>
        <v>1000</v>
      </c>
      <c r="C1427" s="324" t="str">
        <f t="shared" si="91"/>
        <v>52640</v>
      </c>
      <c r="D1427" s="324">
        <v>7868</v>
      </c>
      <c r="E1427" s="324">
        <v>1</v>
      </c>
      <c r="F1427" s="827">
        <f>COUNTIFS(Addenda!A:A,"*TAYA*",Addenda!A:A,"*BRUSHED NICKEL*",Addenda!A:A,"*TOILET*")</f>
        <v>0</v>
      </c>
      <c r="G1427" s="829">
        <v>25.38</v>
      </c>
      <c r="H1427" s="412" t="s">
        <v>2144</v>
      </c>
      <c r="I1427" s="1258"/>
      <c r="J1427" s="2" t="str">
        <f>IF(Table5[[#This Row],[Entered]]&lt;&gt;Table5[[#This Row],[Quantity]],"Check","")</f>
        <v/>
      </c>
    </row>
    <row r="1428" spans="1:10" ht="15" x14ac:dyDescent="0.2">
      <c r="A1428" s="342" t="s">
        <v>2980</v>
      </c>
      <c r="B1428" s="324" t="str">
        <f t="shared" si="90"/>
        <v>1000</v>
      </c>
      <c r="C1428" s="342" t="str">
        <f t="shared" si="91"/>
        <v>52640</v>
      </c>
      <c r="D1428" s="342">
        <f>920</f>
        <v>920</v>
      </c>
      <c r="E1428" s="342">
        <v>1</v>
      </c>
      <c r="F1428" s="1159">
        <f>COUNTIFS(Addenda!A:A,"*TAYA*",Addenda!A:A,"*BLACK*",Addenda!A:A,"*TOILET*")</f>
        <v>0</v>
      </c>
      <c r="G1428" s="1160"/>
      <c r="H1428" s="503" t="s">
        <v>2145</v>
      </c>
      <c r="I1428" s="1205"/>
      <c r="J1428" s="2" t="str">
        <f>IF(Table5[[#This Row],[Entered]]&lt;&gt;Table5[[#This Row],[Quantity]],"Check","")</f>
        <v/>
      </c>
    </row>
    <row r="1429" spans="1:10" ht="15" x14ac:dyDescent="0.2">
      <c r="A1429" s="324" t="s">
        <v>2980</v>
      </c>
      <c r="B1429" s="324" t="str">
        <f t="shared" si="90"/>
        <v>1000</v>
      </c>
      <c r="C1429" s="324" t="str">
        <f t="shared" si="91"/>
        <v>52640</v>
      </c>
      <c r="D1429" s="324" t="str">
        <f>"7004"</f>
        <v>7004</v>
      </c>
      <c r="E1429" s="324">
        <v>1</v>
      </c>
      <c r="F1429" s="827">
        <f>COUNTIFS(Addenda!A:A,"*COSMO*",Addenda!A:A,"*930*",Addenda!A:A,"*BLACK*",Addenda!A:A,"*TOWEL*",Addenda!A:A,"*DOUBLE*")</f>
        <v>0</v>
      </c>
      <c r="G1429" s="829">
        <v>86.74</v>
      </c>
      <c r="H1429" s="412" t="s">
        <v>3013</v>
      </c>
      <c r="I1429" s="1258"/>
      <c r="J1429" s="2" t="str">
        <f>IF(Table5[[#This Row],[Entered]]&lt;&gt;Table5[[#This Row],[Quantity]],"Check","")</f>
        <v/>
      </c>
    </row>
    <row r="1430" spans="1:10" ht="15" x14ac:dyDescent="0.2">
      <c r="A1430" s="324" t="s">
        <v>2980</v>
      </c>
      <c r="B1430" s="324" t="str">
        <f t="shared" si="90"/>
        <v>1000</v>
      </c>
      <c r="C1430" s="324">
        <v>52640</v>
      </c>
      <c r="D1430" s="324" t="str">
        <f>"7006"</f>
        <v>7006</v>
      </c>
      <c r="E1430" s="324">
        <v>1</v>
      </c>
      <c r="F1430" s="827">
        <f>COUNTIFS(Addenda!A:A,"*COSMO*",Addenda!A:A,"*BLACK*",Addenda!A:A,"*TOWEL*",Addenda!A:A,"*RING*")</f>
        <v>0</v>
      </c>
      <c r="G1430" s="829">
        <v>28.63</v>
      </c>
      <c r="H1430" s="412" t="s">
        <v>3014</v>
      </c>
      <c r="I1430" s="1258"/>
      <c r="J1430" s="2" t="str">
        <f>IF(Table5[[#This Row],[Entered]]&lt;&gt;Table5[[#This Row],[Quantity]],"Check","")</f>
        <v/>
      </c>
    </row>
    <row r="1431" spans="1:10" ht="15" x14ac:dyDescent="0.2">
      <c r="A1431" s="324" t="s">
        <v>2980</v>
      </c>
      <c r="B1431" s="324" t="str">
        <f t="shared" si="90"/>
        <v>1000</v>
      </c>
      <c r="C1431" s="324">
        <v>52640</v>
      </c>
      <c r="D1431" s="324" t="str">
        <f>"7005"</f>
        <v>7005</v>
      </c>
      <c r="E1431" s="324">
        <v>1</v>
      </c>
      <c r="F1431" s="827">
        <f>COUNTIFS(Addenda!A:A,"*COSMO*",Addenda!A:A,"*BLACK*",Addenda!A:A,"*TOILET*")</f>
        <v>0</v>
      </c>
      <c r="G1431" s="829">
        <v>32.630000000000003</v>
      </c>
      <c r="H1431" s="412" t="s">
        <v>3015</v>
      </c>
      <c r="I1431" s="1258"/>
      <c r="J1431" s="2" t="str">
        <f>IF(Table5[[#This Row],[Entered]]&lt;&gt;Table5[[#This Row],[Quantity]],"Check","")</f>
        <v/>
      </c>
    </row>
    <row r="1432" spans="1:10" s="1161" customFormat="1" ht="15" x14ac:dyDescent="0.2">
      <c r="A1432" s="324" t="s">
        <v>2980</v>
      </c>
      <c r="B1432" s="324" t="str">
        <f t="shared" si="90"/>
        <v>1000</v>
      </c>
      <c r="C1432" s="324">
        <v>52640</v>
      </c>
      <c r="D1432" s="324" t="str">
        <f>"0631"</f>
        <v>0631</v>
      </c>
      <c r="E1432" s="324">
        <v>1</v>
      </c>
      <c r="F1432" s="827">
        <f>COUNTIFS(Addenda!A:A,"*COSMO*",Addenda!A:A,"*TOWEL*",Addenda!A:A,"*RING*")</f>
        <v>0</v>
      </c>
      <c r="G1432" s="829"/>
      <c r="H1432" s="412" t="s">
        <v>3417</v>
      </c>
      <c r="I1432" s="1258"/>
      <c r="J1432" s="2" t="str">
        <f>IF(Table5[[#This Row],[Entered]]&lt;&gt;Table5[[#This Row],[Quantity]],"Check","")</f>
        <v/>
      </c>
    </row>
    <row r="1433" spans="1:10" s="1161" customFormat="1" ht="15" x14ac:dyDescent="0.2">
      <c r="A1433" s="342" t="s">
        <v>2980</v>
      </c>
      <c r="B1433" s="324" t="str">
        <f t="shared" si="90"/>
        <v>1000</v>
      </c>
      <c r="C1433" s="342" t="str">
        <f t="shared" ref="C1433:C1464" si="92">"52640"</f>
        <v>52640</v>
      </c>
      <c r="D1433" s="342">
        <f>1000</f>
        <v>1000</v>
      </c>
      <c r="E1433" s="342">
        <v>1</v>
      </c>
      <c r="F1433" s="1159">
        <f>COUNTIFS(Addenda!A:A,"*LENNOX*",Addenda!A:A,"*BRIGHT CHROME*",Addenda!A:A,"*CYLINDER*")</f>
        <v>0</v>
      </c>
      <c r="G1433" s="1160"/>
      <c r="H1433" s="503" t="s">
        <v>2146</v>
      </c>
      <c r="I1433" s="1205"/>
      <c r="J1433" s="2" t="str">
        <f>IF(Table5[[#This Row],[Entered]]&lt;&gt;Table5[[#This Row],[Quantity]],"Check","")</f>
        <v/>
      </c>
    </row>
    <row r="1434" spans="1:10" s="1161" customFormat="1" ht="15" x14ac:dyDescent="0.2">
      <c r="A1434" s="342" t="s">
        <v>2980</v>
      </c>
      <c r="B1434" s="324" t="str">
        <f t="shared" si="90"/>
        <v>1000</v>
      </c>
      <c r="C1434" s="342" t="str">
        <f t="shared" si="92"/>
        <v>52640</v>
      </c>
      <c r="D1434" s="342">
        <f>1010</f>
        <v>1010</v>
      </c>
      <c r="E1434" s="342">
        <v>1</v>
      </c>
      <c r="F1434" s="1159">
        <f>COUNTIFS(Addenda!A:A,"*TRISTAN*",Addenda!A:A,"*BRIGHT CHROME*",Addenda!A:A,"*ENTRANCE*")</f>
        <v>0</v>
      </c>
      <c r="G1434" s="1160"/>
      <c r="H1434" s="503" t="s">
        <v>2147</v>
      </c>
      <c r="I1434" s="1205"/>
      <c r="J1434" s="2" t="str">
        <f>IF(Table5[[#This Row],[Entered]]&lt;&gt;Table5[[#This Row],[Quantity]],"Check","")</f>
        <v/>
      </c>
    </row>
    <row r="1435" spans="1:10" s="1161" customFormat="1" ht="15" x14ac:dyDescent="0.2">
      <c r="A1435" s="342" t="s">
        <v>2980</v>
      </c>
      <c r="B1435" s="324" t="str">
        <f t="shared" si="90"/>
        <v>1000</v>
      </c>
      <c r="C1435" s="342" t="str">
        <f t="shared" si="92"/>
        <v>52640</v>
      </c>
      <c r="D1435" s="342">
        <f>1011</f>
        <v>1011</v>
      </c>
      <c r="E1435" s="342">
        <v>1</v>
      </c>
      <c r="F1435" s="1159">
        <f>COUNTIFS(Addenda!A:A,"*TRISTAN*",Addenda!A:A,"*SATIN*",Addenda!A:A,"*ENTRANCE*")</f>
        <v>0</v>
      </c>
      <c r="G1435" s="1160"/>
      <c r="H1435" s="503" t="s">
        <v>2148</v>
      </c>
      <c r="I1435" s="1205"/>
      <c r="J1435" s="2" t="str">
        <f>IF(Table5[[#This Row],[Entered]]&lt;&gt;Table5[[#This Row],[Quantity]],"Check","")</f>
        <v/>
      </c>
    </row>
    <row r="1436" spans="1:10" s="1161" customFormat="1" ht="15" x14ac:dyDescent="0.2">
      <c r="A1436" s="342" t="s">
        <v>2980</v>
      </c>
      <c r="B1436" s="324" t="str">
        <f t="shared" si="90"/>
        <v>1000</v>
      </c>
      <c r="C1436" s="342" t="str">
        <f t="shared" si="92"/>
        <v>52640</v>
      </c>
      <c r="D1436" s="342">
        <f>1020</f>
        <v>1020</v>
      </c>
      <c r="E1436" s="342">
        <v>1</v>
      </c>
      <c r="F1436" s="1159">
        <f>COUNTIFS(Addenda!A:A,"*DEXTON*",Addenda!A:A,"*BRIGHT CHROME*",Addenda!A:A,"*DEADBOLT*")</f>
        <v>0</v>
      </c>
      <c r="G1436" s="1160"/>
      <c r="H1436" s="503" t="s">
        <v>2149</v>
      </c>
      <c r="I1436" s="1205"/>
      <c r="J1436" s="2" t="str">
        <f>IF(Table5[[#This Row],[Entered]]&lt;&gt;Table5[[#This Row],[Quantity]],"Check","")</f>
        <v/>
      </c>
    </row>
    <row r="1437" spans="1:10" s="1161" customFormat="1" ht="15" x14ac:dyDescent="0.2">
      <c r="A1437" s="342" t="s">
        <v>2980</v>
      </c>
      <c r="B1437" s="324" t="str">
        <f t="shared" si="90"/>
        <v>1000</v>
      </c>
      <c r="C1437" s="342" t="str">
        <f t="shared" si="92"/>
        <v>52640</v>
      </c>
      <c r="D1437" s="342">
        <f>1021</f>
        <v>1021</v>
      </c>
      <c r="E1437" s="342">
        <v>1</v>
      </c>
      <c r="F1437" s="1159">
        <f>COUNTIFS(Addenda!A:A,"*DEXTON*",Addenda!A:A,"*SATIN CHROME*",Addenda!A:A,"*DEADBOLT*")</f>
        <v>0</v>
      </c>
      <c r="G1437" s="1160"/>
      <c r="H1437" s="503" t="s">
        <v>2150</v>
      </c>
      <c r="I1437" s="1205"/>
      <c r="J1437" s="2" t="str">
        <f>IF(Table5[[#This Row],[Entered]]&lt;&gt;Table5[[#This Row],[Quantity]],"Check","")</f>
        <v/>
      </c>
    </row>
    <row r="1438" spans="1:10" s="1161" customFormat="1" ht="15" x14ac:dyDescent="0.2">
      <c r="A1438" s="342" t="s">
        <v>2980</v>
      </c>
      <c r="B1438" s="324" t="str">
        <f t="shared" si="90"/>
        <v>1000</v>
      </c>
      <c r="C1438" s="342" t="str">
        <f t="shared" si="92"/>
        <v>52640</v>
      </c>
      <c r="D1438" s="342">
        <f>1030</f>
        <v>1030</v>
      </c>
      <c r="E1438" s="342">
        <v>1</v>
      </c>
      <c r="F1438" s="1159">
        <f>IF(COUNTIFS(Addenda!A:A,"*BRAXTON*",Addenda!A:A,"&lt;&gt;*TRILEVER*")&gt;0,COUNTIF(Name,"Passage")+COUNTIF('CSV FF'!A:A,"Passage"),0)</f>
        <v>0</v>
      </c>
      <c r="G1438" s="1160"/>
      <c r="H1438" s="503" t="s">
        <v>2151</v>
      </c>
      <c r="I1438" s="1205"/>
      <c r="J1438" s="2" t="str">
        <f>IF(Table5[[#This Row],[Entered]]&lt;&gt;Table5[[#This Row],[Quantity]],"Check","")</f>
        <v/>
      </c>
    </row>
    <row r="1439" spans="1:10" s="1161" customFormat="1" ht="15" x14ac:dyDescent="0.2">
      <c r="A1439" s="342" t="s">
        <v>2980</v>
      </c>
      <c r="B1439" s="324" t="str">
        <f t="shared" si="90"/>
        <v>1000</v>
      </c>
      <c r="C1439" s="342" t="str">
        <f t="shared" si="92"/>
        <v>52640</v>
      </c>
      <c r="D1439" s="342">
        <f>1031</f>
        <v>1031</v>
      </c>
      <c r="E1439" s="342">
        <v>1</v>
      </c>
      <c r="F1439" s="1159">
        <f>IF(COUNTIFS(Addenda!A:A,"*BRAXTON*",Addenda!A:A,"&lt;&gt;*TRILEVER*")&gt;0,COUNTIF(Name,"Privacy")+COUNTIF('CSV FF'!A:A,"Privacy"),0)</f>
        <v>0</v>
      </c>
      <c r="G1439" s="1160"/>
      <c r="H1439" s="503" t="s">
        <v>2152</v>
      </c>
      <c r="I1439" s="1205"/>
      <c r="J1439" s="2" t="str">
        <f>IF(Table5[[#This Row],[Entered]]&lt;&gt;Table5[[#This Row],[Quantity]],"Check","")</f>
        <v/>
      </c>
    </row>
    <row r="1440" spans="1:10" s="1161" customFormat="1" ht="15" x14ac:dyDescent="0.2">
      <c r="A1440" s="342" t="s">
        <v>2980</v>
      </c>
      <c r="B1440" s="324" t="str">
        <f t="shared" si="90"/>
        <v>1000</v>
      </c>
      <c r="C1440" s="342" t="str">
        <f t="shared" si="92"/>
        <v>52640</v>
      </c>
      <c r="D1440" s="342">
        <f>1032</f>
        <v>1032</v>
      </c>
      <c r="E1440" s="342">
        <v>1</v>
      </c>
      <c r="F1440" s="1159">
        <f>IF(COUNTIFS(Addenda!A:A,"*BRAXTON*",Addenda!A:A,"&lt;&gt;*TRILEVER*")&gt;0,Dummy_Handle_Count,0)</f>
        <v>0</v>
      </c>
      <c r="G1440" s="1160"/>
      <c r="H1440" s="503" t="s">
        <v>2153</v>
      </c>
      <c r="I1440" s="1205"/>
      <c r="J1440" s="2" t="str">
        <f>IF(Table5[[#This Row],[Entered]]&lt;&gt;Table5[[#This Row],[Quantity]],"Check","")</f>
        <v/>
      </c>
    </row>
    <row r="1441" spans="1:10" s="1161" customFormat="1" ht="15" x14ac:dyDescent="0.2">
      <c r="A1441" s="342" t="s">
        <v>2980</v>
      </c>
      <c r="B1441" s="324" t="str">
        <f t="shared" si="90"/>
        <v>1000</v>
      </c>
      <c r="C1441" s="342" t="str">
        <f t="shared" si="92"/>
        <v>52640</v>
      </c>
      <c r="D1441" s="342">
        <f>1033</f>
        <v>1033</v>
      </c>
      <c r="E1441" s="342">
        <v>1</v>
      </c>
      <c r="F1441" s="1159">
        <f>IF(COUNTIFS(Addenda!A:A,"*BRAXTON*",Addenda!A:A,"&lt;&gt;*TRILEVER*")&gt;0,COUNTIF(Name,"Passage")+COUNTIF('CSV FF'!A:A,"Passage"),0)</f>
        <v>0</v>
      </c>
      <c r="G1441" s="1160"/>
      <c r="H1441" s="503" t="s">
        <v>2154</v>
      </c>
      <c r="I1441" s="1205"/>
      <c r="J1441" s="2" t="str">
        <f>IF(Table5[[#This Row],[Entered]]&lt;&gt;Table5[[#This Row],[Quantity]],"Check","")</f>
        <v/>
      </c>
    </row>
    <row r="1442" spans="1:10" s="1161" customFormat="1" ht="15" x14ac:dyDescent="0.2">
      <c r="A1442" s="342" t="s">
        <v>2980</v>
      </c>
      <c r="B1442" s="324" t="str">
        <f t="shared" si="90"/>
        <v>1000</v>
      </c>
      <c r="C1442" s="342" t="str">
        <f t="shared" si="92"/>
        <v>52640</v>
      </c>
      <c r="D1442" s="342">
        <f>1034</f>
        <v>1034</v>
      </c>
      <c r="E1442" s="342">
        <v>1</v>
      </c>
      <c r="F1442" s="1159">
        <f>IF(COUNTIFS(Addenda!A:A,"*BRAXTON*",Addenda!A:A,"&lt;&gt;*TRILEVER*")&gt;0,COUNTIF(Name,"Privacy")+COUNTIF('CSV FF'!A:A,"Privacy"),0)</f>
        <v>0</v>
      </c>
      <c r="G1442" s="1160"/>
      <c r="H1442" s="503" t="s">
        <v>2155</v>
      </c>
      <c r="I1442" s="1205"/>
      <c r="J1442" s="2" t="str">
        <f>IF(Table5[[#This Row],[Entered]]&lt;&gt;Table5[[#This Row],[Quantity]],"Check","")</f>
        <v/>
      </c>
    </row>
    <row r="1443" spans="1:10" s="1161" customFormat="1" ht="15" x14ac:dyDescent="0.2">
      <c r="A1443" s="342" t="s">
        <v>2980</v>
      </c>
      <c r="B1443" s="324" t="str">
        <f t="shared" si="90"/>
        <v>1000</v>
      </c>
      <c r="C1443" s="342" t="str">
        <f t="shared" si="92"/>
        <v>52640</v>
      </c>
      <c r="D1443" s="342">
        <f>1035</f>
        <v>1035</v>
      </c>
      <c r="E1443" s="342">
        <v>1</v>
      </c>
      <c r="F1443" s="1159">
        <f>IF(COUNTIFS(Addenda!A:A,"*BRAXTON*",Addenda!A:A,"&lt;&gt;*TRILEVER*")&gt;0,Dummy_Handle_Count,0)</f>
        <v>0</v>
      </c>
      <c r="G1443" s="1160"/>
      <c r="H1443" s="503" t="s">
        <v>2156</v>
      </c>
      <c r="I1443" s="1205"/>
      <c r="J1443" s="2" t="str">
        <f>IF(Table5[[#This Row],[Entered]]&lt;&gt;Table5[[#This Row],[Quantity]],"Check","")</f>
        <v/>
      </c>
    </row>
    <row r="1444" spans="1:10" s="1161" customFormat="1" ht="15" x14ac:dyDescent="0.2">
      <c r="A1444" s="342" t="s">
        <v>2980</v>
      </c>
      <c r="B1444" s="324" t="str">
        <f t="shared" si="90"/>
        <v>1000</v>
      </c>
      <c r="C1444" s="342" t="str">
        <f t="shared" si="92"/>
        <v>52640</v>
      </c>
      <c r="D1444" s="342">
        <f>1040</f>
        <v>1040</v>
      </c>
      <c r="E1444" s="342">
        <v>1</v>
      </c>
      <c r="F1444" s="1159">
        <f>IF(COUNTIFS(Addenda!A:A,"*LAURENT*",Addenda!A:A,"&lt;&gt;*TRILEVER*")&gt;0,COUNTIF(Name,"Passage")+COUNTIF('CSV FF'!A:A,"Passage"),0)</f>
        <v>0</v>
      </c>
      <c r="G1444" s="1160"/>
      <c r="H1444" s="503" t="s">
        <v>2157</v>
      </c>
      <c r="I1444" s="1205"/>
      <c r="J1444" s="2" t="str">
        <f>IF(Table5[[#This Row],[Entered]]&lt;&gt;Table5[[#This Row],[Quantity]],"Check","")</f>
        <v/>
      </c>
    </row>
    <row r="1445" spans="1:10" s="1161" customFormat="1" ht="15" x14ac:dyDescent="0.2">
      <c r="A1445" s="342" t="s">
        <v>2980</v>
      </c>
      <c r="B1445" s="324" t="str">
        <f t="shared" si="90"/>
        <v>1000</v>
      </c>
      <c r="C1445" s="342" t="str">
        <f t="shared" si="92"/>
        <v>52640</v>
      </c>
      <c r="D1445" s="342">
        <f>1041</f>
        <v>1041</v>
      </c>
      <c r="E1445" s="342">
        <v>1</v>
      </c>
      <c r="F1445" s="1159">
        <f>IF(COUNTIFS(Addenda!A:A,"*LAURENT*",Addenda!A:A,"&lt;&gt;*TRILEVER*")&gt;0,COUNTIF(Name,"Privacy")+COUNTIF('CSV FF'!A:A,"Privacy"),0)</f>
        <v>0</v>
      </c>
      <c r="G1445" s="1160"/>
      <c r="H1445" s="503" t="s">
        <v>2158</v>
      </c>
      <c r="I1445" s="1205"/>
      <c r="J1445" s="2" t="str">
        <f>IF(Table5[[#This Row],[Entered]]&lt;&gt;Table5[[#This Row],[Quantity]],"Check","")</f>
        <v/>
      </c>
    </row>
    <row r="1446" spans="1:10" s="1161" customFormat="1" ht="15" x14ac:dyDescent="0.2">
      <c r="A1446" s="342" t="s">
        <v>2980</v>
      </c>
      <c r="B1446" s="324" t="str">
        <f t="shared" si="90"/>
        <v>1000</v>
      </c>
      <c r="C1446" s="342" t="str">
        <f t="shared" si="92"/>
        <v>52640</v>
      </c>
      <c r="D1446" s="342">
        <f>1042</f>
        <v>1042</v>
      </c>
      <c r="E1446" s="342">
        <v>1</v>
      </c>
      <c r="F1446" s="1159">
        <f>IF(COUNTIFS(Addenda!A:A,"*LAURENT*",Addenda!A:A,"&lt;&gt;*TRILEVER*")&gt;0,Dummy_Handle_Count,0)</f>
        <v>0</v>
      </c>
      <c r="G1446" s="1160"/>
      <c r="H1446" s="503" t="s">
        <v>2159</v>
      </c>
      <c r="I1446" s="1205"/>
      <c r="J1446" s="2" t="str">
        <f>IF(Table5[[#This Row],[Entered]]&lt;&gt;Table5[[#This Row],[Quantity]],"Check","")</f>
        <v/>
      </c>
    </row>
    <row r="1447" spans="1:10" s="1161" customFormat="1" ht="15" x14ac:dyDescent="0.2">
      <c r="A1447" s="342" t="s">
        <v>2980</v>
      </c>
      <c r="B1447" s="324" t="str">
        <f t="shared" si="90"/>
        <v>1000</v>
      </c>
      <c r="C1447" s="342" t="str">
        <f t="shared" si="92"/>
        <v>52640</v>
      </c>
      <c r="D1447" s="342">
        <f>1043</f>
        <v>1043</v>
      </c>
      <c r="E1447" s="342">
        <v>1</v>
      </c>
      <c r="F1447" s="1159">
        <f>IF(COUNTIFS(Addenda!A:A,"*LAURENT*",Addenda!A:A,"&lt;&gt;*TRILEVER*")&gt;0,Dummy_Handle_Count,0)</f>
        <v>0</v>
      </c>
      <c r="G1447" s="1160"/>
      <c r="H1447" s="503" t="s">
        <v>2160</v>
      </c>
      <c r="I1447" s="1205"/>
      <c r="J1447" s="2" t="str">
        <f>IF(Table5[[#This Row],[Entered]]&lt;&gt;Table5[[#This Row],[Quantity]],"Check","")</f>
        <v/>
      </c>
    </row>
    <row r="1448" spans="1:10" s="1161" customFormat="1" ht="15" x14ac:dyDescent="0.2">
      <c r="A1448" s="342" t="s">
        <v>2980</v>
      </c>
      <c r="B1448" s="324" t="str">
        <f t="shared" si="90"/>
        <v>1000</v>
      </c>
      <c r="C1448" s="342" t="str">
        <f t="shared" si="92"/>
        <v>52640</v>
      </c>
      <c r="D1448" s="342">
        <f>1044</f>
        <v>1044</v>
      </c>
      <c r="E1448" s="342">
        <v>1</v>
      </c>
      <c r="F1448" s="1159">
        <f>IF(COUNTIFS(Addenda!A:A,"*LAURENT*",Addenda!A:A,"&lt;&gt;*TRILEVER*")&gt;0,COUNTIF(Name,"Passage")+COUNTIF('CSV FF'!A:A,"Passage"),0)</f>
        <v>0</v>
      </c>
      <c r="G1448" s="1160"/>
      <c r="H1448" s="503" t="s">
        <v>2161</v>
      </c>
      <c r="I1448" s="1205"/>
      <c r="J1448" s="2" t="str">
        <f>IF(Table5[[#This Row],[Entered]]&lt;&gt;Table5[[#This Row],[Quantity]],"Check","")</f>
        <v/>
      </c>
    </row>
    <row r="1449" spans="1:10" s="1161" customFormat="1" ht="15" x14ac:dyDescent="0.2">
      <c r="A1449" s="342" t="s">
        <v>2980</v>
      </c>
      <c r="B1449" s="324" t="str">
        <f t="shared" si="90"/>
        <v>1000</v>
      </c>
      <c r="C1449" s="342" t="str">
        <f t="shared" si="92"/>
        <v>52640</v>
      </c>
      <c r="D1449" s="342">
        <f>1045</f>
        <v>1045</v>
      </c>
      <c r="E1449" s="342">
        <v>1</v>
      </c>
      <c r="F1449" s="1159">
        <f>IF(COUNTIFS(Addenda!A:A,"*LAURENT*",Addenda!A:A,"&lt;&gt;*TRILEVER*")&gt;0,COUNTIF(Name,"Privacy")+COUNTIF('CSV FF'!A:A,"Privacy"),0)</f>
        <v>0</v>
      </c>
      <c r="G1449" s="1160"/>
      <c r="H1449" s="503" t="s">
        <v>2162</v>
      </c>
      <c r="I1449" s="1205"/>
      <c r="J1449" s="2" t="str">
        <f>IF(Table5[[#This Row],[Entered]]&lt;&gt;Table5[[#This Row],[Quantity]],"Check","")</f>
        <v/>
      </c>
    </row>
    <row r="1450" spans="1:10" s="1161" customFormat="1" ht="15" x14ac:dyDescent="0.2">
      <c r="A1450" s="342" t="s">
        <v>2980</v>
      </c>
      <c r="B1450" s="324" t="str">
        <f t="shared" si="90"/>
        <v>1000</v>
      </c>
      <c r="C1450" s="342" t="str">
        <f t="shared" si="92"/>
        <v>52640</v>
      </c>
      <c r="D1450" s="342">
        <f>1046</f>
        <v>1046</v>
      </c>
      <c r="E1450" s="342">
        <v>1</v>
      </c>
      <c r="F1450" s="1159">
        <f>IF(COUNTIFS(Addenda!A:A,"*LAURENT*",Addenda!A:A,"&lt;&gt;*TRILEVER*")&gt;0,Dummy_Handle_Count,0)</f>
        <v>0</v>
      </c>
      <c r="G1450" s="1160"/>
      <c r="H1450" s="503" t="s">
        <v>2163</v>
      </c>
      <c r="I1450" s="1205"/>
      <c r="J1450" s="2" t="str">
        <f>IF(Table5[[#This Row],[Entered]]&lt;&gt;Table5[[#This Row],[Quantity]],"Check","")</f>
        <v/>
      </c>
    </row>
    <row r="1451" spans="1:10" s="1161" customFormat="1" ht="15" x14ac:dyDescent="0.2">
      <c r="A1451" s="342" t="s">
        <v>2980</v>
      </c>
      <c r="B1451" s="324" t="str">
        <f t="shared" si="90"/>
        <v>1000</v>
      </c>
      <c r="C1451" s="342" t="str">
        <f t="shared" si="92"/>
        <v>52640</v>
      </c>
      <c r="D1451" s="342">
        <f>1047</f>
        <v>1047</v>
      </c>
      <c r="E1451" s="342">
        <v>1</v>
      </c>
      <c r="F1451" s="1159">
        <f>IF(COUNTIFS(Addenda!A:A,"*LAURENT*",Addenda!A:A,"&lt;&gt;*TRILEVER*")&gt;0,Dummy_Handle_Count,0)</f>
        <v>0</v>
      </c>
      <c r="G1451" s="1160"/>
      <c r="H1451" s="503" t="s">
        <v>2164</v>
      </c>
      <c r="I1451" s="1205"/>
      <c r="J1451" s="2" t="str">
        <f>IF(Table5[[#This Row],[Entered]]&lt;&gt;Table5[[#This Row],[Quantity]],"Check","")</f>
        <v/>
      </c>
    </row>
    <row r="1452" spans="1:10" s="1161" customFormat="1" ht="15" x14ac:dyDescent="0.2">
      <c r="A1452" s="342" t="s">
        <v>2980</v>
      </c>
      <c r="B1452" s="324" t="str">
        <f t="shared" si="90"/>
        <v>1000</v>
      </c>
      <c r="C1452" s="342" t="str">
        <f t="shared" si="92"/>
        <v>52640</v>
      </c>
      <c r="D1452" s="342">
        <f>1050</f>
        <v>1050</v>
      </c>
      <c r="E1452" s="342">
        <v>1</v>
      </c>
      <c r="F1452" s="1159">
        <f>IF(COUNTIFS(Addenda!A:A,"*LENNOX*",Addenda!A:A,"&lt;&gt;*TRILEVER*")&gt;0,COUNTIF(Name,"Passage")+COUNTIF('CSV FF'!A:A,"Passage"),0)</f>
        <v>0</v>
      </c>
      <c r="G1452" s="1160"/>
      <c r="H1452" s="503" t="s">
        <v>2165</v>
      </c>
      <c r="I1452" s="1205"/>
      <c r="J1452" s="2" t="str">
        <f>IF(Table5[[#This Row],[Entered]]&lt;&gt;Table5[[#This Row],[Quantity]],"Check","")</f>
        <v/>
      </c>
    </row>
    <row r="1453" spans="1:10" s="1161" customFormat="1" ht="15" x14ac:dyDescent="0.2">
      <c r="A1453" s="342" t="s">
        <v>2980</v>
      </c>
      <c r="B1453" s="324" t="str">
        <f t="shared" si="90"/>
        <v>1000</v>
      </c>
      <c r="C1453" s="342" t="str">
        <f t="shared" si="92"/>
        <v>52640</v>
      </c>
      <c r="D1453" s="342">
        <f>1051</f>
        <v>1051</v>
      </c>
      <c r="E1453" s="342">
        <v>1</v>
      </c>
      <c r="F1453" s="1159">
        <f>IF(COUNTIFS(Addenda!A:A,"*LENNOX*",Addenda!A:A,"&lt;&gt;*TRILEVER*")&gt;0,COUNTIF(Name,"Privacy")+COUNTIF('CSV FF'!A:A,"Privacy"),0)</f>
        <v>0</v>
      </c>
      <c r="G1453" s="1160"/>
      <c r="H1453" s="503" t="s">
        <v>2166</v>
      </c>
      <c r="I1453" s="1205"/>
      <c r="J1453" s="2" t="str">
        <f>IF(Table5[[#This Row],[Entered]]&lt;&gt;Table5[[#This Row],[Quantity]],"Check","")</f>
        <v/>
      </c>
    </row>
    <row r="1454" spans="1:10" s="1161" customFormat="1" ht="15" x14ac:dyDescent="0.2">
      <c r="A1454" s="342" t="s">
        <v>2980</v>
      </c>
      <c r="B1454" s="324" t="str">
        <f t="shared" si="90"/>
        <v>1000</v>
      </c>
      <c r="C1454" s="342" t="str">
        <f t="shared" si="92"/>
        <v>52640</v>
      </c>
      <c r="D1454" s="342">
        <f>1052</f>
        <v>1052</v>
      </c>
      <c r="E1454" s="342">
        <v>1</v>
      </c>
      <c r="F1454" s="1159">
        <f>IF(COUNTIFS(Addenda!A:A,"*LENNOX*",Addenda!A:A,"&lt;&gt;*TRILEVER*")&gt;0,Dummy_Handle_Count,0)</f>
        <v>0</v>
      </c>
      <c r="G1454" s="1160"/>
      <c r="H1454" s="503" t="s">
        <v>2167</v>
      </c>
      <c r="I1454" s="1205"/>
      <c r="J1454" s="2" t="str">
        <f>IF(Table5[[#This Row],[Entered]]&lt;&gt;Table5[[#This Row],[Quantity]],"Check","")</f>
        <v/>
      </c>
    </row>
    <row r="1455" spans="1:10" s="1161" customFormat="1" ht="15" x14ac:dyDescent="0.2">
      <c r="A1455" s="342" t="s">
        <v>2980</v>
      </c>
      <c r="B1455" s="324" t="str">
        <f t="shared" si="90"/>
        <v>1000</v>
      </c>
      <c r="C1455" s="342" t="str">
        <f t="shared" si="92"/>
        <v>52640</v>
      </c>
      <c r="D1455" s="342">
        <f>1053</f>
        <v>1053</v>
      </c>
      <c r="E1455" s="342">
        <v>1</v>
      </c>
      <c r="F1455" s="1159">
        <f>IF(COUNTIFS(Addenda!A:A,"*LENNOX*",Addenda!A:A,"&lt;&gt;*TRILEVER*")&gt;0,COUNTIF(Name,"Passage")+COUNTIF('CSV FF'!A:A,"Passage"),0)</f>
        <v>0</v>
      </c>
      <c r="G1455" s="1160"/>
      <c r="H1455" s="503" t="s">
        <v>2168</v>
      </c>
      <c r="I1455" s="1205"/>
      <c r="J1455" s="2" t="str">
        <f>IF(Table5[[#This Row],[Entered]]&lt;&gt;Table5[[#This Row],[Quantity]],"Check","")</f>
        <v/>
      </c>
    </row>
    <row r="1456" spans="1:10" s="1161" customFormat="1" ht="15" x14ac:dyDescent="0.2">
      <c r="A1456" s="342" t="s">
        <v>2980</v>
      </c>
      <c r="B1456" s="324" t="str">
        <f t="shared" si="90"/>
        <v>1000</v>
      </c>
      <c r="C1456" s="342" t="str">
        <f t="shared" si="92"/>
        <v>52640</v>
      </c>
      <c r="D1456" s="342">
        <f>1054</f>
        <v>1054</v>
      </c>
      <c r="E1456" s="342">
        <v>1</v>
      </c>
      <c r="F1456" s="1159">
        <f>IF(COUNTIFS(Addenda!A:A,"*LENNOX*",Addenda!A:A,"&lt;&gt;*TRILEVER*")&gt;0,COUNTIF(Name,"Privacy")+COUNTIF('CSV FF'!A:A,"Privacy"),0)</f>
        <v>0</v>
      </c>
      <c r="G1456" s="1160"/>
      <c r="H1456" s="503" t="s">
        <v>2169</v>
      </c>
      <c r="I1456" s="1205"/>
      <c r="J1456" s="2" t="str">
        <f>IF(Table5[[#This Row],[Entered]]&lt;&gt;Table5[[#This Row],[Quantity]],"Check","")</f>
        <v/>
      </c>
    </row>
    <row r="1457" spans="1:10" s="1161" customFormat="1" ht="15" x14ac:dyDescent="0.2">
      <c r="A1457" s="342" t="s">
        <v>2980</v>
      </c>
      <c r="B1457" s="324" t="str">
        <f t="shared" si="90"/>
        <v>1000</v>
      </c>
      <c r="C1457" s="342" t="str">
        <f t="shared" si="92"/>
        <v>52640</v>
      </c>
      <c r="D1457" s="342">
        <f>1055</f>
        <v>1055</v>
      </c>
      <c r="E1457" s="342">
        <v>1</v>
      </c>
      <c r="F1457" s="1159">
        <f>IF(COUNTIFS(Addenda!A:A,"*LENNOX*",Addenda!A:A,"&lt;&gt;*TRILEVER*")&gt;0,Dummy_Handle_Count,0)</f>
        <v>0</v>
      </c>
      <c r="G1457" s="1160"/>
      <c r="H1457" s="503" t="s">
        <v>2170</v>
      </c>
      <c r="I1457" s="1205"/>
      <c r="J1457" s="2" t="str">
        <f>IF(Table5[[#This Row],[Entered]]&lt;&gt;Table5[[#This Row],[Quantity]],"Check","")</f>
        <v/>
      </c>
    </row>
    <row r="1458" spans="1:10" s="1161" customFormat="1" ht="15" x14ac:dyDescent="0.2">
      <c r="A1458" s="342" t="s">
        <v>2980</v>
      </c>
      <c r="B1458" s="324" t="str">
        <f t="shared" ref="B1458:B1521" si="93">"1000"</f>
        <v>1000</v>
      </c>
      <c r="C1458" s="342" t="str">
        <f t="shared" si="92"/>
        <v>52640</v>
      </c>
      <c r="D1458" s="342">
        <f>1070</f>
        <v>1070</v>
      </c>
      <c r="E1458" s="342">
        <v>1</v>
      </c>
      <c r="F1458" s="1159">
        <f>IF(COUNTIFS(Addenda!A:A,"*TRISTAN*",Addenda!A:A,"*BR*",Addenda!A:A,"&lt;&gt;*TRILEVER*")&gt;0,COUNTIF(Name,"Passage")+COUNTIF('CSV FF'!A:A,"Passage"),0)</f>
        <v>0</v>
      </c>
      <c r="G1458" s="1160"/>
      <c r="H1458" s="503" t="s">
        <v>2171</v>
      </c>
      <c r="I1458" s="1205"/>
      <c r="J1458" s="2" t="str">
        <f>IF(Table5[[#This Row],[Entered]]&lt;&gt;Table5[[#This Row],[Quantity]],"Check","")</f>
        <v/>
      </c>
    </row>
    <row r="1459" spans="1:10" s="1161" customFormat="1" ht="15" x14ac:dyDescent="0.2">
      <c r="A1459" s="342" t="s">
        <v>2980</v>
      </c>
      <c r="B1459" s="324" t="str">
        <f t="shared" si="93"/>
        <v>1000</v>
      </c>
      <c r="C1459" s="342" t="str">
        <f t="shared" si="92"/>
        <v>52640</v>
      </c>
      <c r="D1459" s="342">
        <f>1071</f>
        <v>1071</v>
      </c>
      <c r="E1459" s="342">
        <v>1</v>
      </c>
      <c r="F1459" s="1159">
        <f>IF(COUNTIFS(Addenda!A:A,"*TRISTAN*",Addenda!A:A,"*BR*",Addenda!A:A,"&lt;&gt;*TRILEVER*")&gt;0,COUNTIF(Name,"Privacy")+COUNTIF('CSV FF'!A:A,"Privacy"),0)</f>
        <v>0</v>
      </c>
      <c r="G1459" s="1160"/>
      <c r="H1459" s="503" t="s">
        <v>2172</v>
      </c>
      <c r="I1459" s="1205"/>
      <c r="J1459" s="2" t="str">
        <f>IF(Table5[[#This Row],[Entered]]&lt;&gt;Table5[[#This Row],[Quantity]],"Check","")</f>
        <v/>
      </c>
    </row>
    <row r="1460" spans="1:10" s="1161" customFormat="1" ht="15" x14ac:dyDescent="0.2">
      <c r="A1460" s="342" t="s">
        <v>2980</v>
      </c>
      <c r="B1460" s="324" t="str">
        <f t="shared" si="93"/>
        <v>1000</v>
      </c>
      <c r="C1460" s="342" t="str">
        <f t="shared" si="92"/>
        <v>52640</v>
      </c>
      <c r="D1460" s="342">
        <f>1072</f>
        <v>1072</v>
      </c>
      <c r="E1460" s="342">
        <v>1</v>
      </c>
      <c r="F1460" s="1159">
        <f>IF(COUNTIFS(Addenda!A:A,"*TRISTAN*",Addenda!A:A,"*BR*",Addenda!A:A,"&lt;&gt;*TRILEVER*")&gt;0,Dummy_Handle_Count,0)</f>
        <v>0</v>
      </c>
      <c r="G1460" s="1160"/>
      <c r="H1460" s="503" t="s">
        <v>2173</v>
      </c>
      <c r="I1460" s="1205"/>
      <c r="J1460" s="2" t="str">
        <f>IF(Table5[[#This Row],[Entered]]&lt;&gt;Table5[[#This Row],[Quantity]],"Check","")</f>
        <v/>
      </c>
    </row>
    <row r="1461" spans="1:10" s="1161" customFormat="1" ht="15" x14ac:dyDescent="0.2">
      <c r="A1461" s="342" t="s">
        <v>2980</v>
      </c>
      <c r="B1461" s="324" t="str">
        <f t="shared" si="93"/>
        <v>1000</v>
      </c>
      <c r="C1461" s="342" t="str">
        <f t="shared" si="92"/>
        <v>52640</v>
      </c>
      <c r="D1461" s="342">
        <f>1073</f>
        <v>1073</v>
      </c>
      <c r="E1461" s="342">
        <v>1</v>
      </c>
      <c r="F1461" s="1159">
        <f>IF(COUNTIFS(Addenda!A:A,"*TRISTAN*",Addenda!A:A,"*SATIN*",Addenda!A:A,"&lt;&gt;*TRILEVER*")&gt;0,COUNTIF(Name,"Passage")+COUNTIF('CSV FF'!A:A,"Passage"),0)</f>
        <v>0</v>
      </c>
      <c r="G1461" s="1160"/>
      <c r="H1461" s="503" t="s">
        <v>2174</v>
      </c>
      <c r="I1461" s="1205"/>
      <c r="J1461" s="2" t="str">
        <f>IF(Table5[[#This Row],[Entered]]&lt;&gt;Table5[[#This Row],[Quantity]],"Check","")</f>
        <v/>
      </c>
    </row>
    <row r="1462" spans="1:10" ht="15" x14ac:dyDescent="0.2">
      <c r="A1462" s="342" t="s">
        <v>2980</v>
      </c>
      <c r="B1462" s="324" t="str">
        <f t="shared" si="93"/>
        <v>1000</v>
      </c>
      <c r="C1462" s="342" t="str">
        <f t="shared" si="92"/>
        <v>52640</v>
      </c>
      <c r="D1462" s="342">
        <f>1074</f>
        <v>1074</v>
      </c>
      <c r="E1462" s="342">
        <v>1</v>
      </c>
      <c r="F1462" s="1159">
        <f>IF(COUNTIFS(Addenda!A:A,"*TRISTAN*",Addenda!A:A,"*SATIN*",Addenda!A:A,"&lt;&gt;*TRILEVER*")&gt;0,COUNTIF(Name,"Privacy")+COUNTIF('CSV FF'!A:A,"Privacy"),0)</f>
        <v>0</v>
      </c>
      <c r="G1462" s="1160"/>
      <c r="H1462" s="503" t="s">
        <v>2175</v>
      </c>
      <c r="I1462" s="1205"/>
      <c r="J1462" s="2" t="str">
        <f>IF(Table5[[#This Row],[Entered]]&lt;&gt;Table5[[#This Row],[Quantity]],"Check","")</f>
        <v/>
      </c>
    </row>
    <row r="1463" spans="1:10" s="1161" customFormat="1" ht="15" x14ac:dyDescent="0.2">
      <c r="A1463" s="342" t="s">
        <v>2980</v>
      </c>
      <c r="B1463" s="324" t="str">
        <f t="shared" si="93"/>
        <v>1000</v>
      </c>
      <c r="C1463" s="342" t="str">
        <f t="shared" si="92"/>
        <v>52640</v>
      </c>
      <c r="D1463" s="342">
        <f>1075</f>
        <v>1075</v>
      </c>
      <c r="E1463" s="342">
        <v>1</v>
      </c>
      <c r="F1463" s="1159">
        <f>IF(COUNTIFS(Addenda!A:A,"*TRISTAN*",Addenda!A:A,"*SATIN*",Addenda!A:A,"&lt;&gt;*TRILEVER*")&gt;0,Dummy_Handle_Count,0)</f>
        <v>0</v>
      </c>
      <c r="G1463" s="1160"/>
      <c r="H1463" s="503" t="s">
        <v>2176</v>
      </c>
      <c r="I1463" s="1205"/>
      <c r="J1463" s="2" t="str">
        <f>IF(Table5[[#This Row],[Entered]]&lt;&gt;Table5[[#This Row],[Quantity]],"Check","")</f>
        <v/>
      </c>
    </row>
    <row r="1464" spans="1:10" s="1161" customFormat="1" ht="15" x14ac:dyDescent="0.2">
      <c r="A1464" s="342" t="s">
        <v>2980</v>
      </c>
      <c r="B1464" s="324" t="str">
        <f t="shared" si="93"/>
        <v>1000</v>
      </c>
      <c r="C1464" s="342" t="str">
        <f t="shared" si="92"/>
        <v>52640</v>
      </c>
      <c r="D1464" s="342">
        <f>1230</f>
        <v>1230</v>
      </c>
      <c r="E1464" s="342">
        <v>1</v>
      </c>
      <c r="F1464" s="1159">
        <f>COUNTIFS(Addenda!A:A,"*DELF*",Addenda!A:A,"*STAINLESS STEEL*",Addenda!A:A,"*METRO*")</f>
        <v>0</v>
      </c>
      <c r="G1464" s="1160"/>
      <c r="H1464" s="503" t="s">
        <v>2177</v>
      </c>
      <c r="I1464" s="1205"/>
      <c r="J1464" s="2" t="str">
        <f>IF(Table5[[#This Row],[Entered]]&lt;&gt;Table5[[#This Row],[Quantity]],"Check","")</f>
        <v/>
      </c>
    </row>
    <row r="1465" spans="1:10" s="1161" customFormat="1" ht="15" x14ac:dyDescent="0.2">
      <c r="A1465" s="342" t="s">
        <v>2980</v>
      </c>
      <c r="B1465" s="324" t="str">
        <f t="shared" si="93"/>
        <v>1000</v>
      </c>
      <c r="C1465" s="342" t="str">
        <f t="shared" ref="C1465:C1496" si="94">"52640"</f>
        <v>52640</v>
      </c>
      <c r="D1465" s="342">
        <v>1232</v>
      </c>
      <c r="E1465" s="342">
        <v>1</v>
      </c>
      <c r="F1465" s="1159">
        <f>COUNTIFS(Addenda!A:A,"*DELF*",Addenda!A:A,"*BLACK*",Addenda!A:A,"*METRO*")</f>
        <v>0</v>
      </c>
      <c r="G1465" s="1160"/>
      <c r="H1465" s="412" t="s">
        <v>2460</v>
      </c>
      <c r="I1465" s="1258"/>
      <c r="J1465" s="2" t="str">
        <f>IF(Table5[[#This Row],[Entered]]&lt;&gt;Table5[[#This Row],[Quantity]],"Check","")</f>
        <v/>
      </c>
    </row>
    <row r="1466" spans="1:10" s="1161" customFormat="1" ht="15" x14ac:dyDescent="0.2">
      <c r="A1466" s="342" t="s">
        <v>2980</v>
      </c>
      <c r="B1466" s="324" t="str">
        <f t="shared" si="93"/>
        <v>1000</v>
      </c>
      <c r="C1466" s="342" t="str">
        <f t="shared" si="94"/>
        <v>52640</v>
      </c>
      <c r="D1466" s="342">
        <f>1240</f>
        <v>1240</v>
      </c>
      <c r="E1466" s="342">
        <v>1</v>
      </c>
      <c r="F1466" s="1159">
        <f>COUNTIFS(Addenda!A:A,"*DELF*",Addenda!A:A,"*SATIN CHROME*",Addenda!A:A,"*LINEAR*")</f>
        <v>0</v>
      </c>
      <c r="G1466" s="1160"/>
      <c r="H1466" s="503" t="s">
        <v>2178</v>
      </c>
      <c r="I1466" s="1205"/>
      <c r="J1466" s="2" t="str">
        <f>IF(Table5[[#This Row],[Entered]]&lt;&gt;Table5[[#This Row],[Quantity]],"Check","")</f>
        <v/>
      </c>
    </row>
    <row r="1467" spans="1:10" s="1161" customFormat="1" ht="15" x14ac:dyDescent="0.2">
      <c r="A1467" s="342" t="s">
        <v>2980</v>
      </c>
      <c r="B1467" s="324" t="str">
        <f t="shared" si="93"/>
        <v>1000</v>
      </c>
      <c r="C1467" s="342" t="str">
        <f t="shared" si="94"/>
        <v>52640</v>
      </c>
      <c r="D1467" s="342">
        <f>1241</f>
        <v>1241</v>
      </c>
      <c r="E1467" s="342">
        <v>1</v>
      </c>
      <c r="F1467" s="1159">
        <f>COUNTIFS(Addenda!A:A,"*DELF*",Addenda!A:A,"*BRIGHT CHROME*",Addenda!A:A,"*LINEAR*")</f>
        <v>0</v>
      </c>
      <c r="G1467" s="1160"/>
      <c r="H1467" s="503" t="s">
        <v>2179</v>
      </c>
      <c r="I1467" s="1205"/>
      <c r="J1467" s="2" t="str">
        <f>IF(Table5[[#This Row],[Entered]]&lt;&gt;Table5[[#This Row],[Quantity]],"Check","")</f>
        <v/>
      </c>
    </row>
    <row r="1468" spans="1:10" s="1161" customFormat="1" ht="15" x14ac:dyDescent="0.2">
      <c r="A1468" s="342" t="s">
        <v>2980</v>
      </c>
      <c r="B1468" s="324" t="str">
        <f t="shared" si="93"/>
        <v>1000</v>
      </c>
      <c r="C1468" s="342" t="str">
        <f t="shared" si="94"/>
        <v>52640</v>
      </c>
      <c r="D1468" s="342">
        <f>1242</f>
        <v>1242</v>
      </c>
      <c r="E1468" s="342">
        <v>1</v>
      </c>
      <c r="F1468" s="1159">
        <f>COUNTIFS(Addenda!A:A,"*DELF*",Addenda!A:A,"*BLACK*",Addenda!A:A,"*LINEAR*")</f>
        <v>0</v>
      </c>
      <c r="G1468" s="1160"/>
      <c r="H1468" s="503" t="s">
        <v>2180</v>
      </c>
      <c r="I1468" s="1205"/>
      <c r="J1468" s="2" t="str">
        <f>IF(Table5[[#This Row],[Entered]]&lt;&gt;Table5[[#This Row],[Quantity]],"Check","")</f>
        <v/>
      </c>
    </row>
    <row r="1469" spans="1:10" s="1161" customFormat="1" ht="15" x14ac:dyDescent="0.2">
      <c r="A1469" s="342" t="s">
        <v>2980</v>
      </c>
      <c r="B1469" s="324" t="str">
        <f t="shared" si="93"/>
        <v>1000</v>
      </c>
      <c r="C1469" s="342" t="str">
        <f t="shared" si="94"/>
        <v>52640</v>
      </c>
      <c r="D1469" s="342">
        <f>1250</f>
        <v>1250</v>
      </c>
      <c r="E1469" s="342">
        <v>1</v>
      </c>
      <c r="F1469" s="1159">
        <f>COUNTIFS(Addenda!A:A,"*POMONA*",Addenda!A:A,"*SATIN*",Addenda!A:A,"*ENTRANCE*")</f>
        <v>0</v>
      </c>
      <c r="G1469" s="1160"/>
      <c r="H1469" s="503" t="s">
        <v>2181</v>
      </c>
      <c r="I1469" s="1205"/>
      <c r="J1469" s="2" t="str">
        <f>IF(Table5[[#This Row],[Entered]]&lt;&gt;Table5[[#This Row],[Quantity]],"Check","")</f>
        <v/>
      </c>
    </row>
    <row r="1470" spans="1:10" s="1161" customFormat="1" ht="15" x14ac:dyDescent="0.2">
      <c r="A1470" s="342" t="s">
        <v>2980</v>
      </c>
      <c r="B1470" s="324" t="str">
        <f t="shared" si="93"/>
        <v>1000</v>
      </c>
      <c r="C1470" s="342" t="str">
        <f t="shared" si="94"/>
        <v>52640</v>
      </c>
      <c r="D1470" s="342">
        <f>1251</f>
        <v>1251</v>
      </c>
      <c r="E1470" s="342">
        <v>1</v>
      </c>
      <c r="F1470" s="1159">
        <f>COUNTIFS(Addenda!A:A,"*POMONA*",Addenda!A:A,"*BR*",Addenda!A:A,"*ENTRANCE*")</f>
        <v>0</v>
      </c>
      <c r="G1470" s="1160"/>
      <c r="H1470" s="503" t="s">
        <v>2182</v>
      </c>
      <c r="I1470" s="1205"/>
      <c r="J1470" s="2" t="str">
        <f>IF(Table5[[#This Row],[Entered]]&lt;&gt;Table5[[#This Row],[Quantity]],"Check","")</f>
        <v/>
      </c>
    </row>
    <row r="1471" spans="1:10" s="1161" customFormat="1" ht="15" x14ac:dyDescent="0.2">
      <c r="A1471" s="342" t="s">
        <v>2980</v>
      </c>
      <c r="B1471" s="324" t="str">
        <f t="shared" si="93"/>
        <v>1000</v>
      </c>
      <c r="C1471" s="342" t="str">
        <f t="shared" si="94"/>
        <v>52640</v>
      </c>
      <c r="D1471" s="342">
        <f>1252</f>
        <v>1252</v>
      </c>
      <c r="E1471" s="342">
        <v>1</v>
      </c>
      <c r="F1471" s="1159">
        <f>COUNTIFS(Addenda!A:A,"*TERIFA*",Addenda!A:A,"*SATIN*",Addenda!A:A,"*ENTRANCE*")</f>
        <v>0</v>
      </c>
      <c r="G1471" s="1160"/>
      <c r="H1471" s="503" t="s">
        <v>2183</v>
      </c>
      <c r="I1471" s="1205"/>
      <c r="J1471" s="2" t="str">
        <f>IF(Table5[[#This Row],[Entered]]&lt;&gt;Table5[[#This Row],[Quantity]],"Check","")</f>
        <v/>
      </c>
    </row>
    <row r="1472" spans="1:10" s="1161" customFormat="1" ht="15" x14ac:dyDescent="0.2">
      <c r="A1472" s="342" t="s">
        <v>2980</v>
      </c>
      <c r="B1472" s="324" t="str">
        <f t="shared" si="93"/>
        <v>1000</v>
      </c>
      <c r="C1472" s="342" t="str">
        <f t="shared" si="94"/>
        <v>52640</v>
      </c>
      <c r="D1472" s="342">
        <f>1253</f>
        <v>1253</v>
      </c>
      <c r="E1472" s="342">
        <v>1</v>
      </c>
      <c r="F1472" s="1159">
        <f>COUNTIFS(Addenda!A:A,"*TERIFA*",Addenda!A:A,"*BR*",Addenda!A:A,"*ENTRANCE*")</f>
        <v>0</v>
      </c>
      <c r="G1472" s="1160"/>
      <c r="H1472" s="503" t="s">
        <v>2184</v>
      </c>
      <c r="I1472" s="1205"/>
      <c r="J1472" s="2" t="str">
        <f>IF(Table5[[#This Row],[Entered]]&lt;&gt;Table5[[#This Row],[Quantity]],"Check","")</f>
        <v/>
      </c>
    </row>
    <row r="1473" spans="1:10" s="1161" customFormat="1" ht="15" x14ac:dyDescent="0.2">
      <c r="A1473" s="342" t="s">
        <v>2980</v>
      </c>
      <c r="B1473" s="324" t="str">
        <f t="shared" si="93"/>
        <v>1000</v>
      </c>
      <c r="C1473" s="342" t="str">
        <f t="shared" si="94"/>
        <v>52640</v>
      </c>
      <c r="D1473" s="342">
        <f>1255</f>
        <v>1255</v>
      </c>
      <c r="E1473" s="342">
        <v>1</v>
      </c>
      <c r="F1473" s="1159">
        <f>COUNTIFS(Addenda!A:A,"*PORTO*",Addenda!A:A,"*SATIN*",Addenda!A:A,"*ENTRANCE*")</f>
        <v>0</v>
      </c>
      <c r="G1473" s="1160"/>
      <c r="H1473" s="503" t="s">
        <v>2185</v>
      </c>
      <c r="I1473" s="1205"/>
      <c r="J1473" s="2" t="str">
        <f>IF(Table5[[#This Row],[Entered]]&lt;&gt;Table5[[#This Row],[Quantity]],"Check","")</f>
        <v/>
      </c>
    </row>
    <row r="1474" spans="1:10" s="1161" customFormat="1" ht="15" x14ac:dyDescent="0.2">
      <c r="A1474" s="342" t="s">
        <v>2980</v>
      </c>
      <c r="B1474" s="324" t="str">
        <f t="shared" si="93"/>
        <v>1000</v>
      </c>
      <c r="C1474" s="342" t="str">
        <f t="shared" si="94"/>
        <v>52640</v>
      </c>
      <c r="D1474" s="342">
        <f>1256</f>
        <v>1256</v>
      </c>
      <c r="E1474" s="342">
        <v>1</v>
      </c>
      <c r="F1474" s="1159">
        <f>COUNTIFS(Addenda!A:A,"*PORTO*",Addenda!A:A,"*BR*",Addenda!A:A,"*ENTRANCE*")</f>
        <v>0</v>
      </c>
      <c r="G1474" s="1160"/>
      <c r="H1474" s="503" t="s">
        <v>2186</v>
      </c>
      <c r="I1474" s="1205"/>
      <c r="J1474" s="2" t="str">
        <f>IF(Table5[[#This Row],[Entered]]&lt;&gt;Table5[[#This Row],[Quantity]],"Check","")</f>
        <v/>
      </c>
    </row>
    <row r="1475" spans="1:10" s="1161" customFormat="1" ht="15" x14ac:dyDescent="0.2">
      <c r="A1475" s="342" t="s">
        <v>2980</v>
      </c>
      <c r="B1475" s="324" t="str">
        <f t="shared" si="93"/>
        <v>1000</v>
      </c>
      <c r="C1475" s="342" t="str">
        <f t="shared" si="94"/>
        <v>52640</v>
      </c>
      <c r="D1475" s="342">
        <f>1257</f>
        <v>1257</v>
      </c>
      <c r="E1475" s="342">
        <v>1</v>
      </c>
      <c r="F1475" s="1159">
        <f>COUNTIFS(Addenda!A:A,"*PORTO*",Addenda!A:A,"*MA*",Addenda!A:A,"*ENTRANCE*")</f>
        <v>0</v>
      </c>
      <c r="G1475" s="1160"/>
      <c r="H1475" s="503" t="s">
        <v>2187</v>
      </c>
      <c r="I1475" s="1205"/>
      <c r="J1475" s="2" t="str">
        <f>IF(Table5[[#This Row],[Entered]]&lt;&gt;Table5[[#This Row],[Quantity]],"Check","")</f>
        <v/>
      </c>
    </row>
    <row r="1476" spans="1:10" s="1161" customFormat="1" ht="15" x14ac:dyDescent="0.2">
      <c r="A1476" s="342" t="s">
        <v>2980</v>
      </c>
      <c r="B1476" s="324" t="str">
        <f t="shared" si="93"/>
        <v>1000</v>
      </c>
      <c r="C1476" s="342" t="str">
        <f t="shared" si="94"/>
        <v>52640</v>
      </c>
      <c r="D1476" s="342">
        <f>1270</f>
        <v>1270</v>
      </c>
      <c r="E1476" s="342">
        <v>1</v>
      </c>
      <c r="F1476" s="1159">
        <f>COUNTIFS(Addenda!A:A,"*DELF*",Addenda!A:A,"*STAINLESS*",Addenda!A:A,"&lt;&gt;*POLISHED*",Addenda!A:A,"*DD550*")+COUNTIF(Addenda!A:A,"*DD550SS*")</f>
        <v>0</v>
      </c>
      <c r="G1476" s="1160"/>
      <c r="H1476" s="503" t="s">
        <v>2188</v>
      </c>
      <c r="I1476" s="1205"/>
      <c r="J1476" s="2" t="str">
        <f>IF(Table5[[#This Row],[Entered]]&lt;&gt;Table5[[#This Row],[Quantity]],"Check","")</f>
        <v/>
      </c>
    </row>
    <row r="1477" spans="1:10" s="1161" customFormat="1" ht="15" x14ac:dyDescent="0.2">
      <c r="A1477" s="342" t="s">
        <v>2980</v>
      </c>
      <c r="B1477" s="324" t="str">
        <f t="shared" si="93"/>
        <v>1000</v>
      </c>
      <c r="C1477" s="342" t="str">
        <f t="shared" si="94"/>
        <v>52640</v>
      </c>
      <c r="D1477" s="342">
        <f>1271</f>
        <v>1271</v>
      </c>
      <c r="E1477" s="342">
        <v>1</v>
      </c>
      <c r="F1477" s="1159">
        <f>COUNTIFS(Addenda!A:A,"*DELF*",Addenda!A:A,"*POLISHED*",Addenda!A:A,"*DD550*")+COUNTIF(Addenda!A:A,"*DD550PS*")</f>
        <v>0</v>
      </c>
      <c r="G1477" s="1160"/>
      <c r="H1477" s="503" t="s">
        <v>2189</v>
      </c>
      <c r="I1477" s="1205"/>
      <c r="J1477" s="2" t="str">
        <f>IF(Table5[[#This Row],[Entered]]&lt;&gt;Table5[[#This Row],[Quantity]],"Check","")</f>
        <v/>
      </c>
    </row>
    <row r="1478" spans="1:10" s="1161" customFormat="1" ht="15" x14ac:dyDescent="0.2">
      <c r="A1478" s="342" t="s">
        <v>2980</v>
      </c>
      <c r="B1478" s="324" t="str">
        <f t="shared" si="93"/>
        <v>1000</v>
      </c>
      <c r="C1478" s="342" t="str">
        <f t="shared" si="94"/>
        <v>52640</v>
      </c>
      <c r="D1478" s="342">
        <f>1272</f>
        <v>1272</v>
      </c>
      <c r="E1478" s="342">
        <v>1</v>
      </c>
      <c r="F1478" s="1159">
        <f>COUNTIFS(Addenda!A:A,"*DELF*",Addenda!A:A,"*SATIN CHROME*",Addenda!A:A,"*DDR570*")+COUNTIF(Addenda!A:A,"*DD570SC*")</f>
        <v>0</v>
      </c>
      <c r="G1478" s="1160"/>
      <c r="H1478" s="503" t="s">
        <v>2190</v>
      </c>
      <c r="I1478" s="1205"/>
      <c r="J1478" s="2" t="str">
        <f>IF(Table5[[#This Row],[Entered]]&lt;&gt;Table5[[#This Row],[Quantity]],"Check","")</f>
        <v/>
      </c>
    </row>
    <row r="1479" spans="1:10" s="1161" customFormat="1" ht="15" x14ac:dyDescent="0.2">
      <c r="A1479" s="342" t="s">
        <v>2980</v>
      </c>
      <c r="B1479" s="324" t="str">
        <f t="shared" si="93"/>
        <v>1000</v>
      </c>
      <c r="C1479" s="342" t="str">
        <f t="shared" si="94"/>
        <v>52640</v>
      </c>
      <c r="D1479" s="342">
        <f>1273</f>
        <v>1273</v>
      </c>
      <c r="E1479" s="342">
        <v>1</v>
      </c>
      <c r="F1479" s="1159">
        <f>COUNTIFS(Addenda!A:A,"*DELF*",Addenda!A:A,"*MATT BLACK*",Addenda!A:A,"*DDR570*")+COUNTIF(Addenda!A:A,"*DD570MB*")</f>
        <v>0</v>
      </c>
      <c r="G1479" s="1160"/>
      <c r="H1479" s="503" t="s">
        <v>2191</v>
      </c>
      <c r="I1479" s="1205"/>
      <c r="J1479" s="2" t="str">
        <f>IF(Table5[[#This Row],[Entered]]&lt;&gt;Table5[[#This Row],[Quantity]],"Check","")</f>
        <v/>
      </c>
    </row>
    <row r="1480" spans="1:10" s="1161" customFormat="1" ht="15" x14ac:dyDescent="0.2">
      <c r="A1480" s="342" t="s">
        <v>2980</v>
      </c>
      <c r="B1480" s="324" t="str">
        <f t="shared" si="93"/>
        <v>1000</v>
      </c>
      <c r="C1480" s="342" t="str">
        <f t="shared" si="94"/>
        <v>52640</v>
      </c>
      <c r="D1480" s="342">
        <f>1274</f>
        <v>1274</v>
      </c>
      <c r="E1480" s="342">
        <v>1</v>
      </c>
      <c r="F1480" s="1159">
        <f>COUNTIFS(Addenda!A:A,"*DELF*",Addenda!A:A,"*MATT BLACK*",Addenda!A:A,"*EURO*")+COUNTIF(Addenda!A:A,"*DD3850MB*")</f>
        <v>0</v>
      </c>
      <c r="G1480" s="1160"/>
      <c r="H1480" s="503" t="s">
        <v>2192</v>
      </c>
      <c r="I1480" s="1205"/>
      <c r="J1480" s="2" t="str">
        <f>IF(Table5[[#This Row],[Entered]]&lt;&gt;Table5[[#This Row],[Quantity]],"Check","")</f>
        <v/>
      </c>
    </row>
    <row r="1481" spans="1:10" s="1161" customFormat="1" ht="15" x14ac:dyDescent="0.2">
      <c r="A1481" s="342" t="s">
        <v>2980</v>
      </c>
      <c r="B1481" s="324" t="str">
        <f t="shared" si="93"/>
        <v>1000</v>
      </c>
      <c r="C1481" s="342" t="str">
        <f t="shared" si="94"/>
        <v>52640</v>
      </c>
      <c r="D1481" s="342" t="s">
        <v>1646</v>
      </c>
      <c r="E1481" s="342">
        <v>1</v>
      </c>
      <c r="F1481" s="1159">
        <f>IF(COUNTIFS(Addenda!A:A,"*CADIZ*",Addenda!A:A,"&lt;&gt;*TRILEVER*")&gt;0,COUNTIF(Name,"Passage")+COUNTIF('CSV FF'!A:A,"Passage"),0)</f>
        <v>0</v>
      </c>
      <c r="G1481" s="1160">
        <v>24</v>
      </c>
      <c r="H1481" s="503" t="s">
        <v>1647</v>
      </c>
      <c r="I1481" s="1205"/>
      <c r="J1481" s="2" t="str">
        <f>IF(Table5[[#This Row],[Entered]]&lt;&gt;Table5[[#This Row],[Quantity]],"Check","")</f>
        <v/>
      </c>
    </row>
    <row r="1482" spans="1:10" s="1161" customFormat="1" ht="15" x14ac:dyDescent="0.2">
      <c r="A1482" s="342" t="s">
        <v>2980</v>
      </c>
      <c r="B1482" s="324" t="str">
        <f t="shared" si="93"/>
        <v>1000</v>
      </c>
      <c r="C1482" s="342" t="str">
        <f t="shared" si="94"/>
        <v>52640</v>
      </c>
      <c r="D1482" s="342" t="s">
        <v>1648</v>
      </c>
      <c r="E1482" s="342">
        <v>1</v>
      </c>
      <c r="F1482" s="1159">
        <f>IF(COUNTIFS(Addenda!A:A,"*CADIZ*",Addenda!A:A,"&lt;&gt;*TRILEVER*")&gt;0,COUNTIF(Name,"Privacy")+COUNTIF('CSV FF'!A:A,"Privacy"),0)</f>
        <v>0</v>
      </c>
      <c r="G1482" s="1160">
        <v>26.01</v>
      </c>
      <c r="H1482" s="503" t="s">
        <v>1649</v>
      </c>
      <c r="I1482" s="1205"/>
      <c r="J1482" s="2" t="str">
        <f>IF(Table5[[#This Row],[Entered]]&lt;&gt;Table5[[#This Row],[Quantity]],"Check","")</f>
        <v/>
      </c>
    </row>
    <row r="1483" spans="1:10" s="1161" customFormat="1" ht="15" x14ac:dyDescent="0.2">
      <c r="A1483" s="342" t="s">
        <v>2980</v>
      </c>
      <c r="B1483" s="324" t="str">
        <f t="shared" si="93"/>
        <v>1000</v>
      </c>
      <c r="C1483" s="342" t="str">
        <f t="shared" si="94"/>
        <v>52640</v>
      </c>
      <c r="D1483" s="342" t="s">
        <v>1650</v>
      </c>
      <c r="E1483" s="342">
        <v>1</v>
      </c>
      <c r="F1483" s="1159">
        <f>IF(COUNTIFS(Addenda!A:A,"*CADIZ*",Addenda!A:A,"&lt;&gt;*TRILEVER*")&gt;0,Dummy_Handle_Count,0)</f>
        <v>0</v>
      </c>
      <c r="G1483" s="1160">
        <v>17</v>
      </c>
      <c r="H1483" s="503" t="s">
        <v>1651</v>
      </c>
      <c r="I1483" s="1205"/>
      <c r="J1483" s="2" t="str">
        <f>IF(Table5[[#This Row],[Entered]]&lt;&gt;Table5[[#This Row],[Quantity]],"Check","")</f>
        <v/>
      </c>
    </row>
    <row r="1484" spans="1:10" s="1161" customFormat="1" ht="15" x14ac:dyDescent="0.2">
      <c r="A1484" s="342" t="s">
        <v>2980</v>
      </c>
      <c r="B1484" s="324" t="str">
        <f t="shared" si="93"/>
        <v>1000</v>
      </c>
      <c r="C1484" s="342" t="str">
        <f t="shared" si="94"/>
        <v>52640</v>
      </c>
      <c r="D1484" s="342">
        <f>1300</f>
        <v>1300</v>
      </c>
      <c r="E1484" s="342">
        <v>1</v>
      </c>
      <c r="F1484" s="1159">
        <f>IF(COUNTIFS(Addenda!A:A,"*VILLENA*",Addenda!A:A,"&lt;&gt;*TRILEVER*",Addenda!A:A,"*SATIN*")&gt;0,COUNTIF(Name,"Passage")+COUNTIF('CSV FF'!A:A,"Passage"),0)</f>
        <v>0</v>
      </c>
      <c r="G1484" s="1160"/>
      <c r="H1484" s="503" t="s">
        <v>2193</v>
      </c>
      <c r="I1484" s="1205"/>
      <c r="J1484" s="2" t="str">
        <f>IF(Table5[[#This Row],[Entered]]&lt;&gt;Table5[[#This Row],[Quantity]],"Check","")</f>
        <v/>
      </c>
    </row>
    <row r="1485" spans="1:10" s="1161" customFormat="1" ht="15" x14ac:dyDescent="0.2">
      <c r="A1485" s="342" t="s">
        <v>2980</v>
      </c>
      <c r="B1485" s="324" t="str">
        <f t="shared" si="93"/>
        <v>1000</v>
      </c>
      <c r="C1485" s="342" t="str">
        <f t="shared" si="94"/>
        <v>52640</v>
      </c>
      <c r="D1485" s="342">
        <f>1301</f>
        <v>1301</v>
      </c>
      <c r="E1485" s="342">
        <v>1</v>
      </c>
      <c r="F1485" s="1159">
        <f>IF(COUNTIFS(Addenda!A:A,"*VILLENA*",Addenda!A:A,"&lt;&gt;*TRILEVER*",Addenda!A:A,"*SATIN*")&gt;0,COUNTIF(Name,"Privacy")+COUNTIF('CSV FF'!A:A,"Privacy"),0)</f>
        <v>0</v>
      </c>
      <c r="G1485" s="1160"/>
      <c r="H1485" s="503" t="s">
        <v>2194</v>
      </c>
      <c r="I1485" s="1205"/>
      <c r="J1485" s="2" t="str">
        <f>IF(Table5[[#This Row],[Entered]]&lt;&gt;Table5[[#This Row],[Quantity]],"Check","")</f>
        <v/>
      </c>
    </row>
    <row r="1486" spans="1:10" s="1161" customFormat="1" ht="15" x14ac:dyDescent="0.2">
      <c r="A1486" s="342" t="s">
        <v>2980</v>
      </c>
      <c r="B1486" s="324" t="str">
        <f t="shared" si="93"/>
        <v>1000</v>
      </c>
      <c r="C1486" s="342" t="str">
        <f t="shared" si="94"/>
        <v>52640</v>
      </c>
      <c r="D1486" s="342">
        <f>1302</f>
        <v>1302</v>
      </c>
      <c r="E1486" s="342">
        <v>1</v>
      </c>
      <c r="F1486" s="1159">
        <f>IF(COUNTIFS(Addenda!A:A,"*VILLENA*",Addenda!A:A,"&lt;&gt;*TRILEVER*",Addenda!A:A,"*SATIN*")&gt;0,Dummy_Handle_Count,0)</f>
        <v>0</v>
      </c>
      <c r="G1486" s="1160"/>
      <c r="H1486" s="503" t="s">
        <v>2195</v>
      </c>
      <c r="I1486" s="1205"/>
      <c r="J1486" s="2" t="str">
        <f>IF(Table5[[#This Row],[Entered]]&lt;&gt;Table5[[#This Row],[Quantity]],"Check","")</f>
        <v/>
      </c>
    </row>
    <row r="1487" spans="1:10" s="1161" customFormat="1" ht="15" x14ac:dyDescent="0.2">
      <c r="A1487" s="342" t="s">
        <v>2980</v>
      </c>
      <c r="B1487" s="324" t="str">
        <f t="shared" si="93"/>
        <v>1000</v>
      </c>
      <c r="C1487" s="342" t="str">
        <f t="shared" si="94"/>
        <v>52640</v>
      </c>
      <c r="D1487" s="342">
        <f>1303</f>
        <v>1303</v>
      </c>
      <c r="E1487" s="342">
        <v>1</v>
      </c>
      <c r="F1487" s="1159">
        <f>IF(COUNTIFS(Addenda!A:A,"*VILLENA*",Addenda!A:A,"&lt;&gt;*TRILEVER*",Addenda!A:A,"*BR*")&gt;0,COUNTIF(Name,"Passage")+COUNTIF('CSV FF'!A:A,"Passage"),0)</f>
        <v>0</v>
      </c>
      <c r="G1487" s="1160"/>
      <c r="H1487" s="503" t="s">
        <v>2196</v>
      </c>
      <c r="I1487" s="1205"/>
      <c r="J1487" s="2" t="str">
        <f>IF(Table5[[#This Row],[Entered]]&lt;&gt;Table5[[#This Row],[Quantity]],"Check","")</f>
        <v/>
      </c>
    </row>
    <row r="1488" spans="1:10" s="1161" customFormat="1" ht="15" x14ac:dyDescent="0.2">
      <c r="A1488" s="342" t="s">
        <v>2980</v>
      </c>
      <c r="B1488" s="324" t="str">
        <f t="shared" si="93"/>
        <v>1000</v>
      </c>
      <c r="C1488" s="342" t="str">
        <f t="shared" si="94"/>
        <v>52640</v>
      </c>
      <c r="D1488" s="342">
        <f>1304</f>
        <v>1304</v>
      </c>
      <c r="E1488" s="342">
        <v>1</v>
      </c>
      <c r="F1488" s="1159">
        <f>IF(COUNTIFS(Addenda!A:A,"*VILLENA*",Addenda!A:A,"&lt;&gt;*TRILEVER*",Addenda!A:A,"*BR*")&gt;0,COUNTIF(Name,"Privacy")+COUNTIF('CSV FF'!A:A,"Privacy"),0)</f>
        <v>0</v>
      </c>
      <c r="G1488" s="1160"/>
      <c r="H1488" s="503" t="s">
        <v>2197</v>
      </c>
      <c r="I1488" s="1205"/>
      <c r="J1488" s="2" t="str">
        <f>IF(Table5[[#This Row],[Entered]]&lt;&gt;Table5[[#This Row],[Quantity]],"Check","")</f>
        <v/>
      </c>
    </row>
    <row r="1489" spans="1:10" s="1161" customFormat="1" ht="15" x14ac:dyDescent="0.2">
      <c r="A1489" s="342" t="s">
        <v>2980</v>
      </c>
      <c r="B1489" s="324" t="str">
        <f t="shared" si="93"/>
        <v>1000</v>
      </c>
      <c r="C1489" s="342" t="str">
        <f t="shared" si="94"/>
        <v>52640</v>
      </c>
      <c r="D1489" s="342">
        <f>1305</f>
        <v>1305</v>
      </c>
      <c r="E1489" s="342">
        <v>1</v>
      </c>
      <c r="F1489" s="1159">
        <f>IF(COUNTIFS(Addenda!A:A,"*VILLENA*",Addenda!A:A,"&lt;&gt;*TRILEVER*",Addenda!A:A,"*BR*")&gt;0,Dummy_Handle_Count,0)</f>
        <v>0</v>
      </c>
      <c r="G1489" s="1160"/>
      <c r="H1489" s="503" t="s">
        <v>2198</v>
      </c>
      <c r="I1489" s="1205"/>
      <c r="J1489" s="2" t="str">
        <f>IF(Table5[[#This Row],[Entered]]&lt;&gt;Table5[[#This Row],[Quantity]],"Check","")</f>
        <v/>
      </c>
    </row>
    <row r="1490" spans="1:10" s="1161" customFormat="1" ht="15" x14ac:dyDescent="0.2">
      <c r="A1490" s="342" t="s">
        <v>2980</v>
      </c>
      <c r="B1490" s="324" t="str">
        <f t="shared" si="93"/>
        <v>1000</v>
      </c>
      <c r="C1490" s="342" t="str">
        <f t="shared" si="94"/>
        <v>52640</v>
      </c>
      <c r="D1490" s="342">
        <f>1306</f>
        <v>1306</v>
      </c>
      <c r="E1490" s="342">
        <v>1</v>
      </c>
      <c r="F1490" s="1159">
        <f>IF(COUNTIFS(Addenda!A:A,"*MADRID*",Addenda!A:A,"&lt;&gt;*TRILEVER*",Addenda!A:A,"*SATIN*")&gt;0,COUNTIF(Name,"Passage")+COUNTIF('CSV FF'!A:A,"Passage"),0)</f>
        <v>0</v>
      </c>
      <c r="G1490" s="1160"/>
      <c r="H1490" s="503" t="s">
        <v>2199</v>
      </c>
      <c r="I1490" s="1205"/>
      <c r="J1490" s="2" t="str">
        <f>IF(Table5[[#This Row],[Entered]]&lt;&gt;Table5[[#This Row],[Quantity]],"Check","")</f>
        <v/>
      </c>
    </row>
    <row r="1491" spans="1:10" s="1161" customFormat="1" ht="15" x14ac:dyDescent="0.2">
      <c r="A1491" s="342" t="s">
        <v>2980</v>
      </c>
      <c r="B1491" s="324" t="str">
        <f t="shared" si="93"/>
        <v>1000</v>
      </c>
      <c r="C1491" s="342" t="str">
        <f t="shared" si="94"/>
        <v>52640</v>
      </c>
      <c r="D1491" s="342">
        <f>1307</f>
        <v>1307</v>
      </c>
      <c r="E1491" s="342">
        <v>1</v>
      </c>
      <c r="F1491" s="1159">
        <f>IF(COUNTIFS(Addenda!A:A,"*MADRID*",Addenda!A:A,"&lt;&gt;*TRILEVER*",Addenda!A:A,"*SATIN*")&gt;0,COUNTIF(Name,"Privacy")+COUNTIF('CSV FF'!A:A,"Privacy"),0)</f>
        <v>0</v>
      </c>
      <c r="G1491" s="1160"/>
      <c r="H1491" s="503" t="s">
        <v>2200</v>
      </c>
      <c r="I1491" s="1205"/>
      <c r="J1491" s="2" t="str">
        <f>IF(Table5[[#This Row],[Entered]]&lt;&gt;Table5[[#This Row],[Quantity]],"Check","")</f>
        <v/>
      </c>
    </row>
    <row r="1492" spans="1:10" s="1161" customFormat="1" ht="15" x14ac:dyDescent="0.2">
      <c r="A1492" s="342" t="s">
        <v>2980</v>
      </c>
      <c r="B1492" s="324" t="str">
        <f t="shared" si="93"/>
        <v>1000</v>
      </c>
      <c r="C1492" s="342" t="str">
        <f t="shared" si="94"/>
        <v>52640</v>
      </c>
      <c r="D1492" s="342">
        <f>1308</f>
        <v>1308</v>
      </c>
      <c r="E1492" s="342">
        <v>1</v>
      </c>
      <c r="F1492" s="1159">
        <f>IF(COUNTIFS(Addenda!A:A,"*MADRID*",Addenda!A:A,"&lt;&gt;*TRILEVER*",Addenda!A:A,"*SATIN*")&gt;0,Dummy_Handle_Count,0)</f>
        <v>0</v>
      </c>
      <c r="G1492" s="1160"/>
      <c r="H1492" s="503" t="s">
        <v>2201</v>
      </c>
      <c r="I1492" s="1205"/>
      <c r="J1492" s="2" t="str">
        <f>IF(Table5[[#This Row],[Entered]]&lt;&gt;Table5[[#This Row],[Quantity]],"Check","")</f>
        <v/>
      </c>
    </row>
    <row r="1493" spans="1:10" s="1161" customFormat="1" ht="15" x14ac:dyDescent="0.2">
      <c r="A1493" s="342" t="s">
        <v>2980</v>
      </c>
      <c r="B1493" s="324" t="str">
        <f t="shared" si="93"/>
        <v>1000</v>
      </c>
      <c r="C1493" s="342" t="str">
        <f t="shared" si="94"/>
        <v>52640</v>
      </c>
      <c r="D1493" s="342">
        <f>1309</f>
        <v>1309</v>
      </c>
      <c r="E1493" s="342">
        <v>1</v>
      </c>
      <c r="F1493" s="1159">
        <f>IF(COUNTIFS(Addenda!A:A,"*MADRID*",Addenda!A:A,"&lt;&gt;*TRILEVER*",Addenda!A:A,"*BR*")&gt;0,COUNTIF(Name,"Passage")+COUNTIF('CSV FF'!A:A,"Passage"),0)</f>
        <v>0</v>
      </c>
      <c r="G1493" s="1160"/>
      <c r="H1493" s="503" t="s">
        <v>2202</v>
      </c>
      <c r="I1493" s="1205"/>
      <c r="J1493" s="2" t="str">
        <f>IF(Table5[[#This Row],[Entered]]&lt;&gt;Table5[[#This Row],[Quantity]],"Check","")</f>
        <v/>
      </c>
    </row>
    <row r="1494" spans="1:10" s="1161" customFormat="1" ht="15" x14ac:dyDescent="0.2">
      <c r="A1494" s="342" t="s">
        <v>2980</v>
      </c>
      <c r="B1494" s="324" t="str">
        <f t="shared" si="93"/>
        <v>1000</v>
      </c>
      <c r="C1494" s="342" t="str">
        <f t="shared" si="94"/>
        <v>52640</v>
      </c>
      <c r="D1494" s="342">
        <f>1310</f>
        <v>1310</v>
      </c>
      <c r="E1494" s="342">
        <v>1</v>
      </c>
      <c r="F1494" s="1159">
        <f>IF(COUNTIFS(Addenda!A:A,"*MADRID*",Addenda!A:A,"&lt;&gt;*TRILEVER*",Addenda!A:A,"*BR*")&gt;0,COUNTIF(Name,"Privacy")+COUNTIF('CSV FF'!A:A,"Privacy"),0)</f>
        <v>0</v>
      </c>
      <c r="G1494" s="1160"/>
      <c r="H1494" s="503" t="s">
        <v>2203</v>
      </c>
      <c r="I1494" s="1205"/>
      <c r="J1494" s="2" t="str">
        <f>IF(Table5[[#This Row],[Entered]]&lt;&gt;Table5[[#This Row],[Quantity]],"Check","")</f>
        <v/>
      </c>
    </row>
    <row r="1495" spans="1:10" s="1161" customFormat="1" ht="15" x14ac:dyDescent="0.2">
      <c r="A1495" s="342" t="s">
        <v>2980</v>
      </c>
      <c r="B1495" s="324" t="str">
        <f t="shared" si="93"/>
        <v>1000</v>
      </c>
      <c r="C1495" s="342" t="str">
        <f t="shared" si="94"/>
        <v>52640</v>
      </c>
      <c r="D1495" s="342">
        <f>1311</f>
        <v>1311</v>
      </c>
      <c r="E1495" s="342">
        <v>1</v>
      </c>
      <c r="F1495" s="1159">
        <f>IF(COUNTIFS(Addenda!A:A,"*MADRID*",Addenda!A:A,"&lt;&gt;*TRILEVER*",Addenda!A:A,"*BR*")&gt;0,Dummy_Handle_Count,0)</f>
        <v>0</v>
      </c>
      <c r="G1495" s="1160"/>
      <c r="H1495" s="503" t="s">
        <v>2204</v>
      </c>
      <c r="I1495" s="1205"/>
      <c r="J1495" s="2" t="str">
        <f>IF(Table5[[#This Row],[Entered]]&lt;&gt;Table5[[#This Row],[Quantity]],"Check","")</f>
        <v/>
      </c>
    </row>
    <row r="1496" spans="1:10" s="1161" customFormat="1" ht="15" x14ac:dyDescent="0.2">
      <c r="A1496" s="342" t="s">
        <v>2980</v>
      </c>
      <c r="B1496" s="324" t="str">
        <f t="shared" si="93"/>
        <v>1000</v>
      </c>
      <c r="C1496" s="342" t="str">
        <f t="shared" si="94"/>
        <v>52640</v>
      </c>
      <c r="D1496" s="342">
        <f>1312</f>
        <v>1312</v>
      </c>
      <c r="E1496" s="342">
        <v>1</v>
      </c>
      <c r="F1496" s="1159">
        <f>IF(COUNTIFS(Addenda!A:A,"*MADRID*",Addenda!A:A,"&lt;&gt;*TRILEVER*",Addenda!A:A,"*MAT*")&gt;0,COUNTIF(Name,"Passage")+COUNTIF('CSV FF'!A:A,"Passage"),0)</f>
        <v>0</v>
      </c>
      <c r="G1496" s="1160"/>
      <c r="H1496" s="503" t="s">
        <v>2205</v>
      </c>
      <c r="I1496" s="1205"/>
      <c r="J1496" s="2" t="str">
        <f>IF(Table5[[#This Row],[Entered]]&lt;&gt;Table5[[#This Row],[Quantity]],"Check","")</f>
        <v/>
      </c>
    </row>
    <row r="1497" spans="1:10" s="1161" customFormat="1" ht="15" x14ac:dyDescent="0.2">
      <c r="A1497" s="342" t="s">
        <v>2980</v>
      </c>
      <c r="B1497" s="324" t="str">
        <f t="shared" si="93"/>
        <v>1000</v>
      </c>
      <c r="C1497" s="342" t="str">
        <f t="shared" ref="C1497:C1528" si="95">"52640"</f>
        <v>52640</v>
      </c>
      <c r="D1497" s="342">
        <f>1313</f>
        <v>1313</v>
      </c>
      <c r="E1497" s="342">
        <v>1</v>
      </c>
      <c r="F1497" s="1159">
        <f>IF(COUNTIFS(Addenda!A:A,"*MADRID*",Addenda!A:A,"&lt;&gt;*TRILEVER*",Addenda!A:A,"*MAT*")&gt;0,COUNTIF(Name,"Privacy")+COUNTIF('CSV FF'!A:A,"Privacy"),0)</f>
        <v>0</v>
      </c>
      <c r="G1497" s="1160"/>
      <c r="H1497" s="503" t="s">
        <v>2206</v>
      </c>
      <c r="I1497" s="1205"/>
      <c r="J1497" s="2" t="str">
        <f>IF(Table5[[#This Row],[Entered]]&lt;&gt;Table5[[#This Row],[Quantity]],"Check","")</f>
        <v/>
      </c>
    </row>
    <row r="1498" spans="1:10" s="1161" customFormat="1" ht="15" x14ac:dyDescent="0.2">
      <c r="A1498" s="342" t="s">
        <v>2980</v>
      </c>
      <c r="B1498" s="324" t="str">
        <f t="shared" si="93"/>
        <v>1000</v>
      </c>
      <c r="C1498" s="342" t="str">
        <f t="shared" si="95"/>
        <v>52640</v>
      </c>
      <c r="D1498" s="342">
        <f>1314</f>
        <v>1314</v>
      </c>
      <c r="E1498" s="342">
        <v>1</v>
      </c>
      <c r="F1498" s="1159">
        <f>IF(COUNTIFS(Addenda!A:A,"*MADRID*",Addenda!A:A,"&lt;&gt;*TRILEVER*",Addenda!A:A,"*MAT*")&gt;0,Dummy_Handle_Count,0)</f>
        <v>0</v>
      </c>
      <c r="G1498" s="1160"/>
      <c r="H1498" s="503" t="s">
        <v>2207</v>
      </c>
      <c r="I1498" s="1205"/>
      <c r="J1498" s="2" t="str">
        <f>IF(Table5[[#This Row],[Entered]]&lt;&gt;Table5[[#This Row],[Quantity]],"Check","")</f>
        <v/>
      </c>
    </row>
    <row r="1499" spans="1:10" s="1161" customFormat="1" ht="15" x14ac:dyDescent="0.2">
      <c r="A1499" s="342" t="s">
        <v>2980</v>
      </c>
      <c r="B1499" s="324" t="str">
        <f t="shared" si="93"/>
        <v>1000</v>
      </c>
      <c r="C1499" s="342" t="str">
        <f t="shared" si="95"/>
        <v>52640</v>
      </c>
      <c r="D1499" s="342">
        <f>1315</f>
        <v>1315</v>
      </c>
      <c r="E1499" s="342">
        <v>1</v>
      </c>
      <c r="F1499" s="1159">
        <f>IF(COUNTIFS(Addenda!A:A,"*PRATO*",Addenda!A:A,"&lt;&gt;*TRILEVER*",Addenda!A:A,"*SATIN*")&gt;0,COUNTIF(Name,"Passage")+COUNTIF('CSV FF'!A:A,"Passage"),0)</f>
        <v>0</v>
      </c>
      <c r="G1499" s="1160"/>
      <c r="H1499" s="503" t="s">
        <v>2208</v>
      </c>
      <c r="I1499" s="1205"/>
      <c r="J1499" s="2" t="str">
        <f>IF(Table5[[#This Row],[Entered]]&lt;&gt;Table5[[#This Row],[Quantity]],"Check","")</f>
        <v/>
      </c>
    </row>
    <row r="1500" spans="1:10" s="1161" customFormat="1" ht="15" x14ac:dyDescent="0.2">
      <c r="A1500" s="342" t="s">
        <v>2980</v>
      </c>
      <c r="B1500" s="324" t="str">
        <f t="shared" si="93"/>
        <v>1000</v>
      </c>
      <c r="C1500" s="342" t="str">
        <f t="shared" si="95"/>
        <v>52640</v>
      </c>
      <c r="D1500" s="342">
        <f>1316</f>
        <v>1316</v>
      </c>
      <c r="E1500" s="342">
        <v>1</v>
      </c>
      <c r="F1500" s="1159">
        <f>IF(COUNTIFS(Addenda!A:A,"*PRATO*",Addenda!A:A,"&lt;&gt;*TRILEVER*",Addenda!A:A,"*SATIN*")&gt;0,COUNTIF(Name,"Privacy")+COUNTIF('CSV FF'!A:A,"Privacy"),0)</f>
        <v>0</v>
      </c>
      <c r="G1500" s="1160"/>
      <c r="H1500" s="503" t="s">
        <v>2209</v>
      </c>
      <c r="I1500" s="1205"/>
      <c r="J1500" s="2" t="str">
        <f>IF(Table5[[#This Row],[Entered]]&lt;&gt;Table5[[#This Row],[Quantity]],"Check","")</f>
        <v/>
      </c>
    </row>
    <row r="1501" spans="1:10" s="1161" customFormat="1" ht="15" x14ac:dyDescent="0.2">
      <c r="A1501" s="342" t="s">
        <v>2980</v>
      </c>
      <c r="B1501" s="324" t="str">
        <f t="shared" si="93"/>
        <v>1000</v>
      </c>
      <c r="C1501" s="342" t="str">
        <f t="shared" si="95"/>
        <v>52640</v>
      </c>
      <c r="D1501" s="342">
        <f>1317</f>
        <v>1317</v>
      </c>
      <c r="E1501" s="342">
        <v>1</v>
      </c>
      <c r="F1501" s="1159">
        <f>IF(COUNTIFS(Addenda!A:A,"*PRATO*",Addenda!A:A,"&lt;&gt;*TRILEVER*",Addenda!A:A,"*SATIN*")&gt;0,Dummy_Handle_Count,0)</f>
        <v>0</v>
      </c>
      <c r="G1501" s="1160"/>
      <c r="H1501" s="503" t="s">
        <v>2210</v>
      </c>
      <c r="I1501" s="1205"/>
      <c r="J1501" s="2" t="str">
        <f>IF(Table5[[#This Row],[Entered]]&lt;&gt;Table5[[#This Row],[Quantity]],"Check","")</f>
        <v/>
      </c>
    </row>
    <row r="1502" spans="1:10" s="1161" customFormat="1" ht="15" x14ac:dyDescent="0.2">
      <c r="A1502" s="342" t="s">
        <v>2980</v>
      </c>
      <c r="B1502" s="324" t="str">
        <f t="shared" si="93"/>
        <v>1000</v>
      </c>
      <c r="C1502" s="342" t="str">
        <f t="shared" si="95"/>
        <v>52640</v>
      </c>
      <c r="D1502" s="342">
        <f>1318</f>
        <v>1318</v>
      </c>
      <c r="E1502" s="342">
        <v>1</v>
      </c>
      <c r="F1502" s="1159">
        <f>IF(COUNTIFS(Addenda!A:A,"*PRATO*",Addenda!A:A,"&lt;&gt;*TRILEVER*",Addenda!A:A,"*BR*")&gt;0,COUNTIF(Name,"Passage")+COUNTIF('CSV FF'!A:A,"Passage"),0)</f>
        <v>0</v>
      </c>
      <c r="G1502" s="1160"/>
      <c r="H1502" s="503" t="s">
        <v>2211</v>
      </c>
      <c r="I1502" s="1205"/>
      <c r="J1502" s="2" t="str">
        <f>IF(Table5[[#This Row],[Entered]]&lt;&gt;Table5[[#This Row],[Quantity]],"Check","")</f>
        <v/>
      </c>
    </row>
    <row r="1503" spans="1:10" s="1161" customFormat="1" ht="15" x14ac:dyDescent="0.2">
      <c r="A1503" s="342" t="s">
        <v>2980</v>
      </c>
      <c r="B1503" s="324" t="str">
        <f t="shared" si="93"/>
        <v>1000</v>
      </c>
      <c r="C1503" s="342" t="str">
        <f t="shared" si="95"/>
        <v>52640</v>
      </c>
      <c r="D1503" s="342">
        <f>1319</f>
        <v>1319</v>
      </c>
      <c r="E1503" s="342">
        <v>1</v>
      </c>
      <c r="F1503" s="1159">
        <f>IF(COUNTIFS(Addenda!A:A,"*PRATO*",Addenda!A:A,"&lt;&gt;*TRILEVER*",Addenda!A:A,"*BR*")&gt;0,COUNTIF(Name,"Privacy")+COUNTIF('CSV FF'!A:A,"Privacy"),0)</f>
        <v>0</v>
      </c>
      <c r="G1503" s="1160"/>
      <c r="H1503" s="503" t="s">
        <v>2212</v>
      </c>
      <c r="I1503" s="1205"/>
      <c r="J1503" s="2" t="str">
        <f>IF(Table5[[#This Row],[Entered]]&lt;&gt;Table5[[#This Row],[Quantity]],"Check","")</f>
        <v/>
      </c>
    </row>
    <row r="1504" spans="1:10" s="1161" customFormat="1" ht="15" x14ac:dyDescent="0.2">
      <c r="A1504" s="342" t="s">
        <v>2980</v>
      </c>
      <c r="B1504" s="324" t="str">
        <f t="shared" si="93"/>
        <v>1000</v>
      </c>
      <c r="C1504" s="342" t="str">
        <f t="shared" si="95"/>
        <v>52640</v>
      </c>
      <c r="D1504" s="342">
        <f>1320</f>
        <v>1320</v>
      </c>
      <c r="E1504" s="342">
        <v>1</v>
      </c>
      <c r="F1504" s="1159">
        <f>IF(COUNTIFS(Addenda!A:A,"*PRATO*",Addenda!A:A,"&lt;&gt;*TRILEVER*",Addenda!A:A,"*BR*")&gt;0,Dummy_Handle_Count,0)</f>
        <v>0</v>
      </c>
      <c r="G1504" s="1160"/>
      <c r="H1504" s="503" t="s">
        <v>2213</v>
      </c>
      <c r="I1504" s="1205"/>
      <c r="J1504" s="2" t="str">
        <f>IF(Table5[[#This Row],[Entered]]&lt;&gt;Table5[[#This Row],[Quantity]],"Check","")</f>
        <v/>
      </c>
    </row>
    <row r="1505" spans="1:10" s="1161" customFormat="1" ht="15" x14ac:dyDescent="0.2">
      <c r="A1505" s="342" t="s">
        <v>2980</v>
      </c>
      <c r="B1505" s="324" t="str">
        <f t="shared" si="93"/>
        <v>1000</v>
      </c>
      <c r="C1505" s="342" t="str">
        <f t="shared" si="95"/>
        <v>52640</v>
      </c>
      <c r="D1505" s="342">
        <f>1321</f>
        <v>1321</v>
      </c>
      <c r="E1505" s="342">
        <v>1</v>
      </c>
      <c r="F1505" s="1159">
        <f>IF(COUNTIFS(Addenda!A:A,"*TERNI*",Addenda!A:A,"&lt;&gt;*TRILEVER*",Addenda!A:A,"*SATIN*")&gt;0,COUNTIF(Name,"Passage")+COUNTIF('CSV FF'!A:A,"Passage"),0)</f>
        <v>0</v>
      </c>
      <c r="G1505" s="1160"/>
      <c r="H1505" s="503" t="s">
        <v>2214</v>
      </c>
      <c r="I1505" s="1205"/>
      <c r="J1505" s="2" t="str">
        <f>IF(Table5[[#This Row],[Entered]]&lt;&gt;Table5[[#This Row],[Quantity]],"Check","")</f>
        <v/>
      </c>
    </row>
    <row r="1506" spans="1:10" s="1161" customFormat="1" ht="15" x14ac:dyDescent="0.2">
      <c r="A1506" s="342" t="s">
        <v>2980</v>
      </c>
      <c r="B1506" s="324" t="str">
        <f t="shared" si="93"/>
        <v>1000</v>
      </c>
      <c r="C1506" s="342" t="str">
        <f t="shared" si="95"/>
        <v>52640</v>
      </c>
      <c r="D1506" s="342">
        <f>1322</f>
        <v>1322</v>
      </c>
      <c r="E1506" s="342">
        <v>1</v>
      </c>
      <c r="F1506" s="1159">
        <f>IF(COUNTIFS(Addenda!A:A,"*TERNI*",Addenda!A:A,"&lt;&gt;*TRILEVER*",Addenda!A:A,"*SATIN*")&gt;0,COUNTIF(Name,"Privacy")+COUNTIF('CSV FF'!A:A,"Privacy"),0)</f>
        <v>0</v>
      </c>
      <c r="G1506" s="1160"/>
      <c r="H1506" s="503" t="s">
        <v>2215</v>
      </c>
      <c r="I1506" s="1205"/>
      <c r="J1506" s="2" t="str">
        <f>IF(Table5[[#This Row],[Entered]]&lt;&gt;Table5[[#This Row],[Quantity]],"Check","")</f>
        <v/>
      </c>
    </row>
    <row r="1507" spans="1:10" s="1161" customFormat="1" ht="15" x14ac:dyDescent="0.2">
      <c r="A1507" s="342" t="s">
        <v>2980</v>
      </c>
      <c r="B1507" s="324" t="str">
        <f t="shared" si="93"/>
        <v>1000</v>
      </c>
      <c r="C1507" s="342" t="str">
        <f t="shared" si="95"/>
        <v>52640</v>
      </c>
      <c r="D1507" s="342">
        <f>1323</f>
        <v>1323</v>
      </c>
      <c r="E1507" s="342">
        <v>1</v>
      </c>
      <c r="F1507" s="1159">
        <f>IF(COUNTIFS(Addenda!A:A,"*TERNI*",Addenda!A:A,"&lt;&gt;*TRILEVER*",Addenda!A:A,"*SATIN*")&gt;0,Dummy_Handle_Count,0)</f>
        <v>0</v>
      </c>
      <c r="G1507" s="1160"/>
      <c r="H1507" s="503" t="s">
        <v>2216</v>
      </c>
      <c r="I1507" s="1205"/>
      <c r="J1507" s="2" t="str">
        <f>IF(Table5[[#This Row],[Entered]]&lt;&gt;Table5[[#This Row],[Quantity]],"Check","")</f>
        <v/>
      </c>
    </row>
    <row r="1508" spans="1:10" s="1161" customFormat="1" ht="15" x14ac:dyDescent="0.2">
      <c r="A1508" s="342" t="s">
        <v>2980</v>
      </c>
      <c r="B1508" s="324" t="str">
        <f t="shared" si="93"/>
        <v>1000</v>
      </c>
      <c r="C1508" s="342" t="str">
        <f t="shared" si="95"/>
        <v>52640</v>
      </c>
      <c r="D1508" s="342">
        <f>1324</f>
        <v>1324</v>
      </c>
      <c r="E1508" s="342">
        <v>1</v>
      </c>
      <c r="F1508" s="1159">
        <f>IF(COUNTIFS(Addenda!A:A,"*TERNI*",Addenda!A:A,"&lt;&gt;*TRILEVER*",Addenda!A:A,"*BR*")&gt;0,COUNTIF(Name,"Passage")+COUNTIF('CSV FF'!A:A,"Passage"),0)</f>
        <v>0</v>
      </c>
      <c r="G1508" s="1160"/>
      <c r="H1508" s="503" t="s">
        <v>2217</v>
      </c>
      <c r="I1508" s="1205"/>
      <c r="J1508" s="2" t="str">
        <f>IF(Table5[[#This Row],[Entered]]&lt;&gt;Table5[[#This Row],[Quantity]],"Check","")</f>
        <v/>
      </c>
    </row>
    <row r="1509" spans="1:10" s="1161" customFormat="1" ht="15" x14ac:dyDescent="0.2">
      <c r="A1509" s="342" t="s">
        <v>2980</v>
      </c>
      <c r="B1509" s="324" t="str">
        <f t="shared" si="93"/>
        <v>1000</v>
      </c>
      <c r="C1509" s="342" t="str">
        <f t="shared" si="95"/>
        <v>52640</v>
      </c>
      <c r="D1509" s="342">
        <f>1325</f>
        <v>1325</v>
      </c>
      <c r="E1509" s="342">
        <v>1</v>
      </c>
      <c r="F1509" s="1159">
        <f>IF(COUNTIFS(Addenda!A:A,"*TERNI*",Addenda!A:A,"&lt;&gt;*TRILEVER*",Addenda!A:A,"*BR*")&gt;0,COUNTIF(Name,"Privacy")+COUNTIF('CSV FF'!A:A,"Privacy"),0)</f>
        <v>0</v>
      </c>
      <c r="G1509" s="1160"/>
      <c r="H1509" s="503" t="s">
        <v>2218</v>
      </c>
      <c r="I1509" s="1205"/>
      <c r="J1509" s="2" t="str">
        <f>IF(Table5[[#This Row],[Entered]]&lt;&gt;Table5[[#This Row],[Quantity]],"Check","")</f>
        <v/>
      </c>
    </row>
    <row r="1510" spans="1:10" s="1161" customFormat="1" ht="15" x14ac:dyDescent="0.2">
      <c r="A1510" s="342" t="s">
        <v>2980</v>
      </c>
      <c r="B1510" s="324" t="str">
        <f t="shared" si="93"/>
        <v>1000</v>
      </c>
      <c r="C1510" s="342" t="str">
        <f t="shared" si="95"/>
        <v>52640</v>
      </c>
      <c r="D1510" s="342">
        <f>1326</f>
        <v>1326</v>
      </c>
      <c r="E1510" s="342">
        <v>1</v>
      </c>
      <c r="F1510" s="1159">
        <f>IF(COUNTIFS(Addenda!A:A,"*TERNI*",Addenda!A:A,"&lt;&gt;*TRILEVER*",Addenda!A:A,"*BR*")&gt;0,Dummy_Handle_Count,0)</f>
        <v>0</v>
      </c>
      <c r="G1510" s="1160"/>
      <c r="H1510" s="503" t="s">
        <v>2219</v>
      </c>
      <c r="I1510" s="1205"/>
      <c r="J1510" s="2" t="str">
        <f>IF(Table5[[#This Row],[Entered]]&lt;&gt;Table5[[#This Row],[Quantity]],"Check","")</f>
        <v/>
      </c>
    </row>
    <row r="1511" spans="1:10" s="1161" customFormat="1" ht="15" x14ac:dyDescent="0.2">
      <c r="A1511" s="342" t="s">
        <v>2980</v>
      </c>
      <c r="B1511" s="324" t="str">
        <f t="shared" si="93"/>
        <v>1000</v>
      </c>
      <c r="C1511" s="342" t="str">
        <f t="shared" si="95"/>
        <v>52640</v>
      </c>
      <c r="D1511" s="342">
        <f>1327</f>
        <v>1327</v>
      </c>
      <c r="E1511" s="342">
        <v>1</v>
      </c>
      <c r="F1511" s="1159">
        <f>IF(COUNTIFS(Addenda!A:A,"*LIERA*",Addenda!A:A,"&lt;&gt;*TRILEVER*",Addenda!A:A,"*SATIN*")&gt;0,COUNTIF(Name,"Passage")+COUNTIF('CSV FF'!A:A,"Passage"),0)</f>
        <v>0</v>
      </c>
      <c r="G1511" s="1160"/>
      <c r="H1511" s="503" t="s">
        <v>2220</v>
      </c>
      <c r="I1511" s="1205"/>
      <c r="J1511" s="2" t="str">
        <f>IF(Table5[[#This Row],[Entered]]&lt;&gt;Table5[[#This Row],[Quantity]],"Check","")</f>
        <v/>
      </c>
    </row>
    <row r="1512" spans="1:10" s="1161" customFormat="1" ht="15" x14ac:dyDescent="0.2">
      <c r="A1512" s="342" t="s">
        <v>2980</v>
      </c>
      <c r="B1512" s="324" t="str">
        <f t="shared" si="93"/>
        <v>1000</v>
      </c>
      <c r="C1512" s="342" t="str">
        <f t="shared" si="95"/>
        <v>52640</v>
      </c>
      <c r="D1512" s="342">
        <f>1328</f>
        <v>1328</v>
      </c>
      <c r="E1512" s="342">
        <v>1</v>
      </c>
      <c r="F1512" s="1159">
        <f>IF(COUNTIFS(Addenda!A:A,"*LIERA*",Addenda!A:A,"&lt;&gt;*TRILEVER*",Addenda!A:A,"*SATIN*")&gt;0,COUNTIF(Name,"Privacy")+COUNTIF('CSV FF'!A:A,"Privacy"),0)</f>
        <v>0</v>
      </c>
      <c r="G1512" s="1160"/>
      <c r="H1512" s="503" t="s">
        <v>2221</v>
      </c>
      <c r="I1512" s="1205"/>
      <c r="J1512" s="2" t="str">
        <f>IF(Table5[[#This Row],[Entered]]&lt;&gt;Table5[[#This Row],[Quantity]],"Check","")</f>
        <v/>
      </c>
    </row>
    <row r="1513" spans="1:10" s="1161" customFormat="1" ht="15" x14ac:dyDescent="0.2">
      <c r="A1513" s="342" t="s">
        <v>2980</v>
      </c>
      <c r="B1513" s="324" t="str">
        <f t="shared" si="93"/>
        <v>1000</v>
      </c>
      <c r="C1513" s="342" t="str">
        <f t="shared" si="95"/>
        <v>52640</v>
      </c>
      <c r="D1513" s="342">
        <f>1329</f>
        <v>1329</v>
      </c>
      <c r="E1513" s="342">
        <v>1</v>
      </c>
      <c r="F1513" s="1159">
        <f>IF(COUNTIFS(Addenda!A:A,"*LIERA*",Addenda!A:A,"&lt;&gt;*TRILEVER*",Addenda!A:A,"*SATIN*")&gt;0,Dummy_Handle_Count,0)</f>
        <v>0</v>
      </c>
      <c r="G1513" s="1160"/>
      <c r="H1513" s="503" t="s">
        <v>2222</v>
      </c>
      <c r="I1513" s="1205"/>
      <c r="J1513" s="2" t="str">
        <f>IF(Table5[[#This Row],[Entered]]&lt;&gt;Table5[[#This Row],[Quantity]],"Check","")</f>
        <v/>
      </c>
    </row>
    <row r="1514" spans="1:10" s="1161" customFormat="1" ht="15" x14ac:dyDescent="0.2">
      <c r="A1514" s="342" t="s">
        <v>2980</v>
      </c>
      <c r="B1514" s="324" t="str">
        <f t="shared" si="93"/>
        <v>1000</v>
      </c>
      <c r="C1514" s="342" t="str">
        <f t="shared" si="95"/>
        <v>52640</v>
      </c>
      <c r="D1514" s="342">
        <f>1330</f>
        <v>1330</v>
      </c>
      <c r="E1514" s="342">
        <v>1</v>
      </c>
      <c r="F1514" s="1159">
        <f>IF(COUNTIFS(Addenda!A:A,"*LIERA*",Addenda!A:A,"&lt;&gt;*TRILEVER*",Addenda!A:A,"*BR*")&gt;0,COUNTIF(Name,"Passage")+COUNTIF('CSV FF'!A:A,"Passage"),0)</f>
        <v>0</v>
      </c>
      <c r="G1514" s="1160"/>
      <c r="H1514" s="503" t="s">
        <v>2223</v>
      </c>
      <c r="I1514" s="1205"/>
      <c r="J1514" s="2" t="str">
        <f>IF(Table5[[#This Row],[Entered]]&lt;&gt;Table5[[#This Row],[Quantity]],"Check","")</f>
        <v/>
      </c>
    </row>
    <row r="1515" spans="1:10" s="1161" customFormat="1" ht="15" x14ac:dyDescent="0.2">
      <c r="A1515" s="342" t="s">
        <v>2980</v>
      </c>
      <c r="B1515" s="324" t="str">
        <f t="shared" si="93"/>
        <v>1000</v>
      </c>
      <c r="C1515" s="342" t="str">
        <f t="shared" si="95"/>
        <v>52640</v>
      </c>
      <c r="D1515" s="342">
        <f>1331</f>
        <v>1331</v>
      </c>
      <c r="E1515" s="342">
        <v>1</v>
      </c>
      <c r="F1515" s="1159">
        <f>IF(COUNTIFS(Addenda!A:A,"*LIERA*",Addenda!A:A,"&lt;&gt;*TRILEVER*",Addenda!A:A,"*BR*")&gt;0,COUNTIF(Name,"Privacy")+COUNTIF('CSV FF'!A:A,"Privacy"),0)</f>
        <v>0</v>
      </c>
      <c r="G1515" s="1160"/>
      <c r="H1515" s="503" t="s">
        <v>2224</v>
      </c>
      <c r="I1515" s="1205"/>
      <c r="J1515" s="2" t="str">
        <f>IF(Table5[[#This Row],[Entered]]&lt;&gt;Table5[[#This Row],[Quantity]],"Check","")</f>
        <v/>
      </c>
    </row>
    <row r="1516" spans="1:10" s="1161" customFormat="1" ht="15" x14ac:dyDescent="0.2">
      <c r="A1516" s="342" t="s">
        <v>2980</v>
      </c>
      <c r="B1516" s="324" t="str">
        <f t="shared" si="93"/>
        <v>1000</v>
      </c>
      <c r="C1516" s="342" t="str">
        <f t="shared" si="95"/>
        <v>52640</v>
      </c>
      <c r="D1516" s="342">
        <f>1332</f>
        <v>1332</v>
      </c>
      <c r="E1516" s="342">
        <v>1</v>
      </c>
      <c r="F1516" s="1159">
        <f>IF(COUNTIFS(Addenda!A:A,"*LIERA*",Addenda!A:A,"&lt;&gt;*TRILEVER*",Addenda!A:A,"*BR*")&gt;0,Dummy_Handle_Count,0)</f>
        <v>0</v>
      </c>
      <c r="G1516" s="1160"/>
      <c r="H1516" s="503" t="s">
        <v>2225</v>
      </c>
      <c r="I1516" s="1205"/>
      <c r="J1516" s="2" t="str">
        <f>IF(Table5[[#This Row],[Entered]]&lt;&gt;Table5[[#This Row],[Quantity]],"Check","")</f>
        <v/>
      </c>
    </row>
    <row r="1517" spans="1:10" s="1161" customFormat="1" ht="15" x14ac:dyDescent="0.2">
      <c r="A1517" s="342" t="s">
        <v>2980</v>
      </c>
      <c r="B1517" s="324" t="str">
        <f t="shared" si="93"/>
        <v>1000</v>
      </c>
      <c r="C1517" s="342" t="str">
        <f t="shared" si="95"/>
        <v>52640</v>
      </c>
      <c r="D1517" s="342">
        <f>1333</f>
        <v>1333</v>
      </c>
      <c r="E1517" s="342">
        <v>1</v>
      </c>
      <c r="F1517" s="1159">
        <f>IF(COUNTIFS(Addenda!A:A,"*TERIFA*",Addenda!A:A,"&lt;&gt;*TRILEVER*",Addenda!A:A,"*SATIN*")&gt;0,COUNTIF(Name,"Passage")+COUNTIF('CSV FF'!A:A,"Passage"),0)</f>
        <v>0</v>
      </c>
      <c r="G1517" s="1160"/>
      <c r="H1517" s="503" t="s">
        <v>2226</v>
      </c>
      <c r="I1517" s="1205"/>
      <c r="J1517" s="2" t="str">
        <f>IF(Table5[[#This Row],[Entered]]&lt;&gt;Table5[[#This Row],[Quantity]],"Check","")</f>
        <v/>
      </c>
    </row>
    <row r="1518" spans="1:10" s="1161" customFormat="1" ht="15" x14ac:dyDescent="0.2">
      <c r="A1518" s="342" t="s">
        <v>2980</v>
      </c>
      <c r="B1518" s="324" t="str">
        <f t="shared" si="93"/>
        <v>1000</v>
      </c>
      <c r="C1518" s="342" t="str">
        <f t="shared" si="95"/>
        <v>52640</v>
      </c>
      <c r="D1518" s="342">
        <f>1334</f>
        <v>1334</v>
      </c>
      <c r="E1518" s="342">
        <v>1</v>
      </c>
      <c r="F1518" s="1159">
        <f>IF(COUNTIFS(Addenda!A:A,"*TERIFA*",Addenda!A:A,"&lt;&gt;*TRILEVER*",Addenda!A:A,"*SATIN*")&gt;0,COUNTIF(Name,"Privacy")+COUNTIF('CSV FF'!A:A,"Privacy"),0)</f>
        <v>0</v>
      </c>
      <c r="G1518" s="1160"/>
      <c r="H1518" s="503" t="s">
        <v>2227</v>
      </c>
      <c r="I1518" s="1205"/>
      <c r="J1518" s="2" t="str">
        <f>IF(Table5[[#This Row],[Entered]]&lt;&gt;Table5[[#This Row],[Quantity]],"Check","")</f>
        <v/>
      </c>
    </row>
    <row r="1519" spans="1:10" s="1161" customFormat="1" ht="15" x14ac:dyDescent="0.2">
      <c r="A1519" s="342" t="s">
        <v>2980</v>
      </c>
      <c r="B1519" s="324" t="str">
        <f t="shared" si="93"/>
        <v>1000</v>
      </c>
      <c r="C1519" s="342" t="str">
        <f t="shared" si="95"/>
        <v>52640</v>
      </c>
      <c r="D1519" s="342">
        <f>1335</f>
        <v>1335</v>
      </c>
      <c r="E1519" s="342">
        <v>1</v>
      </c>
      <c r="F1519" s="1159">
        <f>IF(COUNTIFS(Addenda!A:A,"*TERIFA*",Addenda!A:A,"&lt;&gt;*TRILEVER*",Addenda!A:A,"*SATIN*")&gt;0,Dummy_Handle_Count,0)</f>
        <v>0</v>
      </c>
      <c r="G1519" s="1160"/>
      <c r="H1519" s="503" t="s">
        <v>2228</v>
      </c>
      <c r="I1519" s="1205"/>
      <c r="J1519" s="2" t="str">
        <f>IF(Table5[[#This Row],[Entered]]&lt;&gt;Table5[[#This Row],[Quantity]],"Check","")</f>
        <v/>
      </c>
    </row>
    <row r="1520" spans="1:10" s="1161" customFormat="1" ht="15" x14ac:dyDescent="0.2">
      <c r="A1520" s="342" t="s">
        <v>2980</v>
      </c>
      <c r="B1520" s="324" t="str">
        <f t="shared" si="93"/>
        <v>1000</v>
      </c>
      <c r="C1520" s="342" t="str">
        <f t="shared" si="95"/>
        <v>52640</v>
      </c>
      <c r="D1520" s="342">
        <f>1336</f>
        <v>1336</v>
      </c>
      <c r="E1520" s="342">
        <v>1</v>
      </c>
      <c r="F1520" s="1159">
        <f>IF(COUNTIFS(Addenda!A:A,"*TERIFA*",Addenda!A:A,"&lt;&gt;*TRILEVER*",Addenda!A:A,"*BR*")&gt;0,COUNTIF(Name,"Passage")+COUNTIF('CSV FF'!A:A,"Passage"),0)</f>
        <v>0</v>
      </c>
      <c r="G1520" s="1160"/>
      <c r="H1520" s="503" t="s">
        <v>2229</v>
      </c>
      <c r="I1520" s="1205"/>
      <c r="J1520" s="2" t="str">
        <f>IF(Table5[[#This Row],[Entered]]&lt;&gt;Table5[[#This Row],[Quantity]],"Check","")</f>
        <v/>
      </c>
    </row>
    <row r="1521" spans="1:10" s="1161" customFormat="1" ht="15" x14ac:dyDescent="0.2">
      <c r="A1521" s="342" t="s">
        <v>2980</v>
      </c>
      <c r="B1521" s="324" t="str">
        <f t="shared" si="93"/>
        <v>1000</v>
      </c>
      <c r="C1521" s="342" t="str">
        <f t="shared" si="95"/>
        <v>52640</v>
      </c>
      <c r="D1521" s="342">
        <f>1337</f>
        <v>1337</v>
      </c>
      <c r="E1521" s="342">
        <v>1</v>
      </c>
      <c r="F1521" s="1159">
        <f>IF(COUNTIFS(Addenda!A:A,"*TERIFA*",Addenda!A:A,"&lt;&gt;*TRILEVER*",Addenda!A:A,"*BR*")&gt;0,COUNTIF(Name,"Privacy")+COUNTIF('CSV FF'!A:A,"Privacy"),0)</f>
        <v>0</v>
      </c>
      <c r="G1521" s="1160"/>
      <c r="H1521" s="503" t="s">
        <v>2230</v>
      </c>
      <c r="I1521" s="1205"/>
      <c r="J1521" s="2" t="str">
        <f>IF(Table5[[#This Row],[Entered]]&lt;&gt;Table5[[#This Row],[Quantity]],"Check","")</f>
        <v/>
      </c>
    </row>
    <row r="1522" spans="1:10" s="1161" customFormat="1" ht="15" x14ac:dyDescent="0.2">
      <c r="A1522" s="342" t="s">
        <v>2980</v>
      </c>
      <c r="B1522" s="324" t="str">
        <f t="shared" ref="B1522:B1562" si="96">"1000"</f>
        <v>1000</v>
      </c>
      <c r="C1522" s="342" t="str">
        <f t="shared" si="95"/>
        <v>52640</v>
      </c>
      <c r="D1522" s="342">
        <f>1338</f>
        <v>1338</v>
      </c>
      <c r="E1522" s="342">
        <v>1</v>
      </c>
      <c r="F1522" s="1159">
        <f>IF(COUNTIFS(Addenda!A:A,"*TERIFA*",Addenda!A:A,"&lt;&gt;*TRILEVER*",Addenda!A:A,"*BR*")&gt;0,Dummy_Handle_Count,0)</f>
        <v>0</v>
      </c>
      <c r="G1522" s="1160"/>
      <c r="H1522" s="503" t="s">
        <v>2231</v>
      </c>
      <c r="I1522" s="1205"/>
      <c r="J1522" s="2" t="str">
        <f>IF(Table5[[#This Row],[Entered]]&lt;&gt;Table5[[#This Row],[Quantity]],"Check","")</f>
        <v/>
      </c>
    </row>
    <row r="1523" spans="1:10" s="1161" customFormat="1" ht="15" x14ac:dyDescent="0.2">
      <c r="A1523" s="342" t="s">
        <v>2980</v>
      </c>
      <c r="B1523" s="324" t="str">
        <f t="shared" si="96"/>
        <v>1000</v>
      </c>
      <c r="C1523" s="342" t="str">
        <f t="shared" si="95"/>
        <v>52640</v>
      </c>
      <c r="D1523" s="342">
        <f>1490</f>
        <v>1490</v>
      </c>
      <c r="E1523" s="342">
        <v>1</v>
      </c>
      <c r="F1523" s="1159">
        <f>IF(COUNTIFS(Addenda!A:A,"*DELF*",Addenda!A:A,"*SATIN*",Addenda!A:A,"*FLUSH PULL*")&gt;0,COUNTIFS(Name,"DOOR SLD")*2+COUNTIFS(Name,"DOOR SLD DBL")*4+(COUNTIFS(Name,"DOOR CVTY")*2)+(COUNTIFS(Name,"DOOR CVTY DBL")*4),0)</f>
        <v>0</v>
      </c>
      <c r="G1523" s="1160"/>
      <c r="H1523" s="503" t="s">
        <v>1723</v>
      </c>
      <c r="I1523" s="1205"/>
      <c r="J1523" s="2" t="str">
        <f>IF(Table5[[#This Row],[Entered]]&lt;&gt;Table5[[#This Row],[Quantity]],"Check","")</f>
        <v/>
      </c>
    </row>
    <row r="1524" spans="1:10" s="1161" customFormat="1" ht="15" x14ac:dyDescent="0.2">
      <c r="A1524" s="342" t="s">
        <v>2980</v>
      </c>
      <c r="B1524" s="324" t="str">
        <f t="shared" si="96"/>
        <v>1000</v>
      </c>
      <c r="C1524" s="342" t="str">
        <f t="shared" si="95"/>
        <v>52640</v>
      </c>
      <c r="D1524" s="342">
        <f>1493</f>
        <v>1493</v>
      </c>
      <c r="E1524" s="342">
        <v>1</v>
      </c>
      <c r="F1524" s="1159">
        <f>IF(COUNTIFS(Addenda!A:A,"*DELF*",Addenda!A:A,"*STAINLESS*",Addenda!A:A,"*FLUSH PULL*")&gt;0,COUNTIFS(Name,"DOOR SLD")*2+COUNTIFS(Name,"DOOR SLD DBL")*4+(COUNTIFS(Name,"DOOR CVTY")*2)+(COUNTIFS(Name,"DOOR CVTY DBL")*4),0)</f>
        <v>0</v>
      </c>
      <c r="G1524" s="1160"/>
      <c r="H1524" s="503" t="s">
        <v>2232</v>
      </c>
      <c r="I1524" s="1205"/>
      <c r="J1524" s="2" t="str">
        <f>IF(Table5[[#This Row],[Entered]]&lt;&gt;Table5[[#This Row],[Quantity]],"Check","")</f>
        <v/>
      </c>
    </row>
    <row r="1525" spans="1:10" s="1161" customFormat="1" ht="15" x14ac:dyDescent="0.2">
      <c r="A1525" s="342" t="s">
        <v>2980</v>
      </c>
      <c r="B1525" s="324" t="str">
        <f t="shared" si="96"/>
        <v>1000</v>
      </c>
      <c r="C1525" s="342" t="str">
        <f t="shared" si="95"/>
        <v>52640</v>
      </c>
      <c r="D1525" s="342">
        <f>1494</f>
        <v>1494</v>
      </c>
      <c r="E1525" s="342">
        <v>1</v>
      </c>
      <c r="F1525" s="1159">
        <f>IF(COUNTIFS(Addenda!A:A,"*DELF*",Addenda!A:A,"*POLISH*",Addenda!A:A,"*FLUSH PULL*")&gt;0,COUNTIFS(Name,"DOOR SLD")*2+COUNTIFS(Name,"DOOR SLD DBL")*4+(COUNTIFS(Name,"DOOR CVTY")*2)+(COUNTIFS(Name,"DOOR CVTY DBL")*4),0)</f>
        <v>0</v>
      </c>
      <c r="G1525" s="1160"/>
      <c r="H1525" s="503" t="s">
        <v>2233</v>
      </c>
      <c r="I1525" s="1205"/>
      <c r="J1525" s="2" t="str">
        <f>IF(Table5[[#This Row],[Entered]]&lt;&gt;Table5[[#This Row],[Quantity]],"Check","")</f>
        <v/>
      </c>
    </row>
    <row r="1526" spans="1:10" s="1161" customFormat="1" ht="15" x14ac:dyDescent="0.2">
      <c r="A1526" s="342" t="s">
        <v>2980</v>
      </c>
      <c r="B1526" s="324" t="str">
        <f t="shared" si="96"/>
        <v>1000</v>
      </c>
      <c r="C1526" s="342" t="str">
        <f t="shared" si="95"/>
        <v>52640</v>
      </c>
      <c r="D1526" s="342">
        <f>1495</f>
        <v>1495</v>
      </c>
      <c r="E1526" s="342">
        <v>1</v>
      </c>
      <c r="F1526" s="1159">
        <f>IF(COUNTIFS(Addenda!A:A,"*DELF*",Addenda!A:A,"*BLACK*",Addenda!A:A,"*FLUSH PULL*")&gt;0,COUNTIFS(Name,"DOOR SLD")*2+COUNTIFS(Name,"DOOR SLD DBL")*4+(COUNTIFS(Name,"DOOR CVTY")*2)+(COUNTIFS(Name,"DOOR CVTY DBL")*4),0)</f>
        <v>0</v>
      </c>
      <c r="G1526" s="1160"/>
      <c r="H1526" s="503" t="s">
        <v>2234</v>
      </c>
      <c r="I1526" s="1205"/>
      <c r="J1526" s="2" t="str">
        <f>IF(Table5[[#This Row],[Entered]]&lt;&gt;Table5[[#This Row],[Quantity]],"Check","")</f>
        <v/>
      </c>
    </row>
    <row r="1527" spans="1:10" s="1161" customFormat="1" ht="15" x14ac:dyDescent="0.2">
      <c r="A1527" s="342" t="s">
        <v>2980</v>
      </c>
      <c r="B1527" s="324" t="str">
        <f t="shared" si="96"/>
        <v>1000</v>
      </c>
      <c r="C1527" s="342" t="str">
        <f t="shared" si="95"/>
        <v>52640</v>
      </c>
      <c r="D1527" s="342">
        <f>1500</f>
        <v>1500</v>
      </c>
      <c r="E1527" s="342">
        <v>1</v>
      </c>
      <c r="F1527" s="1159">
        <f>IF(AND(COUNTIFS(Name,"Door Entry Dbl*")&gt;0,COUNTIFS(Addenda!A:A,"*SATIN CHROME*",Addenda!A:A,"*DREB500*")),1,0)-$F$1327</f>
        <v>0</v>
      </c>
      <c r="G1527" s="1160"/>
      <c r="H1527" s="503" t="s">
        <v>2235</v>
      </c>
      <c r="I1527" s="1205"/>
      <c r="J1527" s="2" t="str">
        <f>IF(Table5[[#This Row],[Entered]]&lt;&gt;Table5[[#This Row],[Quantity]],"Check","")</f>
        <v/>
      </c>
    </row>
    <row r="1528" spans="1:10" s="1161" customFormat="1" ht="15" x14ac:dyDescent="0.2">
      <c r="A1528" s="342" t="s">
        <v>2980</v>
      </c>
      <c r="B1528" s="324" t="str">
        <f t="shared" si="96"/>
        <v>1000</v>
      </c>
      <c r="C1528" s="342" t="str">
        <f t="shared" si="95"/>
        <v>52640</v>
      </c>
      <c r="D1528" s="342">
        <f>1501</f>
        <v>1501</v>
      </c>
      <c r="E1528" s="342">
        <v>1</v>
      </c>
      <c r="F1528" s="1159">
        <f>IF(AND(COUNTIFS(Name,"Door Entry Dbl*")&gt;0,COUNTIFS(Addenda!A:A,"*BRIGHT CHROME*",Addenda!A:A,"*DREB500*")),1,0)-$F$1327</f>
        <v>0</v>
      </c>
      <c r="G1528" s="1160"/>
      <c r="H1528" s="503" t="s">
        <v>2236</v>
      </c>
      <c r="I1528" s="1205"/>
      <c r="J1528" s="2" t="str">
        <f>IF(Table5[[#This Row],[Entered]]&lt;&gt;Table5[[#This Row],[Quantity]],"Check","")</f>
        <v/>
      </c>
    </row>
    <row r="1529" spans="1:10" s="1161" customFormat="1" ht="15" x14ac:dyDescent="0.2">
      <c r="A1529" s="342" t="s">
        <v>2980</v>
      </c>
      <c r="B1529" s="324" t="str">
        <f t="shared" si="96"/>
        <v>1000</v>
      </c>
      <c r="C1529" s="342" t="str">
        <f t="shared" ref="C1529:C1562" si="97">"52640"</f>
        <v>52640</v>
      </c>
      <c r="D1529" s="342">
        <f>1510</f>
        <v>1510</v>
      </c>
      <c r="E1529" s="342">
        <v>1</v>
      </c>
      <c r="F1529" s="1159">
        <f>IF(AND(COUNTIFS(Name,"Door Entry Dbl*")&gt;0,COUNTIFS(Addenda!A:A,"*SATIN CHROME*",Addenda!A:A,"*DREB550*")),1,0)-$F$1327</f>
        <v>0</v>
      </c>
      <c r="G1529" s="1160"/>
      <c r="H1529" s="503" t="s">
        <v>2237</v>
      </c>
      <c r="I1529" s="1205"/>
      <c r="J1529" s="2" t="str">
        <f>IF(Table5[[#This Row],[Entered]]&lt;&gt;Table5[[#This Row],[Quantity]],"Check","")</f>
        <v/>
      </c>
    </row>
    <row r="1530" spans="1:10" s="1161" customFormat="1" ht="15" x14ac:dyDescent="0.2">
      <c r="A1530" s="342" t="s">
        <v>2980</v>
      </c>
      <c r="B1530" s="324" t="str">
        <f t="shared" si="96"/>
        <v>1000</v>
      </c>
      <c r="C1530" s="342" t="str">
        <f t="shared" si="97"/>
        <v>52640</v>
      </c>
      <c r="D1530" s="342">
        <f>1511</f>
        <v>1511</v>
      </c>
      <c r="E1530" s="342">
        <v>1</v>
      </c>
      <c r="F1530" s="1159">
        <f>IF(AND(COUNTIFS(Name,"Door Entry Dbl*")&gt;0,COUNTIFS(Addenda!A:A,"*BRIGHT CHROME*",Addenda!A:A,"*DREB550*")),1,0)-$F$1327</f>
        <v>0</v>
      </c>
      <c r="G1530" s="1160"/>
      <c r="H1530" s="503" t="s">
        <v>2238</v>
      </c>
      <c r="I1530" s="1205"/>
      <c r="J1530" s="2" t="str">
        <f>IF(Table5[[#This Row],[Entered]]&lt;&gt;Table5[[#This Row],[Quantity]],"Check","")</f>
        <v/>
      </c>
    </row>
    <row r="1531" spans="1:10" s="1161" customFormat="1" ht="15" x14ac:dyDescent="0.2">
      <c r="A1531" s="342" t="s">
        <v>2980</v>
      </c>
      <c r="B1531" s="324" t="str">
        <f t="shared" si="96"/>
        <v>1000</v>
      </c>
      <c r="C1531" s="342" t="str">
        <f t="shared" si="97"/>
        <v>52640</v>
      </c>
      <c r="D1531" s="342">
        <f>8100</f>
        <v>8100</v>
      </c>
      <c r="E1531" s="342">
        <v>1</v>
      </c>
      <c r="F1531" s="1159">
        <v>0</v>
      </c>
      <c r="G1531" s="1160"/>
      <c r="H1531" s="503" t="s">
        <v>1975</v>
      </c>
      <c r="I1531" s="1205"/>
      <c r="J1531" s="2" t="str">
        <f>IF(Table5[[#This Row],[Entered]]&lt;&gt;Table5[[#This Row],[Quantity]],"Check","")</f>
        <v/>
      </c>
    </row>
    <row r="1532" spans="1:10" s="1161" customFormat="1" ht="15" x14ac:dyDescent="0.2">
      <c r="A1532" s="342" t="s">
        <v>2980</v>
      </c>
      <c r="B1532" s="324" t="str">
        <f t="shared" si="96"/>
        <v>1000</v>
      </c>
      <c r="C1532" s="342" t="str">
        <f t="shared" si="97"/>
        <v>52640</v>
      </c>
      <c r="D1532" s="342">
        <v>8110</v>
      </c>
      <c r="E1532" s="342">
        <v>1</v>
      </c>
      <c r="F1532" s="1159">
        <v>0</v>
      </c>
      <c r="G1532" s="1160"/>
      <c r="H1532" s="503" t="s">
        <v>1976</v>
      </c>
      <c r="I1532" s="1205"/>
      <c r="J1532" s="2" t="str">
        <f>IF(Table5[[#This Row],[Entered]]&lt;&gt;Table5[[#This Row],[Quantity]],"Check","")</f>
        <v/>
      </c>
    </row>
    <row r="1533" spans="1:10" s="1161" customFormat="1" ht="15" x14ac:dyDescent="0.2">
      <c r="A1533" s="342" t="s">
        <v>2980</v>
      </c>
      <c r="B1533" s="324" t="str">
        <f t="shared" si="96"/>
        <v>1000</v>
      </c>
      <c r="C1533" s="342" t="str">
        <f t="shared" si="97"/>
        <v>52640</v>
      </c>
      <c r="D1533" s="342" t="s">
        <v>663</v>
      </c>
      <c r="E1533" s="342">
        <v>1</v>
      </c>
      <c r="F1533" s="1159">
        <f>IF(COUNTIFS(Addenda!A:A,"*BARCELONA*",Addenda!A:A,"&lt;&gt;*TRILEVER*")&gt;0,COUNTIF(Name,"Privacy")+COUNTIF('CSV FF'!A:A,"Privacy"),0)</f>
        <v>0</v>
      </c>
      <c r="G1533" s="1160">
        <v>26.01</v>
      </c>
      <c r="H1533" s="503" t="s">
        <v>1748</v>
      </c>
      <c r="I1533" s="1205"/>
      <c r="J1533" s="2" t="str">
        <f>IF(Table5[[#This Row],[Entered]]&lt;&gt;Table5[[#This Row],[Quantity]],"Check","")</f>
        <v/>
      </c>
    </row>
    <row r="1534" spans="1:10" s="1161" customFormat="1" ht="15" x14ac:dyDescent="0.2">
      <c r="A1534" s="342" t="s">
        <v>2980</v>
      </c>
      <c r="B1534" s="324" t="str">
        <f t="shared" si="96"/>
        <v>1000</v>
      </c>
      <c r="C1534" s="342" t="str">
        <f t="shared" si="97"/>
        <v>52640</v>
      </c>
      <c r="D1534" s="342" t="s">
        <v>664</v>
      </c>
      <c r="E1534" s="342">
        <v>1</v>
      </c>
      <c r="F1534" s="1159">
        <f>IF(COUNTIFS(Addenda!A:A,"*BARCELONA*",Addenda!A:A,"&lt;&gt;*TRILEVER*")&gt;0,COUNTIF(Name,"Passage")+COUNTIF('CSV FF'!A:A,"Passage"),0)</f>
        <v>0</v>
      </c>
      <c r="G1534" s="1160">
        <v>24</v>
      </c>
      <c r="H1534" s="503" t="s">
        <v>1749</v>
      </c>
      <c r="I1534" s="1205"/>
      <c r="J1534" s="2" t="str">
        <f>IF(Table5[[#This Row],[Entered]]&lt;&gt;Table5[[#This Row],[Quantity]],"Check","")</f>
        <v/>
      </c>
    </row>
    <row r="1535" spans="1:10" s="1161" customFormat="1" ht="15" x14ac:dyDescent="0.2">
      <c r="A1535" s="342" t="s">
        <v>2980</v>
      </c>
      <c r="B1535" s="324" t="str">
        <f t="shared" si="96"/>
        <v>1000</v>
      </c>
      <c r="C1535" s="342" t="str">
        <f t="shared" si="97"/>
        <v>52640</v>
      </c>
      <c r="D1535" s="342" t="s">
        <v>1062</v>
      </c>
      <c r="E1535" s="342">
        <v>1</v>
      </c>
      <c r="F1535" s="1159">
        <f>IF(COUNTIFS(Addenda!A:A,"*BARCELONA*",Addenda!A:A,"&lt;&gt;*TRILEVER*")&gt;0,Dummy_Handle_Count,0)</f>
        <v>0</v>
      </c>
      <c r="G1535" s="1160">
        <v>17</v>
      </c>
      <c r="H1535" s="503" t="s">
        <v>1750</v>
      </c>
      <c r="I1535" s="1205"/>
      <c r="J1535" s="2" t="str">
        <f>IF(Table5[[#This Row],[Entered]]&lt;&gt;Table5[[#This Row],[Quantity]],"Check","")</f>
        <v/>
      </c>
    </row>
    <row r="1536" spans="1:10" s="1161" customFormat="1" ht="15" x14ac:dyDescent="0.2">
      <c r="A1536" s="324" t="s">
        <v>2980</v>
      </c>
      <c r="B1536" s="324" t="str">
        <f t="shared" si="96"/>
        <v>1000</v>
      </c>
      <c r="C1536" s="324" t="str">
        <f t="shared" si="97"/>
        <v>52640</v>
      </c>
      <c r="D1536" s="324">
        <v>7166</v>
      </c>
      <c r="E1536" s="324">
        <v>1</v>
      </c>
      <c r="F1536" s="827">
        <f>IF(COUNTIFS(Addenda!A:A,"*BAILEY*",Addenda!A:A,"*SATIN CHROME*",Addenda!A:A,"&lt;&gt;*TRILEVER*")&gt;0,COUNTIF(Name,"Privacy")+COUNTIF('CSV FF'!A:A,"Privacy"),0)</f>
        <v>0</v>
      </c>
      <c r="G1536" s="829">
        <v>35.58</v>
      </c>
      <c r="H1536" s="412" t="s">
        <v>3632</v>
      </c>
      <c r="I1536" s="1258"/>
      <c r="J1536" s="73" t="str">
        <f>IF(Table5[[#This Row],[Entered]]&lt;&gt;Table5[[#This Row],[Quantity]],"Check","")</f>
        <v/>
      </c>
    </row>
    <row r="1537" spans="1:20" s="1161" customFormat="1" ht="15" x14ac:dyDescent="0.2">
      <c r="A1537" s="324" t="s">
        <v>2980</v>
      </c>
      <c r="B1537" s="324" t="str">
        <f t="shared" si="96"/>
        <v>1000</v>
      </c>
      <c r="C1537" s="324" t="str">
        <f t="shared" si="97"/>
        <v>52640</v>
      </c>
      <c r="D1537" s="324">
        <v>7165</v>
      </c>
      <c r="E1537" s="324">
        <v>1</v>
      </c>
      <c r="F1537" s="827">
        <f>IF(COUNTIFS(Addenda!A:A,"*BAILEY*",Addenda!A:A,"*SATIN CHROME*",Addenda!A:A,"&lt;&gt;*TRILEVER*")&gt;0,COUNTIF(Name,"Passage")+COUNTIF('CSV FF'!A:A,"Passage"),0)</f>
        <v>0</v>
      </c>
      <c r="G1537" s="829">
        <v>32.229999999999997</v>
      </c>
      <c r="H1537" s="412" t="s">
        <v>3633</v>
      </c>
      <c r="I1537" s="1258"/>
      <c r="J1537" s="73" t="str">
        <f>IF(Table5[[#This Row],[Entered]]&lt;&gt;Table5[[#This Row],[Quantity]],"Check","")</f>
        <v/>
      </c>
    </row>
    <row r="1538" spans="1:20" s="1161" customFormat="1" ht="15" x14ac:dyDescent="0.2">
      <c r="A1538" s="324" t="s">
        <v>2980</v>
      </c>
      <c r="B1538" s="324" t="str">
        <f t="shared" si="96"/>
        <v>1000</v>
      </c>
      <c r="C1538" s="324" t="str">
        <f t="shared" si="97"/>
        <v>52640</v>
      </c>
      <c r="D1538" s="324">
        <v>7167</v>
      </c>
      <c r="E1538" s="324">
        <v>1</v>
      </c>
      <c r="F1538" s="827">
        <f>IF(COUNTIFS(Addenda!A:A,"*BAILEY*",Addenda!A:A,"*SATIN CHROME*",Addenda!A:A,"&lt;&gt;*TRILEVER*")&gt;0,Dummy_Handle_Count,0)</f>
        <v>0</v>
      </c>
      <c r="G1538" s="829">
        <v>20.68</v>
      </c>
      <c r="H1538" s="412" t="s">
        <v>3631</v>
      </c>
      <c r="I1538" s="1207"/>
      <c r="J1538" s="73" t="str">
        <f>IF(Table5[[#This Row],[Entered]]&lt;&gt;Table5[[#This Row],[Quantity]],"Check","")</f>
        <v/>
      </c>
    </row>
    <row r="1539" spans="1:20" s="1161" customFormat="1" ht="15" x14ac:dyDescent="0.2">
      <c r="A1539" s="342" t="s">
        <v>2980</v>
      </c>
      <c r="B1539" s="324" t="str">
        <f t="shared" si="96"/>
        <v>1000</v>
      </c>
      <c r="C1539" s="342" t="str">
        <f t="shared" si="97"/>
        <v>52640</v>
      </c>
      <c r="D1539" s="342" t="s">
        <v>1568</v>
      </c>
      <c r="E1539" s="342">
        <v>1</v>
      </c>
      <c r="F1539" s="1159">
        <f>IF(COUNTIFS(Addenda!A:A,"*OMNI*",Addenda!A:A,"*ALLURE*",Addenda!A:A,"*STAINLESS STEEL*")+COUNTIFS(Addenda!A:A,"*OMNI*",Addenda!A:A,"*ALLURE*",Addenda!A:A,"*SS*")&gt;0,COUNTIFS(Name,"Door Entry*")*1,0)</f>
        <v>0</v>
      </c>
      <c r="G1539" s="1160"/>
      <c r="H1539" s="503" t="s">
        <v>2465</v>
      </c>
      <c r="I1539" s="1205"/>
      <c r="J1539" s="2" t="str">
        <f>IF(Table5[[#This Row],[Entered]]&lt;&gt;Table5[[#This Row],[Quantity]],"Check","")</f>
        <v/>
      </c>
    </row>
    <row r="1540" spans="1:20" s="1161" customFormat="1" ht="15" x14ac:dyDescent="0.2">
      <c r="A1540" s="342" t="s">
        <v>2980</v>
      </c>
      <c r="B1540" s="324" t="str">
        <f t="shared" si="96"/>
        <v>1000</v>
      </c>
      <c r="C1540" s="342" t="str">
        <f t="shared" si="97"/>
        <v>52640</v>
      </c>
      <c r="D1540" s="342" t="s">
        <v>664</v>
      </c>
      <c r="E1540" s="342">
        <v>1</v>
      </c>
      <c r="F1540" s="1159">
        <f>IF(COUNTIFS(Addenda!A:A,"*OMNI*",Addenda!A:A,"*ALLURE*",Addenda!A:A,"*STAINLESS STEEL*")+COUNTIFS(Addenda!A:A,"*OMNI*",Addenda!A:A,"*ALLURE*",Addenda!A:A,"*SS*")&gt;0,COUNTIFS(Name,"Door Entry Dbl*")*1,0)</f>
        <v>0</v>
      </c>
      <c r="G1540" s="1160"/>
      <c r="H1540" s="503" t="s">
        <v>1550</v>
      </c>
      <c r="I1540" s="1205"/>
      <c r="J1540" s="2" t="str">
        <f>IF(Table5[[#This Row],[Entered]]&lt;&gt;Table5[[#This Row],[Quantity]],"Check","")</f>
        <v/>
      </c>
    </row>
    <row r="1541" spans="1:20" s="1161" customFormat="1" ht="15" x14ac:dyDescent="0.2">
      <c r="A1541" s="342" t="s">
        <v>2980</v>
      </c>
      <c r="B1541" s="324" t="str">
        <f t="shared" si="96"/>
        <v>1000</v>
      </c>
      <c r="C1541" s="342" t="str">
        <f t="shared" si="97"/>
        <v>52640</v>
      </c>
      <c r="D1541" s="342" t="s">
        <v>663</v>
      </c>
      <c r="E1541" s="342">
        <v>1</v>
      </c>
      <c r="F1541" s="1159">
        <f>COUNTIFS(Addenda!A:A,"*8901*",Addenda!A:A,"*PRECISE*",Addenda!A:A,"*BRIGHT CHROME*")+COUNTIFS(Addenda!A:A,"*8901*",Addenda!A:A,"*PRECISE*",Addenda!A:A,"*BC*")</f>
        <v>0</v>
      </c>
      <c r="G1541" s="1160"/>
      <c r="H1541" s="503" t="s">
        <v>1092</v>
      </c>
      <c r="I1541" s="1205"/>
      <c r="J1541" s="2" t="str">
        <f>IF(Table5[[#This Row],[Entered]]&lt;&gt;Table5[[#This Row],[Quantity]],"Check","")</f>
        <v/>
      </c>
    </row>
    <row r="1542" spans="1:20" s="1161" customFormat="1" ht="15" x14ac:dyDescent="0.2">
      <c r="A1542" s="342" t="s">
        <v>2980</v>
      </c>
      <c r="B1542" s="324" t="str">
        <f t="shared" si="96"/>
        <v>1000</v>
      </c>
      <c r="C1542" s="342" t="str">
        <f t="shared" si="97"/>
        <v>52640</v>
      </c>
      <c r="D1542" s="342" t="s">
        <v>663</v>
      </c>
      <c r="E1542" s="342">
        <v>1</v>
      </c>
      <c r="F1542" s="1159">
        <f>COUNTIFS(Addenda!A:A,"*8901*",Addenda!A:A,"*PRECISE*",Addenda!A:A,"*SATIN CHROME*")+COUNTIFS(Addenda!A:A,"*8901*",Addenda!A:A,"*PRECISE*",Addenda!A:A,"*SC*")</f>
        <v>0</v>
      </c>
      <c r="G1542" s="1160"/>
      <c r="H1542" s="503" t="s">
        <v>1347</v>
      </c>
      <c r="I1542" s="1205"/>
      <c r="J1542" s="2" t="str">
        <f>IF(Table5[[#This Row],[Entered]]&lt;&gt;Table5[[#This Row],[Quantity]],"Check","")</f>
        <v/>
      </c>
    </row>
    <row r="1543" spans="1:20" s="1161" customFormat="1" ht="15" x14ac:dyDescent="0.2">
      <c r="A1543" s="342" t="s">
        <v>2980</v>
      </c>
      <c r="B1543" s="324" t="str">
        <f t="shared" si="96"/>
        <v>1000</v>
      </c>
      <c r="C1543" s="342" t="str">
        <f t="shared" si="97"/>
        <v>52640</v>
      </c>
      <c r="D1543" s="342">
        <v>7000</v>
      </c>
      <c r="E1543" s="342">
        <v>1</v>
      </c>
      <c r="F1543" s="1159">
        <f>COUNTIFS(Addenda!A:A,"*8905ENCSS*")</f>
        <v>0</v>
      </c>
      <c r="G1543" s="1160">
        <v>410.44</v>
      </c>
      <c r="H1543" s="503" t="s">
        <v>3626</v>
      </c>
      <c r="I1543" s="1205"/>
      <c r="J1543" s="2" t="str">
        <f>IF(Table5[[#This Row],[Entered]]&lt;&gt;Table5[[#This Row],[Quantity]],"Check","")</f>
        <v/>
      </c>
    </row>
    <row r="1544" spans="1:20" ht="15" x14ac:dyDescent="0.2">
      <c r="A1544" s="324" t="s">
        <v>2980</v>
      </c>
      <c r="B1544" s="324" t="str">
        <f t="shared" si="96"/>
        <v>1000</v>
      </c>
      <c r="C1544" s="324" t="str">
        <f t="shared" si="97"/>
        <v>52640</v>
      </c>
      <c r="D1544" s="324">
        <v>2172</v>
      </c>
      <c r="E1544" s="324">
        <v>1</v>
      </c>
      <c r="F1544" s="827">
        <f>IF(COUNTIFS(Addenda!A:A,"*FLORE*",Addenda!A:A,"&lt;&gt;*TRILEVER*")&gt;0,Dummy_Handle_Count,0)</f>
        <v>0</v>
      </c>
      <c r="G1544" s="829">
        <v>18.07</v>
      </c>
      <c r="H1544" s="412" t="s">
        <v>3565</v>
      </c>
      <c r="I1544" s="1207"/>
      <c r="J1544" s="73" t="str">
        <f>IF(Table5[[#This Row],[Entered]]&lt;&gt;Table5[[#This Row],[Quantity]],"Check","")</f>
        <v/>
      </c>
    </row>
    <row r="1545" spans="1:20" ht="15" x14ac:dyDescent="0.2">
      <c r="A1545" s="324" t="s">
        <v>2980</v>
      </c>
      <c r="B1545" s="324" t="str">
        <f t="shared" si="96"/>
        <v>1000</v>
      </c>
      <c r="C1545" s="324" t="str">
        <f t="shared" si="97"/>
        <v>52640</v>
      </c>
      <c r="D1545" s="324">
        <v>2170</v>
      </c>
      <c r="E1545" s="324">
        <v>1</v>
      </c>
      <c r="F1545" s="827">
        <f>IF(COUNTIFS(Addenda!A:A,"*FLORE*",Addenda!A:A,"&lt;&gt;*TRILEVER*")&gt;0,COUNTIF(Name,"Passage")+COUNTIF('CSV FF'!A:A,"Passage"),0)</f>
        <v>0</v>
      </c>
      <c r="G1545" s="829">
        <v>30.8</v>
      </c>
      <c r="H1545" s="412" t="s">
        <v>3566</v>
      </c>
      <c r="I1545" s="1207"/>
      <c r="J1545" s="73" t="str">
        <f>IF(Table5[[#This Row],[Entered]]&lt;&gt;Table5[[#This Row],[Quantity]],"Check","")</f>
        <v/>
      </c>
      <c r="L1545" s="1134"/>
      <c r="M1545" s="1134"/>
      <c r="N1545" s="1134"/>
      <c r="O1545" s="1134"/>
      <c r="P1545" s="1134"/>
      <c r="Q1545" s="1134"/>
      <c r="R1545" s="1134"/>
      <c r="T1545" s="689"/>
    </row>
    <row r="1546" spans="1:20" ht="15" x14ac:dyDescent="0.2">
      <c r="A1546" s="324" t="s">
        <v>2980</v>
      </c>
      <c r="B1546" s="324" t="str">
        <f t="shared" si="96"/>
        <v>1000</v>
      </c>
      <c r="C1546" s="324" t="str">
        <f t="shared" si="97"/>
        <v>52640</v>
      </c>
      <c r="D1546" s="324">
        <v>2171</v>
      </c>
      <c r="E1546" s="324">
        <v>1</v>
      </c>
      <c r="F1546" s="827">
        <f>IF(COUNTIFS(Addenda!A:A,"*FLORE*",Addenda!A:A,"&lt;&gt;*TRILEVER*")&gt;0,COUNTIF(Name,"Privacy")+COUNTIF('CSV FF'!A:A,"Privacy"),0)</f>
        <v>0</v>
      </c>
      <c r="G1546" s="829">
        <v>34.1</v>
      </c>
      <c r="H1546" s="412" t="s">
        <v>3567</v>
      </c>
      <c r="I1546" s="1207"/>
      <c r="J1546" s="73" t="str">
        <f>IF(Table5[[#This Row],[Entered]]&lt;&gt;Table5[[#This Row],[Quantity]],"Check","")</f>
        <v/>
      </c>
    </row>
    <row r="1547" spans="1:20" ht="15" x14ac:dyDescent="0.2">
      <c r="A1547" s="324" t="s">
        <v>2980</v>
      </c>
      <c r="B1547" s="324" t="str">
        <f t="shared" si="96"/>
        <v>1000</v>
      </c>
      <c r="C1547" s="324" t="str">
        <f t="shared" si="97"/>
        <v>52640</v>
      </c>
      <c r="D1547" s="324" t="str">
        <f>"1055"</f>
        <v>1055</v>
      </c>
      <c r="E1547" s="324">
        <v>1</v>
      </c>
      <c r="F1547" s="1132" t="e">
        <f ca="1">COUNTIF(INDIRECT("Addenda!$A"&amp;MATCH("* FIXING HARDWARE",Addenda!$A:$A,0)&amp;":"&amp;"A"&amp;MATCH("* MOULDINGS",Addenda!$A:$A,0)),"*8901ANGMB*")</f>
        <v>#N/A</v>
      </c>
      <c r="G1547" s="829"/>
      <c r="H1547" s="412" t="s">
        <v>3163</v>
      </c>
      <c r="I1547" s="1258"/>
      <c r="J1547" s="2" t="e">
        <f ca="1">IF(Table5[[#This Row],[Entered]]&lt;&gt;Table5[[#This Row],[Quantity]],"Check","")</f>
        <v>#N/A</v>
      </c>
      <c r="P1547" s="1133"/>
      <c r="Q1547" s="1133"/>
      <c r="R1547" s="1134"/>
    </row>
    <row r="1548" spans="1:20" ht="15" x14ac:dyDescent="0.2">
      <c r="A1548" s="324" t="s">
        <v>2980</v>
      </c>
      <c r="B1548" s="324" t="str">
        <f t="shared" si="96"/>
        <v>1000</v>
      </c>
      <c r="C1548" s="324" t="str">
        <f t="shared" si="97"/>
        <v>52640</v>
      </c>
      <c r="D1548" s="324" t="str">
        <f>"9010"</f>
        <v>9010</v>
      </c>
      <c r="E1548" s="324">
        <v>1</v>
      </c>
      <c r="F1548" s="1132" cm="1">
        <f t="array" ref="F1548">IF(SUM(COUNTIF(Address,{"*ALBANY*"}))&gt;0,1,0)</f>
        <v>0</v>
      </c>
      <c r="G1548" s="829"/>
      <c r="H1548" s="412" t="s">
        <v>2827</v>
      </c>
      <c r="I1548" s="1258"/>
      <c r="J1548" s="2" t="str">
        <f>IF(Table5[[#This Row],[Entered]]&lt;&gt;Table5[[#This Row],[Quantity]],"Check","")</f>
        <v/>
      </c>
      <c r="P1548" s="1133"/>
      <c r="Q1548" s="1133"/>
      <c r="R1548" s="1134"/>
    </row>
    <row r="1549" spans="1:20" ht="15" x14ac:dyDescent="0.2">
      <c r="A1549" s="324" t="s">
        <v>2980</v>
      </c>
      <c r="B1549" s="324" t="str">
        <f t="shared" si="96"/>
        <v>1000</v>
      </c>
      <c r="C1549" s="324" t="str">
        <f t="shared" si="97"/>
        <v>52640</v>
      </c>
      <c r="D1549" s="324" t="str">
        <f>"9015"</f>
        <v>9015</v>
      </c>
      <c r="E1549" s="324">
        <v>1</v>
      </c>
      <c r="F1549" s="827" cm="1">
        <f t="array" ref="F1549">IF(SUM(COUNTIF(Address,{"*AUSTRALIND*","*ROELAND*"}))&gt;0,1,0)</f>
        <v>0</v>
      </c>
      <c r="G1549" s="829"/>
      <c r="H1549" s="412" t="s">
        <v>2809</v>
      </c>
      <c r="I1549" s="1258"/>
      <c r="J1549" s="2" t="str">
        <f>IF(Table5[[#This Row],[Entered]]&lt;&gt;Table5[[#This Row],[Quantity]],"Check","")</f>
        <v/>
      </c>
      <c r="P1549" s="1133"/>
      <c r="Q1549" s="1133"/>
      <c r="R1549" s="1134"/>
    </row>
    <row r="1550" spans="1:20" ht="15" x14ac:dyDescent="0.2">
      <c r="A1550" s="324" t="s">
        <v>2980</v>
      </c>
      <c r="B1550" s="324" t="str">
        <f t="shared" si="96"/>
        <v>1000</v>
      </c>
      <c r="C1550" s="324" t="str">
        <f t="shared" si="97"/>
        <v>52640</v>
      </c>
      <c r="D1550" s="324" t="str">
        <f>"9098"</f>
        <v>9098</v>
      </c>
      <c r="E1550" s="324">
        <v>1</v>
      </c>
      <c r="F1550" s="1132" cm="1">
        <f t="array" ref="F1550">IF(SUM(COUNTIF(Address,{"*BINNINGUP*"}))&gt;0,1,0)</f>
        <v>0</v>
      </c>
      <c r="G1550" s="829"/>
      <c r="H1550" s="412" t="s">
        <v>2810</v>
      </c>
      <c r="I1550" s="1258"/>
      <c r="J1550" s="2" t="str">
        <f>IF(Table5[[#This Row],[Entered]]&lt;&gt;Table5[[#This Row],[Quantity]],"Check","")</f>
        <v/>
      </c>
      <c r="P1550" s="1133"/>
      <c r="Q1550" s="1133"/>
      <c r="R1550" s="1134"/>
    </row>
    <row r="1551" spans="1:20" ht="15" x14ac:dyDescent="0.2">
      <c r="A1551" s="324" t="s">
        <v>2980</v>
      </c>
      <c r="B1551" s="324" t="str">
        <f t="shared" si="96"/>
        <v>1000</v>
      </c>
      <c r="C1551" s="324" t="str">
        <f t="shared" si="97"/>
        <v>52640</v>
      </c>
      <c r="D1551" s="324" t="str">
        <f>"9023"</f>
        <v>9023</v>
      </c>
      <c r="E1551" s="324">
        <v>1</v>
      </c>
      <c r="F1551" s="1132" cm="1">
        <f t="array" ref="F1551">IF(SUM(COUNTIF(Address,{"*BOYUP BROOK*"}))&gt;0,1,0)</f>
        <v>0</v>
      </c>
      <c r="G1551" s="829"/>
      <c r="H1551" s="412" t="s">
        <v>2828</v>
      </c>
      <c r="I1551" s="1258"/>
      <c r="J1551" s="2" t="str">
        <f>IF(Table5[[#This Row],[Entered]]&lt;&gt;Table5[[#This Row],[Quantity]],"Check","")</f>
        <v/>
      </c>
      <c r="P1551" s="1133"/>
      <c r="Q1551" s="1133"/>
      <c r="R1551" s="1134"/>
    </row>
    <row r="1552" spans="1:20" ht="15" x14ac:dyDescent="0.2">
      <c r="A1552" s="324" t="s">
        <v>2980</v>
      </c>
      <c r="B1552" s="324" t="str">
        <f t="shared" si="96"/>
        <v>1000</v>
      </c>
      <c r="C1552" s="324" t="str">
        <f t="shared" si="97"/>
        <v>52640</v>
      </c>
      <c r="D1552" s="324" t="str">
        <f>"9024"</f>
        <v>9024</v>
      </c>
      <c r="E1552" s="324">
        <v>1</v>
      </c>
      <c r="F1552" s="1132" cm="1">
        <f t="array" ref="F1552">IF(SUM(COUNTIF(Address,{"*BRIDGETOWN*"}))&gt;0,1,0)</f>
        <v>0</v>
      </c>
      <c r="G1552" s="829"/>
      <c r="H1552" s="412" t="s">
        <v>2560</v>
      </c>
      <c r="I1552" s="1258"/>
      <c r="J1552" s="2" t="str">
        <f>IF(Table5[[#This Row],[Entered]]&lt;&gt;Table5[[#This Row],[Quantity]],"Check","")</f>
        <v/>
      </c>
      <c r="P1552" s="1133"/>
      <c r="Q1552" s="1133"/>
      <c r="R1552" s="1134"/>
    </row>
    <row r="1553" spans="1:18" ht="15" x14ac:dyDescent="0.2">
      <c r="A1553" s="324" t="s">
        <v>2980</v>
      </c>
      <c r="B1553" s="324" t="str">
        <f t="shared" si="96"/>
        <v>1000</v>
      </c>
      <c r="C1553" s="324" t="str">
        <f t="shared" si="97"/>
        <v>52640</v>
      </c>
      <c r="D1553" s="324" t="str">
        <f>"9029"</f>
        <v>9029</v>
      </c>
      <c r="E1553" s="324">
        <v>1</v>
      </c>
      <c r="F1553" s="1132" cm="1">
        <f t="array" ref="F1553">IF(SUM(COUNTIF(Address,{"*BUNBURY*","*DALYELLUP*"}))&gt;0,1,0)</f>
        <v>0</v>
      </c>
      <c r="G1553" s="829"/>
      <c r="H1553" s="412" t="s">
        <v>3001</v>
      </c>
      <c r="I1553" s="1258"/>
      <c r="J1553" s="2" t="str">
        <f>IF(Table5[[#This Row],[Entered]]&lt;&gt;Table5[[#This Row],[Quantity]],"Check","")</f>
        <v/>
      </c>
      <c r="P1553" s="1133"/>
      <c r="Q1553" s="1133"/>
      <c r="R1553" s="1134"/>
    </row>
    <row r="1554" spans="1:18" ht="15" x14ac:dyDescent="0.2">
      <c r="A1554" s="324" t="s">
        <v>2980</v>
      </c>
      <c r="B1554" s="324" t="str">
        <f t="shared" si="96"/>
        <v>1000</v>
      </c>
      <c r="C1554" s="324" t="str">
        <f t="shared" si="97"/>
        <v>52640</v>
      </c>
      <c r="D1554" s="324" t="str">
        <f>"9031"</f>
        <v>9031</v>
      </c>
      <c r="E1554" s="324">
        <v>1</v>
      </c>
      <c r="F1554" s="1132" cm="1">
        <f t="array" ref="F1554">IF(SUM(COUNTIF(Address,{"*BUSSELTON*","*VASSE*"}))&gt;0,1,0)</f>
        <v>0</v>
      </c>
      <c r="G1554" s="829">
        <v>60</v>
      </c>
      <c r="H1554" s="412" t="s">
        <v>2551</v>
      </c>
      <c r="I1554" s="1258"/>
      <c r="J1554" s="2" t="str">
        <f>IF(Table5[[#This Row],[Entered]]&lt;&gt;Table5[[#This Row],[Quantity]],"Check","")</f>
        <v/>
      </c>
      <c r="P1554" s="1133"/>
      <c r="Q1554" s="1133"/>
      <c r="R1554" s="1134"/>
    </row>
    <row r="1555" spans="1:18" ht="15" x14ac:dyDescent="0.2">
      <c r="A1555" s="324" t="s">
        <v>2980</v>
      </c>
      <c r="B1555" s="324" t="str">
        <f t="shared" si="96"/>
        <v>1000</v>
      </c>
      <c r="C1555" s="324" t="str">
        <f t="shared" si="97"/>
        <v>52640</v>
      </c>
      <c r="D1555" s="324" t="str">
        <f>"9032"</f>
        <v>9032</v>
      </c>
      <c r="E1555" s="324">
        <v>1</v>
      </c>
      <c r="F1555" s="1132" cm="1">
        <f t="array" ref="F1555">IF(SUM(COUNTIF(Address,{"*CAPEL*"}))&gt;0,1,0)</f>
        <v>0</v>
      </c>
      <c r="G1555" s="829"/>
      <c r="H1555" s="412" t="s">
        <v>2565</v>
      </c>
      <c r="I1555" s="1258"/>
      <c r="J1555" s="2" t="str">
        <f>IF(Table5[[#This Row],[Entered]]&lt;&gt;Table5[[#This Row],[Quantity]],"Check","")</f>
        <v/>
      </c>
      <c r="P1555" s="1133"/>
      <c r="Q1555" s="1133"/>
      <c r="R1555" s="1134"/>
    </row>
    <row r="1556" spans="1:18" ht="15" x14ac:dyDescent="0.2">
      <c r="A1556" s="324" t="s">
        <v>2980</v>
      </c>
      <c r="B1556" s="324" t="str">
        <f t="shared" si="96"/>
        <v>1000</v>
      </c>
      <c r="C1556" s="324" t="str">
        <f t="shared" si="97"/>
        <v>52640</v>
      </c>
      <c r="D1556" s="324" t="str">
        <f>"9035"</f>
        <v>9035</v>
      </c>
      <c r="E1556" s="324">
        <v>1</v>
      </c>
      <c r="F1556" s="1132" cm="1">
        <f t="array" ref="F1556">IF(SUM(COUNTIF(Address,{"*COLLIE*"}))&gt;0,1,0)</f>
        <v>0</v>
      </c>
      <c r="G1556" s="829"/>
      <c r="H1556" s="412" t="s">
        <v>2814</v>
      </c>
      <c r="I1556" s="1258"/>
      <c r="J1556" s="2" t="str">
        <f>IF(Table5[[#This Row],[Entered]]&lt;&gt;Table5[[#This Row],[Quantity]],"Check","")</f>
        <v/>
      </c>
      <c r="P1556" s="1133"/>
      <c r="Q1556" s="1133"/>
      <c r="R1556" s="1134"/>
    </row>
    <row r="1557" spans="1:18" ht="15" x14ac:dyDescent="0.2">
      <c r="A1557" s="324" t="s">
        <v>2980</v>
      </c>
      <c r="B1557" s="324" t="str">
        <f t="shared" si="96"/>
        <v>1000</v>
      </c>
      <c r="C1557" s="324" t="str">
        <f t="shared" si="97"/>
        <v>52640</v>
      </c>
      <c r="D1557" s="324" t="str">
        <f>"9044"</f>
        <v>9044</v>
      </c>
      <c r="E1557" s="324">
        <v>1</v>
      </c>
      <c r="F1557" s="1132" cm="1">
        <f t="array" ref="F1557">IF(SUM(COUNTIF(Address,{"*DONNYBROOK*"}))&gt;0,1,0)</f>
        <v>0</v>
      </c>
      <c r="G1557" s="829"/>
      <c r="H1557" s="412" t="s">
        <v>3002</v>
      </c>
      <c r="I1557" s="1258"/>
      <c r="J1557" s="2" t="str">
        <f>IF(Table5[[#This Row],[Entered]]&lt;&gt;Table5[[#This Row],[Quantity]],"Check","")</f>
        <v/>
      </c>
      <c r="P1557" s="1133"/>
      <c r="Q1557" s="1133"/>
      <c r="R1557" s="1134"/>
    </row>
    <row r="1558" spans="1:18" ht="15" x14ac:dyDescent="0.2">
      <c r="A1558" s="324" t="s">
        <v>2980</v>
      </c>
      <c r="B1558" s="324" t="str">
        <f t="shared" si="96"/>
        <v>1000</v>
      </c>
      <c r="C1558" s="324" t="str">
        <f t="shared" si="97"/>
        <v>52640</v>
      </c>
      <c r="D1558" s="324" t="str">
        <f>"9046"</f>
        <v>9046</v>
      </c>
      <c r="E1558" s="324">
        <v>1</v>
      </c>
      <c r="F1558" s="1132" cm="1">
        <f t="array" ref="F1558">IF(SUM(COUNTIF(Address,{"*EATON*"}))&gt;0,1,0)</f>
        <v>0</v>
      </c>
      <c r="G1558" s="829"/>
      <c r="H1558" s="412" t="s">
        <v>2830</v>
      </c>
      <c r="I1558" s="1258"/>
      <c r="J1558" s="2" t="str">
        <f>IF(Table5[[#This Row],[Entered]]&lt;&gt;Table5[[#This Row],[Quantity]],"Check","")</f>
        <v/>
      </c>
      <c r="P1558" s="1133"/>
      <c r="Q1558" s="1133"/>
      <c r="R1558" s="1134"/>
    </row>
    <row r="1559" spans="1:18" ht="15" x14ac:dyDescent="0.2">
      <c r="A1559" s="324" t="s">
        <v>2980</v>
      </c>
      <c r="B1559" s="324" t="str">
        <f t="shared" si="96"/>
        <v>1000</v>
      </c>
      <c r="C1559" s="324" t="str">
        <f t="shared" si="97"/>
        <v>52640</v>
      </c>
      <c r="D1559" s="324" t="str">
        <f>"9222"</f>
        <v>9222</v>
      </c>
      <c r="E1559" s="324">
        <v>1</v>
      </c>
      <c r="F1559" s="1132" cm="1">
        <f t="array" ref="F1559">IF(SUM(COUNTIF(Address,{"*HARVEY*"}))&gt;0,1,0)</f>
        <v>0</v>
      </c>
      <c r="G1559" s="829"/>
      <c r="H1559" s="412" t="s">
        <v>2817</v>
      </c>
      <c r="I1559" s="1258"/>
      <c r="J1559" s="2" t="str">
        <f>IF(Table5[[#This Row],[Entered]]&lt;&gt;Table5[[#This Row],[Quantity]],"Check","")</f>
        <v/>
      </c>
      <c r="P1559" s="1134"/>
      <c r="Q1559" s="1134"/>
      <c r="R1559" s="1134"/>
    </row>
    <row r="1560" spans="1:18" ht="15" x14ac:dyDescent="0.2">
      <c r="A1560" s="324" t="s">
        <v>2980</v>
      </c>
      <c r="B1560" s="324" t="str">
        <f t="shared" si="96"/>
        <v>1000</v>
      </c>
      <c r="C1560" s="324" t="str">
        <f t="shared" si="97"/>
        <v>52640</v>
      </c>
      <c r="D1560" s="324" t="str">
        <f>"9067"</f>
        <v>9067</v>
      </c>
      <c r="E1560" s="324">
        <v>1</v>
      </c>
      <c r="F1560" s="1132" cm="1">
        <f t="array" ref="F1560">IF(SUM(COUNTIF(Address,{"*MANJIMUP*"}))&gt;0,1,0)</f>
        <v>0</v>
      </c>
      <c r="G1560" s="829"/>
      <c r="H1560" s="412" t="s">
        <v>2559</v>
      </c>
      <c r="I1560" s="1258"/>
      <c r="J1560" s="2" t="str">
        <f>IF(Table5[[#This Row],[Entered]]&lt;&gt;Table5[[#This Row],[Quantity]],"Check","")</f>
        <v/>
      </c>
      <c r="P1560" s="1134"/>
      <c r="Q1560" s="1134"/>
      <c r="R1560" s="1134"/>
    </row>
    <row r="1561" spans="1:18" ht="15" x14ac:dyDescent="0.2">
      <c r="A1561" s="324" t="s">
        <v>2980</v>
      </c>
      <c r="B1561" s="324" t="str">
        <f t="shared" si="96"/>
        <v>1000</v>
      </c>
      <c r="C1561" s="324" t="str">
        <f t="shared" si="97"/>
        <v>52640</v>
      </c>
      <c r="D1561" s="324" t="str">
        <f>"9068"</f>
        <v>9068</v>
      </c>
      <c r="E1561" s="324">
        <v>1</v>
      </c>
      <c r="F1561" s="1132" cm="1">
        <f t="array" ref="F1561">IF(SUM(COUNTIF(Address,{"*MARGARET RIVER*","*COWARAMUP*"}))&gt;0,1,0)</f>
        <v>0</v>
      </c>
      <c r="G1561" s="829">
        <v>108</v>
      </c>
      <c r="H1561" s="412" t="s">
        <v>2831</v>
      </c>
      <c r="I1561" s="1258"/>
      <c r="J1561" s="2" t="str">
        <f>IF(Table5[[#This Row],[Entered]]&lt;&gt;Table5[[#This Row],[Quantity]],"Check","")</f>
        <v/>
      </c>
      <c r="P1561" s="1134"/>
      <c r="Q1561" s="1134"/>
      <c r="R1561" s="1134"/>
    </row>
    <row r="1562" spans="1:18" ht="15" x14ac:dyDescent="0.2">
      <c r="A1562" s="324" t="s">
        <v>2980</v>
      </c>
      <c r="B1562" s="324" t="str">
        <f t="shared" si="96"/>
        <v>1000</v>
      </c>
      <c r="C1562" s="324" t="str">
        <f t="shared" si="97"/>
        <v>52640</v>
      </c>
      <c r="D1562" s="324" t="str">
        <f>"9073"</f>
        <v>9073</v>
      </c>
      <c r="E1562" s="324">
        <v>1</v>
      </c>
      <c r="F1562" s="1132" cm="1">
        <f t="array" ref="F1562">IF(SUM(COUNTIF(Address,{"*NANNUP*"}))&gt;0,1,0)</f>
        <v>0</v>
      </c>
      <c r="G1562" s="829"/>
      <c r="H1562" s="412" t="s">
        <v>2832</v>
      </c>
      <c r="I1562" s="1258"/>
      <c r="J1562" s="2" t="str">
        <f>IF(Table5[[#This Row],[Entered]]&lt;&gt;Table5[[#This Row],[Quantity]],"Check","")</f>
        <v/>
      </c>
    </row>
    <row r="1563" spans="1:18" ht="15" x14ac:dyDescent="0.2">
      <c r="A1563" s="324"/>
      <c r="B1563" s="324"/>
      <c r="C1563" s="324"/>
      <c r="D1563" s="324"/>
      <c r="E1563" s="324"/>
      <c r="F1563" s="827"/>
      <c r="G1563" s="829"/>
      <c r="H1563" s="412"/>
      <c r="I1563" s="1258"/>
      <c r="J1563" s="2" t="str">
        <f>IF(Table5[[#This Row],[Entered]]&lt;&gt;Table5[[#This Row],[Quantity]],"Check","")</f>
        <v/>
      </c>
    </row>
    <row r="1564" spans="1:18" ht="15" x14ac:dyDescent="0.2">
      <c r="A1564" s="324" t="s">
        <v>3277</v>
      </c>
      <c r="B1564" s="324" t="str">
        <f>"1010"</f>
        <v>1010</v>
      </c>
      <c r="C1564" s="324" t="str">
        <f>IF(Quotes!C16="KCM","04153","")&amp;IF(Quotes!C16="A&amp;A Kitchens WA","11335600","")&amp;IF(Quotes!C16="Hough","11254600","")</f>
        <v>11335600</v>
      </c>
      <c r="D1564" s="324" t="str">
        <f>"7001"</f>
        <v>7001</v>
      </c>
      <c r="E1564" s="324">
        <v>1</v>
      </c>
      <c r="F1564" s="829">
        <f>Quotes!B16</f>
        <v>0</v>
      </c>
      <c r="G1564" s="827">
        <f>IF(Roof_Type="Steel Roof",1,0)</f>
        <v>1</v>
      </c>
      <c r="H1564" s="412" t="s">
        <v>3278</v>
      </c>
      <c r="I1564" s="1258"/>
      <c r="J1564" s="2" t="str">
        <f>IF(Table5[[#This Row],[Entered]]&lt;&gt;Table5[[#This Row],[Quantity]],"Check","")</f>
        <v/>
      </c>
    </row>
    <row r="1565" spans="1:18" ht="15" x14ac:dyDescent="0.2">
      <c r="A1565" s="324"/>
      <c r="B1565" s="324"/>
      <c r="C1565" s="324"/>
      <c r="D1565" s="324"/>
      <c r="E1565" s="324"/>
      <c r="F1565" s="827" t="str">
        <f>" "</f>
        <v xml:space="preserve"> </v>
      </c>
      <c r="G1565" s="829" t="str">
        <f>" "</f>
        <v xml:space="preserve"> </v>
      </c>
      <c r="H1565" s="412"/>
      <c r="I1565" s="1258"/>
      <c r="J1565" s="2" t="str">
        <f>IF(Table5[[#This Row],[Entered]]&lt;&gt;Table5[[#This Row],[Quantity]],"Check","")</f>
        <v>Check</v>
      </c>
    </row>
    <row r="1566" spans="1:18" ht="15" x14ac:dyDescent="0.2">
      <c r="A1566" s="324" t="s">
        <v>2980</v>
      </c>
      <c r="B1566" s="324" t="str">
        <f t="shared" ref="B1566:B1597" si="98">"1020"</f>
        <v>1020</v>
      </c>
      <c r="C1566" s="324" t="str">
        <f t="shared" ref="C1566:C1597" si="99">"50062"</f>
        <v>50062</v>
      </c>
      <c r="D1566" s="324" t="str">
        <f>"0005"</f>
        <v>0005</v>
      </c>
      <c r="E1566" s="324">
        <v>1</v>
      </c>
      <c r="F1566" s="827">
        <v>1</v>
      </c>
      <c r="G1566" s="829">
        <v>30</v>
      </c>
      <c r="H1566" s="412" t="s">
        <v>3024</v>
      </c>
      <c r="I1566" s="1258"/>
      <c r="J1566" s="2" t="str">
        <f>IF(Table5[[#This Row],[Entered]]&lt;&gt;Table5[[#This Row],[Quantity]],"Check","")</f>
        <v>Check</v>
      </c>
    </row>
    <row r="1567" spans="1:18" ht="15" x14ac:dyDescent="0.2">
      <c r="A1567" s="324" t="s">
        <v>2980</v>
      </c>
      <c r="B1567" s="324" t="str">
        <f t="shared" si="98"/>
        <v>1020</v>
      </c>
      <c r="C1567" s="324" t="str">
        <f t="shared" si="99"/>
        <v>50062</v>
      </c>
      <c r="D1567" s="324" t="str">
        <f>"0010"</f>
        <v>0010</v>
      </c>
      <c r="E1567" s="324">
        <v>1</v>
      </c>
      <c r="F1567" s="827">
        <f>COUNTIF(Name,"Door Entry*")+COUNTIF(Name,"Door PA*")+COUNTIF(Name,"Door SHPR*")</f>
        <v>0</v>
      </c>
      <c r="G1567" s="829">
        <v>60</v>
      </c>
      <c r="H1567" s="412" t="s">
        <v>3016</v>
      </c>
      <c r="I1567" s="1258"/>
      <c r="J1567" s="2" t="str">
        <f>IF(Table5[[#This Row],[Entered]]&lt;&gt;Table5[[#This Row],[Quantity]],"Check","")</f>
        <v/>
      </c>
    </row>
    <row r="1568" spans="1:18" ht="15" x14ac:dyDescent="0.2">
      <c r="A1568" s="324" t="s">
        <v>2980</v>
      </c>
      <c r="B1568" s="324" t="str">
        <f t="shared" si="98"/>
        <v>1020</v>
      </c>
      <c r="C1568" s="324" t="str">
        <f t="shared" si="99"/>
        <v>50062</v>
      </c>
      <c r="D1568" s="324" t="str">
        <f>"0020"</f>
        <v>0020</v>
      </c>
      <c r="E1568" s="324">
        <v>1</v>
      </c>
      <c r="F1568" s="827">
        <f>COUNTIF(Name,"Door Entry Dbl*")</f>
        <v>0</v>
      </c>
      <c r="G1568" s="829"/>
      <c r="H1568" s="412" t="s">
        <v>3017</v>
      </c>
      <c r="I1568" s="1258"/>
      <c r="J1568" s="2" t="str">
        <f>IF(Table5[[#This Row],[Entered]]&lt;&gt;Table5[[#This Row],[Quantity]],"Check","")</f>
        <v/>
      </c>
    </row>
    <row r="1569" spans="1:10" ht="15" x14ac:dyDescent="0.2">
      <c r="A1569" s="324" t="s">
        <v>2980</v>
      </c>
      <c r="B1569" s="324" t="str">
        <f t="shared" si="98"/>
        <v>1020</v>
      </c>
      <c r="C1569" s="324" t="str">
        <f t="shared" si="99"/>
        <v>50062</v>
      </c>
      <c r="D1569" s="324" t="str">
        <f>"0022"</f>
        <v>0022</v>
      </c>
      <c r="E1569" s="324">
        <v>1</v>
      </c>
      <c r="F1569" s="827">
        <f>COUNTIFS(Addenda!A:A,"*1200mm*",Addenda!A:A,"*pivot*")</f>
        <v>0</v>
      </c>
      <c r="G1569" s="829"/>
      <c r="H1569" s="412" t="s">
        <v>3019</v>
      </c>
      <c r="I1569" s="1258"/>
      <c r="J1569" s="2" t="str">
        <f>IF(Table5[[#This Row],[Entered]]&lt;&gt;Table5[[#This Row],[Quantity]],"Check","")</f>
        <v/>
      </c>
    </row>
    <row r="1570" spans="1:10" ht="15" x14ac:dyDescent="0.2">
      <c r="A1570" s="324" t="s">
        <v>2980</v>
      </c>
      <c r="B1570" s="324" t="str">
        <f t="shared" si="98"/>
        <v>1020</v>
      </c>
      <c r="C1570" s="324" t="str">
        <f t="shared" si="99"/>
        <v>50062</v>
      </c>
      <c r="D1570" s="324" t="str">
        <f>"0023"</f>
        <v>0023</v>
      </c>
      <c r="E1570" s="324">
        <v>1</v>
      </c>
      <c r="F1570" s="827">
        <f>COUNTIFS(Name,"Door Entry",Length,"&gt;=.920",Name,"Door Entry",Length,"&lt;=1.200")</f>
        <v>0</v>
      </c>
      <c r="G1570" s="829"/>
      <c r="H1570" s="412" t="s">
        <v>3018</v>
      </c>
      <c r="I1570" s="1258"/>
      <c r="J1570" s="2" t="str">
        <f>IF(Table5[[#This Row],[Entered]]&lt;&gt;Table5[[#This Row],[Quantity]],"Check","")</f>
        <v/>
      </c>
    </row>
    <row r="1571" spans="1:10" ht="15" x14ac:dyDescent="0.2">
      <c r="A1571" s="324" t="s">
        <v>2980</v>
      </c>
      <c r="B1571" s="324" t="str">
        <f t="shared" si="98"/>
        <v>1020</v>
      </c>
      <c r="C1571" s="324" t="str">
        <f t="shared" si="99"/>
        <v>50062</v>
      </c>
      <c r="D1571" s="324" t="str">
        <f>"0030"</f>
        <v>0030</v>
      </c>
      <c r="E1571" s="324">
        <v>1</v>
      </c>
      <c r="F1571" s="827">
        <f>IF(Brick_type&lt;&gt;"Timber Frame",COUNTIFS(Name,"Door*")-F1567,0)</f>
        <v>0</v>
      </c>
      <c r="G1571" s="829">
        <v>35</v>
      </c>
      <c r="H1571" s="412" t="s">
        <v>3020</v>
      </c>
      <c r="I1571" s="1258"/>
      <c r="J1571" s="2" t="str">
        <f>IF(Table5[[#This Row],[Entered]]&lt;&gt;Table5[[#This Row],[Quantity]],"Check","")</f>
        <v/>
      </c>
    </row>
    <row r="1572" spans="1:10" ht="15" x14ac:dyDescent="0.2">
      <c r="A1572" s="324" t="s">
        <v>2980</v>
      </c>
      <c r="B1572" s="324" t="str">
        <f t="shared" si="98"/>
        <v>1020</v>
      </c>
      <c r="C1572" s="324" t="str">
        <f t="shared" si="99"/>
        <v>50062</v>
      </c>
      <c r="D1572" s="324" t="str">
        <f>"0035"</f>
        <v>0035</v>
      </c>
      <c r="E1572" s="324">
        <v>1</v>
      </c>
      <c r="F1572" s="1128"/>
      <c r="G1572" s="829"/>
      <c r="H1572" s="412" t="s">
        <v>3021</v>
      </c>
      <c r="I1572" s="1258"/>
      <c r="J1572" s="2" t="str">
        <f>IF(Table5[[#This Row],[Entered]]&lt;&gt;Table5[[#This Row],[Quantity]],"Check","")</f>
        <v/>
      </c>
    </row>
    <row r="1573" spans="1:10" ht="15" x14ac:dyDescent="0.2">
      <c r="A1573" s="324" t="s">
        <v>2980</v>
      </c>
      <c r="B1573" s="324" t="str">
        <f t="shared" si="98"/>
        <v>1020</v>
      </c>
      <c r="C1573" s="324" t="str">
        <f t="shared" si="99"/>
        <v>50062</v>
      </c>
      <c r="D1573" s="324" t="str">
        <f>"0040"</f>
        <v>0040</v>
      </c>
      <c r="E1573" s="324">
        <v>1</v>
      </c>
      <c r="F1573" s="827">
        <f>IF(Brick_type="Timber Frame",COUNTIFS(Name,"Door*"),0)</f>
        <v>0</v>
      </c>
      <c r="G1573" s="829">
        <v>37</v>
      </c>
      <c r="H1573" s="412" t="s">
        <v>3603</v>
      </c>
      <c r="I1573" s="1207"/>
      <c r="J1573" s="73" t="str">
        <f>IF(Table5[[#This Row],[Entered]]&lt;&gt;Table5[[#This Row],[Quantity]],"Check","")</f>
        <v/>
      </c>
    </row>
    <row r="1574" spans="1:10" ht="15" x14ac:dyDescent="0.2">
      <c r="A1574" s="324" t="s">
        <v>2980</v>
      </c>
      <c r="B1574" s="324" t="str">
        <f t="shared" si="98"/>
        <v>1020</v>
      </c>
      <c r="C1574" s="324" t="str">
        <f t="shared" si="99"/>
        <v>50062</v>
      </c>
      <c r="D1574" s="324" t="str">
        <f>"0045"</f>
        <v>0045</v>
      </c>
      <c r="E1574" s="324">
        <v>1</v>
      </c>
      <c r="F1574" s="827">
        <f>IF(Brick_type="Timber Frame",COUNTIFS(Name,"Door*"),0)</f>
        <v>0</v>
      </c>
      <c r="G1574" s="829">
        <v>65</v>
      </c>
      <c r="H1574" s="412" t="s">
        <v>3602</v>
      </c>
      <c r="I1574" s="1207"/>
      <c r="J1574" s="73" t="str">
        <f>IF(Table5[[#This Row],[Entered]]&lt;&gt;Table5[[#This Row],[Quantity]],"Check","")</f>
        <v/>
      </c>
    </row>
    <row r="1575" spans="1:10" ht="15" x14ac:dyDescent="0.2">
      <c r="A1575" s="324" t="s">
        <v>2980</v>
      </c>
      <c r="B1575" s="324" t="str">
        <f t="shared" si="98"/>
        <v>1020</v>
      </c>
      <c r="C1575" s="324" t="str">
        <f t="shared" si="99"/>
        <v>50062</v>
      </c>
      <c r="D1575" s="324" t="str">
        <f>"0065"</f>
        <v>0065</v>
      </c>
      <c r="E1575" s="324">
        <v>1</v>
      </c>
      <c r="F1575" s="1128"/>
      <c r="G1575" s="829"/>
      <c r="H1575" s="412" t="s">
        <v>3022</v>
      </c>
      <c r="I1575" s="1258"/>
      <c r="J1575" s="2" t="str">
        <f>IF(Table5[[#This Row],[Entered]]&lt;&gt;Table5[[#This Row],[Quantity]],"Check","")</f>
        <v/>
      </c>
    </row>
    <row r="1576" spans="1:10" ht="15" x14ac:dyDescent="0.2">
      <c r="A1576" s="324" t="s">
        <v>2980</v>
      </c>
      <c r="B1576" s="324" t="str">
        <f t="shared" si="98"/>
        <v>1020</v>
      </c>
      <c r="C1576" s="324" t="str">
        <f t="shared" si="99"/>
        <v>50062</v>
      </c>
      <c r="D1576" s="324" t="str">
        <f>"0067"</f>
        <v>0067</v>
      </c>
      <c r="E1576" s="324">
        <v>1</v>
      </c>
      <c r="F1576" s="827">
        <f>SUM(F1199:F1200)</f>
        <v>0</v>
      </c>
      <c r="G1576" s="829"/>
      <c r="H1576" s="412" t="s">
        <v>3023</v>
      </c>
      <c r="I1576" s="1258"/>
      <c r="J1576" s="2" t="str">
        <f>IF(Table5[[#This Row],[Entered]]&lt;&gt;Table5[[#This Row],[Quantity]],"Check","")</f>
        <v/>
      </c>
    </row>
    <row r="1577" spans="1:10" ht="15" x14ac:dyDescent="0.2">
      <c r="A1577" s="324" t="s">
        <v>2980</v>
      </c>
      <c r="B1577" s="324" t="str">
        <f t="shared" si="98"/>
        <v>1020</v>
      </c>
      <c r="C1577" s="324" t="str">
        <f t="shared" si="99"/>
        <v>50062</v>
      </c>
      <c r="D1577" s="324" t="str">
        <f>"0070"</f>
        <v>0070</v>
      </c>
      <c r="E1577" s="324">
        <v>7</v>
      </c>
      <c r="F1577" s="827">
        <f>ROUND(SUM(Mouldings!B46:J46),0)+ROUNDUP(SUMIF(Name,"Skirting",Length),1)</f>
        <v>0</v>
      </c>
      <c r="G1577" s="829">
        <v>2.5</v>
      </c>
      <c r="H1577" s="412" t="s">
        <v>142</v>
      </c>
      <c r="I1577" s="1258"/>
      <c r="J1577" s="2" t="str">
        <f>IF(Table5[[#This Row],[Entered]]&lt;&gt;Table5[[#This Row],[Quantity]],"Check","")</f>
        <v/>
      </c>
    </row>
    <row r="1578" spans="1:10" ht="15" x14ac:dyDescent="0.2">
      <c r="A1578" s="324" t="s">
        <v>2980</v>
      </c>
      <c r="B1578" s="324" t="str">
        <f t="shared" si="98"/>
        <v>1020</v>
      </c>
      <c r="C1578" s="324" t="str">
        <f t="shared" si="99"/>
        <v>50062</v>
      </c>
      <c r="D1578" s="324" t="str">
        <f>"0080"</f>
        <v>0080</v>
      </c>
      <c r="E1578" s="324">
        <v>7</v>
      </c>
      <c r="F1578" s="974">
        <f>Mouldings!AG33</f>
        <v>0</v>
      </c>
      <c r="G1578" s="829">
        <v>15</v>
      </c>
      <c r="H1578" s="412" t="s">
        <v>3025</v>
      </c>
      <c r="I1578" s="1258"/>
      <c r="J1578" s="2" t="str">
        <f>IF(Table5[[#This Row],[Entered]]&lt;&gt;Table5[[#This Row],[Quantity]],"Check","")</f>
        <v/>
      </c>
    </row>
    <row r="1579" spans="1:10" ht="15" x14ac:dyDescent="0.2">
      <c r="A1579" s="324" t="s">
        <v>2980</v>
      </c>
      <c r="B1579" s="324" t="str">
        <f t="shared" si="98"/>
        <v>1020</v>
      </c>
      <c r="C1579" s="324" t="str">
        <f t="shared" si="99"/>
        <v>50062</v>
      </c>
      <c r="D1579" s="324" t="str">
        <f>"0090"</f>
        <v>0090</v>
      </c>
      <c r="E1579" s="324">
        <v>1</v>
      </c>
      <c r="F1579" s="827">
        <f>SUMIFS(F:F,B:B,"1000",H:H,"*TOWEL RAIL*",H:H,"&lt;&gt;*19MM*")</f>
        <v>0</v>
      </c>
      <c r="G1579" s="829">
        <v>10</v>
      </c>
      <c r="H1579" s="412" t="s">
        <v>3026</v>
      </c>
      <c r="I1579" s="1258"/>
      <c r="J1579" s="2" t="str">
        <f>IF(Table5[[#This Row],[Entered]]&lt;&gt;Table5[[#This Row],[Quantity]],"Check","")</f>
        <v/>
      </c>
    </row>
    <row r="1580" spans="1:10" ht="15" x14ac:dyDescent="0.2">
      <c r="A1580" s="324" t="s">
        <v>2980</v>
      </c>
      <c r="B1580" s="324" t="str">
        <f t="shared" si="98"/>
        <v>1020</v>
      </c>
      <c r="C1580" s="324" t="str">
        <f t="shared" si="99"/>
        <v>50062</v>
      </c>
      <c r="D1580" s="324" t="str">
        <f>"0100"</f>
        <v>0100</v>
      </c>
      <c r="E1580" s="324">
        <v>1</v>
      </c>
      <c r="F1580" s="827">
        <f>SUMIFS(F:F,B:B,"1000",H:H,"*TOILET ROLL*")</f>
        <v>0</v>
      </c>
      <c r="G1580" s="829">
        <v>10</v>
      </c>
      <c r="H1580" s="412" t="s">
        <v>1051</v>
      </c>
      <c r="I1580" s="1258"/>
      <c r="J1580" s="2" t="str">
        <f>IF(Table5[[#This Row],[Entered]]&lt;&gt;Table5[[#This Row],[Quantity]],"Check","")</f>
        <v/>
      </c>
    </row>
    <row r="1581" spans="1:10" ht="15" x14ac:dyDescent="0.2">
      <c r="A1581" s="324" t="s">
        <v>2980</v>
      </c>
      <c r="B1581" s="324" t="str">
        <f t="shared" si="98"/>
        <v>1020</v>
      </c>
      <c r="C1581" s="324" t="str">
        <f t="shared" si="99"/>
        <v>50062</v>
      </c>
      <c r="D1581" s="324" t="str">
        <f>"0116"</f>
        <v>0116</v>
      </c>
      <c r="E1581" s="324">
        <v>1</v>
      </c>
      <c r="F1581" s="827">
        <f>SUMIFS(F:F,B:B,"1000",H:H,"*TOWEL RING*")</f>
        <v>0</v>
      </c>
      <c r="G1581" s="829">
        <v>10</v>
      </c>
      <c r="H1581" s="412" t="s">
        <v>3027</v>
      </c>
      <c r="I1581" s="1258"/>
      <c r="J1581" s="2" t="str">
        <f>IF(Table5[[#This Row],[Entered]]&lt;&gt;Table5[[#This Row],[Quantity]],"Check","")</f>
        <v/>
      </c>
    </row>
    <row r="1582" spans="1:10" ht="15" x14ac:dyDescent="0.2">
      <c r="A1582" s="324" t="s">
        <v>2980</v>
      </c>
      <c r="B1582" s="324" t="str">
        <f t="shared" si="98"/>
        <v>1020</v>
      </c>
      <c r="C1582" s="324" t="str">
        <f t="shared" si="99"/>
        <v>50062</v>
      </c>
      <c r="D1582" s="324" t="str">
        <f>"0120"</f>
        <v>0120</v>
      </c>
      <c r="E1582" s="324">
        <v>1</v>
      </c>
      <c r="F1582" s="827">
        <f>COUNTIF(Name,"Shelf &amp; Rail")</f>
        <v>0</v>
      </c>
      <c r="G1582" s="829">
        <v>9</v>
      </c>
      <c r="H1582" s="412" t="s">
        <v>3028</v>
      </c>
      <c r="I1582" s="1258"/>
      <c r="J1582" s="2" t="str">
        <f>IF(Table5[[#This Row],[Entered]]&lt;&gt;Table5[[#This Row],[Quantity]],"Check","")</f>
        <v/>
      </c>
    </row>
    <row r="1583" spans="1:10" ht="15" x14ac:dyDescent="0.2">
      <c r="A1583" s="324" t="s">
        <v>2980</v>
      </c>
      <c r="B1583" s="324" t="str">
        <f t="shared" si="98"/>
        <v>1020</v>
      </c>
      <c r="C1583" s="324" t="str">
        <f t="shared" si="99"/>
        <v>50062</v>
      </c>
      <c r="D1583" s="324" t="str">
        <f>"0140"</f>
        <v>0140</v>
      </c>
      <c r="E1583" s="324">
        <v>1</v>
      </c>
      <c r="F1583" s="1128"/>
      <c r="G1583" s="829"/>
      <c r="H1583" s="412" t="s">
        <v>3029</v>
      </c>
      <c r="I1583" s="1258"/>
      <c r="J1583" s="2" t="str">
        <f>IF(Table5[[#This Row],[Entered]]&lt;&gt;Table5[[#This Row],[Quantity]],"Check","")</f>
        <v/>
      </c>
    </row>
    <row r="1584" spans="1:10" ht="15" x14ac:dyDescent="0.2">
      <c r="A1584" s="324" t="s">
        <v>2980</v>
      </c>
      <c r="B1584" s="324" t="str">
        <f t="shared" si="98"/>
        <v>1020</v>
      </c>
      <c r="C1584" s="324" t="str">
        <f t="shared" si="99"/>
        <v>50062</v>
      </c>
      <c r="D1584" s="324" t="str">
        <f>"0150"</f>
        <v>0150</v>
      </c>
      <c r="E1584" s="324">
        <v>1</v>
      </c>
      <c r="F1584" s="1128"/>
      <c r="G1584" s="829"/>
      <c r="H1584" s="412" t="s">
        <v>3030</v>
      </c>
      <c r="I1584" s="1258"/>
      <c r="J1584" s="2" t="str">
        <f>IF(Table5[[#This Row],[Entered]]&lt;&gt;Table5[[#This Row],[Quantity]],"Check","")</f>
        <v/>
      </c>
    </row>
    <row r="1585" spans="1:10" ht="15" x14ac:dyDescent="0.2">
      <c r="A1585" s="324" t="s">
        <v>2980</v>
      </c>
      <c r="B1585" s="324" t="str">
        <f t="shared" si="98"/>
        <v>1020</v>
      </c>
      <c r="C1585" s="324" t="str">
        <f t="shared" si="99"/>
        <v>50062</v>
      </c>
      <c r="D1585" s="324" t="str">
        <f>"0160"</f>
        <v>0160</v>
      </c>
      <c r="E1585" s="324">
        <v>7</v>
      </c>
      <c r="F1585" s="827">
        <f>ROUNDUP(SUMIF(Name,"Skirting",Length),1)</f>
        <v>0</v>
      </c>
      <c r="G1585" s="829">
        <v>3.68</v>
      </c>
      <c r="H1585" s="412" t="s">
        <v>3031</v>
      </c>
      <c r="I1585" s="1258"/>
      <c r="J1585" s="2" t="str">
        <f>IF(Table5[[#This Row],[Entered]]&lt;&gt;Table5[[#This Row],[Quantity]],"Check","")</f>
        <v/>
      </c>
    </row>
    <row r="1586" spans="1:10" ht="15" x14ac:dyDescent="0.2">
      <c r="A1586" s="324" t="s">
        <v>2980</v>
      </c>
      <c r="B1586" s="324" t="str">
        <f t="shared" si="98"/>
        <v>1020</v>
      </c>
      <c r="C1586" s="324" t="str">
        <f t="shared" si="99"/>
        <v>50062</v>
      </c>
      <c r="D1586" s="324" t="str">
        <f>"0171"</f>
        <v>0171</v>
      </c>
      <c r="E1586" s="324">
        <v>7</v>
      </c>
      <c r="F1586" s="827">
        <f>ROUNDUP(SUMIF(Name,"Door Cvty*",Length)*2+(COUNTIF(Name,"Door Cvty")*8.2),1)</f>
        <v>0</v>
      </c>
      <c r="G1586" s="829"/>
      <c r="H1586" s="412" t="s">
        <v>3032</v>
      </c>
      <c r="I1586" s="1258"/>
      <c r="J1586" s="2" t="str">
        <f>IF(Table5[[#This Row],[Entered]]&lt;&gt;Table5[[#This Row],[Quantity]],"Check","")</f>
        <v/>
      </c>
    </row>
    <row r="1587" spans="1:10" ht="15" x14ac:dyDescent="0.2">
      <c r="A1587" s="324" t="s">
        <v>2980</v>
      </c>
      <c r="B1587" s="324" t="str">
        <f t="shared" si="98"/>
        <v>1020</v>
      </c>
      <c r="C1587" s="324" t="str">
        <f t="shared" si="99"/>
        <v>50062</v>
      </c>
      <c r="D1587" s="324" t="str">
        <f>"0181"</f>
        <v>0181</v>
      </c>
      <c r="E1587" s="324">
        <v>1</v>
      </c>
      <c r="F1587" s="827">
        <f>COUNTIF(Name,"Door SHPR*")</f>
        <v>0</v>
      </c>
      <c r="G1587" s="829">
        <v>15</v>
      </c>
      <c r="H1587" s="412" t="s">
        <v>3033</v>
      </c>
      <c r="I1587" s="1258"/>
      <c r="J1587" s="2" t="str">
        <f>IF(Table5[[#This Row],[Entered]]&lt;&gt;Table5[[#This Row],[Quantity]],"Check","")</f>
        <v/>
      </c>
    </row>
    <row r="1588" spans="1:10" ht="15" x14ac:dyDescent="0.2">
      <c r="A1588" s="324" t="s">
        <v>2980</v>
      </c>
      <c r="B1588" s="324" t="str">
        <f t="shared" si="98"/>
        <v>1020</v>
      </c>
      <c r="C1588" s="324" t="str">
        <f t="shared" si="99"/>
        <v>50062</v>
      </c>
      <c r="D1588" s="324" t="str">
        <f>"0210"</f>
        <v>0210</v>
      </c>
      <c r="E1588" s="324">
        <v>1</v>
      </c>
      <c r="F1588" s="827">
        <f>COUNTIF(Name,"Door SHPR*")+COUNTIF(Name,"Door PA*")</f>
        <v>0</v>
      </c>
      <c r="G1588" s="829">
        <v>11</v>
      </c>
      <c r="H1588" s="412" t="s">
        <v>3034</v>
      </c>
      <c r="I1588" s="1258"/>
      <c r="J1588" s="2" t="str">
        <f>IF(Table5[[#This Row],[Entered]]&lt;&gt;Table5[[#This Row],[Quantity]],"Check","")</f>
        <v/>
      </c>
    </row>
    <row r="1589" spans="1:10" ht="15" x14ac:dyDescent="0.2">
      <c r="A1589" s="324" t="s">
        <v>2980</v>
      </c>
      <c r="B1589" s="324" t="str">
        <f t="shared" si="98"/>
        <v>1020</v>
      </c>
      <c r="C1589" s="324" t="str">
        <f t="shared" si="99"/>
        <v>50062</v>
      </c>
      <c r="D1589" s="324" t="str">
        <f>"0225"</f>
        <v>0225</v>
      </c>
      <c r="E1589" s="324">
        <v>1</v>
      </c>
      <c r="F1589" s="827">
        <f>COUNTIF(Name,"Door Sld")+COUNTIF(Name,"Door Sld Dbl")+COUNTIF(NameFF,"Door Sld")+COUNTIF(NameFF,"Door Sld Dbl")</f>
        <v>0</v>
      </c>
      <c r="G1589" s="829"/>
      <c r="H1589" s="412" t="s">
        <v>3035</v>
      </c>
      <c r="I1589" s="1258"/>
      <c r="J1589" s="2" t="str">
        <f>IF(Table5[[#This Row],[Entered]]&lt;&gt;Table5[[#This Row],[Quantity]],"Check","")</f>
        <v/>
      </c>
    </row>
    <row r="1590" spans="1:10" ht="15" x14ac:dyDescent="0.2">
      <c r="A1590" s="324" t="s">
        <v>2980</v>
      </c>
      <c r="B1590" s="324" t="str">
        <f t="shared" si="98"/>
        <v>1020</v>
      </c>
      <c r="C1590" s="324" t="str">
        <f t="shared" si="99"/>
        <v>50062</v>
      </c>
      <c r="D1590" s="324" t="str">
        <f>"0230"</f>
        <v>0230</v>
      </c>
      <c r="E1590" s="324">
        <v>7</v>
      </c>
      <c r="F1590" s="827">
        <f ca="1">ROUNDUP(Mouldings!L46+CEILING(SUMIFS(Length,Name,"*Raked Ceiling*",Material,"Cedar")*1.1,0.6)+CEILING(SUMIFS('CSV FF'!C:C,'CSV FF'!A:A,"*Raked Ceiling*",'CSV FF'!B:B,"Cedar")*1.1,0.6),1)</f>
        <v>0</v>
      </c>
      <c r="G1590" s="829">
        <v>3.8</v>
      </c>
      <c r="H1590" s="412" t="s">
        <v>3037</v>
      </c>
      <c r="I1590" s="1258"/>
      <c r="J1590" s="2" t="str">
        <f ca="1">IF(Table5[[#This Row],[Entered]]&lt;&gt;Table5[[#This Row],[Quantity]],"Check","")</f>
        <v/>
      </c>
    </row>
    <row r="1591" spans="1:10" s="1161" customFormat="1" ht="15" x14ac:dyDescent="0.2">
      <c r="A1591" s="324" t="s">
        <v>2980</v>
      </c>
      <c r="B1591" s="324" t="str">
        <f t="shared" si="98"/>
        <v>1020</v>
      </c>
      <c r="C1591" s="324" t="str">
        <f t="shared" si="99"/>
        <v>50062</v>
      </c>
      <c r="D1591" s="324" t="str">
        <f>"0330"</f>
        <v>0330</v>
      </c>
      <c r="E1591" s="324">
        <v>8</v>
      </c>
      <c r="F1591" s="827">
        <f>ROUND(SUMIF(Name,"Cedar Ceiling",Area),1)+ROUND(SUMIF(NameFF,"Cedar Ceiling",AreaFF),1)</f>
        <v>0</v>
      </c>
      <c r="G1591" s="829"/>
      <c r="H1591" s="412" t="s">
        <v>3039</v>
      </c>
      <c r="I1591" s="1258"/>
      <c r="J1591" s="2" t="str">
        <f>IF(Table5[[#This Row],[Entered]]&lt;&gt;Table5[[#This Row],[Quantity]],"Check","")</f>
        <v/>
      </c>
    </row>
    <row r="1592" spans="1:10" s="1161" customFormat="1" ht="15" x14ac:dyDescent="0.2">
      <c r="A1592" s="324" t="s">
        <v>2980</v>
      </c>
      <c r="B1592" s="324" t="str">
        <f t="shared" si="98"/>
        <v>1020</v>
      </c>
      <c r="C1592" s="324" t="str">
        <f t="shared" si="99"/>
        <v>50062</v>
      </c>
      <c r="D1592" s="324" t="str">
        <f>"0331"</f>
        <v>0331</v>
      </c>
      <c r="E1592" s="324">
        <v>8</v>
      </c>
      <c r="F1592" s="827" cm="1">
        <f t="array" aca="1" ref="F1592" ca="1">ROUND(CEILING(SUMIFS(Area,Name,"*Raked Ceiling*",Material,"Cedar")*1.1,0.6),1)+ROUND(CEILING(SUMIFS(AreaFF,NameFF,"*Raked Ceiling*",MaterialFF,"Cedar")*1.1,0.6),1)</f>
        <v>0</v>
      </c>
      <c r="G1592" s="829"/>
      <c r="H1592" s="412" t="s">
        <v>3038</v>
      </c>
      <c r="I1592" s="1258"/>
      <c r="J1592" s="2" t="str">
        <f ca="1">IF(Table5[[#This Row],[Entered]]&lt;&gt;Table5[[#This Row],[Quantity]],"Check","")</f>
        <v/>
      </c>
    </row>
    <row r="1593" spans="1:10" s="1161" customFormat="1" ht="15" x14ac:dyDescent="0.2">
      <c r="A1593" s="324" t="s">
        <v>2980</v>
      </c>
      <c r="B1593" s="324" t="str">
        <f t="shared" si="98"/>
        <v>1020</v>
      </c>
      <c r="C1593" s="324" t="str">
        <f t="shared" si="99"/>
        <v>50062</v>
      </c>
      <c r="D1593" s="324" t="str">
        <f>"0420"</f>
        <v>0420</v>
      </c>
      <c r="E1593" s="324">
        <v>7</v>
      </c>
      <c r="F1593" s="827"/>
      <c r="G1593" s="829"/>
      <c r="H1593" s="412" t="s">
        <v>3040</v>
      </c>
      <c r="I1593" s="1258"/>
      <c r="J1593" s="2" t="str">
        <f>IF(Table5[[#This Row],[Entered]]&lt;&gt;Table5[[#This Row],[Quantity]],"Check","")</f>
        <v/>
      </c>
    </row>
    <row r="1594" spans="1:10" s="1161" customFormat="1" ht="15" x14ac:dyDescent="0.2">
      <c r="A1594" s="324" t="s">
        <v>2980</v>
      </c>
      <c r="B1594" s="324" t="str">
        <f t="shared" si="98"/>
        <v>1020</v>
      </c>
      <c r="C1594" s="324" t="str">
        <f t="shared" si="99"/>
        <v>50062</v>
      </c>
      <c r="D1594" s="324" t="str">
        <f>"0500"</f>
        <v>0500</v>
      </c>
      <c r="E1594" s="324">
        <v>1</v>
      </c>
      <c r="F1594" s="827">
        <f>SUMIFS(F:F,B:B,"1000",H:H,"*DEAD**")</f>
        <v>0</v>
      </c>
      <c r="G1594" s="829">
        <v>20</v>
      </c>
      <c r="H1594" s="412" t="s">
        <v>3280</v>
      </c>
      <c r="I1594" s="1258"/>
      <c r="J1594" s="2" t="str">
        <f>IF(Table5[[#This Row],[Entered]]&lt;&gt;Table5[[#This Row],[Quantity]],"Check","")</f>
        <v/>
      </c>
    </row>
    <row r="1595" spans="1:10" s="1161" customFormat="1" ht="15" x14ac:dyDescent="0.2">
      <c r="A1595" s="324" t="s">
        <v>2980</v>
      </c>
      <c r="B1595" s="324" t="str">
        <f t="shared" si="98"/>
        <v>1020</v>
      </c>
      <c r="C1595" s="324" t="str">
        <f t="shared" si="99"/>
        <v>50062</v>
      </c>
      <c r="D1595" s="324" t="str">
        <f>"0680"</f>
        <v>0680</v>
      </c>
      <c r="E1595" s="324">
        <v>1</v>
      </c>
      <c r="F1595" s="827" t="e">
        <f ca="1">SUMIFS(F:F,B:B,"1000",H:H,"*TRI-LOCK*")</f>
        <v>#N/A</v>
      </c>
      <c r="G1595" s="1222">
        <v>30</v>
      </c>
      <c r="H1595" s="412" t="s">
        <v>3279</v>
      </c>
      <c r="I1595" s="1258"/>
      <c r="J1595" s="2" t="e">
        <f ca="1">IF(Table5[[#This Row],[Entered]]&lt;&gt;Table5[[#This Row],[Quantity]],"Check","")</f>
        <v>#N/A</v>
      </c>
    </row>
    <row r="1596" spans="1:10" s="1161" customFormat="1" ht="15" x14ac:dyDescent="0.2">
      <c r="A1596" s="324" t="s">
        <v>2980</v>
      </c>
      <c r="B1596" s="324" t="str">
        <f t="shared" si="98"/>
        <v>1020</v>
      </c>
      <c r="C1596" s="324" t="str">
        <f t="shared" si="99"/>
        <v>50062</v>
      </c>
      <c r="D1596" s="324" t="str">
        <f>"4050"</f>
        <v>4050</v>
      </c>
      <c r="E1596" s="324">
        <v>1</v>
      </c>
      <c r="F1596" s="827">
        <f>COUNTIFS(Name,"Door*",Material,"*Wet*")+F1567</f>
        <v>0</v>
      </c>
      <c r="G1596" s="829">
        <v>5</v>
      </c>
      <c r="H1596" s="412" t="s">
        <v>3317</v>
      </c>
      <c r="I1596" s="1258"/>
      <c r="J1596" s="2" t="str">
        <f>IF(Table5[[#This Row],[Entered]]&lt;&gt;Table5[[#This Row],[Quantity]],"Check","")</f>
        <v/>
      </c>
    </row>
    <row r="1597" spans="1:10" s="1161" customFormat="1" ht="15" x14ac:dyDescent="0.2">
      <c r="A1597" s="324" t="s">
        <v>2980</v>
      </c>
      <c r="B1597" s="324" t="str">
        <f t="shared" si="98"/>
        <v>1020</v>
      </c>
      <c r="C1597" s="324" t="str">
        <f t="shared" si="99"/>
        <v>50062</v>
      </c>
      <c r="D1597" s="324">
        <v>9900</v>
      </c>
      <c r="E1597" s="324">
        <v>0</v>
      </c>
      <c r="F1597" s="827">
        <v>1</v>
      </c>
      <c r="G1597" s="829">
        <v>0</v>
      </c>
      <c r="H1597" s="412" t="s">
        <v>3315</v>
      </c>
      <c r="I1597" s="1258"/>
      <c r="J1597" s="2" t="str">
        <f>IF(Table5[[#This Row],[Entered]]&lt;&gt;Table5[[#This Row],[Quantity]],"Check","")</f>
        <v>Check</v>
      </c>
    </row>
    <row r="1598" spans="1:10" ht="15" x14ac:dyDescent="0.2">
      <c r="A1598" s="324"/>
      <c r="B1598" s="324"/>
      <c r="C1598" s="324"/>
      <c r="D1598" s="324"/>
      <c r="E1598" s="324"/>
      <c r="F1598" s="827"/>
      <c r="G1598" s="829"/>
      <c r="H1598" s="412"/>
      <c r="I1598" s="1258"/>
      <c r="J1598" s="2" t="str">
        <f>IF(Table5[[#This Row],[Entered]]&lt;&gt;Table5[[#This Row],[Quantity]],"Check","")</f>
        <v/>
      </c>
    </row>
    <row r="1599" spans="1:10" ht="15" x14ac:dyDescent="0.2">
      <c r="A1599" s="324" t="s">
        <v>3290</v>
      </c>
      <c r="B1599" s="324" t="str">
        <f>"1300"</f>
        <v>1300</v>
      </c>
      <c r="C1599" s="324" t="str">
        <f>"50001"</f>
        <v>50001</v>
      </c>
      <c r="D1599" s="324" t="str">
        <f>"0010"</f>
        <v>0010</v>
      </c>
      <c r="E1599" s="324">
        <v>1</v>
      </c>
      <c r="F1599" s="827">
        <v>3</v>
      </c>
      <c r="G1599" s="829">
        <v>35</v>
      </c>
      <c r="H1599" s="412" t="s">
        <v>3291</v>
      </c>
      <c r="I1599" s="1258"/>
      <c r="J1599" s="2" t="str">
        <f>IF(Table5[[#This Row],[Entered]]&lt;&gt;Table5[[#This Row],[Quantity]],"Check","")</f>
        <v>Check</v>
      </c>
    </row>
    <row r="1600" spans="1:10" ht="15" x14ac:dyDescent="0.2">
      <c r="A1600" s="324"/>
      <c r="B1600" s="324"/>
      <c r="C1600" s="324"/>
      <c r="D1600" s="324"/>
      <c r="E1600" s="324"/>
      <c r="F1600" s="827"/>
      <c r="G1600" s="829"/>
      <c r="H1600" s="412"/>
      <c r="I1600" s="1258"/>
      <c r="J1600" s="2" t="str">
        <f>IF(Table5[[#This Row],[Entered]]&lt;&gt;Table5[[#This Row],[Quantity]],"Check","")</f>
        <v/>
      </c>
    </row>
    <row r="1601" spans="1:10" ht="15" x14ac:dyDescent="0.2">
      <c r="A1601" s="324" t="s">
        <v>3095</v>
      </c>
      <c r="B1601" s="324" t="str">
        <f>"1040"</f>
        <v>1040</v>
      </c>
      <c r="C1601" s="324">
        <v>52024</v>
      </c>
      <c r="D1601" s="324">
        <v>6800</v>
      </c>
      <c r="E1601" s="324">
        <v>1</v>
      </c>
      <c r="F1601" s="827">
        <f>Quotes!B7</f>
        <v>0</v>
      </c>
      <c r="G1601" s="829">
        <v>1</v>
      </c>
      <c r="H1601" s="412" t="s">
        <v>3096</v>
      </c>
      <c r="I1601" s="1258"/>
      <c r="J1601" s="2" t="str">
        <f>IF(Table5[[#This Row],[Entered]]&lt;&gt;Table5[[#This Row],[Quantity]],"Check","")</f>
        <v/>
      </c>
    </row>
    <row r="1602" spans="1:10" ht="15" x14ac:dyDescent="0.2">
      <c r="A1602" s="324"/>
      <c r="B1602" s="324"/>
      <c r="C1602" s="324"/>
      <c r="D1602" s="324"/>
      <c r="E1602" s="324"/>
      <c r="F1602" s="827"/>
      <c r="G1602" s="829"/>
      <c r="H1602" s="412"/>
      <c r="I1602" s="1258"/>
      <c r="J1602" s="2" t="str">
        <f>IF(Table5[[#This Row],[Entered]]&lt;&gt;Table5[[#This Row],[Quantity]],"Check","")</f>
        <v/>
      </c>
    </row>
    <row r="1603" spans="1:10" ht="15" x14ac:dyDescent="0.2">
      <c r="A1603" s="324" t="s">
        <v>3095</v>
      </c>
      <c r="B1603" s="324" t="str">
        <f t="shared" ref="B1603:B1634" si="100">"1050"</f>
        <v>1050</v>
      </c>
      <c r="C1603" s="324">
        <v>52024</v>
      </c>
      <c r="D1603" s="324">
        <v>7000</v>
      </c>
      <c r="E1603" s="324">
        <v>1</v>
      </c>
      <c r="F1603" s="827">
        <f>IF(COUNTIF(Addenda!A:A,"*PLUNKETT*")&gt;0,1,0)</f>
        <v>0</v>
      </c>
      <c r="G1603" s="829">
        <v>0</v>
      </c>
      <c r="H1603" s="412" t="s">
        <v>3281</v>
      </c>
      <c r="I1603" s="1258"/>
      <c r="J1603" s="2" t="str">
        <f>IF(Table5[[#This Row],[Entered]]&lt;&gt;Table5[[#This Row],[Quantity]],"Check","")</f>
        <v/>
      </c>
    </row>
    <row r="1604" spans="1:10" ht="15" x14ac:dyDescent="0.2">
      <c r="A1604" s="324" t="s">
        <v>3095</v>
      </c>
      <c r="B1604" s="324" t="str">
        <f t="shared" si="100"/>
        <v>1050</v>
      </c>
      <c r="C1604" s="324">
        <v>52111</v>
      </c>
      <c r="D1604" s="324">
        <v>7000</v>
      </c>
      <c r="E1604" s="324">
        <v>1</v>
      </c>
      <c r="F1604" s="827">
        <f>COUNTIF(Addenda!A:A,"*PPR20B*")</f>
        <v>0</v>
      </c>
      <c r="G1604" s="829">
        <v>0</v>
      </c>
      <c r="H1604" s="412" t="s">
        <v>3536</v>
      </c>
      <c r="I1604" s="1258"/>
      <c r="J1604" s="2" t="str">
        <f>IF(Table5[[#This Row],[Entered]]&lt;&gt;Table5[[#This Row],[Quantity]],"Check","")</f>
        <v/>
      </c>
    </row>
    <row r="1605" spans="1:10" ht="15" x14ac:dyDescent="0.2">
      <c r="A1605" s="324" t="s">
        <v>3095</v>
      </c>
      <c r="B1605" s="324" t="str">
        <f t="shared" si="100"/>
        <v>1050</v>
      </c>
      <c r="C1605" s="324">
        <v>52111</v>
      </c>
      <c r="D1605" s="1103">
        <f>25</f>
        <v>25</v>
      </c>
      <c r="E1605" s="1103">
        <v>1</v>
      </c>
      <c r="F1605" s="1104">
        <f>COUNTIF(Addenda!A:A,"*MAXTON 1525*")</f>
        <v>0</v>
      </c>
      <c r="G1605" s="1105"/>
      <c r="H1605" s="1111" t="s">
        <v>2239</v>
      </c>
      <c r="I1605" s="1205"/>
      <c r="J1605" s="2" t="str">
        <f>IF(Table5[[#This Row],[Entered]]&lt;&gt;Table5[[#This Row],[Quantity]],"Check","")</f>
        <v/>
      </c>
    </row>
    <row r="1606" spans="1:10" ht="15" x14ac:dyDescent="0.2">
      <c r="A1606" s="324" t="s">
        <v>3095</v>
      </c>
      <c r="B1606" s="324" t="str">
        <f t="shared" si="100"/>
        <v>1050</v>
      </c>
      <c r="C1606" s="324">
        <v>52111</v>
      </c>
      <c r="D1606" s="1103">
        <f>26</f>
        <v>26</v>
      </c>
      <c r="E1606" s="1103">
        <v>1</v>
      </c>
      <c r="F1606" s="1104">
        <f>COUNTIF(Addenda!A:A,"*DECINA NOVARA 1525*")</f>
        <v>0</v>
      </c>
      <c r="G1606" s="1105"/>
      <c r="H1606" s="1111" t="s">
        <v>2240</v>
      </c>
      <c r="I1606" s="1205"/>
      <c r="J1606" s="2" t="str">
        <f>IF(Table5[[#This Row],[Entered]]&lt;&gt;Table5[[#This Row],[Quantity]],"Check","")</f>
        <v/>
      </c>
    </row>
    <row r="1607" spans="1:10" ht="15" x14ac:dyDescent="0.2">
      <c r="A1607" s="324" t="s">
        <v>3095</v>
      </c>
      <c r="B1607" s="324" t="str">
        <f t="shared" si="100"/>
        <v>1050</v>
      </c>
      <c r="C1607" s="324">
        <v>52111</v>
      </c>
      <c r="D1607" s="1103">
        <f>27</f>
        <v>27</v>
      </c>
      <c r="E1607" s="1103">
        <v>1</v>
      </c>
      <c r="F1607" s="1104">
        <f>COUNTIF(Addenda!A:A,"*JL715*")</f>
        <v>0</v>
      </c>
      <c r="G1607" s="1105"/>
      <c r="H1607" s="1111" t="s">
        <v>2342</v>
      </c>
      <c r="I1607" s="1205"/>
      <c r="J1607" s="2" t="str">
        <f>IF(Table5[[#This Row],[Entered]]&lt;&gt;Table5[[#This Row],[Quantity]],"Check","")</f>
        <v/>
      </c>
    </row>
    <row r="1608" spans="1:10" ht="15" x14ac:dyDescent="0.2">
      <c r="A1608" s="324" t="s">
        <v>3095</v>
      </c>
      <c r="B1608" s="324" t="str">
        <f t="shared" si="100"/>
        <v>1050</v>
      </c>
      <c r="C1608" s="324">
        <v>52111</v>
      </c>
      <c r="D1608" s="324" t="str">
        <f>"0623"</f>
        <v>0623</v>
      </c>
      <c r="E1608" s="324">
        <v>1</v>
      </c>
      <c r="F1608" s="827">
        <f>IF(COUNTIF(Addenda!A:A,"*PLUNKETT*")&gt;0,0,COUNTIF(Addenda!A:A,"*LUNA 1525*"))</f>
        <v>0</v>
      </c>
      <c r="G1608" s="829">
        <v>242.16</v>
      </c>
      <c r="H1608" s="412" t="s">
        <v>3802</v>
      </c>
      <c r="I1608" s="1258"/>
      <c r="J1608" s="2" t="str">
        <f>IF(Table5[[#This Row],[Entered]]&lt;&gt;Table5[[#This Row],[Quantity]],"Check","")</f>
        <v/>
      </c>
    </row>
    <row r="1609" spans="1:10" ht="15" x14ac:dyDescent="0.2">
      <c r="A1609" s="324" t="s">
        <v>3095</v>
      </c>
      <c r="B1609" s="324" t="str">
        <f t="shared" si="100"/>
        <v>1050</v>
      </c>
      <c r="C1609" s="324">
        <v>52111</v>
      </c>
      <c r="D1609" s="1103">
        <f>29</f>
        <v>29</v>
      </c>
      <c r="E1609" s="1103">
        <v>1</v>
      </c>
      <c r="F1609" s="1104">
        <f>COUNTIF(Addenda!A:A,"*1525 ROUND*")</f>
        <v>0</v>
      </c>
      <c r="G1609" s="1105"/>
      <c r="H1609" s="1111" t="s">
        <v>2241</v>
      </c>
      <c r="I1609" s="1205"/>
      <c r="J1609" s="2" t="str">
        <f>IF(Table5[[#This Row],[Entered]]&lt;&gt;Table5[[#This Row],[Quantity]],"Check","")</f>
        <v/>
      </c>
    </row>
    <row r="1610" spans="1:10" ht="15" x14ac:dyDescent="0.2">
      <c r="A1610" s="324" t="s">
        <v>3095</v>
      </c>
      <c r="B1610" s="324" t="str">
        <f t="shared" si="100"/>
        <v>1050</v>
      </c>
      <c r="C1610" s="324">
        <v>52111</v>
      </c>
      <c r="D1610" s="1103">
        <v>30</v>
      </c>
      <c r="E1610" s="1103">
        <v>1</v>
      </c>
      <c r="F1610" s="1104">
        <f>COUNTIFS(Addenda!A:A,"*tondo*",Addenda!A:A,"*1525*")</f>
        <v>0</v>
      </c>
      <c r="G1610" s="1105"/>
      <c r="H1610" s="1111" t="s">
        <v>2449</v>
      </c>
      <c r="I1610" s="1205"/>
      <c r="J1610" s="2" t="str">
        <f>IF(Table5[[#This Row],[Entered]]&lt;&gt;Table5[[#This Row],[Quantity]],"Check","")</f>
        <v/>
      </c>
    </row>
    <row r="1611" spans="1:10" ht="15" x14ac:dyDescent="0.2">
      <c r="A1611" s="324" t="s">
        <v>3095</v>
      </c>
      <c r="B1611" s="324" t="str">
        <f t="shared" si="100"/>
        <v>1050</v>
      </c>
      <c r="C1611" s="324">
        <v>52111</v>
      </c>
      <c r="D1611" s="1103">
        <v>31</v>
      </c>
      <c r="E1611" s="1103">
        <v>1</v>
      </c>
      <c r="F1611" s="1104">
        <f>COUNTIFS(Addenda!A:A,"*tondo*",Addenda!A:A,"*1675*")</f>
        <v>0</v>
      </c>
      <c r="G1611" s="1105"/>
      <c r="H1611" s="1111" t="s">
        <v>2448</v>
      </c>
      <c r="I1611" s="1205"/>
      <c r="J1611" s="2" t="str">
        <f>IF(Table5[[#This Row],[Entered]]&lt;&gt;Table5[[#This Row],[Quantity]],"Check","")</f>
        <v/>
      </c>
    </row>
    <row r="1612" spans="1:10" ht="15" x14ac:dyDescent="0.2">
      <c r="A1612" s="324" t="s">
        <v>3095</v>
      </c>
      <c r="B1612" s="324" t="str">
        <f t="shared" si="100"/>
        <v>1050</v>
      </c>
      <c r="C1612" s="324">
        <v>52111</v>
      </c>
      <c r="D1612" s="1103">
        <f>35</f>
        <v>35</v>
      </c>
      <c r="E1612" s="1103">
        <v>1</v>
      </c>
      <c r="F1612" s="1104">
        <f>COUNTIF(Addenda!A:A,"*MAXTON 1675*")</f>
        <v>0</v>
      </c>
      <c r="G1612" s="1105"/>
      <c r="H1612" s="1111" t="s">
        <v>2242</v>
      </c>
      <c r="I1612" s="1205"/>
      <c r="J1612" s="2" t="str">
        <f>IF(Table5[[#This Row],[Entered]]&lt;&gt;Table5[[#This Row],[Quantity]],"Check","")</f>
        <v/>
      </c>
    </row>
    <row r="1613" spans="1:10" ht="15" x14ac:dyDescent="0.2">
      <c r="A1613" s="324" t="s">
        <v>3095</v>
      </c>
      <c r="B1613" s="324" t="str">
        <f t="shared" si="100"/>
        <v>1050</v>
      </c>
      <c r="C1613" s="324">
        <v>52111</v>
      </c>
      <c r="D1613" s="1103">
        <f>36</f>
        <v>36</v>
      </c>
      <c r="E1613" s="1103">
        <v>1</v>
      </c>
      <c r="F1613" s="1104">
        <f>COUNTIF(Addenda!A:A,"*DECINA NOVARA 1665*")</f>
        <v>0</v>
      </c>
      <c r="G1613" s="1105"/>
      <c r="H1613" s="1111" t="s">
        <v>2243</v>
      </c>
      <c r="I1613" s="1205"/>
      <c r="J1613" s="2" t="str">
        <f>IF(Table5[[#This Row],[Entered]]&lt;&gt;Table5[[#This Row],[Quantity]],"Check","")</f>
        <v/>
      </c>
    </row>
    <row r="1614" spans="1:10" ht="15" x14ac:dyDescent="0.2">
      <c r="A1614" s="324" t="s">
        <v>3095</v>
      </c>
      <c r="B1614" s="324" t="str">
        <f t="shared" si="100"/>
        <v>1050</v>
      </c>
      <c r="C1614" s="324">
        <v>52111</v>
      </c>
      <c r="D1614" s="1103">
        <f>37</f>
        <v>37</v>
      </c>
      <c r="E1614" s="1103">
        <v>1</v>
      </c>
      <c r="F1614" s="1104">
        <f>COUNTIF(Addenda!A:A,"*MAXTON 1800*")</f>
        <v>0</v>
      </c>
      <c r="G1614" s="1105"/>
      <c r="H1614" s="1111" t="s">
        <v>2244</v>
      </c>
      <c r="I1614" s="1205"/>
      <c r="J1614" s="2" t="str">
        <f>IF(Table5[[#This Row],[Entered]]&lt;&gt;Table5[[#This Row],[Quantity]],"Check","")</f>
        <v/>
      </c>
    </row>
    <row r="1615" spans="1:10" ht="15" x14ac:dyDescent="0.2">
      <c r="A1615" s="324" t="s">
        <v>3095</v>
      </c>
      <c r="B1615" s="324" t="str">
        <f t="shared" si="100"/>
        <v>1050</v>
      </c>
      <c r="C1615" s="324">
        <v>52111</v>
      </c>
      <c r="D1615" s="1103">
        <f>38</f>
        <v>38</v>
      </c>
      <c r="E1615" s="1103">
        <v>1</v>
      </c>
      <c r="F1615" s="1104">
        <f>COUNTIF(Addenda!A:A,"*JL714*")</f>
        <v>0</v>
      </c>
      <c r="G1615" s="1105"/>
      <c r="H1615" s="1111" t="s">
        <v>2343</v>
      </c>
      <c r="I1615" s="1205"/>
      <c r="J1615" s="2" t="str">
        <f>IF(Table5[[#This Row],[Entered]]&lt;&gt;Table5[[#This Row],[Quantity]],"Check","")</f>
        <v/>
      </c>
    </row>
    <row r="1616" spans="1:10" ht="15" x14ac:dyDescent="0.2">
      <c r="A1616" s="324" t="s">
        <v>3095</v>
      </c>
      <c r="B1616" s="324" t="str">
        <f t="shared" si="100"/>
        <v>1050</v>
      </c>
      <c r="C1616" s="324">
        <v>52111</v>
      </c>
      <c r="D1616" s="1103">
        <f>39</f>
        <v>39</v>
      </c>
      <c r="E1616" s="1103">
        <v>1</v>
      </c>
      <c r="F1616" s="1104">
        <f>IF(COUNTIF(Addenda!A:A,"*PLUNKETT*")=0,COUNTIF(Addenda!A:A,"*LUNA 1675*"),0)</f>
        <v>0</v>
      </c>
      <c r="G1616" s="1105"/>
      <c r="H1616" s="1111" t="s">
        <v>2245</v>
      </c>
      <c r="I1616" s="1205"/>
      <c r="J1616" s="2" t="str">
        <f>IF(Table5[[#This Row],[Entered]]&lt;&gt;Table5[[#This Row],[Quantity]],"Check","")</f>
        <v/>
      </c>
    </row>
    <row r="1617" spans="1:10" ht="15" x14ac:dyDescent="0.2">
      <c r="A1617" s="324" t="s">
        <v>3095</v>
      </c>
      <c r="B1617" s="324" t="str">
        <f t="shared" si="100"/>
        <v>1050</v>
      </c>
      <c r="C1617" s="324">
        <v>52111</v>
      </c>
      <c r="D1617" s="1103">
        <f>40</f>
        <v>40</v>
      </c>
      <c r="E1617" s="1103">
        <v>1</v>
      </c>
      <c r="F1617" s="1104">
        <f>COUNTIFS(Addenda!A:A,"*ROUND*",Addenda!A:A,"*CLARK*",Addenda!A:A,"*1675*")</f>
        <v>0</v>
      </c>
      <c r="G1617" s="1105"/>
      <c r="H1617" s="1111" t="s">
        <v>2246</v>
      </c>
      <c r="I1617" s="1205"/>
      <c r="J1617" s="2" t="str">
        <f>IF(Table5[[#This Row],[Entered]]&lt;&gt;Table5[[#This Row],[Quantity]],"Check","")</f>
        <v/>
      </c>
    </row>
    <row r="1618" spans="1:10" ht="15" x14ac:dyDescent="0.2">
      <c r="A1618" s="324" t="s">
        <v>3095</v>
      </c>
      <c r="B1618" s="324" t="str">
        <f t="shared" si="100"/>
        <v>1050</v>
      </c>
      <c r="C1618" s="324">
        <v>52111</v>
      </c>
      <c r="D1618" s="324">
        <v>7001</v>
      </c>
      <c r="E1618" s="324">
        <v>1</v>
      </c>
      <c r="F1618" s="827">
        <f>COUNTIF(Addenda!A:A,"*CL7W*")</f>
        <v>0</v>
      </c>
      <c r="G1618" s="829">
        <v>0</v>
      </c>
      <c r="H1618" s="412" t="s">
        <v>3539</v>
      </c>
      <c r="I1618" s="1258"/>
      <c r="J1618" s="2" t="str">
        <f>IF(Table5[[#This Row],[Entered]]&lt;&gt;Table5[[#This Row],[Quantity]],"Check","")</f>
        <v/>
      </c>
    </row>
    <row r="1619" spans="1:10" ht="15" x14ac:dyDescent="0.2">
      <c r="A1619" s="324" t="s">
        <v>3095</v>
      </c>
      <c r="B1619" s="324" t="str">
        <f t="shared" si="100"/>
        <v>1050</v>
      </c>
      <c r="C1619" s="324">
        <v>52111</v>
      </c>
      <c r="D1619" s="1103">
        <v>44</v>
      </c>
      <c r="E1619" s="1103">
        <v>1</v>
      </c>
      <c r="F1619" s="1104">
        <f>IF(COUNTIFS(Addenda!A:A,"*moderna*",Addenda!A:A,"*1700*")+COUNTIF(Addenda!A:A,"*JL609*")&gt;0,1,0)</f>
        <v>0</v>
      </c>
      <c r="G1619" s="1105"/>
      <c r="H1619" s="1111" t="s">
        <v>2466</v>
      </c>
      <c r="I1619" s="1205"/>
      <c r="J1619" s="2" t="str">
        <f>IF(Table5[[#This Row],[Entered]]&lt;&gt;Table5[[#This Row],[Quantity]],"Check","")</f>
        <v/>
      </c>
    </row>
    <row r="1620" spans="1:10" ht="15" x14ac:dyDescent="0.2">
      <c r="A1620" s="324" t="s">
        <v>3095</v>
      </c>
      <c r="B1620" s="324" t="str">
        <f t="shared" si="100"/>
        <v>1050</v>
      </c>
      <c r="C1620" s="324">
        <v>52111</v>
      </c>
      <c r="D1620" s="1103">
        <v>45</v>
      </c>
      <c r="E1620" s="1103">
        <v>1</v>
      </c>
      <c r="F1620" s="1104">
        <f>COUNTIFS(Addenda!A:A,"*FOTIA*",Addenda!A:A,"*1500*")</f>
        <v>0</v>
      </c>
      <c r="G1620" s="1105"/>
      <c r="H1620" s="1111" t="s">
        <v>2458</v>
      </c>
      <c r="I1620" s="1205"/>
      <c r="J1620" s="2" t="str">
        <f>IF(Table5[[#This Row],[Entered]]&lt;&gt;Table5[[#This Row],[Quantity]],"Check","")</f>
        <v/>
      </c>
    </row>
    <row r="1621" spans="1:10" ht="15" x14ac:dyDescent="0.2">
      <c r="A1621" s="324" t="s">
        <v>3095</v>
      </c>
      <c r="B1621" s="324" t="str">
        <f t="shared" si="100"/>
        <v>1050</v>
      </c>
      <c r="C1621" s="324">
        <v>52111</v>
      </c>
      <c r="D1621" s="1103">
        <v>46</v>
      </c>
      <c r="E1621" s="1103">
        <v>1</v>
      </c>
      <c r="F1621" s="1104">
        <f>COUNTIFS(Addenda!A:A,"*FOTIA*",Addenda!A:A,"*1700*")</f>
        <v>0</v>
      </c>
      <c r="G1621" s="1105"/>
      <c r="H1621" s="1111" t="s">
        <v>2459</v>
      </c>
      <c r="I1621" s="1205"/>
      <c r="J1621" s="2" t="str">
        <f>IF(Table5[[#This Row],[Entered]]&lt;&gt;Table5[[#This Row],[Quantity]],"Check","")</f>
        <v/>
      </c>
    </row>
    <row r="1622" spans="1:10" ht="15" x14ac:dyDescent="0.2">
      <c r="A1622" s="324" t="s">
        <v>3095</v>
      </c>
      <c r="B1622" s="324" t="str">
        <f t="shared" si="100"/>
        <v>1050</v>
      </c>
      <c r="C1622" s="324">
        <v>52111</v>
      </c>
      <c r="D1622" s="1103">
        <f>53</f>
        <v>53</v>
      </c>
      <c r="E1622" s="1103">
        <v>1</v>
      </c>
      <c r="F1622" s="1104"/>
      <c r="G1622" s="1105"/>
      <c r="H1622" s="1111" t="s">
        <v>2373</v>
      </c>
      <c r="I1622" s="1205"/>
      <c r="J1622" s="2" t="str">
        <f>IF(Table5[[#This Row],[Entered]]&lt;&gt;Table5[[#This Row],[Quantity]],"Check","")</f>
        <v/>
      </c>
    </row>
    <row r="1623" spans="1:10" ht="15" x14ac:dyDescent="0.2">
      <c r="A1623" s="324" t="s">
        <v>3095</v>
      </c>
      <c r="B1623" s="324" t="str">
        <f t="shared" si="100"/>
        <v>1050</v>
      </c>
      <c r="C1623" s="324">
        <v>52111</v>
      </c>
      <c r="D1623" s="1103" t="s">
        <v>1140</v>
      </c>
      <c r="E1623" s="1103">
        <v>1</v>
      </c>
      <c r="F1623" s="1104">
        <f>IF(COUNTIF(Addenda!A:A,"*JL609*")&gt;0,COUNTIF(Addenda!A:A,"*MODERNA 1500*"),0)</f>
        <v>0</v>
      </c>
      <c r="G1623" s="1105"/>
      <c r="H1623" s="1111" t="s">
        <v>2374</v>
      </c>
      <c r="I1623" s="1205"/>
      <c r="J1623" s="2" t="str">
        <f>IF(Table5[[#This Row],[Entered]]&lt;&gt;Table5[[#This Row],[Quantity]],"Check","")</f>
        <v/>
      </c>
    </row>
    <row r="1624" spans="1:10" ht="15" x14ac:dyDescent="0.2">
      <c r="A1624" s="324" t="s">
        <v>3095</v>
      </c>
      <c r="B1624" s="324" t="str">
        <f t="shared" si="100"/>
        <v>1050</v>
      </c>
      <c r="C1624" s="324">
        <v>52111</v>
      </c>
      <c r="D1624" s="1103">
        <f>54</f>
        <v>54</v>
      </c>
      <c r="E1624" s="1103">
        <v>1</v>
      </c>
      <c r="F1624" s="1104">
        <f>COUNTIFS(Addenda!A:A,"*JL609*",Addenda!A:A,"*Line*")</f>
        <v>0</v>
      </c>
      <c r="G1624" s="1105"/>
      <c r="H1624" s="1111" t="s">
        <v>2375</v>
      </c>
      <c r="I1624" s="1205"/>
      <c r="J1624" s="2" t="str">
        <f>IF(Table5[[#This Row],[Entered]]&lt;&gt;Table5[[#This Row],[Quantity]],"Check","")</f>
        <v/>
      </c>
    </row>
    <row r="1625" spans="1:10" ht="15" x14ac:dyDescent="0.2">
      <c r="A1625" s="324" t="s">
        <v>3095</v>
      </c>
      <c r="B1625" s="324" t="str">
        <f t="shared" si="100"/>
        <v>1050</v>
      </c>
      <c r="C1625" s="324">
        <v>52111</v>
      </c>
      <c r="D1625" s="1103">
        <f>55</f>
        <v>55</v>
      </c>
      <c r="E1625" s="1103">
        <v>1</v>
      </c>
      <c r="F1625" s="1104">
        <f>COUNTIFS(Addenda!A:A,"*JL629*",Addenda!A:A,"*White*")</f>
        <v>0</v>
      </c>
      <c r="G1625" s="1105"/>
      <c r="H1625" s="1111" t="s">
        <v>2376</v>
      </c>
      <c r="I1625" s="1205"/>
      <c r="J1625" s="2" t="str">
        <f>IF(Table5[[#This Row],[Entered]]&lt;&gt;Table5[[#This Row],[Quantity]],"Check","")</f>
        <v/>
      </c>
    </row>
    <row r="1626" spans="1:10" ht="15" x14ac:dyDescent="0.2">
      <c r="A1626" s="324" t="s">
        <v>3095</v>
      </c>
      <c r="B1626" s="324" t="str">
        <f t="shared" si="100"/>
        <v>1050</v>
      </c>
      <c r="C1626" s="324">
        <v>52111</v>
      </c>
      <c r="D1626" s="1103">
        <f>56</f>
        <v>56</v>
      </c>
      <c r="E1626" s="1103">
        <v>1</v>
      </c>
      <c r="F1626" s="1104">
        <f>COUNTIFS(Addenda!A:A,"*JL609*",Addenda!A:A,"*Black*")-COUNTIFS(Addenda!A:A,"*JL609*",Addenda!A:A,"*Line*")</f>
        <v>0</v>
      </c>
      <c r="G1626" s="1105"/>
      <c r="H1626" s="1111" t="s">
        <v>2377</v>
      </c>
      <c r="I1626" s="1205"/>
      <c r="J1626" s="2" t="str">
        <f>IF(Table5[[#This Row],[Entered]]&lt;&gt;Table5[[#This Row],[Quantity]],"Check","")</f>
        <v/>
      </c>
    </row>
    <row r="1627" spans="1:10" ht="15" x14ac:dyDescent="0.2">
      <c r="A1627" s="324" t="s">
        <v>3095</v>
      </c>
      <c r="B1627" s="324" t="str">
        <f t="shared" si="100"/>
        <v>1050</v>
      </c>
      <c r="C1627" s="324">
        <v>52111</v>
      </c>
      <c r="D1627" s="1103">
        <f>60</f>
        <v>60</v>
      </c>
      <c r="E1627" s="1103">
        <v>1</v>
      </c>
      <c r="F1627" s="1104">
        <f>COUNTIFS(Addenda!A:A,"*MIRAGE 1500*",Addenda!A:A,"*White*")</f>
        <v>0</v>
      </c>
      <c r="G1627" s="1105"/>
      <c r="H1627" s="1111" t="s">
        <v>1352</v>
      </c>
      <c r="I1627" s="1205"/>
      <c r="J1627" s="2" t="str">
        <f>IF(Table5[[#This Row],[Entered]]&lt;&gt;Table5[[#This Row],[Quantity]],"Check","")</f>
        <v/>
      </c>
    </row>
    <row r="1628" spans="1:10" ht="15" x14ac:dyDescent="0.2">
      <c r="A1628" s="324" t="s">
        <v>3095</v>
      </c>
      <c r="B1628" s="324" t="str">
        <f t="shared" si="100"/>
        <v>1050</v>
      </c>
      <c r="C1628" s="324">
        <v>52111</v>
      </c>
      <c r="D1628" s="1103">
        <f>73</f>
        <v>73</v>
      </c>
      <c r="E1628" s="1103">
        <v>1</v>
      </c>
      <c r="F1628" s="1104">
        <f>COUNTIFS(Addenda!A:A,"*DECINA ANGELIQUE*",Addenda!A:A,"*White*")</f>
        <v>0</v>
      </c>
      <c r="G1628" s="1105"/>
      <c r="H1628" s="1111" t="s">
        <v>2247</v>
      </c>
      <c r="I1628" s="1205"/>
      <c r="J1628" s="2" t="str">
        <f>IF(Table5[[#This Row],[Entered]]&lt;&gt;Table5[[#This Row],[Quantity]],"Check","")</f>
        <v/>
      </c>
    </row>
    <row r="1629" spans="1:10" ht="15" x14ac:dyDescent="0.2">
      <c r="A1629" s="324" t="s">
        <v>3095</v>
      </c>
      <c r="B1629" s="324" t="str">
        <f t="shared" si="100"/>
        <v>1050</v>
      </c>
      <c r="C1629" s="324">
        <v>52111</v>
      </c>
      <c r="D1629" s="1103">
        <f>79</f>
        <v>79</v>
      </c>
      <c r="E1629" s="1103">
        <v>1</v>
      </c>
      <c r="F1629" s="1104"/>
      <c r="G1629" s="1105"/>
      <c r="H1629" s="1111" t="s">
        <v>2248</v>
      </c>
      <c r="I1629" s="1205"/>
      <c r="J1629" s="2" t="str">
        <f>IF(Table5[[#This Row],[Entered]]&lt;&gt;Table5[[#This Row],[Quantity]],"Check","")</f>
        <v/>
      </c>
    </row>
    <row r="1630" spans="1:10" ht="15" x14ac:dyDescent="0.2">
      <c r="A1630" s="324" t="s">
        <v>3095</v>
      </c>
      <c r="B1630" s="324" t="str">
        <f t="shared" si="100"/>
        <v>1050</v>
      </c>
      <c r="C1630" s="324">
        <v>52111</v>
      </c>
      <c r="D1630" s="1103">
        <f>80</f>
        <v>80</v>
      </c>
      <c r="E1630" s="1103">
        <v>1</v>
      </c>
      <c r="F1630" s="1104">
        <f>COUNTIFS(Addenda!A:A,"*COSMO*",Addenda!A:A,"*3TH*",Addenda!A:A,"*VANITY*")</f>
        <v>0</v>
      </c>
      <c r="G1630" s="1105"/>
      <c r="H1630" s="1111" t="s">
        <v>2249</v>
      </c>
      <c r="I1630" s="1205"/>
      <c r="J1630" s="2" t="str">
        <f>IF(Table5[[#This Row],[Entered]]&lt;&gt;Table5[[#This Row],[Quantity]],"Check","")</f>
        <v/>
      </c>
    </row>
    <row r="1631" spans="1:10" ht="15" x14ac:dyDescent="0.2">
      <c r="A1631" s="324" t="s">
        <v>3095</v>
      </c>
      <c r="B1631" s="324" t="str">
        <f t="shared" si="100"/>
        <v>1050</v>
      </c>
      <c r="C1631" s="324">
        <v>52111</v>
      </c>
      <c r="D1631" s="1103">
        <f>81</f>
        <v>81</v>
      </c>
      <c r="E1631" s="1103">
        <v>1</v>
      </c>
      <c r="F1631" s="1104">
        <f>COUNTIFS(Addenda!A:A,"*COSMO*",Addenda!A:A,"*1TH*",Addenda!A:A,"*VANITY*")</f>
        <v>0</v>
      </c>
      <c r="G1631" s="1105"/>
      <c r="H1631" s="1111" t="s">
        <v>2250</v>
      </c>
      <c r="I1631" s="1205"/>
      <c r="J1631" s="2" t="str">
        <f>IF(Table5[[#This Row],[Entered]]&lt;&gt;Table5[[#This Row],[Quantity]],"Check","")</f>
        <v/>
      </c>
    </row>
    <row r="1632" spans="1:10" ht="15" x14ac:dyDescent="0.2">
      <c r="A1632" s="324" t="s">
        <v>3095</v>
      </c>
      <c r="B1632" s="324" t="str">
        <f t="shared" si="100"/>
        <v>1050</v>
      </c>
      <c r="C1632" s="324">
        <v>52111</v>
      </c>
      <c r="D1632" s="1103">
        <f>88</f>
        <v>88</v>
      </c>
      <c r="E1632" s="1103">
        <v>1</v>
      </c>
      <c r="F1632" s="1104">
        <f>COUNTIFS(Addenda!A:A,"*SYMPHONY*",Addenda!A:A,"*3TH*",Addenda!A:A,"*VANITY*")</f>
        <v>0</v>
      </c>
      <c r="G1632" s="1105"/>
      <c r="H1632" s="1111" t="s">
        <v>2251</v>
      </c>
      <c r="I1632" s="1205"/>
      <c r="J1632" s="2" t="str">
        <f>IF(Table5[[#This Row],[Entered]]&lt;&gt;Table5[[#This Row],[Quantity]],"Check","")</f>
        <v/>
      </c>
    </row>
    <row r="1633" spans="1:10" ht="15" x14ac:dyDescent="0.2">
      <c r="A1633" s="324" t="s">
        <v>3095</v>
      </c>
      <c r="B1633" s="324" t="str">
        <f t="shared" si="100"/>
        <v>1050</v>
      </c>
      <c r="C1633" s="324">
        <v>52111</v>
      </c>
      <c r="D1633" s="1103">
        <f>89</f>
        <v>89</v>
      </c>
      <c r="E1633" s="1103">
        <v>1</v>
      </c>
      <c r="F1633" s="1104">
        <f>COUNTIFS(Addenda!A:A,"*SYMPHONY*",Addenda!A:A,"*1TH*",Addenda!A:A,"*VANITY*")</f>
        <v>0</v>
      </c>
      <c r="G1633" s="1105"/>
      <c r="H1633" s="1111" t="s">
        <v>2252</v>
      </c>
      <c r="I1633" s="1205"/>
      <c r="J1633" s="2" t="str">
        <f>IF(Table5[[#This Row],[Entered]]&lt;&gt;Table5[[#This Row],[Quantity]],"Check","")</f>
        <v/>
      </c>
    </row>
    <row r="1634" spans="1:10" ht="15" x14ac:dyDescent="0.2">
      <c r="A1634" s="324" t="s">
        <v>3095</v>
      </c>
      <c r="B1634" s="324" t="str">
        <f t="shared" si="100"/>
        <v>1050</v>
      </c>
      <c r="C1634" s="324">
        <v>52111</v>
      </c>
      <c r="D1634" s="1103">
        <f>90</f>
        <v>90</v>
      </c>
      <c r="E1634" s="1103">
        <v>1</v>
      </c>
      <c r="F1634" s="1104">
        <f>COUNTIFS(Addenda!A:A,"*SBC*",Addenda!A:A,"*201*")+COUNTIF(Addenda!A:A,"191467")</f>
        <v>0</v>
      </c>
      <c r="G1634" s="1105"/>
      <c r="H1634" s="1111" t="s">
        <v>2378</v>
      </c>
      <c r="I1634" s="1205"/>
      <c r="J1634" s="2" t="str">
        <f>IF(Table5[[#This Row],[Entered]]&lt;&gt;Table5[[#This Row],[Quantity]],"Check","")</f>
        <v/>
      </c>
    </row>
    <row r="1635" spans="1:10" ht="15" x14ac:dyDescent="0.2">
      <c r="A1635" s="324" t="s">
        <v>3095</v>
      </c>
      <c r="B1635" s="324" t="str">
        <f t="shared" ref="B1635:B1666" si="101">"1050"</f>
        <v>1050</v>
      </c>
      <c r="C1635" s="324">
        <v>52111</v>
      </c>
      <c r="D1635" s="1103">
        <f>91</f>
        <v>91</v>
      </c>
      <c r="E1635" s="1103">
        <v>1</v>
      </c>
      <c r="F1635" s="1104">
        <f>COUNTIFS(Addenda!A:A,"*SBC*",Addenda!A:A,"*017*")</f>
        <v>0</v>
      </c>
      <c r="G1635" s="1105"/>
      <c r="H1635" s="1111" t="s">
        <v>2379</v>
      </c>
      <c r="I1635" s="1205"/>
      <c r="J1635" s="2" t="str">
        <f>IF(Table5[[#This Row],[Entered]]&lt;&gt;Table5[[#This Row],[Quantity]],"Check","")</f>
        <v/>
      </c>
    </row>
    <row r="1636" spans="1:10" ht="15" x14ac:dyDescent="0.2">
      <c r="A1636" s="324" t="s">
        <v>3095</v>
      </c>
      <c r="B1636" s="324" t="str">
        <f t="shared" si="101"/>
        <v>1050</v>
      </c>
      <c r="C1636" s="324">
        <v>52111</v>
      </c>
      <c r="D1636" s="1103">
        <f>92</f>
        <v>92</v>
      </c>
      <c r="E1636" s="1103">
        <v>1</v>
      </c>
      <c r="F1636" s="1104">
        <f>COUNTIFS(Addenda!A:A,"*SBC*",Addenda!A:A,"*010*")</f>
        <v>0</v>
      </c>
      <c r="G1636" s="1105"/>
      <c r="H1636" s="1111" t="s">
        <v>2380</v>
      </c>
      <c r="I1636" s="1205"/>
      <c r="J1636" s="2" t="str">
        <f>IF(Table5[[#This Row],[Entered]]&lt;&gt;Table5[[#This Row],[Quantity]],"Check","")</f>
        <v/>
      </c>
    </row>
    <row r="1637" spans="1:10" ht="15" x14ac:dyDescent="0.2">
      <c r="A1637" s="324" t="s">
        <v>3095</v>
      </c>
      <c r="B1637" s="324" t="str">
        <f t="shared" si="101"/>
        <v>1050</v>
      </c>
      <c r="C1637" s="324">
        <v>52111</v>
      </c>
      <c r="D1637" s="1103">
        <f>93</f>
        <v>93</v>
      </c>
      <c r="E1637" s="1103">
        <v>1</v>
      </c>
      <c r="F1637" s="1104">
        <f>COUNTIFS(Addenda!A:A,"*SBC*",Addenda!A:A,"*015*")</f>
        <v>0</v>
      </c>
      <c r="G1637" s="1105"/>
      <c r="H1637" s="1111" t="s">
        <v>2381</v>
      </c>
      <c r="I1637" s="1205"/>
      <c r="J1637" s="2" t="str">
        <f>IF(Table5[[#This Row],[Entered]]&lt;&gt;Table5[[#This Row],[Quantity]],"Check","")</f>
        <v/>
      </c>
    </row>
    <row r="1638" spans="1:10" ht="15" x14ac:dyDescent="0.2">
      <c r="A1638" s="324" t="s">
        <v>3095</v>
      </c>
      <c r="B1638" s="324" t="str">
        <f t="shared" si="101"/>
        <v>1050</v>
      </c>
      <c r="C1638" s="324">
        <v>52111</v>
      </c>
      <c r="D1638" s="1103">
        <f>94</f>
        <v>94</v>
      </c>
      <c r="E1638" s="1103">
        <v>1</v>
      </c>
      <c r="F1638" s="1104">
        <f>COUNTIFS(Addenda!A:A,"*SBC*",Addenda!A:A,"*002*")+COUNTIFS(Addenda!A:A,"*191429*")</f>
        <v>0</v>
      </c>
      <c r="G1638" s="1105"/>
      <c r="H1638" s="1111" t="s">
        <v>2467</v>
      </c>
      <c r="I1638" s="1205"/>
      <c r="J1638" s="2" t="str">
        <f>IF(Table5[[#This Row],[Entered]]&lt;&gt;Table5[[#This Row],[Quantity]],"Check","")</f>
        <v/>
      </c>
    </row>
    <row r="1639" spans="1:10" ht="15" x14ac:dyDescent="0.2">
      <c r="A1639" s="324" t="s">
        <v>3095</v>
      </c>
      <c r="B1639" s="324" t="str">
        <f t="shared" si="101"/>
        <v>1050</v>
      </c>
      <c r="C1639" s="324">
        <v>52111</v>
      </c>
      <c r="D1639" s="1103">
        <f>95</f>
        <v>95</v>
      </c>
      <c r="E1639" s="1103">
        <v>1</v>
      </c>
      <c r="F1639" s="1104">
        <f>COUNTIFS(Addenda!A:A,"*SBC*",Addenda!A:A,"*205*")</f>
        <v>0</v>
      </c>
      <c r="G1639" s="1105"/>
      <c r="H1639" s="1111" t="s">
        <v>2382</v>
      </c>
      <c r="I1639" s="1205"/>
      <c r="J1639" s="2" t="str">
        <f>IF(Table5[[#This Row],[Entered]]&lt;&gt;Table5[[#This Row],[Quantity]],"Check","")</f>
        <v/>
      </c>
    </row>
    <row r="1640" spans="1:10" ht="15" x14ac:dyDescent="0.2">
      <c r="A1640" s="324" t="s">
        <v>3095</v>
      </c>
      <c r="B1640" s="324" t="str">
        <f t="shared" si="101"/>
        <v>1050</v>
      </c>
      <c r="C1640" s="324">
        <v>52111</v>
      </c>
      <c r="D1640" s="1103">
        <f>96</f>
        <v>96</v>
      </c>
      <c r="E1640" s="1103">
        <v>1</v>
      </c>
      <c r="F1640" s="1104">
        <f>COUNTIFS(Addenda!A:A,"*SBC*",Addenda!A:A,"*210*")</f>
        <v>0</v>
      </c>
      <c r="G1640" s="1105"/>
      <c r="H1640" s="1111" t="s">
        <v>2383</v>
      </c>
      <c r="I1640" s="1205"/>
      <c r="J1640" s="2" t="str">
        <f>IF(Table5[[#This Row],[Entered]]&lt;&gt;Table5[[#This Row],[Quantity]],"Check","")</f>
        <v/>
      </c>
    </row>
    <row r="1641" spans="1:10" ht="15" x14ac:dyDescent="0.2">
      <c r="A1641" s="324" t="s">
        <v>3095</v>
      </c>
      <c r="B1641" s="324" t="str">
        <f t="shared" si="101"/>
        <v>1050</v>
      </c>
      <c r="C1641" s="324">
        <v>52111</v>
      </c>
      <c r="D1641" s="1103">
        <f>97</f>
        <v>97</v>
      </c>
      <c r="E1641" s="1103">
        <v>1</v>
      </c>
      <c r="F1641" s="1104">
        <f>COUNTIFS(Addenda!A:A,"*SBC*",Addenda!A:A,"*018*")</f>
        <v>0</v>
      </c>
      <c r="G1641" s="1105"/>
      <c r="H1641" s="1111" t="s">
        <v>2384</v>
      </c>
      <c r="I1641" s="1205"/>
      <c r="J1641" s="2" t="str">
        <f>IF(Table5[[#This Row],[Entered]]&lt;&gt;Table5[[#This Row],[Quantity]],"Check","")</f>
        <v/>
      </c>
    </row>
    <row r="1642" spans="1:10" ht="15" x14ac:dyDescent="0.2">
      <c r="A1642" s="324" t="s">
        <v>3095</v>
      </c>
      <c r="B1642" s="324" t="str">
        <f t="shared" si="101"/>
        <v>1050</v>
      </c>
      <c r="C1642" s="324">
        <v>52111</v>
      </c>
      <c r="D1642" s="1103">
        <f>100</f>
        <v>100</v>
      </c>
      <c r="E1642" s="1103">
        <v>1</v>
      </c>
      <c r="F1642" s="1104">
        <f>COUNTIFS(Addenda!A:A,"*COSMO*",Addenda!A:A,"*3TH*",Addenda!A:A,"*INSET*")</f>
        <v>0</v>
      </c>
      <c r="G1642" s="1105"/>
      <c r="H1642" s="1111" t="s">
        <v>1069</v>
      </c>
      <c r="I1642" s="1205"/>
      <c r="J1642" s="2" t="str">
        <f>IF(Table5[[#This Row],[Entered]]&lt;&gt;Table5[[#This Row],[Quantity]],"Check","")</f>
        <v/>
      </c>
    </row>
    <row r="1643" spans="1:10" ht="15" x14ac:dyDescent="0.2">
      <c r="A1643" s="324" t="s">
        <v>3095</v>
      </c>
      <c r="B1643" s="324" t="str">
        <f t="shared" si="101"/>
        <v>1050</v>
      </c>
      <c r="C1643" s="324">
        <v>52111</v>
      </c>
      <c r="D1643" s="1103">
        <f>101</f>
        <v>101</v>
      </c>
      <c r="E1643" s="1103">
        <v>1</v>
      </c>
      <c r="F1643" s="1104">
        <f>COUNTIFS(Addenda!A:A,"*COSMO*",Addenda!A:A,"*1TH*",Addenda!A:A,"*INSET*")</f>
        <v>0</v>
      </c>
      <c r="G1643" s="1105"/>
      <c r="H1643" s="1111" t="s">
        <v>2253</v>
      </c>
      <c r="I1643" s="1205"/>
      <c r="J1643" s="2" t="str">
        <f>IF(Table5[[#This Row],[Entered]]&lt;&gt;Table5[[#This Row],[Quantity]],"Check","")</f>
        <v/>
      </c>
    </row>
    <row r="1644" spans="1:10" ht="15" x14ac:dyDescent="0.2">
      <c r="A1644" s="324" t="s">
        <v>3095</v>
      </c>
      <c r="B1644" s="324" t="str">
        <f t="shared" si="101"/>
        <v>1050</v>
      </c>
      <c r="C1644" s="324">
        <v>52111</v>
      </c>
      <c r="D1644" s="1103">
        <f>140</f>
        <v>140</v>
      </c>
      <c r="E1644" s="1103">
        <v>1</v>
      </c>
      <c r="F1644" s="1104">
        <f>COUNTIFS(Addenda!A:A,"*COSMO*",Addenda!A:A,"*3TH*",Addenda!A:A,"*SEMI*")</f>
        <v>0</v>
      </c>
      <c r="G1644" s="1105"/>
      <c r="H1644" s="1111" t="s">
        <v>2254</v>
      </c>
      <c r="I1644" s="1205"/>
      <c r="J1644" s="2" t="str">
        <f>IF(Table5[[#This Row],[Entered]]&lt;&gt;Table5[[#This Row],[Quantity]],"Check","")</f>
        <v/>
      </c>
    </row>
    <row r="1645" spans="1:10" ht="15" x14ac:dyDescent="0.2">
      <c r="A1645" s="324" t="s">
        <v>3095</v>
      </c>
      <c r="B1645" s="324" t="str">
        <f t="shared" si="101"/>
        <v>1050</v>
      </c>
      <c r="C1645" s="324">
        <v>52111</v>
      </c>
      <c r="D1645" s="1103">
        <f>141</f>
        <v>141</v>
      </c>
      <c r="E1645" s="1103">
        <v>1</v>
      </c>
      <c r="F1645" s="1104">
        <f>COUNTIFS(Addenda!A:A,"*COSMO*",Addenda!A:A,"*1TH*",Addenda!A:A,"*SEMI*")</f>
        <v>0</v>
      </c>
      <c r="G1645" s="1105"/>
      <c r="H1645" s="1111" t="s">
        <v>2255</v>
      </c>
      <c r="I1645" s="1205"/>
      <c r="J1645" s="2" t="str">
        <f>IF(Table5[[#This Row],[Entered]]&lt;&gt;Table5[[#This Row],[Quantity]],"Check","")</f>
        <v/>
      </c>
    </row>
    <row r="1646" spans="1:10" ht="15" x14ac:dyDescent="0.2">
      <c r="A1646" s="324" t="s">
        <v>3095</v>
      </c>
      <c r="B1646" s="324" t="str">
        <f t="shared" si="101"/>
        <v>1050</v>
      </c>
      <c r="C1646" s="324">
        <v>52111</v>
      </c>
      <c r="D1646" s="1103">
        <f>147</f>
        <v>147</v>
      </c>
      <c r="E1646" s="1103">
        <v>1</v>
      </c>
      <c r="F1646" s="1104">
        <f>COUNTIFS(Addenda!A:A,"*SYMPHONY*",Addenda!A:A,"*1TH*",Addenda!A:A,"*SEMI*")</f>
        <v>0</v>
      </c>
      <c r="G1646" s="1105"/>
      <c r="H1646" s="1111" t="s">
        <v>2256</v>
      </c>
      <c r="I1646" s="1205"/>
      <c r="J1646" s="2" t="str">
        <f>IF(Table5[[#This Row],[Entered]]&lt;&gt;Table5[[#This Row],[Quantity]],"Check","")</f>
        <v/>
      </c>
    </row>
    <row r="1647" spans="1:10" ht="15" x14ac:dyDescent="0.2">
      <c r="A1647" s="324" t="s">
        <v>3095</v>
      </c>
      <c r="B1647" s="324" t="str">
        <f t="shared" si="101"/>
        <v>1050</v>
      </c>
      <c r="C1647" s="324">
        <v>52111</v>
      </c>
      <c r="D1647" s="1103">
        <f>148</f>
        <v>148</v>
      </c>
      <c r="E1647" s="1103">
        <v>1</v>
      </c>
      <c r="F1647" s="1104">
        <f>COUNTIFS(Addenda!A:A,"*SYMPHONY*",Addenda!A:A,"*3TH*",Addenda!A:A,"*SEMI*")</f>
        <v>0</v>
      </c>
      <c r="G1647" s="1105"/>
      <c r="H1647" s="1111" t="s">
        <v>2257</v>
      </c>
      <c r="I1647" s="1205"/>
      <c r="J1647" s="2" t="str">
        <f>IF(Table5[[#This Row],[Entered]]&lt;&gt;Table5[[#This Row],[Quantity]],"Check","")</f>
        <v/>
      </c>
    </row>
    <row r="1648" spans="1:10" ht="15" x14ac:dyDescent="0.2">
      <c r="A1648" s="324" t="s">
        <v>3095</v>
      </c>
      <c r="B1648" s="324" t="str">
        <f t="shared" si="101"/>
        <v>1050</v>
      </c>
      <c r="C1648" s="324">
        <v>52111</v>
      </c>
      <c r="D1648" s="1103">
        <f>151</f>
        <v>151</v>
      </c>
      <c r="E1648" s="1103">
        <v>1</v>
      </c>
      <c r="F1648" s="1104">
        <f>COUNTIFS(Addenda!A:A,"*LIANO*",Addenda!A:A,"*1TH*",Addenda!A:A,"*SEMI*")</f>
        <v>0</v>
      </c>
      <c r="G1648" s="1105"/>
      <c r="H1648" s="1111" t="s">
        <v>2258</v>
      </c>
      <c r="I1648" s="1205"/>
      <c r="J1648" s="2" t="str">
        <f>IF(Table5[[#This Row],[Entered]]&lt;&gt;Table5[[#This Row],[Quantity]],"Check","")</f>
        <v/>
      </c>
    </row>
    <row r="1649" spans="1:10" ht="15" x14ac:dyDescent="0.2">
      <c r="A1649" s="324" t="s">
        <v>3095</v>
      </c>
      <c r="B1649" s="324" t="str">
        <f t="shared" si="101"/>
        <v>1050</v>
      </c>
      <c r="C1649" s="324">
        <v>52111</v>
      </c>
      <c r="D1649" s="1103">
        <f>152</f>
        <v>152</v>
      </c>
      <c r="E1649" s="1103">
        <v>1</v>
      </c>
      <c r="F1649" s="1104">
        <f>COUNTIFS(Addenda!A:A,"*LIANO*",Addenda!A:A,"*1TH*",Addenda!A:A,"*VANITY*")</f>
        <v>0</v>
      </c>
      <c r="G1649" s="1105"/>
      <c r="H1649" s="1111" t="s">
        <v>2259</v>
      </c>
      <c r="I1649" s="1205"/>
      <c r="J1649" s="2" t="str">
        <f>IF(Table5[[#This Row],[Entered]]&lt;&gt;Table5[[#This Row],[Quantity]],"Check","")</f>
        <v/>
      </c>
    </row>
    <row r="1650" spans="1:10" ht="15" x14ac:dyDescent="0.2">
      <c r="A1650" s="324" t="s">
        <v>3095</v>
      </c>
      <c r="B1650" s="324" t="str">
        <f t="shared" si="101"/>
        <v>1050</v>
      </c>
      <c r="C1650" s="324">
        <v>52111</v>
      </c>
      <c r="D1650" s="1103">
        <f>162</f>
        <v>162</v>
      </c>
      <c r="E1650" s="1103">
        <v>1</v>
      </c>
      <c r="F1650" s="1104">
        <f>COUNTIFS(Addenda!A:A,"*CUBE*",Addenda!A:A,"*0TH*",Addenda!A:A,"*500*")</f>
        <v>0</v>
      </c>
      <c r="G1650" s="1105"/>
      <c r="H1650" s="1111" t="s">
        <v>2260</v>
      </c>
      <c r="I1650" s="1205"/>
      <c r="J1650" s="2" t="str">
        <f>IF(Table5[[#This Row],[Entered]]&lt;&gt;Table5[[#This Row],[Quantity]],"Check","")</f>
        <v/>
      </c>
    </row>
    <row r="1651" spans="1:10" ht="15" x14ac:dyDescent="0.2">
      <c r="A1651" s="324" t="s">
        <v>3095</v>
      </c>
      <c r="B1651" s="324" t="str">
        <f t="shared" si="101"/>
        <v>1050</v>
      </c>
      <c r="C1651" s="324">
        <v>52111</v>
      </c>
      <c r="D1651" s="1103">
        <f>170</f>
        <v>170</v>
      </c>
      <c r="E1651" s="1103">
        <v>1</v>
      </c>
      <c r="F1651" s="1104">
        <f>COUNTIFS(Addenda!A:A,"*CAROMA*",Addenda!A:A,"*0TH*",Addenda!A:A,"*ABOVE*",Addenda!A:A,"*ARTISAN*")</f>
        <v>0</v>
      </c>
      <c r="G1651" s="1105"/>
      <c r="H1651" s="1111" t="s">
        <v>1622</v>
      </c>
      <c r="I1651" s="1205"/>
      <c r="J1651" s="2" t="str">
        <f>IF(Table5[[#This Row],[Entered]]&lt;&gt;Table5[[#This Row],[Quantity]],"Check","")</f>
        <v/>
      </c>
    </row>
    <row r="1652" spans="1:10" ht="15" x14ac:dyDescent="0.2">
      <c r="A1652" s="324" t="s">
        <v>3095</v>
      </c>
      <c r="B1652" s="324" t="str">
        <f t="shared" si="101"/>
        <v>1050</v>
      </c>
      <c r="C1652" s="324">
        <v>52111</v>
      </c>
      <c r="D1652" s="1103">
        <f>178</f>
        <v>178</v>
      </c>
      <c r="E1652" s="1103">
        <v>1</v>
      </c>
      <c r="F1652" s="1104">
        <f>COUNTIFS(Addenda!A:A,"*CARBONI*",Addenda!A:A,"*1TH*",Addenda!A:A,"*INSET*",Addenda!A:A,"*SEAMLESS*")</f>
        <v>0</v>
      </c>
      <c r="G1652" s="1105"/>
      <c r="H1652" s="1111" t="s">
        <v>2261</v>
      </c>
      <c r="I1652" s="1205"/>
      <c r="J1652" s="2" t="str">
        <f>IF(Table5[[#This Row],[Entered]]&lt;&gt;Table5[[#This Row],[Quantity]],"Check","")</f>
        <v/>
      </c>
    </row>
    <row r="1653" spans="1:10" ht="15" x14ac:dyDescent="0.2">
      <c r="A1653" s="324" t="s">
        <v>3095</v>
      </c>
      <c r="B1653" s="324" t="str">
        <f t="shared" si="101"/>
        <v>1050</v>
      </c>
      <c r="C1653" s="324">
        <v>52111</v>
      </c>
      <c r="D1653" s="1103">
        <f>180</f>
        <v>180</v>
      </c>
      <c r="E1653" s="1103">
        <v>1</v>
      </c>
      <c r="F1653" s="1104">
        <f>COUNTIFS(Addenda!A:A,"*CARBONI*",Addenda!A:A,"*1TH*",Addenda!A:A,"*INSET*",Addenda!A:A,"&lt;&gt;*SEAMLESS*")</f>
        <v>0</v>
      </c>
      <c r="G1653" s="1105"/>
      <c r="H1653" s="1111" t="s">
        <v>2262</v>
      </c>
      <c r="I1653" s="1205"/>
      <c r="J1653" s="2" t="str">
        <f>IF(Table5[[#This Row],[Entered]]&lt;&gt;Table5[[#This Row],[Quantity]],"Check","")</f>
        <v/>
      </c>
    </row>
    <row r="1654" spans="1:10" ht="15" x14ac:dyDescent="0.2">
      <c r="A1654" s="324" t="s">
        <v>3095</v>
      </c>
      <c r="B1654" s="324" t="str">
        <f t="shared" si="101"/>
        <v>1050</v>
      </c>
      <c r="C1654" s="324">
        <v>52111</v>
      </c>
      <c r="D1654" s="1103">
        <f>181</f>
        <v>181</v>
      </c>
      <c r="E1654" s="1103">
        <v>1</v>
      </c>
      <c r="F1654" s="1104">
        <f>COUNTIFS(Addenda!A:A,"*CARBONI*",Addenda!A:A,"*3TH*",Addenda!A:A,"*INSET*")</f>
        <v>0</v>
      </c>
      <c r="G1654" s="1105"/>
      <c r="H1654" s="1111" t="s">
        <v>2263</v>
      </c>
      <c r="I1654" s="1205"/>
      <c r="J1654" s="2" t="str">
        <f>IF(Table5[[#This Row],[Entered]]&lt;&gt;Table5[[#This Row],[Quantity]],"Check","")</f>
        <v/>
      </c>
    </row>
    <row r="1655" spans="1:10" ht="15" x14ac:dyDescent="0.2">
      <c r="A1655" s="324" t="s">
        <v>3095</v>
      </c>
      <c r="B1655" s="324" t="str">
        <f t="shared" si="101"/>
        <v>1050</v>
      </c>
      <c r="C1655" s="324">
        <v>52111</v>
      </c>
      <c r="D1655" s="1103">
        <f>182</f>
        <v>182</v>
      </c>
      <c r="E1655" s="1103">
        <v>1</v>
      </c>
      <c r="F1655" s="1104">
        <f>COUNTIFS(Addenda!A:A,"*CARBONI*",Addenda!A:A,"*1TH*",Addenda!A:A,"*ABOVE*")</f>
        <v>0</v>
      </c>
      <c r="G1655" s="1105"/>
      <c r="H1655" s="1111" t="s">
        <v>2264</v>
      </c>
      <c r="I1655" s="1205"/>
      <c r="J1655" s="2" t="str">
        <f>IF(Table5[[#This Row],[Entered]]&lt;&gt;Table5[[#This Row],[Quantity]],"Check","")</f>
        <v/>
      </c>
    </row>
    <row r="1656" spans="1:10" ht="15" x14ac:dyDescent="0.2">
      <c r="A1656" s="324" t="s">
        <v>3095</v>
      </c>
      <c r="B1656" s="324" t="str">
        <f t="shared" si="101"/>
        <v>1050</v>
      </c>
      <c r="C1656" s="324">
        <v>52111</v>
      </c>
      <c r="D1656" s="1103">
        <f>183</f>
        <v>183</v>
      </c>
      <c r="E1656" s="1103">
        <v>1</v>
      </c>
      <c r="F1656" s="1104">
        <f>COUNTIFS(Addenda!A:A,"*CARBONI*",Addenda!A:A,"*3TH*",Addenda!A:A,"*ABOVE*")</f>
        <v>0</v>
      </c>
      <c r="G1656" s="1105"/>
      <c r="H1656" s="1111" t="s">
        <v>2265</v>
      </c>
      <c r="I1656" s="1205"/>
      <c r="J1656" s="2" t="str">
        <f>IF(Table5[[#This Row],[Entered]]&lt;&gt;Table5[[#This Row],[Quantity]],"Check","")</f>
        <v/>
      </c>
    </row>
    <row r="1657" spans="1:10" ht="15" x14ac:dyDescent="0.2">
      <c r="A1657" s="324" t="s">
        <v>3095</v>
      </c>
      <c r="B1657" s="324" t="str">
        <f t="shared" si="101"/>
        <v>1050</v>
      </c>
      <c r="C1657" s="324">
        <v>52111</v>
      </c>
      <c r="D1657" s="1103">
        <f>184</f>
        <v>184</v>
      </c>
      <c r="E1657" s="1103">
        <v>1</v>
      </c>
      <c r="F1657" s="1104">
        <f>COUNTIFS(Addenda!A:A,"*CARBONI*",Addenda!A:A,"*1TH*",Addenda!A:A,"*SEMI*")</f>
        <v>0</v>
      </c>
      <c r="G1657" s="1105"/>
      <c r="H1657" s="1111" t="s">
        <v>2266</v>
      </c>
      <c r="I1657" s="1205"/>
      <c r="J1657" s="2" t="str">
        <f>IF(Table5[[#This Row],[Entered]]&lt;&gt;Table5[[#This Row],[Quantity]],"Check","")</f>
        <v/>
      </c>
    </row>
    <row r="1658" spans="1:10" ht="15" x14ac:dyDescent="0.2">
      <c r="A1658" s="324" t="s">
        <v>3095</v>
      </c>
      <c r="B1658" s="324" t="str">
        <f t="shared" si="101"/>
        <v>1050</v>
      </c>
      <c r="C1658" s="324">
        <v>52111</v>
      </c>
      <c r="D1658" s="1103">
        <f>187</f>
        <v>187</v>
      </c>
      <c r="E1658" s="1103">
        <v>1</v>
      </c>
      <c r="F1658" s="1104">
        <f>COUNTIFS(Addenda!A:A,"*SBC-512*",Addenda!A:A,"*1TH*")</f>
        <v>0</v>
      </c>
      <c r="G1658" s="1105"/>
      <c r="H1658" s="1111" t="s">
        <v>2385</v>
      </c>
      <c r="I1658" s="1205"/>
      <c r="J1658" s="2" t="str">
        <f>IF(Table5[[#This Row],[Entered]]&lt;&gt;Table5[[#This Row],[Quantity]],"Check","")</f>
        <v/>
      </c>
    </row>
    <row r="1659" spans="1:10" ht="15" x14ac:dyDescent="0.2">
      <c r="A1659" s="324" t="s">
        <v>3095</v>
      </c>
      <c r="B1659" s="324" t="str">
        <f t="shared" si="101"/>
        <v>1050</v>
      </c>
      <c r="C1659" s="324">
        <v>52111</v>
      </c>
      <c r="D1659" s="1103">
        <f>188</f>
        <v>188</v>
      </c>
      <c r="E1659" s="1103">
        <v>1</v>
      </c>
      <c r="F1659" s="1104">
        <f>COUNTIFS(Addenda!A:A,"*SBC-514*",Addenda!A:A,"*1TH*")</f>
        <v>0</v>
      </c>
      <c r="G1659" s="1105"/>
      <c r="H1659" s="1111" t="s">
        <v>2386</v>
      </c>
      <c r="I1659" s="1205"/>
      <c r="J1659" s="2" t="str">
        <f>IF(Table5[[#This Row],[Entered]]&lt;&gt;Table5[[#This Row],[Quantity]],"Check","")</f>
        <v/>
      </c>
    </row>
    <row r="1660" spans="1:10" ht="15" x14ac:dyDescent="0.2">
      <c r="A1660" s="324" t="s">
        <v>3095</v>
      </c>
      <c r="B1660" s="324" t="str">
        <f t="shared" si="101"/>
        <v>1050</v>
      </c>
      <c r="C1660" s="324">
        <v>52111</v>
      </c>
      <c r="D1660" s="1103">
        <f>194</f>
        <v>194</v>
      </c>
      <c r="E1660" s="1103">
        <v>1</v>
      </c>
      <c r="F1660" s="1104">
        <f>COUNTIFS(Addenda!A:A,"*LIANO*",Addenda!A:A,"*1TH*",Addenda!A:A,"*WALL*",Addenda!A:A,"*HAND*")</f>
        <v>0</v>
      </c>
      <c r="G1660" s="1105"/>
      <c r="H1660" s="1111" t="s">
        <v>2267</v>
      </c>
      <c r="I1660" s="1205"/>
      <c r="J1660" s="2" t="str">
        <f>IF(Table5[[#This Row],[Entered]]&lt;&gt;Table5[[#This Row],[Quantity]],"Check","")</f>
        <v/>
      </c>
    </row>
    <row r="1661" spans="1:10" ht="15" x14ac:dyDescent="0.2">
      <c r="A1661" s="324" t="s">
        <v>3095</v>
      </c>
      <c r="B1661" s="324" t="str">
        <f t="shared" si="101"/>
        <v>1050</v>
      </c>
      <c r="C1661" s="324">
        <v>52111</v>
      </c>
      <c r="D1661" s="1103">
        <f>210</f>
        <v>210</v>
      </c>
      <c r="E1661" s="1103">
        <v>1</v>
      </c>
      <c r="F1661" s="1104">
        <f>COUNTIFS(Addenda!A:A,"*TRACK*",Addenda!A:A,"*1TH*",Addenda!A:A,"*VANITY*")+COUNTIFS(Addenda!A:A,"*TRACK*",Addenda!A:A,"*1TH*",Addenda!A:A,"*INSET*")</f>
        <v>0</v>
      </c>
      <c r="G1661" s="1105"/>
      <c r="H1661" s="1111" t="s">
        <v>2268</v>
      </c>
      <c r="I1661" s="1205"/>
      <c r="J1661" s="2" t="str">
        <f>IF(Table5[[#This Row],[Entered]]&lt;&gt;Table5[[#This Row],[Quantity]],"Check","")</f>
        <v/>
      </c>
    </row>
    <row r="1662" spans="1:10" ht="15" x14ac:dyDescent="0.2">
      <c r="A1662" s="324" t="s">
        <v>3095</v>
      </c>
      <c r="B1662" s="324" t="str">
        <f t="shared" si="101"/>
        <v>1050</v>
      </c>
      <c r="C1662" s="324">
        <v>52111</v>
      </c>
      <c r="D1662" s="1103">
        <f>220</f>
        <v>220</v>
      </c>
      <c r="E1662" s="1103">
        <v>1</v>
      </c>
      <c r="F1662" s="1104">
        <f>COUNTIFS(Addenda!A:A,"*CAROMA*",Addenda!A:A,"*ORBIS*",Addenda!A:A,"*INSET*")</f>
        <v>0</v>
      </c>
      <c r="G1662" s="1105"/>
      <c r="H1662" s="1111" t="s">
        <v>2269</v>
      </c>
      <c r="I1662" s="1205"/>
      <c r="J1662" s="2" t="str">
        <f>IF(Table5[[#This Row],[Entered]]&lt;&gt;Table5[[#This Row],[Quantity]],"Check","")</f>
        <v/>
      </c>
    </row>
    <row r="1663" spans="1:10" ht="15" x14ac:dyDescent="0.2">
      <c r="A1663" s="324" t="s">
        <v>3095</v>
      </c>
      <c r="B1663" s="324" t="str">
        <f t="shared" si="101"/>
        <v>1050</v>
      </c>
      <c r="C1663" s="324">
        <v>52111</v>
      </c>
      <c r="D1663" s="324" t="str">
        <f>"0391"</f>
        <v>0391</v>
      </c>
      <c r="E1663" s="324">
        <v>1</v>
      </c>
      <c r="F1663" s="1128">
        <f>COUNTIFS(Addenda!A:A,"*CL40013.W1*")</f>
        <v>0</v>
      </c>
      <c r="G1663" s="829">
        <v>115.86</v>
      </c>
      <c r="H1663" s="412" t="s">
        <v>3538</v>
      </c>
      <c r="I1663" s="1258"/>
      <c r="J1663" s="2" t="str">
        <f>IF(Table5[[#This Row],[Entered]]&lt;&gt;Table5[[#This Row],[Quantity]],"Check","")</f>
        <v/>
      </c>
    </row>
    <row r="1664" spans="1:10" ht="15" x14ac:dyDescent="0.2">
      <c r="A1664" s="324" t="s">
        <v>3095</v>
      </c>
      <c r="B1664" s="324" t="str">
        <f t="shared" si="101"/>
        <v>1050</v>
      </c>
      <c r="C1664" s="324">
        <v>52111</v>
      </c>
      <c r="D1664" s="1103">
        <f>234</f>
        <v>234</v>
      </c>
      <c r="E1664" s="1103">
        <v>1</v>
      </c>
      <c r="F1664" s="1104">
        <f>COUNTIFS(Addenda!A:A,"*CLARK*",Addenda!A:A,"*SQUARE*",Addenda!A:A,"*HAND*")</f>
        <v>0</v>
      </c>
      <c r="G1664" s="1105"/>
      <c r="H1664" s="1111" t="s">
        <v>1742</v>
      </c>
      <c r="I1664" s="1205"/>
      <c r="J1664" s="2" t="str">
        <f>IF(Table5[[#This Row],[Entered]]&lt;&gt;Table5[[#This Row],[Quantity]],"Check","")</f>
        <v/>
      </c>
    </row>
    <row r="1665" spans="1:10" ht="15" x14ac:dyDescent="0.2">
      <c r="A1665" s="324" t="s">
        <v>3095</v>
      </c>
      <c r="B1665" s="324" t="str">
        <f t="shared" si="101"/>
        <v>1050</v>
      </c>
      <c r="C1665" s="324">
        <v>52111</v>
      </c>
      <c r="D1665" s="324" t="str">
        <f>"0363"</f>
        <v>0363</v>
      </c>
      <c r="E1665" s="324">
        <v>1</v>
      </c>
      <c r="F1665" s="827">
        <f>IF(COUNTIF(Addenda!A:A,"*PLUNKETT*")=0,COUNTIFS(Addenda!A:A,"*METRO*",Addenda!A:A,"*35*"),0)</f>
        <v>0</v>
      </c>
      <c r="G1665" s="829"/>
      <c r="H1665" s="412" t="s">
        <v>3537</v>
      </c>
      <c r="I1665" s="1258"/>
      <c r="J1665" s="2" t="str">
        <f>IF(Table5[[#This Row],[Entered]]&lt;&gt;Table5[[#This Row],[Quantity]],"Check","")</f>
        <v/>
      </c>
    </row>
    <row r="1666" spans="1:10" ht="15" x14ac:dyDescent="0.2">
      <c r="A1666" s="324" t="s">
        <v>3095</v>
      </c>
      <c r="B1666" s="324" t="str">
        <f t="shared" si="101"/>
        <v>1050</v>
      </c>
      <c r="C1666" s="324">
        <v>52111</v>
      </c>
      <c r="D1666" s="1103">
        <f>242</f>
        <v>242</v>
      </c>
      <c r="E1666" s="1103">
        <v>1</v>
      </c>
      <c r="F1666" s="1104">
        <f>COUNTIFS(Addenda!A:A,"*METRO*",Addenda!A:A,"*1TH*",Addenda!A:A,"*LHS*")</f>
        <v>0</v>
      </c>
      <c r="G1666" s="1105"/>
      <c r="H1666" s="1111" t="s">
        <v>2270</v>
      </c>
      <c r="I1666" s="1205"/>
      <c r="J1666" s="2" t="str">
        <f>IF(Table5[[#This Row],[Entered]]&lt;&gt;Table5[[#This Row],[Quantity]],"Check","")</f>
        <v/>
      </c>
    </row>
    <row r="1667" spans="1:10" ht="15" x14ac:dyDescent="0.2">
      <c r="A1667" s="324" t="s">
        <v>3095</v>
      </c>
      <c r="B1667" s="324" t="str">
        <f t="shared" ref="B1667:B1698" si="102">"1050"</f>
        <v>1050</v>
      </c>
      <c r="C1667" s="324">
        <v>52111</v>
      </c>
      <c r="D1667" s="1103">
        <f>250</f>
        <v>250</v>
      </c>
      <c r="E1667" s="1103">
        <v>1</v>
      </c>
      <c r="F1667" s="1104">
        <f>COUNTIFS(Addenda!A:A,"*CLARK*",Addenda!A:A,"*45*",Addenda!A:A,"*INSET*")</f>
        <v>0</v>
      </c>
      <c r="G1667" s="1105"/>
      <c r="H1667" s="1111" t="s">
        <v>2271</v>
      </c>
      <c r="I1667" s="1205"/>
      <c r="J1667" s="2" t="str">
        <f>IF(Table5[[#This Row],[Entered]]&lt;&gt;Table5[[#This Row],[Quantity]],"Check","")</f>
        <v/>
      </c>
    </row>
    <row r="1668" spans="1:10" ht="15" x14ac:dyDescent="0.2">
      <c r="A1668" s="324" t="s">
        <v>3095</v>
      </c>
      <c r="B1668" s="324" t="str">
        <f t="shared" si="102"/>
        <v>1050</v>
      </c>
      <c r="C1668" s="324">
        <v>52111</v>
      </c>
      <c r="D1668" s="1103">
        <f>260</f>
        <v>260</v>
      </c>
      <c r="E1668" s="1103">
        <v>1</v>
      </c>
      <c r="F1668" s="1104">
        <f>COUNTIFS(Addenda!A:A,"*CLARK*",Addenda!A:A,"*45*",Addenda!A:A,"*CABINET*")</f>
        <v>0</v>
      </c>
      <c r="G1668" s="1105"/>
      <c r="H1668" s="1111" t="s">
        <v>2272</v>
      </c>
      <c r="I1668" s="1205"/>
      <c r="J1668" s="2" t="str">
        <f>IF(Table5[[#This Row],[Entered]]&lt;&gt;Table5[[#This Row],[Quantity]],"Check","")</f>
        <v/>
      </c>
    </row>
    <row r="1669" spans="1:10" ht="15" x14ac:dyDescent="0.2">
      <c r="A1669" s="324" t="s">
        <v>3095</v>
      </c>
      <c r="B1669" s="324" t="str">
        <f t="shared" si="102"/>
        <v>1050</v>
      </c>
      <c r="C1669" s="324">
        <v>52111</v>
      </c>
      <c r="D1669" s="324" t="str">
        <f>"0224"</f>
        <v>0224</v>
      </c>
      <c r="E1669" s="324">
        <v>1</v>
      </c>
      <c r="F1669" s="827">
        <f>COUNTIFS(Addenda!A:A,"*F6001*")</f>
        <v>0</v>
      </c>
      <c r="G1669" s="829">
        <v>261.01</v>
      </c>
      <c r="H1669" s="412" t="s">
        <v>3801</v>
      </c>
      <c r="I1669" s="1258"/>
      <c r="J1669" s="2" t="str">
        <f>IF(Table5[[#This Row],[Entered]]&lt;&gt;Table5[[#This Row],[Quantity]],"Check","")</f>
        <v/>
      </c>
    </row>
    <row r="1670" spans="1:10" ht="15" x14ac:dyDescent="0.2">
      <c r="A1670" s="324" t="s">
        <v>3095</v>
      </c>
      <c r="B1670" s="324" t="str">
        <f t="shared" si="102"/>
        <v>1050</v>
      </c>
      <c r="C1670" s="324">
        <v>52111</v>
      </c>
      <c r="D1670" s="1103">
        <f>290</f>
        <v>290</v>
      </c>
      <c r="E1670" s="1103">
        <v>1</v>
      </c>
      <c r="F1670" s="1104"/>
      <c r="G1670" s="1105"/>
      <c r="H1670" s="1111" t="s">
        <v>1323</v>
      </c>
      <c r="I1670" s="1205"/>
      <c r="J1670" s="2" t="str">
        <f>IF(Table5[[#This Row],[Entered]]&lt;&gt;Table5[[#This Row],[Quantity]],"Check","")</f>
        <v/>
      </c>
    </row>
    <row r="1671" spans="1:10" ht="15" x14ac:dyDescent="0.2">
      <c r="A1671" s="324" t="s">
        <v>3095</v>
      </c>
      <c r="B1671" s="324" t="str">
        <f t="shared" si="102"/>
        <v>1050</v>
      </c>
      <c r="C1671" s="324">
        <v>52111</v>
      </c>
      <c r="D1671" s="1103">
        <f>291</f>
        <v>291</v>
      </c>
      <c r="E1671" s="1103">
        <v>1</v>
      </c>
      <c r="F1671" s="1104">
        <f>COUNTIFS(Addenda!A:A,"*TILOS 45L*")</f>
        <v>0</v>
      </c>
      <c r="G1671" s="1105"/>
      <c r="H1671" s="1111" t="s">
        <v>2273</v>
      </c>
      <c r="I1671" s="1205"/>
      <c r="J1671" s="2" t="str">
        <f>IF(Table5[[#This Row],[Entered]]&lt;&gt;Table5[[#This Row],[Quantity]],"Check","")</f>
        <v/>
      </c>
    </row>
    <row r="1672" spans="1:10" ht="15" x14ac:dyDescent="0.2">
      <c r="A1672" s="324" t="s">
        <v>3095</v>
      </c>
      <c r="B1672" s="324" t="str">
        <f t="shared" si="102"/>
        <v>1050</v>
      </c>
      <c r="C1672" s="324">
        <v>52111</v>
      </c>
      <c r="D1672" s="1103">
        <f>292</f>
        <v>292</v>
      </c>
      <c r="E1672" s="1103">
        <v>1</v>
      </c>
      <c r="F1672" s="1104">
        <f>COUNTIF(Addenda!A:A,"*600B*")+COUNTIF(Addenda!A:A,"*SLC*600C*")</f>
        <v>0</v>
      </c>
      <c r="G1672" s="1105"/>
      <c r="H1672" s="1111" t="s">
        <v>2426</v>
      </c>
      <c r="I1672" s="1205"/>
      <c r="J1672" s="2" t="str">
        <f>IF(Table5[[#This Row],[Entered]]&lt;&gt;Table5[[#This Row],[Quantity]],"Check","")</f>
        <v/>
      </c>
    </row>
    <row r="1673" spans="1:10" ht="15" x14ac:dyDescent="0.2">
      <c r="A1673" s="324" t="s">
        <v>3095</v>
      </c>
      <c r="B1673" s="324" t="str">
        <f t="shared" si="102"/>
        <v>1050</v>
      </c>
      <c r="C1673" s="324">
        <v>52111</v>
      </c>
      <c r="D1673" s="1103">
        <f>293</f>
        <v>293</v>
      </c>
      <c r="E1673" s="1103">
        <v>1</v>
      </c>
      <c r="F1673" s="1104">
        <f>COUNTIFS(Addenda!A:A,"*SKS*",Addenda!A:A,"*007*")</f>
        <v>0</v>
      </c>
      <c r="G1673" s="1105"/>
      <c r="H1673" s="1111" t="s">
        <v>2387</v>
      </c>
      <c r="I1673" s="1205"/>
      <c r="J1673" s="2" t="str">
        <f>IF(Table5[[#This Row],[Entered]]&lt;&gt;Table5[[#This Row],[Quantity]],"Check","")</f>
        <v/>
      </c>
    </row>
    <row r="1674" spans="1:10" ht="15" x14ac:dyDescent="0.2">
      <c r="A1674" s="324" t="s">
        <v>3095</v>
      </c>
      <c r="B1674" s="324" t="str">
        <f t="shared" si="102"/>
        <v>1050</v>
      </c>
      <c r="C1674" s="324">
        <v>52111</v>
      </c>
      <c r="D1674" s="1103">
        <f>294</f>
        <v>294</v>
      </c>
      <c r="E1674" s="1103">
        <v>1</v>
      </c>
      <c r="F1674" s="1104">
        <f>COUNTIFS(Addenda!A:A,"*SKS-620*")+COUNTIFS(Addenda!A:A,"*SKS620*")</f>
        <v>0</v>
      </c>
      <c r="G1674" s="1105"/>
      <c r="H1674" s="1111" t="s">
        <v>2388</v>
      </c>
      <c r="I1674" s="1205"/>
      <c r="J1674" s="2" t="str">
        <f>IF(Table5[[#This Row],[Entered]]&lt;&gt;Table5[[#This Row],[Quantity]],"Check","")</f>
        <v/>
      </c>
    </row>
    <row r="1675" spans="1:10" ht="15" x14ac:dyDescent="0.2">
      <c r="A1675" s="324" t="s">
        <v>3095</v>
      </c>
      <c r="B1675" s="324" t="str">
        <f t="shared" si="102"/>
        <v>1050</v>
      </c>
      <c r="C1675" s="324">
        <v>52111</v>
      </c>
      <c r="D1675" s="1103">
        <f>296</f>
        <v>296</v>
      </c>
      <c r="E1675" s="1103">
        <v>1</v>
      </c>
      <c r="F1675" s="1104">
        <f>COUNTIFS(Addenda!A:A,"*OLIVERI*",Addenda!A:A,"*45*",Addenda!A:A,"*INSET*")</f>
        <v>0</v>
      </c>
      <c r="G1675" s="1105"/>
      <c r="H1675" s="1111" t="s">
        <v>2274</v>
      </c>
      <c r="I1675" s="1205"/>
      <c r="J1675" s="2" t="str">
        <f>IF(Table5[[#This Row],[Entered]]&lt;&gt;Table5[[#This Row],[Quantity]],"Check","")</f>
        <v/>
      </c>
    </row>
    <row r="1676" spans="1:10" ht="15" x14ac:dyDescent="0.2">
      <c r="A1676" s="324" t="s">
        <v>3095</v>
      </c>
      <c r="B1676" s="324" t="str">
        <f t="shared" si="102"/>
        <v>1050</v>
      </c>
      <c r="C1676" s="324">
        <v>52111</v>
      </c>
      <c r="D1676" s="1103">
        <f>370</f>
        <v>370</v>
      </c>
      <c r="E1676" s="1103">
        <v>1</v>
      </c>
      <c r="F1676" s="1104">
        <f>IF(COUNTIFS(Addenda!A:A,"*RADIANT*",Addenda!A:A,"*150*",Addenda!A:A,"*LEFT*",Addenda!A:A,"*DRAINER*")&gt;0,1,COUNTIFS(Addenda!A:A,"*RADIANT*",Addenda!A:A,"*150*",Addenda!A:A,"*RIGHT*",Addenda!A:A,"&lt;&gt;*DRAINER*"))</f>
        <v>0</v>
      </c>
      <c r="G1676" s="1105"/>
      <c r="H1676" s="1111" t="s">
        <v>2275</v>
      </c>
      <c r="I1676" s="1205"/>
      <c r="J1676" s="2" t="str">
        <f>IF(Table5[[#This Row],[Entered]]&lt;&gt;Table5[[#This Row],[Quantity]],"Check","")</f>
        <v/>
      </c>
    </row>
    <row r="1677" spans="1:10" ht="15" x14ac:dyDescent="0.2">
      <c r="A1677" s="324" t="s">
        <v>3095</v>
      </c>
      <c r="B1677" s="324" t="str">
        <f t="shared" si="102"/>
        <v>1050</v>
      </c>
      <c r="C1677" s="324">
        <v>52111</v>
      </c>
      <c r="D1677" s="1103">
        <f>371</f>
        <v>371</v>
      </c>
      <c r="E1677" s="1103">
        <v>1</v>
      </c>
      <c r="F1677" s="1104">
        <f>IF(COUNTIFS(Addenda!A:A,"*RADIANT*",Addenda!A:A,"*150*",Addenda!A:A,"*RIGHT*",Addenda!A:A,"*DRAINER*")&gt;0,1,COUNTIFS(Addenda!A:A,"*RADIANT*",Addenda!A:A,"*150*",Addenda!A:A,"*LEFT*",Addenda!A:A,"&lt;&gt;*DRAINER*"))</f>
        <v>0</v>
      </c>
      <c r="G1677" s="1105"/>
      <c r="H1677" s="1111" t="s">
        <v>2276</v>
      </c>
      <c r="I1677" s="1205"/>
      <c r="J1677" s="2" t="str">
        <f>IF(Table5[[#This Row],[Entered]]&lt;&gt;Table5[[#This Row],[Quantity]],"Check","")</f>
        <v/>
      </c>
    </row>
    <row r="1678" spans="1:10" ht="15" x14ac:dyDescent="0.2">
      <c r="A1678" s="324" t="s">
        <v>3095</v>
      </c>
      <c r="B1678" s="324" t="str">
        <f t="shared" si="102"/>
        <v>1050</v>
      </c>
      <c r="C1678" s="324">
        <v>52111</v>
      </c>
      <c r="D1678" s="1103">
        <f>374</f>
        <v>374</v>
      </c>
      <c r="E1678" s="1103">
        <v>1</v>
      </c>
      <c r="F1678" s="1104">
        <f>IF(COUNTIFS(Addenda!A:A,"*VITAL *",Addenda!A:A,"*1127*",Addenda!A:A,"*LEFT*",Addenda!A:A,"*DRAINER*")&gt;0,1,COUNTIFS(Addenda!A:A,"*VITAL*",Addenda!A:A,"*1127*",Addenda!A:A,"*RIGHT*",Addenda!A:A,"&lt;&gt;*DRAINER*"))</f>
        <v>0</v>
      </c>
      <c r="G1678" s="1105"/>
      <c r="H1678" s="1111" t="s">
        <v>2277</v>
      </c>
      <c r="I1678" s="1205"/>
      <c r="J1678" s="2" t="str">
        <f>IF(Table5[[#This Row],[Entered]]&lt;&gt;Table5[[#This Row],[Quantity]],"Check","")</f>
        <v/>
      </c>
    </row>
    <row r="1679" spans="1:10" ht="15" x14ac:dyDescent="0.2">
      <c r="A1679" s="324" t="s">
        <v>3095</v>
      </c>
      <c r="B1679" s="324" t="str">
        <f t="shared" si="102"/>
        <v>1050</v>
      </c>
      <c r="C1679" s="324">
        <v>52111</v>
      </c>
      <c r="D1679" s="1103">
        <f>375</f>
        <v>375</v>
      </c>
      <c r="E1679" s="1103">
        <v>1</v>
      </c>
      <c r="F1679" s="1104">
        <f>IF(COUNTIFS(Addenda!A:A,"*VITAL*",Addenda!A:A,"*1127*",Addenda!A:A,"*RIGHT*",Addenda!A:A,"*DRAINER*")&gt;0,1,COUNTIFS(Addenda!A:A,"*VITAL*",Addenda!A:A,"*1127*",Addenda!A:A,"*LEFT*",Addenda!A:A,"&lt;&gt;*DRAINER*"))</f>
        <v>0</v>
      </c>
      <c r="G1679" s="1105"/>
      <c r="H1679" s="1111" t="s">
        <v>2278</v>
      </c>
      <c r="I1679" s="1205"/>
      <c r="J1679" s="2" t="str">
        <f>IF(Table5[[#This Row],[Entered]]&lt;&gt;Table5[[#This Row],[Quantity]],"Check","")</f>
        <v/>
      </c>
    </row>
    <row r="1680" spans="1:10" ht="15" x14ac:dyDescent="0.2">
      <c r="A1680" s="324" t="s">
        <v>3095</v>
      </c>
      <c r="B1680" s="324" t="str">
        <f t="shared" si="102"/>
        <v>1050</v>
      </c>
      <c r="C1680" s="324">
        <v>52111</v>
      </c>
      <c r="D1680" s="1103">
        <f>376</f>
        <v>376</v>
      </c>
      <c r="E1680" s="1103">
        <v>1</v>
      </c>
      <c r="F1680" s="1104">
        <f>COUNTIFS(Addenda!A:A,"*SKS*",Addenda!A:A,"*1080*")*(COUNTIF(Addenda!A:A,"*RH DRAINER*")+COUNTIF(Addenda!A:A,"*RIGHT HAND DRAINER*"))</f>
        <v>0</v>
      </c>
      <c r="G1680" s="1105"/>
      <c r="H1680" s="1111" t="s">
        <v>2389</v>
      </c>
      <c r="I1680" s="1205"/>
      <c r="J1680" s="2" t="str">
        <f>IF(Table5[[#This Row],[Entered]]&lt;&gt;Table5[[#This Row],[Quantity]],"Check","")</f>
        <v/>
      </c>
    </row>
    <row r="1681" spans="1:10" ht="15" x14ac:dyDescent="0.2">
      <c r="A1681" s="324" t="s">
        <v>3095</v>
      </c>
      <c r="B1681" s="324" t="str">
        <f t="shared" si="102"/>
        <v>1050</v>
      </c>
      <c r="C1681" s="324">
        <v>52111</v>
      </c>
      <c r="D1681" s="1103">
        <f>377</f>
        <v>377</v>
      </c>
      <c r="E1681" s="1103">
        <v>1</v>
      </c>
      <c r="F1681" s="1104">
        <f>COUNTIFS(Addenda!A:A,"*SKS*",Addenda!A:A,"*1080*")*(COUNTIF(Addenda!A:A,"*LH DRAINER*")+COUNTIF(Addenda!A:A,"*LEFT HAND DRAINER*"))</f>
        <v>0</v>
      </c>
      <c r="G1681" s="1105"/>
      <c r="H1681" s="1111" t="s">
        <v>2390</v>
      </c>
      <c r="I1681" s="1205"/>
      <c r="J1681" s="2" t="str">
        <f>IF(Table5[[#This Row],[Entered]]&lt;&gt;Table5[[#This Row],[Quantity]],"Check","")</f>
        <v/>
      </c>
    </row>
    <row r="1682" spans="1:10" ht="15" x14ac:dyDescent="0.2">
      <c r="A1682" s="324" t="s">
        <v>3095</v>
      </c>
      <c r="B1682" s="324" t="str">
        <f t="shared" si="102"/>
        <v>1050</v>
      </c>
      <c r="C1682" s="324">
        <v>52111</v>
      </c>
      <c r="D1682" s="1103">
        <f>378</f>
        <v>378</v>
      </c>
      <c r="E1682" s="1103">
        <v>1</v>
      </c>
      <c r="F1682" s="1104">
        <f>IF(COUNTIFS(Addenda!A:A,"*SKS-A175*",Addenda!A:A,"*RIGHT*",Addenda!A:A,"*DRAINER*")&gt;0,1,COUNTIFS(Addenda!A:A,"*SKS-A175*",Addenda!A:A,"*LEFT*",Addenda!A:A,"&lt;&gt;*DRAINER*"))</f>
        <v>0</v>
      </c>
      <c r="G1682" s="1105"/>
      <c r="H1682" s="1111" t="s">
        <v>2391</v>
      </c>
      <c r="I1682" s="1205"/>
      <c r="J1682" s="2" t="str">
        <f>IF(Table5[[#This Row],[Entered]]&lt;&gt;Table5[[#This Row],[Quantity]],"Check","")</f>
        <v/>
      </c>
    </row>
    <row r="1683" spans="1:10" ht="15" x14ac:dyDescent="0.2">
      <c r="A1683" s="324" t="s">
        <v>3095</v>
      </c>
      <c r="B1683" s="324" t="str">
        <f t="shared" si="102"/>
        <v>1050</v>
      </c>
      <c r="C1683" s="324">
        <v>52111</v>
      </c>
      <c r="D1683" s="1103">
        <f>379</f>
        <v>379</v>
      </c>
      <c r="E1683" s="1103">
        <v>1</v>
      </c>
      <c r="F1683" s="1104">
        <f>IF(COUNTIFS(Addenda!A:A,"*SKS-A175*",Addenda!A:A,"*LEFT*",Addenda!A:A,"*DRAINER*")&gt;0,1,COUNTIFS(Addenda!A:A,"*SKS-A175*",Addenda!A:A,"*RIGHT*",Addenda!A:A,"&lt;&gt;*DRAINER*"))</f>
        <v>0</v>
      </c>
      <c r="G1683" s="1105"/>
      <c r="H1683" s="1111" t="s">
        <v>2392</v>
      </c>
      <c r="I1683" s="1205"/>
      <c r="J1683" s="2" t="str">
        <f>IF(Table5[[#This Row],[Entered]]&lt;&gt;Table5[[#This Row],[Quantity]],"Check","")</f>
        <v/>
      </c>
    </row>
    <row r="1684" spans="1:10" ht="15" x14ac:dyDescent="0.2">
      <c r="A1684" s="324" t="s">
        <v>3095</v>
      </c>
      <c r="B1684" s="324" t="str">
        <f t="shared" si="102"/>
        <v>1050</v>
      </c>
      <c r="C1684" s="324">
        <v>52111</v>
      </c>
      <c r="D1684" s="1103">
        <f>380</f>
        <v>380</v>
      </c>
      <c r="E1684" s="1103">
        <v>1</v>
      </c>
      <c r="F1684" s="1104">
        <f>IF(COUNTIFS(Addenda!A:A,"*SKS-A1200*",Addenda!A:A,"*RIGHT*",Addenda!A:A,"*DRAINER*")&gt;0,1,COUNTIFS(Addenda!A:A,"*SKS-A1200*",Addenda!A:A,"*LEFT*",Addenda!A:A,"&lt;&gt;*DRAINER*"))+IF(COUNTIFS(Addenda!A:A,"*SKS-A1200*")+COUNTIFS(Addenda!A:A,"*R/H*",Addenda!A:A,"*DRAINER*")&gt;0,1)+COUNTIF(Addenda!A:A,"191620")</f>
        <v>0</v>
      </c>
      <c r="G1684" s="1105"/>
      <c r="H1684" s="1111" t="s">
        <v>2346</v>
      </c>
      <c r="I1684" s="1205"/>
      <c r="J1684" s="2" t="str">
        <f>IF(Table5[[#This Row],[Entered]]&lt;&gt;Table5[[#This Row],[Quantity]],"Check","")</f>
        <v/>
      </c>
    </row>
    <row r="1685" spans="1:10" ht="15" x14ac:dyDescent="0.2">
      <c r="A1685" s="324" t="s">
        <v>3095</v>
      </c>
      <c r="B1685" s="324" t="str">
        <f t="shared" si="102"/>
        <v>1050</v>
      </c>
      <c r="C1685" s="324">
        <v>52111</v>
      </c>
      <c r="D1685" s="1103">
        <f>381</f>
        <v>381</v>
      </c>
      <c r="E1685" s="1103">
        <v>1</v>
      </c>
      <c r="F1685" s="1104">
        <f>IF(COUNTIFS(Addenda!A:A,"*SKS-A1200*",Addenda!A:A,"*LEFT*",Addenda!A:A,"*DRAINER*")&gt;0,1,COUNTIFS(Addenda!A:A,"*SKS-A1200*",Addenda!A:A,"*RIGHT*",Addenda!A:A,"&lt;&gt;*DRAINER*"))*IF(COUNTIFS(Addenda!A:A,"*SKS-A1200*")+COUNTIFS(Addenda!A:A,"*L/H*",Addenda!A:A,"*DRAINER*")&gt;0,1)+COUNTIF(Addenda!A:A,"191792")</f>
        <v>0</v>
      </c>
      <c r="G1685" s="1105"/>
      <c r="H1685" s="1111" t="s">
        <v>2347</v>
      </c>
      <c r="I1685" s="1205"/>
      <c r="J1685" s="2" t="str">
        <f>IF(Table5[[#This Row],[Entered]]&lt;&gt;Table5[[#This Row],[Quantity]],"Check","")</f>
        <v/>
      </c>
    </row>
    <row r="1686" spans="1:10" ht="15" x14ac:dyDescent="0.2">
      <c r="A1686" s="324" t="s">
        <v>3095</v>
      </c>
      <c r="B1686" s="324" t="str">
        <f t="shared" si="102"/>
        <v>1050</v>
      </c>
      <c r="C1686" s="324">
        <v>52111</v>
      </c>
      <c r="D1686" s="1103">
        <f>384</f>
        <v>384</v>
      </c>
      <c r="E1686" s="1103">
        <v>1</v>
      </c>
      <c r="F1686" s="1104">
        <f>IF(COUNTIFS(Addenda!A:A,"*MONACO*",Addenda!A:A,"*5112*",Addenda!A:A,"*LEFT*",Addenda!A:A,"*DRAINER*")&gt;0,1,COUNTIFS(Addenda!A:A,"*MONACO*",Addenda!A:A,"*5112*",Addenda!A:A,"*RIGHT*",Addenda!A:A,"&lt;&gt;*DRAINER*"))</f>
        <v>0</v>
      </c>
      <c r="G1686" s="1105"/>
      <c r="H1686" s="1111" t="s">
        <v>1183</v>
      </c>
      <c r="I1686" s="1205"/>
      <c r="J1686" s="2" t="str">
        <f>IF(Table5[[#This Row],[Entered]]&lt;&gt;Table5[[#This Row],[Quantity]],"Check","")</f>
        <v/>
      </c>
    </row>
    <row r="1687" spans="1:10" ht="15" x14ac:dyDescent="0.2">
      <c r="A1687" s="324" t="s">
        <v>3095</v>
      </c>
      <c r="B1687" s="324" t="str">
        <f t="shared" si="102"/>
        <v>1050</v>
      </c>
      <c r="C1687" s="324">
        <v>52111</v>
      </c>
      <c r="D1687" s="1103">
        <f>385</f>
        <v>385</v>
      </c>
      <c r="E1687" s="1103">
        <v>1</v>
      </c>
      <c r="F1687" s="1104">
        <f>IF(COUNTIFS(Addenda!A:A,"*MONACO*",Addenda!A:A,"*5112*",Addenda!A:A,"*RIGHT*",Addenda!A:A,"*DRAINER*")&gt;0,1,COUNTIFS(Addenda!A:A,"*MONACO*",Addenda!A:A,"*5112*",Addenda!A:A,"*LEFT*",Addenda!A:A,"&lt;&gt;*DRAINER*"))</f>
        <v>0</v>
      </c>
      <c r="G1687" s="1105"/>
      <c r="H1687" s="1111" t="s">
        <v>1184</v>
      </c>
      <c r="I1687" s="1205"/>
      <c r="J1687" s="2" t="str">
        <f>IF(Table5[[#This Row],[Entered]]&lt;&gt;Table5[[#This Row],[Quantity]],"Check","")</f>
        <v/>
      </c>
    </row>
    <row r="1688" spans="1:10" ht="15" x14ac:dyDescent="0.2">
      <c r="A1688" s="324" t="s">
        <v>3095</v>
      </c>
      <c r="B1688" s="324" t="str">
        <f t="shared" si="102"/>
        <v>1050</v>
      </c>
      <c r="C1688" s="324">
        <v>52111</v>
      </c>
      <c r="D1688" s="1103">
        <f>386</f>
        <v>386</v>
      </c>
      <c r="E1688" s="1103">
        <v>1</v>
      </c>
      <c r="F1688" s="1104">
        <f>IF(COUNTIFS(Addenda!A:A,"*MONACO*",Addenda!A:A,"*5111*",Addenda!A:A,"*LEFT*",Addenda!A:A,"*DRAINER*")&gt;0,1,COUNTIFS(Addenda!A:A,"*MONACO*",Addenda!A:A,"*5111*",Addenda!A:A,"*RIGHT*",Addenda!A:A,"&lt;&gt;*DRAINER*"))</f>
        <v>0</v>
      </c>
      <c r="G1688" s="1105"/>
      <c r="H1688" s="1111" t="s">
        <v>2279</v>
      </c>
      <c r="I1688" s="1205"/>
      <c r="J1688" s="2" t="str">
        <f>IF(Table5[[#This Row],[Entered]]&lt;&gt;Table5[[#This Row],[Quantity]],"Check","")</f>
        <v/>
      </c>
    </row>
    <row r="1689" spans="1:10" ht="15" x14ac:dyDescent="0.2">
      <c r="A1689" s="324" t="s">
        <v>3095</v>
      </c>
      <c r="B1689" s="324" t="str">
        <f t="shared" si="102"/>
        <v>1050</v>
      </c>
      <c r="C1689" s="324">
        <v>52111</v>
      </c>
      <c r="D1689" s="1103">
        <f>387</f>
        <v>387</v>
      </c>
      <c r="E1689" s="1103">
        <v>1</v>
      </c>
      <c r="F1689" s="1104">
        <f>IF(COUNTIFS(Addenda!A:A,"*MONACO*",Addenda!A:A,"*5111*",Addenda!A:A,"*RIGHT*",Addenda!A:A,"*DRAINER*")&gt;0,1,COUNTIFS(Addenda!A:A,"*MONACO*",Addenda!A:A,"*5111*",Addenda!A:A,"*LEFT*",Addenda!A:A,"&lt;&gt;*DRAINER*"))</f>
        <v>0</v>
      </c>
      <c r="G1689" s="1105"/>
      <c r="H1689" s="1111" t="s">
        <v>1185</v>
      </c>
      <c r="I1689" s="1205"/>
      <c r="J1689" s="2" t="str">
        <f>IF(Table5[[#This Row],[Entered]]&lt;&gt;Table5[[#This Row],[Quantity]],"Check","")</f>
        <v/>
      </c>
    </row>
    <row r="1690" spans="1:10" ht="15" x14ac:dyDescent="0.2">
      <c r="A1690" s="324" t="s">
        <v>3095</v>
      </c>
      <c r="B1690" s="324" t="str">
        <f t="shared" si="102"/>
        <v>1050</v>
      </c>
      <c r="C1690" s="324">
        <v>52111</v>
      </c>
      <c r="D1690" s="1103">
        <f>388</f>
        <v>388</v>
      </c>
      <c r="E1690" s="1103">
        <v>1</v>
      </c>
      <c r="F1690" s="1104">
        <f>IF(COUNTIFS(Addenda!A:A,"*CLARK*",Addenda!A:A,"*3507*")&gt;0,1,0)</f>
        <v>0</v>
      </c>
      <c r="G1690" s="1105"/>
      <c r="H1690" s="1111" t="s">
        <v>2280</v>
      </c>
      <c r="I1690" s="1205"/>
      <c r="J1690" s="2" t="str">
        <f>IF(Table5[[#This Row],[Entered]]&lt;&gt;Table5[[#This Row],[Quantity]],"Check","")</f>
        <v/>
      </c>
    </row>
    <row r="1691" spans="1:10" ht="15" x14ac:dyDescent="0.2">
      <c r="A1691" s="324" t="s">
        <v>3095</v>
      </c>
      <c r="B1691" s="324" t="str">
        <f t="shared" si="102"/>
        <v>1050</v>
      </c>
      <c r="C1691" s="324">
        <v>52111</v>
      </c>
      <c r="D1691" s="1103">
        <f>390</f>
        <v>390</v>
      </c>
      <c r="E1691" s="1103">
        <v>1</v>
      </c>
      <c r="F1691" s="1104">
        <f>IF(COUNTIFS(Addenda!A:A,"*OLIVERI*",Addenda!A:A,"*ELAN*",Addenda!A:A,"*LEFT*",Addenda!A:A,"*DRAINER*")&gt;0,1,COUNTIFS(Addenda!A:A,"*ELAN*",Addenda!A:A,"*RIGHT*",Addenda!A:A,"&lt;&gt;*DRAINER*"))+IF(COUNTIFS(Addenda!A:A,"*OLIVERI*",Addenda!A:A,"*ENDEAVOUR*",Addenda!A:A,"*LEFT*",Addenda!A:A,"*DRAINER*")&gt;0,1,COUNTIFS(Addenda!A:A,"*ENDEAVOUR*",Addenda!A:A,"*RIGHT*",Addenda!A:A,"&lt;&gt;*DRAINER*"))</f>
        <v>0</v>
      </c>
      <c r="G1691" s="1105"/>
      <c r="H1691" s="1111" t="s">
        <v>1351</v>
      </c>
      <c r="I1691" s="1205"/>
      <c r="J1691" s="2" t="str">
        <f>IF(Table5[[#This Row],[Entered]]&lt;&gt;Table5[[#This Row],[Quantity]],"Check","")</f>
        <v/>
      </c>
    </row>
    <row r="1692" spans="1:10" ht="15" x14ac:dyDescent="0.2">
      <c r="A1692" s="324" t="s">
        <v>3095</v>
      </c>
      <c r="B1692" s="324" t="str">
        <f t="shared" si="102"/>
        <v>1050</v>
      </c>
      <c r="C1692" s="324">
        <v>52111</v>
      </c>
      <c r="D1692" s="1103">
        <f>391</f>
        <v>391</v>
      </c>
      <c r="E1692" s="1103">
        <v>1</v>
      </c>
      <c r="F1692" s="1104">
        <f>IF(COUNTIFS(Addenda!A:A,"*OLIVERI*",Addenda!A:A,"*ELAN*",Addenda!A:A,"*RIGHT*",Addenda!A:A,"*DRAINER*")&gt;0,1,COUNTIFS(Addenda!A:A,"*ELAN*",Addenda!A:A,"*LEFT*",Addenda!A:A,"&lt;&gt;*DRAINER*"))+IF(COUNTIFS(Addenda!A:A,"*OLIVERI*",Addenda!A:A,"*ENDEAVOUR*",Addenda!A:A,"*RIGHT*",Addenda!A:A,"*DRAINER*")&gt;0,1,COUNTIFS(Addenda!A:A,"*ENDEAVOUR*",Addenda!A:A,"*LEFT*",Addenda!A:A,"&lt;&gt;*DRAINER*"))</f>
        <v>0</v>
      </c>
      <c r="G1692" s="1105"/>
      <c r="H1692" s="1111" t="s">
        <v>1548</v>
      </c>
      <c r="I1692" s="1205"/>
      <c r="J1692" s="2" t="str">
        <f>IF(Table5[[#This Row],[Entered]]&lt;&gt;Table5[[#This Row],[Quantity]],"Check","")</f>
        <v/>
      </c>
    </row>
    <row r="1693" spans="1:10" ht="15" x14ac:dyDescent="0.2">
      <c r="A1693" s="324" t="s">
        <v>3095</v>
      </c>
      <c r="B1693" s="324" t="str">
        <f t="shared" si="102"/>
        <v>1050</v>
      </c>
      <c r="C1693" s="324">
        <v>52111</v>
      </c>
      <c r="D1693" s="1103">
        <f>400</f>
        <v>400</v>
      </c>
      <c r="E1693" s="1103">
        <v>1</v>
      </c>
      <c r="F1693" s="1104">
        <f>IF(COUNTIFS(Addenda!A:A,"*CLARK*",Addenda!A:A,"*PUNCH*",Addenda!A:A,"*RIGHT*",Addenda!A:A,"*DRAINER*")&gt;0,1,COUNTIFS(Addenda!A:A,"*CLARK*",Addenda!A:A,"*PUNCH*",Addenda!A:A,"&lt;&gt;*DRAINER*"))</f>
        <v>0</v>
      </c>
      <c r="G1693" s="1105"/>
      <c r="H1693" s="1111" t="s">
        <v>2281</v>
      </c>
      <c r="I1693" s="1205"/>
      <c r="J1693" s="2" t="str">
        <f>IF(Table5[[#This Row],[Entered]]&lt;&gt;Table5[[#This Row],[Quantity]],"Check","")</f>
        <v/>
      </c>
    </row>
    <row r="1694" spans="1:10" ht="15" x14ac:dyDescent="0.2">
      <c r="A1694" s="324" t="s">
        <v>3095</v>
      </c>
      <c r="B1694" s="324" t="str">
        <f t="shared" si="102"/>
        <v>1050</v>
      </c>
      <c r="C1694" s="324">
        <v>52111</v>
      </c>
      <c r="D1694" s="324" t="str">
        <f>"0078"</f>
        <v>0078</v>
      </c>
      <c r="E1694" s="324">
        <v>1</v>
      </c>
      <c r="F1694" s="827">
        <f>COUNTIFS(Addenda!A:A,"*PU1209*")</f>
        <v>0</v>
      </c>
      <c r="G1694" s="829">
        <v>196.6</v>
      </c>
      <c r="H1694" s="412" t="s">
        <v>3803</v>
      </c>
      <c r="I1694" s="1258"/>
      <c r="J1694" s="2" t="str">
        <f>IF(Table5[[#This Row],[Entered]]&lt;&gt;Table5[[#This Row],[Quantity]],"Check","")</f>
        <v/>
      </c>
    </row>
    <row r="1695" spans="1:10" ht="15" x14ac:dyDescent="0.2">
      <c r="A1695" s="324" t="s">
        <v>3095</v>
      </c>
      <c r="B1695" s="324" t="str">
        <f t="shared" si="102"/>
        <v>1050</v>
      </c>
      <c r="C1695" s="324">
        <v>52111</v>
      </c>
      <c r="D1695" s="324" t="str">
        <f>"0082"</f>
        <v>0082</v>
      </c>
      <c r="E1695" s="324">
        <v>1</v>
      </c>
      <c r="F1695" s="827">
        <f>IF(COUNTIFS(Addenda!A:A,"*VITAL*",Addenda!A:A,"*1123*")&gt;0,1,0)</f>
        <v>0</v>
      </c>
      <c r="G1695" s="1105"/>
      <c r="H1695" s="412" t="s">
        <v>3604</v>
      </c>
      <c r="I1695" s="1205"/>
      <c r="J1695" s="2" t="str">
        <f>IF(Table5[[#This Row],[Entered]]&lt;&gt;Table5[[#This Row],[Quantity]],"Check","")</f>
        <v/>
      </c>
    </row>
    <row r="1696" spans="1:10" ht="15" x14ac:dyDescent="0.2">
      <c r="A1696" s="324" t="s">
        <v>3095</v>
      </c>
      <c r="B1696" s="324" t="str">
        <f t="shared" si="102"/>
        <v>1050</v>
      </c>
      <c r="C1696" s="324">
        <v>52111</v>
      </c>
      <c r="D1696" s="1103">
        <f>1000</f>
        <v>1000</v>
      </c>
      <c r="E1696" s="1103">
        <v>1</v>
      </c>
      <c r="F1696" s="1104">
        <f>COUNTIFS(Addenda!A:A,"*SEIMA*",Addenda!A:A,"*500*",Addenda!A:A,"*VANITY*")</f>
        <v>0</v>
      </c>
      <c r="G1696" s="1105"/>
      <c r="H1696" s="1111" t="s">
        <v>2393</v>
      </c>
      <c r="I1696" s="1205"/>
      <c r="J1696" s="2" t="str">
        <f>IF(Table5[[#This Row],[Entered]]&lt;&gt;Table5[[#This Row],[Quantity]],"Check","")</f>
        <v/>
      </c>
    </row>
    <row r="1697" spans="1:10" ht="15" x14ac:dyDescent="0.2">
      <c r="A1697" s="324" t="s">
        <v>3095</v>
      </c>
      <c r="B1697" s="324" t="str">
        <f t="shared" si="102"/>
        <v>1050</v>
      </c>
      <c r="C1697" s="324">
        <v>52111</v>
      </c>
      <c r="D1697" s="1103">
        <f>2005</f>
        <v>2005</v>
      </c>
      <c r="E1697" s="1103">
        <v>0</v>
      </c>
      <c r="F1697" s="1104">
        <v>0</v>
      </c>
      <c r="G1697" s="1105"/>
      <c r="H1697" s="1111" t="s">
        <v>1052</v>
      </c>
      <c r="I1697" s="1205"/>
      <c r="J1697" s="2" t="str">
        <f>IF(Table5[[#This Row],[Entered]]&lt;&gt;Table5[[#This Row],[Quantity]],"Check","")</f>
        <v/>
      </c>
    </row>
    <row r="1698" spans="1:10" ht="15" x14ac:dyDescent="0.2">
      <c r="A1698" s="324" t="s">
        <v>3095</v>
      </c>
      <c r="B1698" s="324" t="str">
        <f t="shared" si="102"/>
        <v>1050</v>
      </c>
      <c r="C1698" s="324">
        <v>52111</v>
      </c>
      <c r="D1698" s="1103">
        <f>7010</f>
        <v>7010</v>
      </c>
      <c r="E1698" s="1103">
        <v>1</v>
      </c>
      <c r="F1698" s="1104"/>
      <c r="G1698" s="1105"/>
      <c r="H1698" s="1111" t="s">
        <v>2282</v>
      </c>
      <c r="I1698" s="1205"/>
      <c r="J1698" s="2" t="str">
        <f>IF(Table5[[#This Row],[Entered]]&lt;&gt;Table5[[#This Row],[Quantity]],"Check","")</f>
        <v/>
      </c>
    </row>
    <row r="1699" spans="1:10" ht="15" x14ac:dyDescent="0.2">
      <c r="A1699" s="324" t="s">
        <v>3095</v>
      </c>
      <c r="B1699" s="324" t="str">
        <f t="shared" ref="B1699:B1706" si="103">"1050"</f>
        <v>1050</v>
      </c>
      <c r="C1699" s="324">
        <v>52111</v>
      </c>
      <c r="D1699" s="1103">
        <f>7020</f>
        <v>7020</v>
      </c>
      <c r="E1699" s="1103">
        <v>1</v>
      </c>
      <c r="F1699" s="1104"/>
      <c r="G1699" s="1105"/>
      <c r="H1699" s="1111" t="s">
        <v>2283</v>
      </c>
      <c r="I1699" s="1205"/>
      <c r="J1699" s="2" t="str">
        <f>IF(Table5[[#This Row],[Entered]]&lt;&gt;Table5[[#This Row],[Quantity]],"Check","")</f>
        <v/>
      </c>
    </row>
    <row r="1700" spans="1:10" ht="15" x14ac:dyDescent="0.2">
      <c r="A1700" s="324" t="s">
        <v>3095</v>
      </c>
      <c r="B1700" s="324" t="str">
        <f t="shared" si="103"/>
        <v>1050</v>
      </c>
      <c r="C1700" s="324">
        <v>52111</v>
      </c>
      <c r="D1700" s="1103" t="s">
        <v>663</v>
      </c>
      <c r="E1700" s="1103">
        <v>1</v>
      </c>
      <c r="F1700" s="1104">
        <f>COUNTIFS(Addenda!A:A,"*CAROMA*",Addenda!A:A,"*WALL*",Addenda!A:A,"*1TH*",Addenda!A:A,"*COSMO*")</f>
        <v>0</v>
      </c>
      <c r="G1700" s="1105">
        <v>118.83</v>
      </c>
      <c r="H1700" s="1111" t="s">
        <v>1133</v>
      </c>
      <c r="I1700" s="1205"/>
      <c r="J1700" s="2" t="str">
        <f>IF(Table5[[#This Row],[Entered]]&lt;&gt;Table5[[#This Row],[Quantity]],"Check","")</f>
        <v/>
      </c>
    </row>
    <row r="1701" spans="1:10" ht="15" x14ac:dyDescent="0.2">
      <c r="A1701" s="324" t="s">
        <v>3095</v>
      </c>
      <c r="B1701" s="324" t="str">
        <f t="shared" si="103"/>
        <v>1050</v>
      </c>
      <c r="C1701" s="324">
        <v>52111</v>
      </c>
      <c r="D1701" s="1103" t="s">
        <v>663</v>
      </c>
      <c r="E1701" s="1103">
        <v>1</v>
      </c>
      <c r="F1701" s="1104">
        <f>COUNTIFS(Addenda!A:A,"*LIANO*",Addenda!A:A,"*WALL*",Addenda!A:A,"*1TH*",Addenda!A:A,"&lt;&gt;*HAND*")</f>
        <v>0</v>
      </c>
      <c r="G1701" s="1105">
        <v>308.07</v>
      </c>
      <c r="H1701" s="1111" t="s">
        <v>1093</v>
      </c>
      <c r="I1701" s="1205"/>
      <c r="J1701" s="2" t="str">
        <f>IF(Table5[[#This Row],[Entered]]&lt;&gt;Table5[[#This Row],[Quantity]],"Check","")</f>
        <v/>
      </c>
    </row>
    <row r="1702" spans="1:10" ht="15" x14ac:dyDescent="0.2">
      <c r="A1702" s="324" t="s">
        <v>3095</v>
      </c>
      <c r="B1702" s="324" t="str">
        <f t="shared" si="103"/>
        <v>1050</v>
      </c>
      <c r="C1702" s="324">
        <v>52111</v>
      </c>
      <c r="D1702" s="1103" t="s">
        <v>663</v>
      </c>
      <c r="E1702" s="1103">
        <v>1</v>
      </c>
      <c r="F1702" s="1104">
        <f>COUNTIFS(Addenda!A:A,"*BATH*",Addenda!A:A,"*CLASSIC*",Addenda!A:A,"*1698*")</f>
        <v>0</v>
      </c>
      <c r="G1702" s="1105">
        <v>314.77999999999997</v>
      </c>
      <c r="H1702" s="1111" t="s">
        <v>1079</v>
      </c>
      <c r="I1702" s="1205"/>
      <c r="J1702" s="2" t="str">
        <f>IF(Table5[[#This Row],[Entered]]&lt;&gt;Table5[[#This Row],[Quantity]],"Check","")</f>
        <v/>
      </c>
    </row>
    <row r="1703" spans="1:10" ht="15" x14ac:dyDescent="0.2">
      <c r="A1703" s="324" t="s">
        <v>3095</v>
      </c>
      <c r="B1703" s="324" t="str">
        <f t="shared" si="103"/>
        <v>1050</v>
      </c>
      <c r="C1703" s="324">
        <v>52111</v>
      </c>
      <c r="D1703" s="1103" t="s">
        <v>663</v>
      </c>
      <c r="E1703" s="1103">
        <v>1</v>
      </c>
      <c r="F1703" s="1104">
        <f>COUNTIFS(Addenda!A:A,"*LIANO*",Addenda!A:A,"*3TH*",Addenda!A:A,"*SEMI*")</f>
        <v>0</v>
      </c>
      <c r="G1703" s="1105">
        <v>355.08</v>
      </c>
      <c r="H1703" s="1111" t="s">
        <v>1172</v>
      </c>
      <c r="I1703" s="1205"/>
      <c r="J1703" s="2" t="str">
        <f>IF(Table5[[#This Row],[Entered]]&lt;&gt;Table5[[#This Row],[Quantity]],"Check","")</f>
        <v/>
      </c>
    </row>
    <row r="1704" spans="1:10" ht="15" x14ac:dyDescent="0.2">
      <c r="A1704" s="324" t="s">
        <v>3095</v>
      </c>
      <c r="B1704" s="324" t="str">
        <f t="shared" si="103"/>
        <v>1050</v>
      </c>
      <c r="C1704" s="324">
        <v>52111</v>
      </c>
      <c r="D1704" s="1103" t="s">
        <v>663</v>
      </c>
      <c r="E1704" s="1103">
        <f>E1703</f>
        <v>1</v>
      </c>
      <c r="F1704" s="1104">
        <f>COUNTIFS(Addenda!A:A,"*CLARK*",Addenda!A:A,"*MONACO*",Addenda!A:A,"*SINGLE*",Addenda!A:A,"*RIGHT*",Addenda!A:A,"*1 T*")</f>
        <v>0</v>
      </c>
      <c r="G1704" s="1105">
        <v>368.73</v>
      </c>
      <c r="H1704" s="1111" t="s">
        <v>1080</v>
      </c>
      <c r="I1704" s="1205"/>
      <c r="J1704" s="2" t="str">
        <f>IF(Table5[[#This Row],[Entered]]&lt;&gt;Table5[[#This Row],[Quantity]],"Check","")</f>
        <v/>
      </c>
    </row>
    <row r="1705" spans="1:10" ht="15" x14ac:dyDescent="0.2">
      <c r="A1705" s="324" t="s">
        <v>3095</v>
      </c>
      <c r="B1705" s="324" t="str">
        <f t="shared" si="103"/>
        <v>1050</v>
      </c>
      <c r="C1705" s="324">
        <v>52111</v>
      </c>
      <c r="D1705" s="1103" t="s">
        <v>1062</v>
      </c>
      <c r="E1705" s="1103">
        <v>1</v>
      </c>
      <c r="F1705" s="1104">
        <f>COUNTIFS(Addenda!A:A,"*INSET*",Addenda!A:A,"*1TH*",Addenda!A:A,"*BASA*")</f>
        <v>0</v>
      </c>
      <c r="G1705" s="1105">
        <v>246.85</v>
      </c>
      <c r="H1705" s="1111" t="s">
        <v>1082</v>
      </c>
      <c r="I1705" s="1205"/>
      <c r="J1705" s="2" t="str">
        <f>IF(Table5[[#This Row],[Entered]]&lt;&gt;Table5[[#This Row],[Quantity]],"Check","")</f>
        <v/>
      </c>
    </row>
    <row r="1706" spans="1:10" ht="15" x14ac:dyDescent="0.2">
      <c r="A1706" s="324" t="s">
        <v>3095</v>
      </c>
      <c r="B1706" s="324" t="str">
        <f t="shared" si="103"/>
        <v>1050</v>
      </c>
      <c r="C1706" s="324">
        <v>52111</v>
      </c>
      <c r="D1706" s="1103">
        <v>38</v>
      </c>
      <c r="E1706" s="1103">
        <v>1</v>
      </c>
      <c r="F1706" s="1104">
        <f>COUNTIFS(Addenda!A:A,"*JL711*")</f>
        <v>0</v>
      </c>
      <c r="G1706" s="1105"/>
      <c r="H1706" s="1111" t="s">
        <v>2343</v>
      </c>
      <c r="I1706" s="1205"/>
      <c r="J1706" s="2" t="str">
        <f>IF(Table5[[#This Row],[Entered]]&lt;&gt;Table5[[#This Row],[Quantity]],"Check","")</f>
        <v/>
      </c>
    </row>
    <row r="1707" spans="1:10" ht="15" x14ac:dyDescent="0.2">
      <c r="A1707" s="324"/>
      <c r="B1707" s="324"/>
      <c r="C1707" s="324"/>
      <c r="D1707" s="324"/>
      <c r="E1707" s="324"/>
      <c r="F1707" s="827"/>
      <c r="G1707" s="829"/>
      <c r="H1707" s="412"/>
      <c r="I1707" s="1258"/>
      <c r="J1707" s="2" t="str">
        <f>IF(Table5[[#This Row],[Entered]]&lt;&gt;Table5[[#This Row],[Quantity]],"Check","")</f>
        <v/>
      </c>
    </row>
    <row r="1708" spans="1:10" ht="15" x14ac:dyDescent="0.2">
      <c r="A1708" s="324" t="s">
        <v>3115</v>
      </c>
      <c r="B1708" s="324" t="str">
        <f t="shared" ref="B1708:B1739" si="104">"1150"</f>
        <v>1150</v>
      </c>
      <c r="C1708" s="324" t="str">
        <f t="shared" ref="C1708:C1750" si="105">Tile_Supplier</f>
        <v/>
      </c>
      <c r="D1708" s="324" t="str">
        <f>"0009"</f>
        <v>0009</v>
      </c>
      <c r="E1708" s="324">
        <v>5</v>
      </c>
      <c r="F1708" s="827">
        <f>CEILING(Tiles!B373/1.5,1)</f>
        <v>0</v>
      </c>
      <c r="G1708" s="829">
        <v>8</v>
      </c>
      <c r="H1708" s="412" t="s">
        <v>3128</v>
      </c>
      <c r="I1708" s="1258"/>
      <c r="J1708" s="2" t="str">
        <f>IF(Table5[[#This Row],[Entered]]&lt;&gt;Table5[[#This Row],[Quantity]],"Check","")</f>
        <v/>
      </c>
    </row>
    <row r="1709" spans="1:10" ht="15" x14ac:dyDescent="0.2">
      <c r="A1709" s="324" t="s">
        <v>3115</v>
      </c>
      <c r="B1709" s="324" t="str">
        <f t="shared" si="104"/>
        <v>1150</v>
      </c>
      <c r="C1709" s="324" t="str">
        <f t="shared" si="105"/>
        <v/>
      </c>
      <c r="D1709" s="324" t="str">
        <f>"7010"</f>
        <v>7010</v>
      </c>
      <c r="E1709" s="324">
        <v>8</v>
      </c>
      <c r="F1709" s="827">
        <f>Tiles!B356</f>
        <v>0</v>
      </c>
      <c r="G1709" s="829">
        <f>ROUND(Tiles!$F$4,2)</f>
        <v>32</v>
      </c>
      <c r="H1709" s="412" t="s">
        <v>3121</v>
      </c>
      <c r="I1709" s="1258"/>
      <c r="J1709" s="2" t="str">
        <f>IF(Table5[[#This Row],[Entered]]&lt;&gt;Table5[[#This Row],[Quantity]],"Check","")</f>
        <v/>
      </c>
    </row>
    <row r="1710" spans="1:10" ht="15" x14ac:dyDescent="0.2">
      <c r="A1710" s="324" t="s">
        <v>3115</v>
      </c>
      <c r="B1710" s="324" t="str">
        <f t="shared" si="104"/>
        <v>1150</v>
      </c>
      <c r="C1710" s="324" t="str">
        <f t="shared" si="105"/>
        <v/>
      </c>
      <c r="D1710" s="324" t="str">
        <f>"7020"</f>
        <v>7020</v>
      </c>
      <c r="E1710" s="324">
        <v>8</v>
      </c>
      <c r="F1710" s="827">
        <f>Tiles!B365</f>
        <v>0</v>
      </c>
      <c r="G1710" s="829">
        <f>ROUND(Tiles!$M$4,2)</f>
        <v>32</v>
      </c>
      <c r="H1710" s="412" t="s">
        <v>3122</v>
      </c>
      <c r="I1710" s="1258"/>
      <c r="J1710" s="2" t="str">
        <f>IF(Table5[[#This Row],[Entered]]&lt;&gt;Table5[[#This Row],[Quantity]],"Check","")</f>
        <v/>
      </c>
    </row>
    <row r="1711" spans="1:10" ht="15" x14ac:dyDescent="0.2">
      <c r="A1711" s="324" t="s">
        <v>3115</v>
      </c>
      <c r="B1711" s="324" t="str">
        <f t="shared" si="104"/>
        <v>1150</v>
      </c>
      <c r="C1711" s="324" t="str">
        <f t="shared" si="105"/>
        <v/>
      </c>
      <c r="D1711" s="324" t="str">
        <f>"7030"</f>
        <v>7030</v>
      </c>
      <c r="E1711" s="324">
        <v>8</v>
      </c>
      <c r="F1711" s="827">
        <f>Tiles!B358</f>
        <v>0</v>
      </c>
      <c r="G1711" s="829">
        <f>ROUND(Tiles!$F$52,2)</f>
        <v>32</v>
      </c>
      <c r="H1711" s="412" t="s">
        <v>1112</v>
      </c>
      <c r="I1711" s="1258"/>
      <c r="J1711" s="2" t="str">
        <f>IF(Table5[[#This Row],[Entered]]&lt;&gt;Table5[[#This Row],[Quantity]],"Check","")</f>
        <v/>
      </c>
    </row>
    <row r="1712" spans="1:10" ht="15" x14ac:dyDescent="0.2">
      <c r="A1712" s="324" t="s">
        <v>3115</v>
      </c>
      <c r="B1712" s="324" t="str">
        <f t="shared" si="104"/>
        <v>1150</v>
      </c>
      <c r="C1712" s="324" t="str">
        <f t="shared" si="105"/>
        <v/>
      </c>
      <c r="D1712" s="324" t="str">
        <f>"7040"</f>
        <v>7040</v>
      </c>
      <c r="E1712" s="324">
        <v>8</v>
      </c>
      <c r="F1712" s="827">
        <f>Tiles!B367</f>
        <v>0</v>
      </c>
      <c r="G1712" s="829">
        <f>ROUND(Tiles!$M$52,2)</f>
        <v>32</v>
      </c>
      <c r="H1712" s="412" t="s">
        <v>1115</v>
      </c>
      <c r="I1712" s="1258"/>
      <c r="J1712" s="2" t="str">
        <f>IF(Table5[[#This Row],[Entered]]&lt;&gt;Table5[[#This Row],[Quantity]],"Check","")</f>
        <v/>
      </c>
    </row>
    <row r="1713" spans="1:10" ht="15" x14ac:dyDescent="0.2">
      <c r="A1713" s="324" t="s">
        <v>3115</v>
      </c>
      <c r="B1713" s="324" t="str">
        <f t="shared" si="104"/>
        <v>1150</v>
      </c>
      <c r="C1713" s="324" t="str">
        <f t="shared" si="105"/>
        <v/>
      </c>
      <c r="D1713" s="324" t="str">
        <f>"0050"</f>
        <v>0050</v>
      </c>
      <c r="E1713" s="324">
        <v>8</v>
      </c>
      <c r="F1713" s="827">
        <f>Tiles!B364</f>
        <v>0</v>
      </c>
      <c r="G1713" s="829">
        <f>ROUND(Tiles!$F$132,2)</f>
        <v>32</v>
      </c>
      <c r="H1713" s="412" t="s">
        <v>3123</v>
      </c>
      <c r="I1713" s="1258"/>
      <c r="J1713" s="2" t="str">
        <f>IF(Table5[[#This Row],[Entered]]&lt;&gt;Table5[[#This Row],[Quantity]],"Check","")</f>
        <v/>
      </c>
    </row>
    <row r="1714" spans="1:10" ht="15" x14ac:dyDescent="0.2">
      <c r="A1714" s="324" t="s">
        <v>3115</v>
      </c>
      <c r="B1714" s="324" t="str">
        <f t="shared" si="104"/>
        <v>1150</v>
      </c>
      <c r="C1714" s="324" t="str">
        <f t="shared" si="105"/>
        <v/>
      </c>
      <c r="D1714" s="324" t="str">
        <f>"0060"</f>
        <v>0060</v>
      </c>
      <c r="E1714" s="324">
        <v>8</v>
      </c>
      <c r="F1714" s="827">
        <f>Tiles!B372</f>
        <v>0</v>
      </c>
      <c r="G1714" s="829">
        <f>ROUND(Tiles!$M$132,2)</f>
        <v>32</v>
      </c>
      <c r="H1714" s="412" t="s">
        <v>3124</v>
      </c>
      <c r="I1714" s="1258"/>
      <c r="J1714" s="2" t="str">
        <f>IF(Table5[[#This Row],[Entered]]&lt;&gt;Table5[[#This Row],[Quantity]],"Check","")</f>
        <v/>
      </c>
    </row>
    <row r="1715" spans="1:10" ht="15" x14ac:dyDescent="0.2">
      <c r="A1715" s="324" t="s">
        <v>3115</v>
      </c>
      <c r="B1715" s="324" t="str">
        <f t="shared" si="104"/>
        <v>1150</v>
      </c>
      <c r="C1715" s="324" t="str">
        <f t="shared" si="105"/>
        <v/>
      </c>
      <c r="D1715" s="324" t="str">
        <f>"7070"</f>
        <v>7070</v>
      </c>
      <c r="E1715" s="324">
        <v>8</v>
      </c>
      <c r="F1715" s="827">
        <f>Tiles!B361</f>
        <v>0</v>
      </c>
      <c r="G1715" s="829">
        <f>ROUND(Tiles!$F$100,2)</f>
        <v>32</v>
      </c>
      <c r="H1715" s="412" t="s">
        <v>3125</v>
      </c>
      <c r="I1715" s="1258"/>
      <c r="J1715" s="2" t="str">
        <f>IF(Table5[[#This Row],[Entered]]&lt;&gt;Table5[[#This Row],[Quantity]],"Check","")</f>
        <v/>
      </c>
    </row>
    <row r="1716" spans="1:10" ht="15" x14ac:dyDescent="0.2">
      <c r="A1716" s="324" t="s">
        <v>3115</v>
      </c>
      <c r="B1716" s="324" t="str">
        <f t="shared" si="104"/>
        <v>1150</v>
      </c>
      <c r="C1716" s="324" t="str">
        <f t="shared" si="105"/>
        <v/>
      </c>
      <c r="D1716" s="324" t="str">
        <f>"7080"</f>
        <v>7080</v>
      </c>
      <c r="E1716" s="324">
        <v>8</v>
      </c>
      <c r="F1716" s="827">
        <f>Tiles!B369</f>
        <v>0</v>
      </c>
      <c r="G1716" s="829">
        <f>ROUND(Tiles!$M$100,2)</f>
        <v>32</v>
      </c>
      <c r="H1716" s="412" t="s">
        <v>3126</v>
      </c>
      <c r="I1716" s="1258"/>
      <c r="J1716" s="2" t="str">
        <f>IF(Table5[[#This Row],[Entered]]&lt;&gt;Table5[[#This Row],[Quantity]],"Check","")</f>
        <v/>
      </c>
    </row>
    <row r="1717" spans="1:10" ht="15" x14ac:dyDescent="0.2">
      <c r="A1717" s="324" t="s">
        <v>3115</v>
      </c>
      <c r="B1717" s="324" t="str">
        <f t="shared" si="104"/>
        <v>1150</v>
      </c>
      <c r="C1717" s="324" t="str">
        <f t="shared" si="105"/>
        <v/>
      </c>
      <c r="D1717" s="324">
        <v>7020</v>
      </c>
      <c r="E1717" s="324">
        <v>8</v>
      </c>
      <c r="F1717" s="827">
        <f>Tiles!B357</f>
        <v>0</v>
      </c>
      <c r="G1717" s="829">
        <f>ROUND(Tiles!F228,2)</f>
        <v>32</v>
      </c>
      <c r="H1717" s="412" t="s">
        <v>1635</v>
      </c>
      <c r="I1717" s="1258"/>
      <c r="J1717" s="2" t="str">
        <f>IF(Table5[[#This Row],[Entered]]&lt;&gt;Table5[[#This Row],[Quantity]],"Check","")</f>
        <v/>
      </c>
    </row>
    <row r="1718" spans="1:10" ht="15" x14ac:dyDescent="0.2">
      <c r="A1718" s="324" t="s">
        <v>3115</v>
      </c>
      <c r="B1718" s="324" t="str">
        <f t="shared" si="104"/>
        <v>1150</v>
      </c>
      <c r="C1718" s="324" t="str">
        <f t="shared" si="105"/>
        <v/>
      </c>
      <c r="D1718" s="324">
        <v>7200</v>
      </c>
      <c r="E1718" s="324">
        <v>8</v>
      </c>
      <c r="F1718" s="827">
        <f>Tiles!B366</f>
        <v>0</v>
      </c>
      <c r="G1718" s="829">
        <f>ROUND(Tiles!M228,2)</f>
        <v>32</v>
      </c>
      <c r="H1718" s="412" t="s">
        <v>1638</v>
      </c>
      <c r="I1718" s="1258"/>
      <c r="J1718" s="2" t="str">
        <f>IF(Table5[[#This Row],[Entered]]&lt;&gt;Table5[[#This Row],[Quantity]],"Check","")</f>
        <v/>
      </c>
    </row>
    <row r="1719" spans="1:10" ht="15" x14ac:dyDescent="0.2">
      <c r="A1719" s="324" t="s">
        <v>3115</v>
      </c>
      <c r="B1719" s="324" t="str">
        <f t="shared" si="104"/>
        <v>1150</v>
      </c>
      <c r="C1719" s="324" t="str">
        <f t="shared" si="105"/>
        <v/>
      </c>
      <c r="D1719" s="324">
        <v>7140</v>
      </c>
      <c r="E1719" s="324">
        <v>8</v>
      </c>
      <c r="F1719" s="827">
        <f>Tiles!B359</f>
        <v>0</v>
      </c>
      <c r="G1719" s="829">
        <f>ROUND(Tiles!F276,2)</f>
        <v>32</v>
      </c>
      <c r="H1719" s="412" t="s">
        <v>1636</v>
      </c>
      <c r="I1719" s="1258"/>
      <c r="J1719" s="2" t="str">
        <f>IF(Table5[[#This Row],[Entered]]&lt;&gt;Table5[[#This Row],[Quantity]],"Check","")</f>
        <v/>
      </c>
    </row>
    <row r="1720" spans="1:10" ht="15" x14ac:dyDescent="0.2">
      <c r="A1720" s="324" t="s">
        <v>3115</v>
      </c>
      <c r="B1720" s="324" t="str">
        <f t="shared" si="104"/>
        <v>1150</v>
      </c>
      <c r="C1720" s="324" t="str">
        <f t="shared" si="105"/>
        <v/>
      </c>
      <c r="D1720" s="324">
        <v>7220</v>
      </c>
      <c r="E1720" s="324">
        <v>8</v>
      </c>
      <c r="F1720" s="827">
        <f>Tiles!B368</f>
        <v>0</v>
      </c>
      <c r="G1720" s="829">
        <f>ROUND(Tiles!M276,2)</f>
        <v>32</v>
      </c>
      <c r="H1720" s="412" t="s">
        <v>1639</v>
      </c>
      <c r="I1720" s="1258"/>
      <c r="J1720" s="2" t="str">
        <f>IF(Table5[[#This Row],[Entered]]&lt;&gt;Table5[[#This Row],[Quantity]],"Check","")</f>
        <v/>
      </c>
    </row>
    <row r="1721" spans="1:10" ht="15" x14ac:dyDescent="0.2">
      <c r="A1721" s="324" t="s">
        <v>3115</v>
      </c>
      <c r="B1721" s="324" t="str">
        <f t="shared" si="104"/>
        <v>1150</v>
      </c>
      <c r="C1721" s="324" t="str">
        <f t="shared" si="105"/>
        <v/>
      </c>
      <c r="D1721" s="324" t="str">
        <f>"7090"</f>
        <v>7090</v>
      </c>
      <c r="E1721" s="324">
        <v>8</v>
      </c>
      <c r="F1721" s="827">
        <f>Tiles!B360</f>
        <v>0</v>
      </c>
      <c r="G1721" s="829">
        <f>ROUND(Tiles!$F$164,2)</f>
        <v>32</v>
      </c>
      <c r="H1721" s="412" t="s">
        <v>1113</v>
      </c>
      <c r="I1721" s="1258"/>
      <c r="J1721" s="2" t="str">
        <f>IF(Table5[[#This Row],[Entered]]&lt;&gt;Table5[[#This Row],[Quantity]],"Check","")</f>
        <v/>
      </c>
    </row>
    <row r="1722" spans="1:10" ht="15" x14ac:dyDescent="0.2">
      <c r="A1722" s="324" t="s">
        <v>3115</v>
      </c>
      <c r="B1722" s="324" t="str">
        <f t="shared" si="104"/>
        <v>1150</v>
      </c>
      <c r="C1722" s="324" t="str">
        <f t="shared" si="105"/>
        <v/>
      </c>
      <c r="D1722" s="1103">
        <f>7120</f>
        <v>7120</v>
      </c>
      <c r="E1722" s="324">
        <v>8</v>
      </c>
      <c r="F1722" s="827">
        <v>0</v>
      </c>
      <c r="G1722" s="829">
        <v>0</v>
      </c>
      <c r="H1722" s="1111" t="s">
        <v>2287</v>
      </c>
      <c r="I1722" s="1205"/>
      <c r="J1722" s="2" t="str">
        <f>IF(Table5[[#This Row],[Entered]]&lt;&gt;Table5[[#This Row],[Quantity]],"Check","")</f>
        <v/>
      </c>
    </row>
    <row r="1723" spans="1:10" ht="15" x14ac:dyDescent="0.2">
      <c r="A1723" s="324" t="s">
        <v>3115</v>
      </c>
      <c r="B1723" s="324" t="str">
        <f t="shared" si="104"/>
        <v>1150</v>
      </c>
      <c r="C1723" s="324" t="str">
        <f t="shared" si="105"/>
        <v/>
      </c>
      <c r="D1723" s="324" t="str">
        <f>"0180"</f>
        <v>0180</v>
      </c>
      <c r="E1723" s="324">
        <v>8</v>
      </c>
      <c r="F1723" s="827">
        <v>0</v>
      </c>
      <c r="G1723" s="829">
        <v>0</v>
      </c>
      <c r="H1723" s="412" t="s">
        <v>1114</v>
      </c>
      <c r="I1723" s="1258"/>
      <c r="J1723" s="2" t="str">
        <f>IF(Table5[[#This Row],[Entered]]&lt;&gt;Table5[[#This Row],[Quantity]],"Check","")</f>
        <v/>
      </c>
    </row>
    <row r="1724" spans="1:10" ht="15" x14ac:dyDescent="0.2">
      <c r="A1724" s="324" t="s">
        <v>3115</v>
      </c>
      <c r="B1724" s="324" t="str">
        <f t="shared" si="104"/>
        <v>1150</v>
      </c>
      <c r="C1724" s="324" t="str">
        <f t="shared" si="105"/>
        <v/>
      </c>
      <c r="D1724" s="324">
        <f>7150</f>
        <v>7150</v>
      </c>
      <c r="E1724" s="324">
        <v>8</v>
      </c>
      <c r="F1724" s="827">
        <f>Tiles!B362</f>
        <v>0</v>
      </c>
      <c r="G1724" s="829">
        <f>ROUND(Tiles!$F$196,2)</f>
        <v>32</v>
      </c>
      <c r="H1724" s="412" t="str">
        <f>UPPER(Tiles!A195)</f>
        <v>POWDER WALL TILE</v>
      </c>
      <c r="I1724" s="1258"/>
      <c r="J1724" s="2" t="str">
        <f>IF(Table5[[#This Row],[Entered]]&lt;&gt;Table5[[#This Row],[Quantity]],"Check","")</f>
        <v/>
      </c>
    </row>
    <row r="1725" spans="1:10" ht="15" x14ac:dyDescent="0.2">
      <c r="A1725" s="324" t="s">
        <v>3115</v>
      </c>
      <c r="B1725" s="324" t="str">
        <f t="shared" si="104"/>
        <v>1150</v>
      </c>
      <c r="C1725" s="324" t="str">
        <f t="shared" si="105"/>
        <v/>
      </c>
      <c r="D1725" s="1103" t="s">
        <v>2288</v>
      </c>
      <c r="E1725" s="324">
        <v>8</v>
      </c>
      <c r="F1725" s="827">
        <f>Tiles!B363</f>
        <v>0</v>
      </c>
      <c r="G1725" s="829">
        <f>ROUND(Tiles!F324,2)</f>
        <v>32</v>
      </c>
      <c r="H1725" s="1111" t="s">
        <v>1637</v>
      </c>
      <c r="I1725" s="1205"/>
      <c r="J1725" s="2" t="str">
        <f>IF(Table5[[#This Row],[Entered]]&lt;&gt;Table5[[#This Row],[Quantity]],"Check","")</f>
        <v/>
      </c>
    </row>
    <row r="1726" spans="1:10" ht="15" x14ac:dyDescent="0.2">
      <c r="A1726" s="324" t="s">
        <v>3115</v>
      </c>
      <c r="B1726" s="324" t="str">
        <f t="shared" si="104"/>
        <v>1150</v>
      </c>
      <c r="C1726" s="324" t="str">
        <f t="shared" si="105"/>
        <v/>
      </c>
      <c r="D1726" s="324">
        <f>7270</f>
        <v>7270</v>
      </c>
      <c r="E1726" s="324">
        <v>8</v>
      </c>
      <c r="F1726" s="827">
        <f>Tiles!B370</f>
        <v>0</v>
      </c>
      <c r="G1726" s="829">
        <f>ROUND(Tiles!$M$196,2)</f>
        <v>32</v>
      </c>
      <c r="H1726" s="412" t="str">
        <f>UPPER(Tiles!H195)</f>
        <v>POWDER FLOOR TILE</v>
      </c>
      <c r="I1726" s="1258"/>
      <c r="J1726" s="2" t="str">
        <f>IF(Table5[[#This Row],[Entered]]&lt;&gt;Table5[[#This Row],[Quantity]],"Check","")</f>
        <v/>
      </c>
    </row>
    <row r="1727" spans="1:10" ht="15" x14ac:dyDescent="0.2">
      <c r="A1727" s="324" t="s">
        <v>3115</v>
      </c>
      <c r="B1727" s="324" t="str">
        <f t="shared" si="104"/>
        <v>1150</v>
      </c>
      <c r="C1727" s="324" t="str">
        <f t="shared" si="105"/>
        <v/>
      </c>
      <c r="D1727" s="324">
        <v>7271</v>
      </c>
      <c r="E1727" s="324">
        <v>8</v>
      </c>
      <c r="F1727" s="827">
        <f>Tiles!B371</f>
        <v>0</v>
      </c>
      <c r="G1727" s="829">
        <f>Tiles!M324</f>
        <v>32</v>
      </c>
      <c r="H1727" s="412" t="str">
        <f>UPPER(Tiles!H323)</f>
        <v>POWDER 2 FLOOR TILE</v>
      </c>
      <c r="I1727" s="1205"/>
      <c r="J1727" s="2" t="str">
        <f>IF(Table5[[#This Row],[Entered]]&lt;&gt;Table5[[#This Row],[Quantity]],"Check","")</f>
        <v/>
      </c>
    </row>
    <row r="1728" spans="1:10" ht="15" x14ac:dyDescent="0.2">
      <c r="A1728" s="324" t="s">
        <v>3115</v>
      </c>
      <c r="B1728" s="324" t="str">
        <f t="shared" si="104"/>
        <v>1150</v>
      </c>
      <c r="C1728" s="324" t="str">
        <f t="shared" si="105"/>
        <v/>
      </c>
      <c r="D1728" s="1103">
        <f>280</f>
        <v>280</v>
      </c>
      <c r="E1728" s="324">
        <v>8</v>
      </c>
      <c r="F1728" s="827">
        <v>0</v>
      </c>
      <c r="G1728" s="829">
        <v>0</v>
      </c>
      <c r="H1728" s="1111" t="s">
        <v>1118</v>
      </c>
      <c r="I1728" s="1205"/>
      <c r="J1728" s="2" t="str">
        <f>IF(Table5[[#This Row],[Entered]]&lt;&gt;Table5[[#This Row],[Quantity]],"Check","")</f>
        <v/>
      </c>
    </row>
    <row r="1729" spans="1:10" ht="15" x14ac:dyDescent="0.2">
      <c r="A1729" s="324" t="s">
        <v>3115</v>
      </c>
      <c r="B1729" s="324" t="str">
        <f t="shared" si="104"/>
        <v>1150</v>
      </c>
      <c r="C1729" s="324" t="str">
        <f t="shared" si="105"/>
        <v/>
      </c>
      <c r="D1729" s="1103">
        <f>290</f>
        <v>290</v>
      </c>
      <c r="E1729" s="324">
        <v>8</v>
      </c>
      <c r="F1729" s="827">
        <v>0</v>
      </c>
      <c r="G1729" s="829">
        <v>0</v>
      </c>
      <c r="H1729" s="1111" t="s">
        <v>1117</v>
      </c>
      <c r="I1729" s="1205"/>
      <c r="J1729" s="2" t="str">
        <f>IF(Table5[[#This Row],[Entered]]&lt;&gt;Table5[[#This Row],[Quantity]],"Check","")</f>
        <v/>
      </c>
    </row>
    <row r="1730" spans="1:10" ht="15" x14ac:dyDescent="0.2">
      <c r="A1730" s="324" t="s">
        <v>3115</v>
      </c>
      <c r="B1730" s="324" t="str">
        <f t="shared" si="104"/>
        <v>1150</v>
      </c>
      <c r="C1730" s="324" t="str">
        <f t="shared" si="105"/>
        <v/>
      </c>
      <c r="D1730" s="1103">
        <f>295</f>
        <v>295</v>
      </c>
      <c r="E1730" s="324">
        <v>8</v>
      </c>
      <c r="F1730" s="827" cm="1">
        <f t="array" ref="F1730">ROUND(SUMPRODUCT(--(Name="External Wall Tile"),Length,Height)*1.1,1)</f>
        <v>0</v>
      </c>
      <c r="G1730" s="829">
        <f>ROUND(Tiles!$B$265,2)/1.1</f>
        <v>0</v>
      </c>
      <c r="H1730" s="1111" t="s">
        <v>1116</v>
      </c>
      <c r="I1730" s="1205"/>
      <c r="J1730" s="2" t="str">
        <f>IF(Table5[[#This Row],[Entered]]&lt;&gt;Table5[[#This Row],[Quantity]],"Check","")</f>
        <v/>
      </c>
    </row>
    <row r="1731" spans="1:10" ht="15" x14ac:dyDescent="0.2">
      <c r="A1731" s="324" t="s">
        <v>3115</v>
      </c>
      <c r="B1731" s="324" t="str">
        <f t="shared" si="104"/>
        <v>1150</v>
      </c>
      <c r="C1731" s="324" t="str">
        <f t="shared" si="105"/>
        <v/>
      </c>
      <c r="D1731" s="324" t="str">
        <f>"0420"</f>
        <v>0420</v>
      </c>
      <c r="E1731" s="324">
        <v>7</v>
      </c>
      <c r="F1731" s="827">
        <f>COUNTIFS(Name,"Alum. Trim",Length,"&lt;=1")+(COUNTIFS(Name,"Alum. Trim",Length,"&gt;1")*3)</f>
        <v>0</v>
      </c>
      <c r="G1731" s="829">
        <v>6</v>
      </c>
      <c r="H1731" s="412" t="s">
        <v>3127</v>
      </c>
      <c r="I1731" s="1258"/>
      <c r="J1731" s="2" t="str">
        <f>IF(Table5[[#This Row],[Entered]]&lt;&gt;Table5[[#This Row],[Quantity]],"Check","")</f>
        <v/>
      </c>
    </row>
    <row r="1732" spans="1:10" ht="15" x14ac:dyDescent="0.2">
      <c r="A1732" s="324" t="s">
        <v>3115</v>
      </c>
      <c r="B1732" s="324" t="str">
        <f t="shared" si="104"/>
        <v>1150</v>
      </c>
      <c r="C1732" s="324" t="str">
        <f t="shared" si="105"/>
        <v/>
      </c>
      <c r="D1732" s="1103">
        <f>620</f>
        <v>620</v>
      </c>
      <c r="E1732" s="324">
        <v>1</v>
      </c>
      <c r="F1732" s="827">
        <f>IF(Tile_Supplier="ZBUSSI",CEILING(SUMIFS(Length,Name,"Alum. Trim"),1),0)</f>
        <v>0</v>
      </c>
      <c r="G1732" s="829">
        <v>4</v>
      </c>
      <c r="H1732" s="1111" t="s">
        <v>1188</v>
      </c>
      <c r="I1732" s="1205"/>
      <c r="J1732" s="2" t="str">
        <f>IF(Table5[[#This Row],[Entered]]&lt;&gt;Table5[[#This Row],[Quantity]],"Check","")</f>
        <v/>
      </c>
    </row>
    <row r="1733" spans="1:10" ht="15" x14ac:dyDescent="0.2">
      <c r="A1733" s="324" t="s">
        <v>3115</v>
      </c>
      <c r="B1733" s="324" t="str">
        <f t="shared" si="104"/>
        <v>1150</v>
      </c>
      <c r="C1733" s="324" t="str">
        <f t="shared" si="105"/>
        <v/>
      </c>
      <c r="D1733" s="1103">
        <f>800</f>
        <v>800</v>
      </c>
      <c r="E1733" s="324">
        <v>8</v>
      </c>
      <c r="F1733" s="827">
        <f>IF(Tile_Supplier="MAGI",ROUND(SUMIF(Name,"Main Floor Tile",Area),1),0)*1.1</f>
        <v>0</v>
      </c>
      <c r="G1733" s="829">
        <v>57</v>
      </c>
      <c r="H1733" s="1111" t="s">
        <v>1189</v>
      </c>
      <c r="I1733" s="1205"/>
      <c r="J1733" s="2" t="str">
        <f>IF(Table5[[#This Row],[Entered]]&lt;&gt;Table5[[#This Row],[Quantity]],"Check","")</f>
        <v/>
      </c>
    </row>
    <row r="1734" spans="1:10" ht="15" x14ac:dyDescent="0.2">
      <c r="A1734" s="324" t="s">
        <v>3115</v>
      </c>
      <c r="B1734" s="324" t="str">
        <f t="shared" si="104"/>
        <v>1150</v>
      </c>
      <c r="C1734" s="324" t="str">
        <f t="shared" si="105"/>
        <v/>
      </c>
      <c r="D1734" s="1103">
        <f>810</f>
        <v>810</v>
      </c>
      <c r="E1734" s="324">
        <v>8</v>
      </c>
      <c r="F1734" s="827">
        <f>IF(Tile_Supplier&lt;&gt;"MAGI",ROUND(SUMIF(Name,"Main Floor Tile",Area),1),0)-F1735</f>
        <v>0</v>
      </c>
      <c r="G1734" s="829">
        <f>IF(Tile_Supplier="ARMBU",60,IF(Tile_Supplier="ARMBU",60,IF(Tile_Supplier="MARDE",67,IF(Tile_Supplier="ZTILE",65,IF(Tile_Supplier="TRIMV",63,0)))))</f>
        <v>0</v>
      </c>
      <c r="H1734" s="1111" t="s">
        <v>1190</v>
      </c>
      <c r="I1734" s="1205"/>
      <c r="J1734" s="2" t="str">
        <f>IF(Table5[[#This Row],[Entered]]&lt;&gt;Table5[[#This Row],[Quantity]],"Check","")</f>
        <v/>
      </c>
    </row>
    <row r="1735" spans="1:10" ht="15" x14ac:dyDescent="0.2">
      <c r="A1735" s="324" t="s">
        <v>3115</v>
      </c>
      <c r="B1735" s="324" t="str">
        <f t="shared" si="104"/>
        <v>1150</v>
      </c>
      <c r="C1735" s="324" t="str">
        <f t="shared" si="105"/>
        <v/>
      </c>
      <c r="D1735" s="1103">
        <f>815</f>
        <v>815</v>
      </c>
      <c r="E1735" s="324">
        <v>8</v>
      </c>
      <c r="F1735" s="827">
        <f>IF(AND(Tile_Supplier&lt;&gt;"MAGI",COUNTIFS(Addenda!A:A,"*60*",Addenda!A:A,"*Jakarta*"),F1716&gt;0),ROUND(SUMIF(Name,"Main Floor Tile",Area),1),0)</f>
        <v>0</v>
      </c>
      <c r="G1735" s="829">
        <v>70</v>
      </c>
      <c r="H1735" s="1111" t="s">
        <v>1580</v>
      </c>
      <c r="I1735" s="1205"/>
      <c r="J1735" s="2" t="str">
        <f>IF(Table5[[#This Row],[Entered]]&lt;&gt;Table5[[#This Row],[Quantity]],"Check","")</f>
        <v/>
      </c>
    </row>
    <row r="1736" spans="1:10" ht="15" x14ac:dyDescent="0.2">
      <c r="A1736" s="324" t="s">
        <v>3115</v>
      </c>
      <c r="B1736" s="324" t="str">
        <f t="shared" si="104"/>
        <v>1150</v>
      </c>
      <c r="C1736" s="324" t="str">
        <f t="shared" si="105"/>
        <v/>
      </c>
      <c r="D1736" s="1103">
        <f>816</f>
        <v>816</v>
      </c>
      <c r="E1736" s="324">
        <v>8</v>
      </c>
      <c r="F1736" s="827">
        <f>IF(AND(Tile_Supplier&lt;&gt;"MAGI",COUNTIFS(Addenda!A:A,"*60*",Addenda!A:A,"*Jakarta*"),F1716=0),ROUND(SUMIF(Name,"Main Floor Tile",Area),1),0)</f>
        <v>0</v>
      </c>
      <c r="G1736" s="829">
        <v>109</v>
      </c>
      <c r="H1736" s="1111" t="s">
        <v>1581</v>
      </c>
      <c r="I1736" s="1205"/>
      <c r="J1736" s="2" t="str">
        <f>IF(Table5[[#This Row],[Entered]]&lt;&gt;Table5[[#This Row],[Quantity]],"Check","")</f>
        <v/>
      </c>
    </row>
    <row r="1737" spans="1:10" ht="15" x14ac:dyDescent="0.2">
      <c r="A1737" s="324" t="s">
        <v>3115</v>
      </c>
      <c r="B1737" s="324" t="str">
        <f t="shared" si="104"/>
        <v>1150</v>
      </c>
      <c r="C1737" s="324" t="str">
        <f t="shared" si="105"/>
        <v/>
      </c>
      <c r="D1737" s="1103">
        <v>7100</v>
      </c>
      <c r="E1737" s="324" t="str">
        <f>IF(Tiles!G389="8","8","1")</f>
        <v>1</v>
      </c>
      <c r="F1737" s="827">
        <f>Tiles!E389</f>
        <v>0</v>
      </c>
      <c r="G1737" s="829">
        <f>ROUND(Tiles!F389/1.1,2)</f>
        <v>0</v>
      </c>
      <c r="H1737" s="1111" t="s">
        <v>1231</v>
      </c>
      <c r="I1737" s="1205"/>
      <c r="J1737" s="2" t="str">
        <f>IF(Table5[[#This Row],[Entered]]&lt;&gt;Table5[[#This Row],[Quantity]],"Check","")</f>
        <v/>
      </c>
    </row>
    <row r="1738" spans="1:10" ht="15" x14ac:dyDescent="0.2">
      <c r="A1738" s="324" t="s">
        <v>3115</v>
      </c>
      <c r="B1738" s="324" t="str">
        <f t="shared" si="104"/>
        <v>1150</v>
      </c>
      <c r="C1738" s="324" t="str">
        <f t="shared" si="105"/>
        <v/>
      </c>
      <c r="D1738" s="1103">
        <v>7101</v>
      </c>
      <c r="E1738" s="324">
        <v>0</v>
      </c>
      <c r="F1738" s="827">
        <f>IF(Tiles!H389&lt;&gt;"",1,0)</f>
        <v>0</v>
      </c>
      <c r="G1738" s="829">
        <v>0</v>
      </c>
      <c r="H1738" s="1111" t="str">
        <f>Tiles!H389</f>
        <v/>
      </c>
      <c r="I1738" s="1205"/>
      <c r="J1738" s="2" t="str">
        <f>IF(Table5[[#This Row],[Entered]]&lt;&gt;Table5[[#This Row],[Quantity]],"Check","")</f>
        <v/>
      </c>
    </row>
    <row r="1739" spans="1:10" ht="15" x14ac:dyDescent="0.2">
      <c r="A1739" s="324" t="s">
        <v>3115</v>
      </c>
      <c r="B1739" s="324" t="str">
        <f t="shared" si="104"/>
        <v>1150</v>
      </c>
      <c r="C1739" s="324" t="str">
        <f t="shared" si="105"/>
        <v/>
      </c>
      <c r="D1739" s="1103">
        <v>7102</v>
      </c>
      <c r="E1739" s="324" t="str">
        <f>IF(Tiles!G390="8","8","1")</f>
        <v>1</v>
      </c>
      <c r="F1739" s="827">
        <f>Tiles!E390</f>
        <v>0</v>
      </c>
      <c r="G1739" s="829">
        <f>ROUND(Tiles!F390/1.1,2)</f>
        <v>0</v>
      </c>
      <c r="H1739" s="1111" t="str">
        <f>Tiles!A390&amp;" FEATURE TILES"</f>
        <v>Ensuite FEATURE TILES</v>
      </c>
      <c r="I1739" s="1258"/>
      <c r="J1739" s="2" t="str">
        <f>IF(Table5[[#This Row],[Entered]]&lt;&gt;Table5[[#This Row],[Quantity]],"Check","")</f>
        <v/>
      </c>
    </row>
    <row r="1740" spans="1:10" ht="15" x14ac:dyDescent="0.2">
      <c r="A1740" s="324" t="s">
        <v>3115</v>
      </c>
      <c r="B1740" s="324" t="str">
        <f t="shared" ref="B1740:B1757" si="106">"1150"</f>
        <v>1150</v>
      </c>
      <c r="C1740" s="324" t="str">
        <f t="shared" si="105"/>
        <v/>
      </c>
      <c r="D1740" s="1103">
        <v>7103</v>
      </c>
      <c r="E1740" s="324">
        <v>0</v>
      </c>
      <c r="F1740" s="827">
        <f>IF(Tiles!H390&lt;&gt;"",1,0)</f>
        <v>0</v>
      </c>
      <c r="G1740" s="829">
        <v>0</v>
      </c>
      <c r="H1740" s="1111" t="str">
        <f>Tiles!H390</f>
        <v/>
      </c>
      <c r="I1740" s="1205"/>
      <c r="J1740" s="2" t="str">
        <f>IF(Table5[[#This Row],[Entered]]&lt;&gt;Table5[[#This Row],[Quantity]],"Check","")</f>
        <v/>
      </c>
    </row>
    <row r="1741" spans="1:10" ht="15" x14ac:dyDescent="0.2">
      <c r="A1741" s="324" t="s">
        <v>3115</v>
      </c>
      <c r="B1741" s="324" t="str">
        <f t="shared" si="106"/>
        <v>1150</v>
      </c>
      <c r="C1741" s="324" t="str">
        <f t="shared" si="105"/>
        <v/>
      </c>
      <c r="D1741" s="1103">
        <v>7104</v>
      </c>
      <c r="E1741" s="324" t="str">
        <f>IF(Tiles!G391="8","8","1")</f>
        <v>1</v>
      </c>
      <c r="F1741" s="827">
        <f>Tiles!E391</f>
        <v>0</v>
      </c>
      <c r="G1741" s="829">
        <f>ROUND(Tiles!F391/1.1,2)</f>
        <v>0</v>
      </c>
      <c r="H1741" s="1111" t="s">
        <v>1632</v>
      </c>
      <c r="I1741" s="1205"/>
      <c r="J1741" s="2" t="str">
        <f>IF(Table5[[#This Row],[Entered]]&lt;&gt;Table5[[#This Row],[Quantity]],"Check","")</f>
        <v/>
      </c>
    </row>
    <row r="1742" spans="1:10" ht="15" x14ac:dyDescent="0.2">
      <c r="A1742" s="324" t="s">
        <v>3115</v>
      </c>
      <c r="B1742" s="324" t="str">
        <f t="shared" si="106"/>
        <v>1150</v>
      </c>
      <c r="C1742" s="324" t="str">
        <f t="shared" si="105"/>
        <v/>
      </c>
      <c r="D1742" s="1103">
        <v>7105</v>
      </c>
      <c r="E1742" s="324">
        <v>0</v>
      </c>
      <c r="F1742" s="827">
        <f>IF(Tiles!H391&lt;&gt;"",1,0)</f>
        <v>0</v>
      </c>
      <c r="G1742" s="829"/>
      <c r="H1742" s="1111" t="str">
        <f>Tiles!H391</f>
        <v/>
      </c>
      <c r="I1742" s="1205"/>
      <c r="J1742" s="2" t="str">
        <f>IF(Table5[[#This Row],[Entered]]&lt;&gt;Table5[[#This Row],[Quantity]],"Check","")</f>
        <v/>
      </c>
    </row>
    <row r="1743" spans="1:10" ht="15" x14ac:dyDescent="0.2">
      <c r="A1743" s="324" t="s">
        <v>3115</v>
      </c>
      <c r="B1743" s="324" t="str">
        <f t="shared" si="106"/>
        <v>1150</v>
      </c>
      <c r="C1743" s="324" t="str">
        <f t="shared" si="105"/>
        <v/>
      </c>
      <c r="D1743" s="1103">
        <v>7106</v>
      </c>
      <c r="E1743" s="324" t="str">
        <f>IF(Tiles!G392="8","8","1")</f>
        <v>1</v>
      </c>
      <c r="F1743" s="827">
        <f>Tiles!E392</f>
        <v>0</v>
      </c>
      <c r="G1743" s="829">
        <f>ROUND(Tiles!F392/1.1,2)</f>
        <v>0</v>
      </c>
      <c r="H1743" s="1111" t="s">
        <v>1633</v>
      </c>
      <c r="I1743" s="1205"/>
      <c r="J1743" s="2" t="str">
        <f>IF(Table5[[#This Row],[Entered]]&lt;&gt;Table5[[#This Row],[Quantity]],"Check","")</f>
        <v/>
      </c>
    </row>
    <row r="1744" spans="1:10" ht="15" x14ac:dyDescent="0.2">
      <c r="A1744" s="324" t="s">
        <v>3115</v>
      </c>
      <c r="B1744" s="324" t="str">
        <f t="shared" si="106"/>
        <v>1150</v>
      </c>
      <c r="C1744" s="324" t="str">
        <f t="shared" si="105"/>
        <v/>
      </c>
      <c r="D1744" s="1103">
        <v>7107</v>
      </c>
      <c r="E1744" s="324">
        <v>0</v>
      </c>
      <c r="F1744" s="827">
        <f>IF(Tiles!H392&lt;&gt;"",1,0)</f>
        <v>0</v>
      </c>
      <c r="G1744" s="829"/>
      <c r="H1744" s="1111" t="str">
        <f>Tiles!H392</f>
        <v/>
      </c>
      <c r="I1744" s="1205"/>
      <c r="J1744" s="2" t="str">
        <f>IF(Table5[[#This Row],[Entered]]&lt;&gt;Table5[[#This Row],[Quantity]],"Check","")</f>
        <v/>
      </c>
    </row>
    <row r="1745" spans="1:10" ht="15" x14ac:dyDescent="0.2">
      <c r="A1745" s="324" t="s">
        <v>3115</v>
      </c>
      <c r="B1745" s="324" t="str">
        <f t="shared" si="106"/>
        <v>1150</v>
      </c>
      <c r="C1745" s="324" t="str">
        <f t="shared" si="105"/>
        <v/>
      </c>
      <c r="D1745" s="1103">
        <v>7108</v>
      </c>
      <c r="E1745" s="324" t="str">
        <f>IF(Tiles!G393="8","8","1")</f>
        <v>1</v>
      </c>
      <c r="F1745" s="827">
        <f>Tiles!E393</f>
        <v>0</v>
      </c>
      <c r="G1745" s="829">
        <f>ROUND(Tiles!$F$393/1.1,2)</f>
        <v>0</v>
      </c>
      <c r="H1745" s="1111" t="str">
        <f>UPPER(Tiles!A393&amp;" FEATURE TILES")</f>
        <v>KITCHEN FEATURE TILES</v>
      </c>
      <c r="I1745" s="1205"/>
      <c r="J1745" s="2" t="str">
        <f>IF(Table5[[#This Row],[Entered]]&lt;&gt;Table5[[#This Row],[Quantity]],"Check","")</f>
        <v/>
      </c>
    </row>
    <row r="1746" spans="1:10" ht="15" x14ac:dyDescent="0.2">
      <c r="A1746" s="324" t="s">
        <v>3115</v>
      </c>
      <c r="B1746" s="324" t="str">
        <f t="shared" si="106"/>
        <v>1150</v>
      </c>
      <c r="C1746" s="324" t="str">
        <f t="shared" si="105"/>
        <v/>
      </c>
      <c r="D1746" s="1103">
        <v>7109</v>
      </c>
      <c r="E1746" s="324">
        <v>0</v>
      </c>
      <c r="F1746" s="827">
        <f>IF(Tiles!H256&lt;&gt;"",1,0)</f>
        <v>0</v>
      </c>
      <c r="G1746" s="829"/>
      <c r="H1746" s="1111" t="str">
        <f>Tiles!H393</f>
        <v/>
      </c>
      <c r="I1746" s="1205"/>
      <c r="J1746" s="2" t="str">
        <f>IF(Table5[[#This Row],[Entered]]&lt;&gt;Table5[[#This Row],[Quantity]],"Check","")</f>
        <v/>
      </c>
    </row>
    <row r="1747" spans="1:10" ht="15" x14ac:dyDescent="0.2">
      <c r="A1747" s="324" t="s">
        <v>3115</v>
      </c>
      <c r="B1747" s="324" t="str">
        <f t="shared" si="106"/>
        <v>1150</v>
      </c>
      <c r="C1747" s="324" t="str">
        <f t="shared" si="105"/>
        <v/>
      </c>
      <c r="D1747" s="1103">
        <v>7110</v>
      </c>
      <c r="E1747" s="324" t="str">
        <f>IF(Tiles!G394="8","8","1")</f>
        <v>1</v>
      </c>
      <c r="F1747" s="827">
        <f>Tiles!E394</f>
        <v>0</v>
      </c>
      <c r="G1747" s="829">
        <f>ROUND(Tiles!$F$394/1.1,2)</f>
        <v>0</v>
      </c>
      <c r="H1747" s="1111" t="str">
        <f>UPPER(Tiles!A394&amp;" FEATURE TILES")</f>
        <v>POWDER FEATURE TILES</v>
      </c>
      <c r="I1747" s="1205"/>
      <c r="J1747" s="2" t="str">
        <f>IF(Table5[[#This Row],[Entered]]&lt;&gt;Table5[[#This Row],[Quantity]],"Check","")</f>
        <v/>
      </c>
    </row>
    <row r="1748" spans="1:10" ht="15" x14ac:dyDescent="0.2">
      <c r="A1748" s="324" t="s">
        <v>3115</v>
      </c>
      <c r="B1748" s="324" t="str">
        <f t="shared" si="106"/>
        <v>1150</v>
      </c>
      <c r="C1748" s="324" t="str">
        <f t="shared" si="105"/>
        <v/>
      </c>
      <c r="D1748" s="1103">
        <v>7111</v>
      </c>
      <c r="E1748" s="324">
        <v>0</v>
      </c>
      <c r="F1748" s="827">
        <f>IF(Tiles!H394&lt;&gt;"",1,0)</f>
        <v>0</v>
      </c>
      <c r="G1748" s="829"/>
      <c r="H1748" s="1111" t="str">
        <f>Tiles!H394</f>
        <v/>
      </c>
      <c r="I1748" s="1205"/>
      <c r="J1748" s="2" t="str">
        <f>IF(Table5[[#This Row],[Entered]]&lt;&gt;Table5[[#This Row],[Quantity]],"Check","")</f>
        <v/>
      </c>
    </row>
    <row r="1749" spans="1:10" ht="15" x14ac:dyDescent="0.2">
      <c r="A1749" s="324" t="s">
        <v>3115</v>
      </c>
      <c r="B1749" s="324" t="str">
        <f t="shared" si="106"/>
        <v>1150</v>
      </c>
      <c r="C1749" s="324" t="str">
        <f t="shared" si="105"/>
        <v/>
      </c>
      <c r="D1749" s="324" t="str">
        <f>"7340"</f>
        <v>7340</v>
      </c>
      <c r="E1749" s="324" t="str">
        <f>IF(Tiles!G396="8","8","1")</f>
        <v>1</v>
      </c>
      <c r="F1749" s="827">
        <f>Tiles!E396</f>
        <v>0</v>
      </c>
      <c r="G1749" s="829">
        <f>ROUND(Tiles!$F$396/1.1,2)</f>
        <v>0</v>
      </c>
      <c r="H1749" s="412" t="str">
        <f>UPPER(Tiles!A396&amp;" FEATURE TILES")</f>
        <v>LAUNDRY FEATURE TILES</v>
      </c>
      <c r="I1749" s="1258"/>
      <c r="J1749" s="2" t="str">
        <f>IF(Table5[[#This Row],[Entered]]&lt;&gt;Table5[[#This Row],[Quantity]],"Check","")</f>
        <v/>
      </c>
    </row>
    <row r="1750" spans="1:10" ht="15" x14ac:dyDescent="0.2">
      <c r="A1750" s="324" t="s">
        <v>3115</v>
      </c>
      <c r="B1750" s="324" t="str">
        <f t="shared" si="106"/>
        <v>1150</v>
      </c>
      <c r="C1750" s="324" t="str">
        <f t="shared" si="105"/>
        <v/>
      </c>
      <c r="D1750" s="1103" t="s">
        <v>1634</v>
      </c>
      <c r="E1750" s="324">
        <v>0</v>
      </c>
      <c r="F1750" s="827">
        <f>IF(Tiles!H396&lt;&gt;"",1,0)</f>
        <v>0</v>
      </c>
      <c r="G1750" s="829"/>
      <c r="H1750" s="1111" t="str">
        <f>Tiles!H396</f>
        <v/>
      </c>
      <c r="I1750" s="1205"/>
      <c r="J1750" s="2" t="str">
        <f>IF(Table5[[#This Row],[Entered]]&lt;&gt;Table5[[#This Row],[Quantity]],"Check","")</f>
        <v/>
      </c>
    </row>
    <row r="1751" spans="1:10" ht="15" x14ac:dyDescent="0.2">
      <c r="A1751" s="324" t="s">
        <v>3115</v>
      </c>
      <c r="B1751" s="324" t="str">
        <f t="shared" si="106"/>
        <v>1150</v>
      </c>
      <c r="C1751" s="324">
        <v>503584</v>
      </c>
      <c r="D1751" s="324">
        <v>1004</v>
      </c>
      <c r="E1751" s="324">
        <v>1</v>
      </c>
      <c r="F1751" s="827">
        <f>IF(Table5[[#This Row],[Supplier]]=52391,ROUNDUP(SUM(WallTileLabourTotal+SUMIF(Name,"Floor Screed",Area))/15,0),ROUNDUP(SUM(WallTileLabourTotal+SUMIF(Name,"Floor Screed",Area))/40,0))</f>
        <v>0</v>
      </c>
      <c r="G1751" s="829">
        <f>ROUND(IF(Table5[[#This Row],[Supplier]]=52391,19.5/1.1,37.27),2)</f>
        <v>37.270000000000003</v>
      </c>
      <c r="H1751" s="412" t="s">
        <v>3562</v>
      </c>
      <c r="I1751" s="1258"/>
      <c r="J1751" s="2" t="str">
        <f>IF(Table5[[#This Row],[Entered]]&lt;&gt;Table5[[#This Row],[Quantity]],"Check","")</f>
        <v/>
      </c>
    </row>
    <row r="1752" spans="1:10" ht="15" x14ac:dyDescent="0.2">
      <c r="A1752" s="324" t="s">
        <v>3115</v>
      </c>
      <c r="B1752" s="324" t="str">
        <f t="shared" si="106"/>
        <v>1150</v>
      </c>
      <c r="C1752" s="324">
        <v>503584</v>
      </c>
      <c r="D1752" s="324">
        <v>1007</v>
      </c>
      <c r="E1752" s="324">
        <v>1</v>
      </c>
      <c r="F1752" s="827">
        <f>IF(Tile_Supplier&lt;&gt;503584,1,0)</f>
        <v>1</v>
      </c>
      <c r="G1752" s="829">
        <v>120</v>
      </c>
      <c r="H1752" s="412" t="s">
        <v>3563</v>
      </c>
      <c r="I1752" s="1207"/>
      <c r="J1752" s="73" t="str">
        <f>IF(Table5[[#This Row],[Entered]]&lt;&gt;Table5[[#This Row],[Quantity]],"Check","")</f>
        <v>Check</v>
      </c>
    </row>
    <row r="1753" spans="1:10" ht="15" x14ac:dyDescent="0.2">
      <c r="A1753" s="324" t="s">
        <v>3115</v>
      </c>
      <c r="B1753" s="324" t="str">
        <f t="shared" si="106"/>
        <v>1150</v>
      </c>
      <c r="C1753" s="324">
        <v>503584</v>
      </c>
      <c r="D1753" s="324">
        <v>1008</v>
      </c>
      <c r="E1753" s="324">
        <v>1</v>
      </c>
      <c r="F1753" s="827">
        <f>ROUNDUP(((SUMIF(BathWallTable[Location],"shower wall",BathWallTable[Total])*(Bath_Wall_Height*Bath_Wall_Width)+SUMIF(EnsuiteWallTable[Location],"shower wall",EnsuiteWallTable[Total])*(Ens_Wall_Height*Ens_Wall_Width)+SUMIF(Ensuite2WallTable[Location],"shower wall",Ensuite2WallTable[Total])*(Tiles!B278*Tiles!D278)++SUMIF(EnsuiteWallTable[Location],"shower wall",EnsuiteWallTable[Total])*(Ens_Wall_Height*Ens_Wall_Width)+SUMIF(Ensuite2WallTable[Location],"shower wall",Ensuite2WallTable[Total])*(Tiles!B278*Tiles!D278)+SUMIF(Bath2WallTable[Location],"shower wall",Bath2WallTable[Total])*(Tiles!B230*Tiles!D230)))/20,0)</f>
        <v>0</v>
      </c>
      <c r="G1753" s="829">
        <f>ROUND(IF(Table5[[#This Row],[Supplier]]=52391,185/1.1,252.73),2)</f>
        <v>252.73</v>
      </c>
      <c r="H1753" s="412" t="s">
        <v>3561</v>
      </c>
      <c r="I1753" s="1258"/>
      <c r="J1753" s="2" t="str">
        <f>IF(Table5[[#This Row],[Entered]]&lt;&gt;Table5[[#This Row],[Quantity]],"Check","")</f>
        <v/>
      </c>
    </row>
    <row r="1754" spans="1:10" ht="15" x14ac:dyDescent="0.2">
      <c r="A1754" s="324" t="s">
        <v>3115</v>
      </c>
      <c r="B1754" s="324" t="str">
        <f t="shared" si="106"/>
        <v>1150</v>
      </c>
      <c r="C1754" s="324" t="str">
        <f>Tile_Supplier</f>
        <v/>
      </c>
      <c r="D1754" s="324" t="str">
        <f>"7005"</f>
        <v>7005</v>
      </c>
      <c r="E1754" s="324">
        <v>1</v>
      </c>
      <c r="F1754" s="827">
        <f>IF(Tiles!$C399=Tiles!$C400,Tiles!$B399+Tiles!$B400,Tiles!$B399)</f>
        <v>0</v>
      </c>
      <c r="G1754" s="829">
        <f>ROUND(Tiles!$C$399/1.1,2)</f>
        <v>20</v>
      </c>
      <c r="H1754" s="412" t="s">
        <v>1331</v>
      </c>
      <c r="I1754" s="1258"/>
      <c r="J1754" s="2" t="str">
        <f>IF(Table5[[#This Row],[Entered]]&lt;&gt;Table5[[#This Row],[Quantity]],"Check","")</f>
        <v/>
      </c>
    </row>
    <row r="1755" spans="1:10" ht="15" x14ac:dyDescent="0.2">
      <c r="A1755" s="324" t="s">
        <v>3115</v>
      </c>
      <c r="B1755" s="324" t="str">
        <f t="shared" si="106"/>
        <v>1150</v>
      </c>
      <c r="C1755" s="324" t="str">
        <f>Tile_Supplier</f>
        <v/>
      </c>
      <c r="D1755" s="324" t="str">
        <f>"7006"</f>
        <v>7006</v>
      </c>
      <c r="E1755" s="324">
        <v>1</v>
      </c>
      <c r="F1755" s="827">
        <f>IF(Tiles!$C399&lt;&gt;Tiles!$C400,Tiles!$B400,0)</f>
        <v>0</v>
      </c>
      <c r="G1755" s="829">
        <f>IF(Table5[[#This Row],[Quantity]]&lt;&gt;0,ROUND(Tiles!$C$400/1.1,2),0)</f>
        <v>0</v>
      </c>
      <c r="H1755" s="412" t="s">
        <v>1331</v>
      </c>
      <c r="I1755" s="1258"/>
      <c r="J1755" s="2" t="str">
        <f>IF(Table5[[#This Row],[Entered]]&lt;&gt;Table5[[#This Row],[Quantity]],"Check","")</f>
        <v/>
      </c>
    </row>
    <row r="1756" spans="1:10" ht="15" x14ac:dyDescent="0.2">
      <c r="A1756" s="324" t="s">
        <v>3115</v>
      </c>
      <c r="B1756" s="324" t="str">
        <f t="shared" si="106"/>
        <v>1150</v>
      </c>
      <c r="C1756" s="324" t="str">
        <f>Tile_Supplier</f>
        <v/>
      </c>
      <c r="D1756" s="324">
        <v>9000</v>
      </c>
      <c r="E1756" s="324">
        <v>1</v>
      </c>
      <c r="F1756" s="827">
        <f>IF(SUM(F1708:F1721)&gt;0,_xlfn.CEILING.MATH(SUM(F1708:F1721)/50,1,0),0)</f>
        <v>0</v>
      </c>
      <c r="G1756" s="829">
        <v>120</v>
      </c>
      <c r="H1756" s="412" t="s">
        <v>3129</v>
      </c>
      <c r="I1756" s="1258"/>
      <c r="J1756" s="2" t="str">
        <f>IF(Table5[[#This Row],[Entered]]&lt;&gt;Table5[[#This Row],[Quantity]],"Check","")</f>
        <v/>
      </c>
    </row>
    <row r="1757" spans="1:10" ht="15" x14ac:dyDescent="0.2">
      <c r="A1757" s="324" t="s">
        <v>3115</v>
      </c>
      <c r="B1757" s="324" t="str">
        <f t="shared" si="106"/>
        <v>1150</v>
      </c>
      <c r="C1757" s="324" t="str">
        <f>Tile_Supplier</f>
        <v/>
      </c>
      <c r="D1757" s="324">
        <v>9003</v>
      </c>
      <c r="E1757" s="324">
        <v>1</v>
      </c>
      <c r="F1757" s="827">
        <f>IF(Table5[[#This Row],[Supplier]]=503584,1,0)</f>
        <v>0</v>
      </c>
      <c r="G1757" s="829">
        <v>125</v>
      </c>
      <c r="H1757" s="412" t="s">
        <v>3555</v>
      </c>
      <c r="I1757" s="1258"/>
      <c r="J1757" s="73" t="str">
        <f>IF(Table5[[#This Row],[Entered]]&lt;&gt;Table5[[#This Row],[Quantity]],"Check","")</f>
        <v/>
      </c>
    </row>
    <row r="1758" spans="1:10" ht="15" x14ac:dyDescent="0.2">
      <c r="A1758" s="324"/>
      <c r="B1758" s="324"/>
      <c r="C1758" s="324"/>
      <c r="D1758" s="324"/>
      <c r="E1758" s="324"/>
      <c r="F1758" s="827"/>
      <c r="G1758" s="829"/>
      <c r="H1758" s="412"/>
      <c r="I1758" s="1258"/>
      <c r="J1758" s="2" t="str">
        <f>IF(Table5[[#This Row],[Entered]]&lt;&gt;Table5[[#This Row],[Quantity]],"Check","")</f>
        <v/>
      </c>
    </row>
    <row r="1759" spans="1:10" ht="15" x14ac:dyDescent="0.2">
      <c r="A1759" s="324" t="s">
        <v>3115</v>
      </c>
      <c r="B1759" s="324" t="str">
        <f t="shared" ref="B1759:B1793" si="107">"1160"</f>
        <v>1160</v>
      </c>
      <c r="C1759" s="324">
        <v>50062</v>
      </c>
      <c r="D1759" s="324" t="str">
        <f>"0010"</f>
        <v>0010</v>
      </c>
      <c r="E1759" s="324">
        <v>8</v>
      </c>
      <c r="F1759" s="827">
        <f>ROUND(WallTileLabourTotal,1)</f>
        <v>0</v>
      </c>
      <c r="G1759" s="829">
        <v>65</v>
      </c>
      <c r="H1759" s="412" t="s">
        <v>3130</v>
      </c>
      <c r="I1759" s="1258"/>
      <c r="J1759" s="2" t="str">
        <f>IF(Table5[[#This Row],[Entered]]&lt;&gt;Table5[[#This Row],[Quantity]],"Check","")</f>
        <v/>
      </c>
    </row>
    <row r="1760" spans="1:10" ht="15" x14ac:dyDescent="0.2">
      <c r="A1760" s="324" t="s">
        <v>3115</v>
      </c>
      <c r="B1760" s="324" t="str">
        <f t="shared" si="107"/>
        <v>1160</v>
      </c>
      <c r="C1760" s="324">
        <v>50062</v>
      </c>
      <c r="D1760" s="324" t="str">
        <f>"0020"</f>
        <v>0020</v>
      </c>
      <c r="E1760" s="324">
        <v>8</v>
      </c>
      <c r="F1760" s="827">
        <f>ROUND(FloorTileLabourTotal,1)</f>
        <v>0</v>
      </c>
      <c r="G1760" s="829">
        <v>65</v>
      </c>
      <c r="H1760" s="412" t="s">
        <v>3131</v>
      </c>
      <c r="I1760" s="1258"/>
      <c r="J1760" s="2" t="str">
        <f>IF(Table5[[#This Row],[Entered]]&lt;&gt;Table5[[#This Row],[Quantity]],"Check","")</f>
        <v/>
      </c>
    </row>
    <row r="1761" spans="1:10" ht="15" x14ac:dyDescent="0.2">
      <c r="A1761" s="324" t="s">
        <v>3115</v>
      </c>
      <c r="B1761" s="324" t="str">
        <f t="shared" si="107"/>
        <v>1160</v>
      </c>
      <c r="C1761" s="324">
        <v>50062</v>
      </c>
      <c r="D1761" s="324" t="str">
        <f>"0022"</f>
        <v>0022</v>
      </c>
      <c r="E1761" s="324">
        <v>1</v>
      </c>
      <c r="F1761" s="827">
        <f>ROUNDUP((WallTileLabourTotal+FloorTileLabourTotal+SUMIF(Tiles!G389:G396,"M2",Tiles!C389:C396)),0)</f>
        <v>0</v>
      </c>
      <c r="G1761" s="829">
        <v>9</v>
      </c>
      <c r="H1761" s="412" t="s">
        <v>3132</v>
      </c>
      <c r="I1761" s="1258"/>
      <c r="J1761" s="2" t="str">
        <f>IF(Table5[[#This Row],[Entered]]&lt;&gt;Table5[[#This Row],[Quantity]],"Check","")</f>
        <v/>
      </c>
    </row>
    <row r="1762" spans="1:10" ht="15" x14ac:dyDescent="0.2">
      <c r="A1762" s="324" t="s">
        <v>3115</v>
      </c>
      <c r="B1762" s="324" t="str">
        <f t="shared" si="107"/>
        <v>1160</v>
      </c>
      <c r="C1762" s="324">
        <v>50062</v>
      </c>
      <c r="D1762" s="324" t="str">
        <f>"0025"</f>
        <v>0025</v>
      </c>
      <c r="E1762" s="324">
        <v>8</v>
      </c>
      <c r="F1762" s="827">
        <f>ROUND(SUMIF(Name,"Main Floor Tile",Area),1)</f>
        <v>0</v>
      </c>
      <c r="G1762" s="829"/>
      <c r="H1762" s="412" t="s">
        <v>3133</v>
      </c>
      <c r="I1762" s="1258"/>
      <c r="J1762" s="2" t="str">
        <f>IF(Table5[[#This Row],[Entered]]&lt;&gt;Table5[[#This Row],[Quantity]],"Check","")</f>
        <v/>
      </c>
    </row>
    <row r="1763" spans="1:10" ht="15" x14ac:dyDescent="0.2">
      <c r="A1763" s="324" t="s">
        <v>3115</v>
      </c>
      <c r="B1763" s="324" t="str">
        <f t="shared" si="107"/>
        <v>1160</v>
      </c>
      <c r="C1763" s="324">
        <v>50062</v>
      </c>
      <c r="D1763" s="324" t="str">
        <f>"0040"</f>
        <v>0040</v>
      </c>
      <c r="E1763" s="324">
        <v>1</v>
      </c>
      <c r="F1763" s="827">
        <f>IF(COUNTIF(BathWallTable[Location],"bath riser")=2,1,0)+IF(COUNTIF(BathFloorTable[Location],"bath riser")=2,1,0)+IF(COUNTIF(EnsuiteWallTable[Location],"bath riser")=2,1,0)+IF(COUNTIF(EnsuiteFloorTable[Location],"bath riser")=2,1,0)+IF(COUNTIF(Bath2WallTable[Location],"bath riser")=2,1,0)+IF(COUNTIF(Bath2FloorTable[Location],"bath riser")=2,1,0)+IF(COUNTIF(Ensuite2WallTable[Location],"bath riser")=2,1,0)+IF(COUNTIF(Ensuite2FloorTable[Location],"bath riser")=2,1,0)+IF(COUNTIF(BathWallTable[Location],"bath riser")=1,1,0)+IF(COUNTIF(BathFloorTable[Location],"bath riser")=1,1,0)+IF(COUNTIF(EnsuiteWallTable[Location],"bath riser")=1,1,0)+IF(COUNTIF(EnsuiteFloorTable[Location],"bath riser")=1,1,0)+IF(COUNTIF(Bath2WallTable[Location],"bath riser")=1,1,0)+IF(COUNTIF(Bath2FloorTable[Location],"bath riser")=1,1,0)+IF(COUNTIF(Ensuite2WallTable[Location],"bath riser")=1,1,0)+IF(COUNTIF(Ensuite2FloorTable[Location],"bath riser")=1,1,0)</f>
        <v>0</v>
      </c>
      <c r="G1763" s="829">
        <v>150</v>
      </c>
      <c r="H1763" s="412" t="s">
        <v>3135</v>
      </c>
      <c r="I1763" s="1258"/>
      <c r="J1763" s="2" t="str">
        <f>IF(Table5[[#This Row],[Entered]]&lt;&gt;Table5[[#This Row],[Quantity]],"Check","")</f>
        <v/>
      </c>
    </row>
    <row r="1764" spans="1:10" ht="15" x14ac:dyDescent="0.2">
      <c r="A1764" s="324" t="s">
        <v>3115</v>
      </c>
      <c r="B1764" s="324" t="str">
        <f t="shared" si="107"/>
        <v>1160</v>
      </c>
      <c r="C1764" s="324">
        <v>50062</v>
      </c>
      <c r="D1764" s="324" t="str">
        <f>"0045"</f>
        <v>0045</v>
      </c>
      <c r="E1764" s="324">
        <v>1</v>
      </c>
      <c r="F1764" s="827">
        <f>IF(COUNTIF(BathWallTable[Location],"bath riser")=3,1,0)+IF(COUNTIF(BathFloorTable[Location],"bath riser")=3,1,0)+IF(COUNTIF(EnsuiteWallTable[Location],"bath riser")=3,1,0)+IF(COUNTIF(EnsuiteFloorTable[Location],"bath riser")=3,1,0)+IF(COUNTIF(Bath2WallTable[Location],"bath riser")=3,1,0)+IF(COUNTIF(Bath2FloorTable[Location],"bath riser")=3,1,0)+IF(COUNTIF(Ensuite2WallTable[Location],"bath riser")=3,1,0)+IF(COUNTIF(Ensuite2FloorTable[Location],"bath riser")=3,1,0)</f>
        <v>0</v>
      </c>
      <c r="G1764" s="829"/>
      <c r="H1764" s="412" t="s">
        <v>3309</v>
      </c>
      <c r="I1764" s="1258"/>
      <c r="J1764" s="2" t="str">
        <f>IF(Table5[[#This Row],[Entered]]&lt;&gt;Table5[[#This Row],[Quantity]],"Check","")</f>
        <v/>
      </c>
    </row>
    <row r="1765" spans="1:10" ht="15" x14ac:dyDescent="0.2">
      <c r="A1765" s="324" t="s">
        <v>3115</v>
      </c>
      <c r="B1765" s="324" t="str">
        <f t="shared" si="107"/>
        <v>1160</v>
      </c>
      <c r="C1765" s="324">
        <v>50062</v>
      </c>
      <c r="D1765" s="324" t="str">
        <f>"0050"</f>
        <v>0050</v>
      </c>
      <c r="E1765" s="324">
        <v>1</v>
      </c>
      <c r="F1765" s="827">
        <f>IF(COUNTIF(BathWallTable[Location],"bath riser")=2,1,0)+IF(COUNTIF(BathFloorTable[Location],"bath riser")=2,1,0)+IF(COUNTIF(EnsuiteWallTable[Location],"bath riser")=2,1,0)+IF(COUNTIF(EnsuiteFloorTable[Location],"bath riser")=2,1,0)+IF(COUNTIF(Bath2WallTable[Location],"bath riser")=2,1,0)+IF(COUNTIF(Bath2FloorTable[Location],"bath riser")=2,1,0)+IF(COUNTIF(Ensuite2WallTable[Location],"bath riser")=2,1,0)+IF(COUNTIF(Ensuite2FloorTable[Location],"bath riser")=2,1,0)+IF(COUNTIF(BathWallTable[Location],"bath riser")=1,1,0)+IF(COUNTIF(BathFloorTable[Location],"bath riser")=1,1,0)+IF(COUNTIF(EnsuiteWallTable[Location],"bath riser")=1,1,0)+IF(COUNTIF(EnsuiteFloorTable[Location],"bath riser")=1,1,0)+IF(COUNTIF(Bath2WallTable[Location],"bath riser")=1,1,0)+IF(COUNTIF(Bath2FloorTable[Location],"bath riser")=1,1,0)+IF(COUNTIF(Ensuite2WallTable[Location],"bath riser")=1,1,0)+IF(COUNTIF(Ensuite2FloorTable[Location],"bath riser")=1,1,0)</f>
        <v>0</v>
      </c>
      <c r="G1765" s="829">
        <v>40</v>
      </c>
      <c r="H1765" s="412" t="s">
        <v>3134</v>
      </c>
      <c r="I1765" s="1258"/>
      <c r="J1765" s="2" t="str">
        <f>IF(Table5[[#This Row],[Entered]]&lt;&gt;Table5[[#This Row],[Quantity]],"Check","")</f>
        <v/>
      </c>
    </row>
    <row r="1766" spans="1:10" ht="15" x14ac:dyDescent="0.2">
      <c r="A1766" s="324" t="s">
        <v>3115</v>
      </c>
      <c r="B1766" s="324" t="str">
        <f t="shared" si="107"/>
        <v>1160</v>
      </c>
      <c r="C1766" s="324">
        <v>50062</v>
      </c>
      <c r="D1766" s="324" t="str">
        <f>"0060"</f>
        <v>0060</v>
      </c>
      <c r="E1766" s="324">
        <v>1</v>
      </c>
      <c r="F1766" s="827">
        <f>TileHobs</f>
        <v>0</v>
      </c>
      <c r="G1766" s="829">
        <v>40</v>
      </c>
      <c r="H1766" s="412" t="s">
        <v>3136</v>
      </c>
      <c r="I1766" s="1258"/>
      <c r="J1766" s="2" t="str">
        <f>IF(Table5[[#This Row],[Entered]]&lt;&gt;Table5[[#This Row],[Quantity]],"Check","")</f>
        <v/>
      </c>
    </row>
    <row r="1767" spans="1:10" ht="15" x14ac:dyDescent="0.2">
      <c r="A1767" s="324" t="s">
        <v>3115</v>
      </c>
      <c r="B1767" s="324" t="str">
        <f t="shared" si="107"/>
        <v>1160</v>
      </c>
      <c r="C1767" s="324">
        <v>50062</v>
      </c>
      <c r="D1767" s="324" t="str">
        <f>"0070"</f>
        <v>0070</v>
      </c>
      <c r="E1767" s="324">
        <v>1</v>
      </c>
      <c r="F1767" s="827">
        <f>IF(COUNTIF(BathWallTable[Location],"bath riser")=4,1,0)+IF(COUNTIF(BathFloorTable[Location],"bath riser")=4,1,0)+IF(COUNTIF(EnsuiteWallTable[Location],"bath riser")=4,1,0)+IF(COUNTIF(EnsuiteFloorTable[Location],"bath riser")=4,1,0)+IF(COUNTIF(Bath2WallTable[Location],"bath riser")=4,1,0)+IF(COUNTIF(Bath2FloorTable[Location],"bath riser")=4,1,0)+IF(COUNTIF(Ensuite2WallTable[Location],"bath riser")=4,1,0)+IF(COUNTIF(Ensuite2FloorTable[Location],"bath riser")=4,1,0)</f>
        <v>0</v>
      </c>
      <c r="G1767" s="829"/>
      <c r="H1767" s="412" t="s">
        <v>3308</v>
      </c>
      <c r="I1767" s="1258"/>
      <c r="J1767" s="2" t="str">
        <f>IF(Table5[[#This Row],[Entered]]&lt;&gt;Table5[[#This Row],[Quantity]],"Check","")</f>
        <v/>
      </c>
    </row>
    <row r="1768" spans="1:10" ht="15" x14ac:dyDescent="0.2">
      <c r="A1768" s="324" t="s">
        <v>3115</v>
      </c>
      <c r="B1768" s="324" t="str">
        <f t="shared" si="107"/>
        <v>1160</v>
      </c>
      <c r="C1768" s="324">
        <v>50062</v>
      </c>
      <c r="D1768" s="324" t="str">
        <f>"0090"</f>
        <v>0090</v>
      </c>
      <c r="E1768" s="324">
        <v>1</v>
      </c>
      <c r="F1768" s="827">
        <f>IF(COUNTIF(BathWallTable[Location],"shower hob")=1,1,0)+IF(COUNTIF(EnsuiteWallTable[Location],"shower hob")=1,1,0)+IF(COUNTIF(Ensuite2WallTable[Location],"shower hob")=1,1,0)+IF(COUNTIF(Bath2WallTable[Location],"shower hob")=1,1,0)</f>
        <v>0</v>
      </c>
      <c r="G1768" s="829"/>
      <c r="H1768" s="412" t="s">
        <v>3137</v>
      </c>
      <c r="I1768" s="1258"/>
      <c r="J1768" s="2" t="str">
        <f>IF(Table5[[#This Row],[Entered]]&lt;&gt;Table5[[#This Row],[Quantity]],"Check","")</f>
        <v/>
      </c>
    </row>
    <row r="1769" spans="1:10" ht="15" x14ac:dyDescent="0.2">
      <c r="A1769" s="324" t="s">
        <v>3115</v>
      </c>
      <c r="B1769" s="324" t="str">
        <f t="shared" si="107"/>
        <v>1160</v>
      </c>
      <c r="C1769" s="324">
        <v>50062</v>
      </c>
      <c r="D1769" s="324" t="str">
        <f>"0100"</f>
        <v>0100</v>
      </c>
      <c r="E1769" s="324">
        <v>1</v>
      </c>
      <c r="F1769" s="827">
        <f>IF(COUNTIF(BathWallTable[Location],"shower hob")&gt;1,1,0)+IF(COUNTIF(EnsuiteWallTable[Location],"shower hob")&gt;1,1,0)+IF(COUNTIF(Ensuite2WallTable[Location],"shower hob")&gt;1,1,0)+IF(COUNTIF(Bath2WallTable[Location],"shower hob")&gt;1,1,0)</f>
        <v>0</v>
      </c>
      <c r="G1769" s="829"/>
      <c r="H1769" s="412" t="s">
        <v>3138</v>
      </c>
      <c r="I1769" s="1258"/>
      <c r="J1769" s="2" t="str">
        <f>IF(Table5[[#This Row],[Entered]]&lt;&gt;Table5[[#This Row],[Quantity]],"Check","")</f>
        <v/>
      </c>
    </row>
    <row r="1770" spans="1:10" ht="15" x14ac:dyDescent="0.2">
      <c r="A1770" s="324" t="s">
        <v>3115</v>
      </c>
      <c r="B1770" s="324" t="str">
        <f t="shared" si="107"/>
        <v>1160</v>
      </c>
      <c r="C1770" s="324">
        <v>50062</v>
      </c>
      <c r="D1770" s="324" t="str">
        <f>"0136"</f>
        <v>0136</v>
      </c>
      <c r="E1770" s="324">
        <v>8</v>
      </c>
      <c r="F1770" s="827">
        <f>ROUND(EoSmallTiles,1)</f>
        <v>0</v>
      </c>
      <c r="G1770" s="829">
        <v>10</v>
      </c>
      <c r="H1770" s="412" t="s">
        <v>3139</v>
      </c>
      <c r="I1770" s="1258"/>
      <c r="J1770" s="2" t="str">
        <f>IF(Table5[[#This Row],[Entered]]&lt;&gt;Table5[[#This Row],[Quantity]],"Check","")</f>
        <v/>
      </c>
    </row>
    <row r="1771" spans="1:10" ht="15" x14ac:dyDescent="0.2">
      <c r="A1771" s="324" t="s">
        <v>3115</v>
      </c>
      <c r="B1771" s="324" t="str">
        <f t="shared" si="107"/>
        <v>1160</v>
      </c>
      <c r="C1771" s="324">
        <v>50062</v>
      </c>
      <c r="D1771" s="324" t="str">
        <f>"0137"</f>
        <v>0137</v>
      </c>
      <c r="E1771" s="324">
        <v>8</v>
      </c>
      <c r="F1771" s="827">
        <f>ROUNDUP(EoCheckerboard,1)</f>
        <v>0</v>
      </c>
      <c r="G1771" s="829"/>
      <c r="H1771" s="412" t="s">
        <v>3144</v>
      </c>
      <c r="I1771" s="1258"/>
      <c r="J1771" s="2" t="str">
        <f>IF(Table5[[#This Row],[Entered]]&lt;&gt;Table5[[#This Row],[Quantity]],"Check","")</f>
        <v/>
      </c>
    </row>
    <row r="1772" spans="1:10" ht="15" x14ac:dyDescent="0.2">
      <c r="A1772" s="324" t="s">
        <v>3115</v>
      </c>
      <c r="B1772" s="324" t="str">
        <f t="shared" si="107"/>
        <v>1160</v>
      </c>
      <c r="C1772" s="324">
        <v>50062</v>
      </c>
      <c r="D1772" s="324" t="str">
        <f>"0138"</f>
        <v>0138</v>
      </c>
      <c r="E1772" s="324">
        <v>8</v>
      </c>
      <c r="F1772" s="827">
        <f>ROUNDUP(EoHexagonal,1)</f>
        <v>0</v>
      </c>
      <c r="G1772" s="829"/>
      <c r="H1772" s="412" t="s">
        <v>3145</v>
      </c>
      <c r="I1772" s="1258"/>
      <c r="J1772" s="2" t="str">
        <f>IF(Table5[[#This Row],[Entered]]&lt;&gt;Table5[[#This Row],[Quantity]],"Check","")</f>
        <v/>
      </c>
    </row>
    <row r="1773" spans="1:10" ht="15" x14ac:dyDescent="0.2">
      <c r="A1773" s="324" t="s">
        <v>3115</v>
      </c>
      <c r="B1773" s="324" t="str">
        <f t="shared" si="107"/>
        <v>1160</v>
      </c>
      <c r="C1773" s="324">
        <v>50062</v>
      </c>
      <c r="D1773" s="324" t="str">
        <f>"0141"</f>
        <v>0141</v>
      </c>
      <c r="E1773" s="324">
        <v>7</v>
      </c>
      <c r="F1773" s="827">
        <f>ROUNDUP(Mitres,1)</f>
        <v>0</v>
      </c>
      <c r="G1773" s="829">
        <v>15</v>
      </c>
      <c r="H1773" s="412" t="s">
        <v>3146</v>
      </c>
      <c r="I1773" s="1258"/>
      <c r="J1773" s="2" t="str">
        <f>IF(Table5[[#This Row],[Entered]]&lt;&gt;Table5[[#This Row],[Quantity]],"Check","")</f>
        <v/>
      </c>
    </row>
    <row r="1774" spans="1:10" ht="15" x14ac:dyDescent="0.2">
      <c r="A1774" s="324" t="s">
        <v>3115</v>
      </c>
      <c r="B1774" s="324" t="str">
        <f t="shared" si="107"/>
        <v>1160</v>
      </c>
      <c r="C1774" s="324">
        <v>50062</v>
      </c>
      <c r="D1774" s="324" t="str">
        <f>"0145"</f>
        <v>0145</v>
      </c>
      <c r="E1774" s="324">
        <v>1</v>
      </c>
      <c r="F1774" s="827">
        <f>SUM(Tiles!L389:L396)</f>
        <v>0</v>
      </c>
      <c r="G1774" s="829"/>
      <c r="H1774" s="412" t="s">
        <v>1119</v>
      </c>
      <c r="I1774" s="1258"/>
      <c r="J1774" s="2" t="str">
        <f>IF(Table5[[#This Row],[Entered]]&lt;&gt;Table5[[#This Row],[Quantity]],"Check","")</f>
        <v/>
      </c>
    </row>
    <row r="1775" spans="1:10" ht="15" x14ac:dyDescent="0.2">
      <c r="A1775" s="324" t="s">
        <v>3115</v>
      </c>
      <c r="B1775" s="324" t="str">
        <f t="shared" si="107"/>
        <v>1160</v>
      </c>
      <c r="C1775" s="324">
        <v>50062</v>
      </c>
      <c r="D1775" s="324" t="str">
        <f>"0151"</f>
        <v>0151</v>
      </c>
      <c r="E1775" s="324">
        <v>1</v>
      </c>
      <c r="F1775" s="827">
        <v>0</v>
      </c>
      <c r="G1775" s="829"/>
      <c r="H1775" s="412" t="s">
        <v>3303</v>
      </c>
      <c r="I1775" s="1258"/>
      <c r="J1775" s="2" t="str">
        <f>IF(Table5[[#This Row],[Entered]]&lt;&gt;Table5[[#This Row],[Quantity]],"Check","")</f>
        <v/>
      </c>
    </row>
    <row r="1776" spans="1:10" ht="15" x14ac:dyDescent="0.2">
      <c r="A1776" s="324" t="s">
        <v>3115</v>
      </c>
      <c r="B1776" s="324" t="str">
        <f t="shared" si="107"/>
        <v>1160</v>
      </c>
      <c r="C1776" s="324">
        <v>50062</v>
      </c>
      <c r="D1776" s="324" t="str">
        <f>"0170"</f>
        <v>0170</v>
      </c>
      <c r="E1776" s="324">
        <v>8</v>
      </c>
      <c r="F1776" s="827" cm="1">
        <f t="array" ref="F1776">ROUND(EoLargeTiles,1)</f>
        <v>0</v>
      </c>
      <c r="G1776" s="829">
        <v>15</v>
      </c>
      <c r="H1776" s="412" t="s">
        <v>3149</v>
      </c>
      <c r="I1776" s="1258"/>
      <c r="J1776" s="2" t="str">
        <f>IF(Table5[[#This Row],[Entered]]&lt;&gt;Table5[[#This Row],[Quantity]],"Check","")</f>
        <v/>
      </c>
    </row>
    <row r="1777" spans="1:10" ht="15" x14ac:dyDescent="0.2">
      <c r="A1777" s="324" t="s">
        <v>3115</v>
      </c>
      <c r="B1777" s="324" t="str">
        <f t="shared" si="107"/>
        <v>1160</v>
      </c>
      <c r="C1777" s="324">
        <v>50062</v>
      </c>
      <c r="D1777" s="324" t="str">
        <f>"0171"</f>
        <v>0171</v>
      </c>
      <c r="E1777" s="324">
        <v>8</v>
      </c>
      <c r="F1777" s="827"/>
      <c r="G1777" s="829"/>
      <c r="H1777" s="412" t="s">
        <v>3150</v>
      </c>
      <c r="I1777" s="1258"/>
      <c r="J1777" s="2" t="str">
        <f>IF(Table5[[#This Row],[Entered]]&lt;&gt;Table5[[#This Row],[Quantity]],"Check","")</f>
        <v/>
      </c>
    </row>
    <row r="1778" spans="1:10" ht="15" x14ac:dyDescent="0.2">
      <c r="A1778" s="324" t="s">
        <v>3115</v>
      </c>
      <c r="B1778" s="324" t="str">
        <f t="shared" si="107"/>
        <v>1160</v>
      </c>
      <c r="C1778" s="324">
        <v>50062</v>
      </c>
      <c r="D1778" s="324" t="str">
        <f>"0172"</f>
        <v>0172</v>
      </c>
      <c r="E1778" s="324">
        <v>8</v>
      </c>
      <c r="F1778" s="827">
        <f>ROUND(EoRectifiedTIles,1)</f>
        <v>0</v>
      </c>
      <c r="G1778" s="829"/>
      <c r="H1778" s="412" t="s">
        <v>3151</v>
      </c>
      <c r="I1778" s="1258"/>
      <c r="J1778" s="2" t="str">
        <f>IF(Table5[[#This Row],[Entered]]&lt;&gt;Table5[[#This Row],[Quantity]],"Check","")</f>
        <v/>
      </c>
    </row>
    <row r="1779" spans="1:10" ht="15" x14ac:dyDescent="0.2">
      <c r="A1779" s="324" t="s">
        <v>3115</v>
      </c>
      <c r="B1779" s="324" t="str">
        <f t="shared" si="107"/>
        <v>1160</v>
      </c>
      <c r="C1779" s="324">
        <v>50062</v>
      </c>
      <c r="D1779" s="324" t="str">
        <f>"0190"</f>
        <v>0190</v>
      </c>
      <c r="E1779" s="324">
        <v>8</v>
      </c>
      <c r="F1779" s="827">
        <f>ROUND(IF(COUNTIF(BathWallTable[Location],"shower hob")+COUNTIF(BathFloorTable[Location],"shower hob")=1,SUMPRODUCT((BathWallTable[Location]="shower hob")*(BathWallTable[Width]))+SUMPRODUCT((BathFloorTable[Location]="shower hob")*(BathFloorTable[Width]))*0.9,IF(COUNTIF(BathWallTable[Location],"shower hob")+COUNTIF(BathFloorTable[Location],"shower hob")=2,SUMPRODUCT((BathWallTable[Location]="shower hob")*(BathWallTable[Width]))/2*SUMPRODUCT((BathWallTable[Location]="shower hob")*(BathWallTable[Width]))/2+SUMPRODUCT((BathFloorTable[Location]="shower hob")*(BathFloorTable[Width]))/2*SUMPRODUCT((BathFloorTable[Location]="shower hob")*(BathFloorTable[Width]))/2,0)),2)+ROUND(IF(COUNTIF(EnsuiteWallTable[Location],"shower hob")+COUNTIF(EnsuiteFloorTable[Location],"shower hob")=1,SUMPRODUCT((EnsuiteWallTable[Location]="shower hob")*(EnsuiteWallTable[Width]))+SUMPRODUCT((EnsuiteFloorTable[Location]="shower hob")*(EnsuiteFloorTable[Width]))*0.9,IF(COUNTIF(EnsuiteWallTable[Location],"shower hob")+COUNTIF(EnsuiteFloorTable[Location],"shower hob")=2,SUMPRODUCT((EnsuiteWallTable[Location]="shower hob")*(EnsuiteWallTable[Width]))/2*SUMPRODUCT((EnsuiteWallTable[Location]="shower hob")*(EnsuiteWallTable[Width]))/2+SUMPRODUCT((EnsuiteFloorTable[Location]="shower hob")*(EnsuiteFloorTable[Width]))/2*SUMPRODUCT((EnsuiteFloorTable[Location]="shower hob")*(EnsuiteFloorTable[Width]))/2,0)),1)+ROUND(IF(COUNTIF(Bath2WallTable[Location],"shower hob")+COUNTIF(Bath2FloorTable[Location],"shower hob")=1,SUMPRODUCT((Bath2WallTable[Location]="shower hob")*(Bath2WallTable[Width]))+SUMPRODUCT((Bath2FloorTable[Location]="shower hob")*(Bath2FloorTable[Width]))*0.9,IF(COUNTIF(Bath2WallTable[Location],"shower hob")+COUNTIF(Bath2FloorTable[Location],"shower hob")=2,SUMPRODUCT((Bath2WallTable[Location]="shower hob")*(Bath2WallTable[Width]))/2*SUMPRODUCT((Bath2WallTable[Location]="shower hob")*(Bath2WallTable[Width]))/2+SUMPRODUCT((Bath2FloorTable[Location]="shower hob")*(Bath2FloorTable[Width]))/2*SUMPRODUCT((Bath2FloorTable[Location]="shower hob")*(Bath2FloorTable[Width]))/2,0)),2)+ROUND(IF(COUNTIF(Ensuite2WallTable[Location],"shower hob")+COUNTIF(Ensuite2FloorTable[Location],"shower hob")=1,SUMPRODUCT((Ensuite2WallTable[Location]="shower hob")*(Ensuite2WallTable[Width]))+SUMPRODUCT((Ensuite2FloorTable[Location]="shower hob")*(Ensuite2FloorTable[Width]))*0.9,IF(COUNTIF(Ensuite2WallTable[Location],"shower hob")+COUNTIF(Ensuite2FloorTable[Location],"shower hob")=2,SUMPRODUCT((Ensuite2WallTable[Location]="shower hob")*(Ensuite2WallTable[Width]))/2*SUMPRODUCT((Ensuite2WallTable[Location]="shower hob")*(Ensuite2WallTable[Width]))/2+SUMPRODUCT((Ensuite2FloorTable[Location]="shower hob")*(Ensuite2FloorTable[Width]))/2*SUMPRODUCT((Ensuite2FloorTable[Location]="shower hob")*(Ensuite2FloorTable[Width]))/2,0)),1)</f>
        <v>0</v>
      </c>
      <c r="G1779" s="829"/>
      <c r="H1779" s="412" t="s">
        <v>3310</v>
      </c>
      <c r="I1779" s="1258"/>
      <c r="J1779" s="2" t="str">
        <f>IF(Table5[[#This Row],[Entered]]&lt;&gt;Table5[[#This Row],[Quantity]],"Check","")</f>
        <v/>
      </c>
    </row>
    <row r="1780" spans="1:10" ht="15" x14ac:dyDescent="0.2">
      <c r="A1780" s="324" t="s">
        <v>3115</v>
      </c>
      <c r="B1780" s="324" t="str">
        <f t="shared" si="107"/>
        <v>1160</v>
      </c>
      <c r="C1780" s="324">
        <v>50062</v>
      </c>
      <c r="D1780" s="324" t="str">
        <f>"0200"</f>
        <v>0200</v>
      </c>
      <c r="E1780" s="324">
        <v>1</v>
      </c>
      <c r="F1780" s="827">
        <f>$F$1766</f>
        <v>0</v>
      </c>
      <c r="G1780" s="829">
        <v>30</v>
      </c>
      <c r="H1780" s="412" t="s">
        <v>3302</v>
      </c>
      <c r="I1780" s="1258"/>
      <c r="J1780" s="2" t="str">
        <f>IF(Table5[[#This Row],[Entered]]&lt;&gt;Table5[[#This Row],[Quantity]],"Check","")</f>
        <v/>
      </c>
    </row>
    <row r="1781" spans="1:10" ht="15" x14ac:dyDescent="0.2">
      <c r="A1781" s="324" t="s">
        <v>3115</v>
      </c>
      <c r="B1781" s="324" t="str">
        <f t="shared" si="107"/>
        <v>1160</v>
      </c>
      <c r="C1781" s="324">
        <v>50062</v>
      </c>
      <c r="D1781" s="324" t="str">
        <f>"0201"</f>
        <v>0201</v>
      </c>
      <c r="E1781" s="324">
        <v>1</v>
      </c>
      <c r="F1781" s="827">
        <f>$F$1765</f>
        <v>0</v>
      </c>
      <c r="G1781" s="829">
        <v>30</v>
      </c>
      <c r="H1781" s="412" t="s">
        <v>3301</v>
      </c>
      <c r="I1781" s="1258"/>
      <c r="J1781" s="2" t="str">
        <f>IF(Table5[[#This Row],[Entered]]&lt;&gt;Table5[[#This Row],[Quantity]],"Check","")</f>
        <v/>
      </c>
    </row>
    <row r="1782" spans="1:10" ht="15" x14ac:dyDescent="0.2">
      <c r="A1782" s="324" t="s">
        <v>3115</v>
      </c>
      <c r="B1782" s="324" t="str">
        <f t="shared" si="107"/>
        <v>1160</v>
      </c>
      <c r="C1782" s="324">
        <v>50062</v>
      </c>
      <c r="D1782" s="324" t="str">
        <f>"0215"</f>
        <v>0215</v>
      </c>
      <c r="E1782" s="324">
        <v>8</v>
      </c>
      <c r="F1782" s="827">
        <f>ROUND(SUMIF(Name,"Floor Screed",Area)+SUMIF('CSV FF'!A:A,"Floor Screed",'CSV FF'!F:F),1)</f>
        <v>0</v>
      </c>
      <c r="G1782" s="829">
        <v>25</v>
      </c>
      <c r="H1782" s="412" t="s">
        <v>3298</v>
      </c>
      <c r="I1782" s="1258"/>
      <c r="J1782" s="2" t="str">
        <f>IF(Table5[[#This Row],[Entered]]&lt;&gt;Table5[[#This Row],[Quantity]],"Check","")</f>
        <v/>
      </c>
    </row>
    <row r="1783" spans="1:10" ht="15" x14ac:dyDescent="0.2">
      <c r="A1783" s="324" t="s">
        <v>3115</v>
      </c>
      <c r="B1783" s="324" t="str">
        <f t="shared" si="107"/>
        <v>1160</v>
      </c>
      <c r="C1783" s="324">
        <v>50062</v>
      </c>
      <c r="D1783" s="324" t="str">
        <f>"0217"</f>
        <v>0217</v>
      </c>
      <c r="E1783" s="324">
        <v>1</v>
      </c>
      <c r="F1783" s="827">
        <f>COUNTIF(Name,"Dolphin Grate")+COUNTIF('CSV FF'!A:A,"Dolphin Grate")</f>
        <v>0</v>
      </c>
      <c r="G1783" s="829"/>
      <c r="H1783" s="412" t="s">
        <v>3299</v>
      </c>
      <c r="I1783" s="1258"/>
      <c r="J1783" s="2" t="str">
        <f>IF(Table5[[#This Row],[Entered]]&lt;&gt;Table5[[#This Row],[Quantity]],"Check","")</f>
        <v/>
      </c>
    </row>
    <row r="1784" spans="1:10" ht="15" x14ac:dyDescent="0.2">
      <c r="A1784" s="324" t="s">
        <v>3115</v>
      </c>
      <c r="B1784" s="324" t="str">
        <f t="shared" si="107"/>
        <v>1160</v>
      </c>
      <c r="C1784" s="324">
        <v>50062</v>
      </c>
      <c r="D1784" s="324" t="str">
        <f>"0290"</f>
        <v>0290</v>
      </c>
      <c r="E1784" s="324">
        <v>1</v>
      </c>
      <c r="F1784" s="827">
        <v>1</v>
      </c>
      <c r="G1784" s="829">
        <v>140</v>
      </c>
      <c r="H1784" s="412" t="s">
        <v>3304</v>
      </c>
      <c r="I1784" s="1258"/>
      <c r="J1784" s="2" t="str">
        <f>IF(Table5[[#This Row],[Entered]]&lt;&gt;Table5[[#This Row],[Quantity]],"Check","")</f>
        <v>Check</v>
      </c>
    </row>
    <row r="1785" spans="1:10" ht="15" x14ac:dyDescent="0.2">
      <c r="A1785" s="324" t="s">
        <v>3115</v>
      </c>
      <c r="B1785" s="324" t="str">
        <f t="shared" si="107"/>
        <v>1160</v>
      </c>
      <c r="C1785" s="324">
        <v>50062</v>
      </c>
      <c r="D1785" s="324" t="str">
        <f>"0293"</f>
        <v>0293</v>
      </c>
      <c r="E1785" s="324">
        <v>1</v>
      </c>
      <c r="F1785" s="827">
        <v>1</v>
      </c>
      <c r="G1785" s="829">
        <v>120</v>
      </c>
      <c r="H1785" s="412" t="s">
        <v>3305</v>
      </c>
      <c r="I1785" s="1258"/>
      <c r="J1785" s="2" t="str">
        <f>IF(Table5[[#This Row],[Entered]]&lt;&gt;Table5[[#This Row],[Quantity]],"Check","")</f>
        <v>Check</v>
      </c>
    </row>
    <row r="1786" spans="1:10" ht="15" x14ac:dyDescent="0.2">
      <c r="A1786" s="324" t="s">
        <v>3115</v>
      </c>
      <c r="B1786" s="324" t="str">
        <f t="shared" si="107"/>
        <v>1160</v>
      </c>
      <c r="C1786" s="324">
        <v>50062</v>
      </c>
      <c r="D1786" s="324" t="str">
        <f>"0310"</f>
        <v>0310</v>
      </c>
      <c r="E1786" s="324">
        <v>1</v>
      </c>
      <c r="F1786" s="827">
        <f>COUNTIF(Addenda!A:A,"*Tile Insert Floor Waste*")+COUNTIF(Addenda!A:A,"*Bermuda*")</f>
        <v>0</v>
      </c>
      <c r="G1786" s="829">
        <v>30</v>
      </c>
      <c r="H1786" s="412" t="s">
        <v>3306</v>
      </c>
      <c r="I1786" s="1258"/>
      <c r="J1786" s="2" t="str">
        <f>IF(Table5[[#This Row],[Entered]]&lt;&gt;Table5[[#This Row],[Quantity]],"Check","")</f>
        <v/>
      </c>
    </row>
    <row r="1787" spans="1:10" ht="15" x14ac:dyDescent="0.2">
      <c r="A1787" s="324" t="s">
        <v>3115</v>
      </c>
      <c r="B1787" s="324" t="str">
        <f t="shared" si="107"/>
        <v>1160</v>
      </c>
      <c r="C1787" s="324">
        <v>50062</v>
      </c>
      <c r="D1787" s="324" t="str">
        <f>"0313"</f>
        <v>0313</v>
      </c>
      <c r="E1787" s="324">
        <v>1</v>
      </c>
      <c r="F1787" s="827">
        <f>COUNTIF(Tiles!B356,"&gt;0")+COUNTIF(Tiles!B357,"&gt;0")+COUNTIF(Tiles!B358,"&gt;0")+COUNTIF(Tiles!B359,"&gt;0")+COUNTIF(Tiles!B360,"&gt;0")+COUNTIF(Tiles!B361,"&gt;0")+COUNTIF(Tiles!B362,"&gt;0")+COUNTIF(Tiles!B363,"&gt;0")+COUNTIF(Tiles!B364,"&gt;0")-F1763</f>
        <v>0</v>
      </c>
      <c r="G1787" s="829">
        <v>25</v>
      </c>
      <c r="H1787" s="412" t="s">
        <v>3307</v>
      </c>
      <c r="I1787" s="1258"/>
      <c r="J1787" s="2" t="str">
        <f>IF(Table5[[#This Row],[Entered]]&lt;&gt;Table5[[#This Row],[Quantity]],"Check","")</f>
        <v/>
      </c>
    </row>
    <row r="1788" spans="1:10" ht="15" x14ac:dyDescent="0.2">
      <c r="A1788" s="324" t="s">
        <v>3115</v>
      </c>
      <c r="B1788" s="324" t="str">
        <f t="shared" si="107"/>
        <v>1160</v>
      </c>
      <c r="C1788" s="324">
        <v>50062</v>
      </c>
      <c r="D1788" s="324" t="str">
        <f>"0501"</f>
        <v>0501</v>
      </c>
      <c r="E1788" s="324">
        <v>1</v>
      </c>
      <c r="F1788" s="827">
        <f>IF(COUNTIF(Addenda!A:A,"*wall faced*")+COUNTIF(Addenda!A:A,"*back to wall*")&gt;0,1,0)</f>
        <v>0</v>
      </c>
      <c r="G1788" s="829">
        <v>100</v>
      </c>
      <c r="H1788" s="412" t="s">
        <v>3300</v>
      </c>
      <c r="I1788" s="1258"/>
      <c r="J1788" s="2" t="str">
        <f>IF(Table5[[#This Row],[Entered]]&lt;&gt;Table5[[#This Row],[Quantity]],"Check","")</f>
        <v/>
      </c>
    </row>
    <row r="1789" spans="1:10" ht="15" x14ac:dyDescent="0.2">
      <c r="A1789" s="324" t="s">
        <v>3115</v>
      </c>
      <c r="B1789" s="324" t="str">
        <f t="shared" si="107"/>
        <v>1160</v>
      </c>
      <c r="C1789" s="324">
        <v>50062</v>
      </c>
      <c r="D1789" s="324" t="str">
        <f>"0800"</f>
        <v>0800</v>
      </c>
      <c r="E1789" s="324">
        <v>0</v>
      </c>
      <c r="F1789" s="827">
        <v>1</v>
      </c>
      <c r="G1789" s="829">
        <v>0</v>
      </c>
      <c r="H1789" s="412" t="s">
        <v>3311</v>
      </c>
      <c r="I1789" s="1258"/>
      <c r="J1789" s="2" t="str">
        <f>IF(Table5[[#This Row],[Entered]]&lt;&gt;Table5[[#This Row],[Quantity]],"Check","")</f>
        <v>Check</v>
      </c>
    </row>
    <row r="1790" spans="1:10" ht="15" x14ac:dyDescent="0.2">
      <c r="A1790" s="324" t="s">
        <v>3115</v>
      </c>
      <c r="B1790" s="324" t="str">
        <f t="shared" si="107"/>
        <v>1160</v>
      </c>
      <c r="C1790" s="324">
        <v>50062</v>
      </c>
      <c r="D1790" s="324" t="str">
        <f>"9020"</f>
        <v>9020</v>
      </c>
      <c r="E1790" s="324">
        <v>0</v>
      </c>
      <c r="F1790" s="827">
        <v>1</v>
      </c>
      <c r="G1790" s="829">
        <v>0</v>
      </c>
      <c r="H1790" s="412" t="s">
        <v>3312</v>
      </c>
      <c r="I1790" s="1258"/>
      <c r="J1790" s="2" t="str">
        <f>IF(Table5[[#This Row],[Entered]]&lt;&gt;Table5[[#This Row],[Quantity]],"Check","")</f>
        <v>Check</v>
      </c>
    </row>
    <row r="1791" spans="1:10" ht="15" x14ac:dyDescent="0.2">
      <c r="A1791" s="324" t="s">
        <v>3115</v>
      </c>
      <c r="B1791" s="324" t="str">
        <f t="shared" si="107"/>
        <v>1160</v>
      </c>
      <c r="C1791" s="324">
        <v>50062</v>
      </c>
      <c r="D1791" s="324" t="str">
        <f>"9021"</f>
        <v>9021</v>
      </c>
      <c r="E1791" s="324">
        <v>0</v>
      </c>
      <c r="F1791" s="827">
        <v>1</v>
      </c>
      <c r="G1791" s="829">
        <v>0</v>
      </c>
      <c r="H1791" s="412" t="s">
        <v>3313</v>
      </c>
      <c r="I1791" s="1258"/>
      <c r="J1791" s="2" t="str">
        <f>IF(Table5[[#This Row],[Entered]]&lt;&gt;Table5[[#This Row],[Quantity]],"Check","")</f>
        <v>Check</v>
      </c>
    </row>
    <row r="1792" spans="1:10" ht="15" x14ac:dyDescent="0.2">
      <c r="A1792" s="324" t="s">
        <v>3115</v>
      </c>
      <c r="B1792" s="324" t="str">
        <f t="shared" si="107"/>
        <v>1160</v>
      </c>
      <c r="C1792" s="324">
        <v>50062</v>
      </c>
      <c r="D1792" s="324">
        <v>9022</v>
      </c>
      <c r="E1792" s="324">
        <v>0</v>
      </c>
      <c r="F1792" s="827">
        <v>1</v>
      </c>
      <c r="G1792" s="829">
        <v>0</v>
      </c>
      <c r="H1792" s="412" t="s">
        <v>3314</v>
      </c>
      <c r="I1792" s="1258"/>
      <c r="J1792" s="2" t="str">
        <f>IF(Table5[[#This Row],[Entered]]&lt;&gt;Table5[[#This Row],[Quantity]],"Check","")</f>
        <v>Check</v>
      </c>
    </row>
    <row r="1793" spans="1:10" ht="15" x14ac:dyDescent="0.2">
      <c r="A1793" s="324" t="s">
        <v>3115</v>
      </c>
      <c r="B1793" s="324" t="str">
        <f t="shared" si="107"/>
        <v>1160</v>
      </c>
      <c r="C1793" s="324">
        <v>50062</v>
      </c>
      <c r="D1793" s="324" t="str">
        <f>"9900"</f>
        <v>9900</v>
      </c>
      <c r="E1793" s="324">
        <v>0</v>
      </c>
      <c r="F1793" s="827">
        <v>1</v>
      </c>
      <c r="G1793" s="829">
        <v>0</v>
      </c>
      <c r="H1793" s="412" t="s">
        <v>3315</v>
      </c>
      <c r="I1793" s="1258"/>
      <c r="J1793" s="2" t="str">
        <f>IF(Table5[[#This Row],[Entered]]&lt;&gt;Table5[[#This Row],[Quantity]],"Check","")</f>
        <v>Check</v>
      </c>
    </row>
    <row r="1794" spans="1:10" ht="15" x14ac:dyDescent="0.2">
      <c r="A1794" s="324"/>
      <c r="B1794" s="324"/>
      <c r="C1794" s="324"/>
      <c r="D1794" s="324"/>
      <c r="E1794" s="324"/>
      <c r="F1794" s="827"/>
      <c r="G1794" s="829"/>
      <c r="H1794" s="412"/>
      <c r="I1794" s="1258"/>
      <c r="J1794" s="2" t="str">
        <f>IF(Table5[[#This Row],[Entered]]&lt;&gt;Table5[[#This Row],[Quantity]],"Check","")</f>
        <v/>
      </c>
    </row>
    <row r="1795" spans="1:10" ht="15" x14ac:dyDescent="0.2">
      <c r="A1795" s="324" t="s">
        <v>3282</v>
      </c>
      <c r="B1795" s="324" t="str">
        <f t="shared" ref="B1795:B1840" si="108">"1080"</f>
        <v>1080</v>
      </c>
      <c r="C1795" s="324" t="str">
        <f t="shared" ref="C1795:C1840" si="109">"02029"</f>
        <v>02029</v>
      </c>
      <c r="D1795" s="342">
        <v>87</v>
      </c>
      <c r="E1795" s="342">
        <v>1</v>
      </c>
      <c r="F1795" s="1159">
        <f>IF(COUNTIF(Addenda!A:A,"*CG905DNGGB1*")+COUNTIF(Addenda!A:A,"*CG905DNGGB4*")&gt;0,1,0)</f>
        <v>0</v>
      </c>
      <c r="G1795" s="1160"/>
      <c r="H1795" s="503" t="s">
        <v>2437</v>
      </c>
      <c r="I1795" s="1207"/>
      <c r="J1795" s="2" t="str">
        <f>IF(Table5[[#This Row],[Entered]]&lt;&gt;Table5[[#This Row],[Quantity]],"Check","")</f>
        <v/>
      </c>
    </row>
    <row r="1796" spans="1:10" ht="15" x14ac:dyDescent="0.2">
      <c r="A1796" s="324" t="s">
        <v>3282</v>
      </c>
      <c r="B1796" s="324" t="str">
        <f t="shared" si="108"/>
        <v>1080</v>
      </c>
      <c r="C1796" s="324" t="str">
        <f t="shared" si="109"/>
        <v>02029</v>
      </c>
      <c r="D1796" s="342">
        <f>97</f>
        <v>97</v>
      </c>
      <c r="E1796" s="342">
        <v>1</v>
      </c>
      <c r="F1796" s="1159">
        <f>IF(COUNTIF(Addenda!A:A,"*CG905CNGX2*")&gt;0,1,0)</f>
        <v>0</v>
      </c>
      <c r="G1796" s="1160"/>
      <c r="H1796" s="503" t="s">
        <v>1652</v>
      </c>
      <c r="I1796" s="1207"/>
      <c r="J1796" s="2" t="str">
        <f>IF(Table5[[#This Row],[Entered]]&lt;&gt;Table5[[#This Row],[Quantity]],"Check","")</f>
        <v/>
      </c>
    </row>
    <row r="1797" spans="1:10" ht="15" x14ac:dyDescent="0.2">
      <c r="A1797" s="324" t="s">
        <v>3282</v>
      </c>
      <c r="B1797" s="324" t="str">
        <f t="shared" si="108"/>
        <v>1080</v>
      </c>
      <c r="C1797" s="324" t="str">
        <f t="shared" si="109"/>
        <v>02029</v>
      </c>
      <c r="D1797" s="342">
        <f>98</f>
        <v>98</v>
      </c>
      <c r="E1797" s="342">
        <v>1</v>
      </c>
      <c r="F1797" s="1159">
        <f>IF(COUNTIF(Addenda!A:A,"*CG604CNGX2*")&gt;0,1,0)</f>
        <v>0</v>
      </c>
      <c r="G1797" s="1160"/>
      <c r="H1797" s="503" t="s">
        <v>1653</v>
      </c>
      <c r="I1797" s="1207"/>
      <c r="J1797" s="2" t="str">
        <f>IF(Table5[[#This Row],[Entered]]&lt;&gt;Table5[[#This Row],[Quantity]],"Check","")</f>
        <v/>
      </c>
    </row>
    <row r="1798" spans="1:10" ht="15" x14ac:dyDescent="0.2">
      <c r="A1798" s="324" t="s">
        <v>3282</v>
      </c>
      <c r="B1798" s="324" t="str">
        <f t="shared" si="108"/>
        <v>1080</v>
      </c>
      <c r="C1798" s="324" t="str">
        <f t="shared" si="109"/>
        <v>02029</v>
      </c>
      <c r="D1798" s="342">
        <f>99</f>
        <v>99</v>
      </c>
      <c r="E1798" s="342">
        <v>1</v>
      </c>
      <c r="F1798" s="1159">
        <f>IF(COUNTIF(Addenda!A:A,"*CI905DTB3*")&gt;0,1,0)</f>
        <v>0</v>
      </c>
      <c r="G1798" s="1160"/>
      <c r="H1798" s="503" t="s">
        <v>1654</v>
      </c>
      <c r="I1798" s="1207"/>
      <c r="J1798" s="2" t="str">
        <f>IF(Table5[[#This Row],[Entered]]&lt;&gt;Table5[[#This Row],[Quantity]],"Check","")</f>
        <v/>
      </c>
    </row>
    <row r="1799" spans="1:10" ht="15" x14ac:dyDescent="0.2">
      <c r="A1799" s="324" t="s">
        <v>3282</v>
      </c>
      <c r="B1799" s="324" t="str">
        <f t="shared" si="108"/>
        <v>1080</v>
      </c>
      <c r="C1799" s="324" t="str">
        <f t="shared" si="109"/>
        <v>02029</v>
      </c>
      <c r="D1799" s="342">
        <f>108</f>
        <v>108</v>
      </c>
      <c r="E1799" s="342">
        <v>1</v>
      </c>
      <c r="F1799" s="1159">
        <f>IF(COUNTIF(Addenda!A:A,"*OB90S9MEX3*")&gt;0,1,0)</f>
        <v>0</v>
      </c>
      <c r="G1799" s="1160"/>
      <c r="H1799" s="503" t="s">
        <v>1655</v>
      </c>
      <c r="I1799" s="1207"/>
      <c r="J1799" s="2" t="str">
        <f>IF(Table5[[#This Row],[Entered]]&lt;&gt;Table5[[#This Row],[Quantity]],"Check","")</f>
        <v/>
      </c>
    </row>
    <row r="1800" spans="1:10" ht="15" x14ac:dyDescent="0.2">
      <c r="A1800" s="324" t="s">
        <v>3282</v>
      </c>
      <c r="B1800" s="324" t="str">
        <f t="shared" si="108"/>
        <v>1080</v>
      </c>
      <c r="C1800" s="324" t="str">
        <f t="shared" si="109"/>
        <v>02029</v>
      </c>
      <c r="D1800" s="342">
        <f>109</f>
        <v>109</v>
      </c>
      <c r="E1800" s="342">
        <v>1</v>
      </c>
      <c r="F1800" s="1159">
        <f>IF(COUNTIF(Addenda!A:A,"*OB60SC5CEX2*")&gt;0,1,0)</f>
        <v>0</v>
      </c>
      <c r="G1800" s="1160"/>
      <c r="H1800" s="503" t="s">
        <v>1674</v>
      </c>
      <c r="I1800" s="1207"/>
      <c r="J1800" s="2" t="str">
        <f>IF(Table5[[#This Row],[Entered]]&lt;&gt;Table5[[#This Row],[Quantity]],"Check","")</f>
        <v/>
      </c>
    </row>
    <row r="1801" spans="1:10" ht="15" x14ac:dyDescent="0.2">
      <c r="A1801" s="324" t="s">
        <v>3282</v>
      </c>
      <c r="B1801" s="324" t="str">
        <f t="shared" si="108"/>
        <v>1080</v>
      </c>
      <c r="C1801" s="324" t="str">
        <f t="shared" si="109"/>
        <v>02029</v>
      </c>
      <c r="D1801" s="342">
        <f>110</f>
        <v>110</v>
      </c>
      <c r="E1801" s="342">
        <v>1</v>
      </c>
      <c r="F1801" s="1159">
        <f>IF(COUNTIF(Addenda!A:A,"*OB60SD9PB1*")&gt;0,1,0)</f>
        <v>0</v>
      </c>
      <c r="G1801" s="1160"/>
      <c r="H1801" s="503" t="s">
        <v>1656</v>
      </c>
      <c r="I1801" s="1207"/>
      <c r="J1801" s="2" t="str">
        <f>IF(Table5[[#This Row],[Entered]]&lt;&gt;Table5[[#This Row],[Quantity]],"Check","")</f>
        <v/>
      </c>
    </row>
    <row r="1802" spans="1:10" ht="15" x14ac:dyDescent="0.2">
      <c r="A1802" s="324" t="s">
        <v>3282</v>
      </c>
      <c r="B1802" s="324" t="str">
        <f t="shared" si="108"/>
        <v>1080</v>
      </c>
      <c r="C1802" s="324" t="str">
        <f t="shared" si="109"/>
        <v>02029</v>
      </c>
      <c r="D1802" s="342">
        <f>143</f>
        <v>143</v>
      </c>
      <c r="E1802" s="342">
        <v>1</v>
      </c>
      <c r="F1802" s="1159">
        <f>IF(COUNTIF(Addenda!A:A,"*HC90DCXB3*")&gt;0,1,0)</f>
        <v>0</v>
      </c>
      <c r="G1802" s="1160"/>
      <c r="H1802" s="503" t="s">
        <v>1657</v>
      </c>
      <c r="I1802" s="1207"/>
      <c r="J1802" s="2" t="str">
        <f>IF(Table5[[#This Row],[Entered]]&lt;&gt;Table5[[#This Row],[Quantity]],"Check","")</f>
        <v/>
      </c>
    </row>
    <row r="1803" spans="1:10" ht="15" x14ac:dyDescent="0.2">
      <c r="A1803" s="324" t="s">
        <v>3282</v>
      </c>
      <c r="B1803" s="324" t="str">
        <f t="shared" si="108"/>
        <v>1080</v>
      </c>
      <c r="C1803" s="324" t="str">
        <f t="shared" si="109"/>
        <v>02029</v>
      </c>
      <c r="D1803" s="342">
        <f>144</f>
        <v>144</v>
      </c>
      <c r="E1803" s="342">
        <v>1</v>
      </c>
      <c r="F1803" s="1159">
        <f>IF(COUNTIF(Addenda!A:A,"*HC60PLX4*")&gt;0,1,0)</f>
        <v>0</v>
      </c>
      <c r="G1803" s="1160"/>
      <c r="H1803" s="503" t="s">
        <v>1658</v>
      </c>
      <c r="I1803" s="1207"/>
      <c r="J1803" s="2" t="str">
        <f>IF(Table5[[#This Row],[Entered]]&lt;&gt;Table5[[#This Row],[Quantity]],"Check","")</f>
        <v/>
      </c>
    </row>
    <row r="1804" spans="1:10" ht="15" x14ac:dyDescent="0.2">
      <c r="A1804" s="324" t="s">
        <v>3282</v>
      </c>
      <c r="B1804" s="324" t="str">
        <f t="shared" si="108"/>
        <v>1080</v>
      </c>
      <c r="C1804" s="324" t="str">
        <f t="shared" si="109"/>
        <v>02029</v>
      </c>
      <c r="D1804" s="342">
        <f>145</f>
        <v>145</v>
      </c>
      <c r="E1804" s="342">
        <v>1</v>
      </c>
      <c r="F1804" s="1159">
        <f>IF(COUNTIF(Addenda!A:A,"*HP90IDCHX2*")&gt;0,1,0)</f>
        <v>0</v>
      </c>
      <c r="G1804" s="1160"/>
      <c r="H1804" s="503" t="s">
        <v>1659</v>
      </c>
      <c r="I1804" s="1207"/>
      <c r="J1804" s="2" t="str">
        <f>IF(Table5[[#This Row],[Entered]]&lt;&gt;Table5[[#This Row],[Quantity]],"Check","")</f>
        <v/>
      </c>
    </row>
    <row r="1805" spans="1:10" ht="15" x14ac:dyDescent="0.2">
      <c r="A1805" s="324" t="s">
        <v>3282</v>
      </c>
      <c r="B1805" s="324" t="str">
        <f t="shared" si="108"/>
        <v>1080</v>
      </c>
      <c r="C1805" s="324" t="str">
        <f t="shared" si="109"/>
        <v>02029</v>
      </c>
      <c r="D1805" s="342">
        <f>146</f>
        <v>146</v>
      </c>
      <c r="E1805" s="342">
        <v>1</v>
      </c>
      <c r="F1805" s="1159">
        <f>IF(COUNTIF(Addenda!A:A,"*HP60ICSX2*")&gt;0,1,0)</f>
        <v>0</v>
      </c>
      <c r="G1805" s="1160"/>
      <c r="H1805" s="503" t="s">
        <v>1660</v>
      </c>
      <c r="I1805" s="1207"/>
      <c r="J1805" s="2" t="str">
        <f>IF(Table5[[#This Row],[Entered]]&lt;&gt;Table5[[#This Row],[Quantity]],"Check","")</f>
        <v/>
      </c>
    </row>
    <row r="1806" spans="1:10" ht="15" x14ac:dyDescent="0.2">
      <c r="A1806" s="324" t="s">
        <v>3282</v>
      </c>
      <c r="B1806" s="324" t="str">
        <f t="shared" si="108"/>
        <v>1080</v>
      </c>
      <c r="C1806" s="324" t="str">
        <f t="shared" si="109"/>
        <v>02029</v>
      </c>
      <c r="D1806" s="342">
        <f>147</f>
        <v>147</v>
      </c>
      <c r="E1806" s="342">
        <v>1</v>
      </c>
      <c r="F1806" s="1159">
        <f>IF(COUNTIF(Addenda!A:A,"*HP90ICSX3*")&gt;0,1,0)</f>
        <v>0</v>
      </c>
      <c r="G1806" s="1160"/>
      <c r="H1806" s="503" t="s">
        <v>1661</v>
      </c>
      <c r="I1806" s="1207"/>
      <c r="J1806" s="2" t="str">
        <f>IF(Table5[[#This Row],[Entered]]&lt;&gt;Table5[[#This Row],[Quantity]],"Check","")</f>
        <v/>
      </c>
    </row>
    <row r="1807" spans="1:10" ht="15" x14ac:dyDescent="0.2">
      <c r="A1807" s="324" t="s">
        <v>3282</v>
      </c>
      <c r="B1807" s="324" t="str">
        <f t="shared" si="108"/>
        <v>1080</v>
      </c>
      <c r="C1807" s="324" t="str">
        <f t="shared" si="109"/>
        <v>02029</v>
      </c>
      <c r="D1807" s="342">
        <f>170</f>
        <v>170</v>
      </c>
      <c r="E1807" s="342">
        <v>1</v>
      </c>
      <c r="F1807" s="1159">
        <f>IF(COUNTIF(Addenda!A:A,"*WHG645SB*")&gt;0,1,0)</f>
        <v>0</v>
      </c>
      <c r="G1807" s="1160"/>
      <c r="H1807" s="503" t="s">
        <v>1731</v>
      </c>
      <c r="I1807" s="1207"/>
      <c r="J1807" s="2" t="str">
        <f>IF(Table5[[#This Row],[Entered]]&lt;&gt;Table5[[#This Row],[Quantity]],"Check","")</f>
        <v/>
      </c>
    </row>
    <row r="1808" spans="1:10" ht="15" x14ac:dyDescent="0.2">
      <c r="A1808" s="324" t="s">
        <v>3282</v>
      </c>
      <c r="B1808" s="324" t="str">
        <f t="shared" si="108"/>
        <v>1080</v>
      </c>
      <c r="C1808" s="324" t="str">
        <f t="shared" si="109"/>
        <v>02029</v>
      </c>
      <c r="D1808" s="324" t="str">
        <f>"0504"</f>
        <v>0504</v>
      </c>
      <c r="E1808" s="324">
        <v>1</v>
      </c>
      <c r="F1808" s="827">
        <f>IF(COUNTIF(Addenda!A:A,"*WVE613SC*")&gt;0,1,0)</f>
        <v>0</v>
      </c>
      <c r="G1808" s="829">
        <v>464</v>
      </c>
      <c r="H1808" s="412" t="s">
        <v>3605</v>
      </c>
      <c r="I1808" s="1207"/>
      <c r="J1808" s="73" t="str">
        <f>IF(Table5[[#This Row],[Entered]]&lt;&gt;Table5[[#This Row],[Quantity]],"Check","")</f>
        <v/>
      </c>
    </row>
    <row r="1809" spans="1:10" ht="15" x14ac:dyDescent="0.2">
      <c r="A1809" s="324" t="s">
        <v>3282</v>
      </c>
      <c r="B1809" s="324" t="str">
        <f t="shared" si="108"/>
        <v>1080</v>
      </c>
      <c r="C1809" s="324" t="str">
        <f t="shared" si="109"/>
        <v>02029</v>
      </c>
      <c r="D1809" s="324" t="str">
        <f>"0518"</f>
        <v>0518</v>
      </c>
      <c r="E1809" s="324">
        <v>1</v>
      </c>
      <c r="F1809" s="827">
        <f>IF(COUNTIF(Addenda!A:A,"*WRC614SC*")&gt;0,1,0)</f>
        <v>0</v>
      </c>
      <c r="G1809" s="829">
        <v>312</v>
      </c>
      <c r="H1809" s="412" t="s">
        <v>3607</v>
      </c>
      <c r="I1809" s="1207"/>
      <c r="J1809" s="2" t="str">
        <f>IF(Table5[[#This Row],[Entered]]&lt;&gt;Table5[[#This Row],[Quantity]],"Check","")</f>
        <v/>
      </c>
    </row>
    <row r="1810" spans="1:10" ht="15" x14ac:dyDescent="0.2">
      <c r="A1810" s="324" t="s">
        <v>3282</v>
      </c>
      <c r="B1810" s="324" t="str">
        <f t="shared" si="108"/>
        <v>1080</v>
      </c>
      <c r="C1810" s="324" t="str">
        <f t="shared" si="109"/>
        <v>02029</v>
      </c>
      <c r="D1810" s="324" t="str">
        <f>"0523"</f>
        <v>0523</v>
      </c>
      <c r="E1810" s="324">
        <v>1</v>
      </c>
      <c r="F1810" s="827">
        <f>IF(COUNTIF(Addenda!A:A,"*WHG958BC*")&gt;0,1,0)</f>
        <v>0</v>
      </c>
      <c r="G1810" s="829">
        <v>570</v>
      </c>
      <c r="H1810" s="412" t="s">
        <v>3284</v>
      </c>
      <c r="I1810" s="1258"/>
      <c r="J1810" s="2" t="str">
        <f>IF(Table5[[#This Row],[Entered]]&lt;&gt;Table5[[#This Row],[Quantity]],"Check","")</f>
        <v/>
      </c>
    </row>
    <row r="1811" spans="1:10" ht="15" x14ac:dyDescent="0.2">
      <c r="A1811" s="324" t="s">
        <v>3282</v>
      </c>
      <c r="B1811" s="324" t="str">
        <f t="shared" si="108"/>
        <v>1080</v>
      </c>
      <c r="C1811" s="324" t="str">
        <f t="shared" si="109"/>
        <v>02029</v>
      </c>
      <c r="D1811" s="324" t="str">
        <f>"0528"</f>
        <v>0528</v>
      </c>
      <c r="E1811" s="324">
        <v>1</v>
      </c>
      <c r="F1811" s="827">
        <f>IF(COUNTIF(Addenda!A:A,"*WVE615DSC*")&gt;0,2,0)</f>
        <v>0</v>
      </c>
      <c r="G1811" s="1160"/>
      <c r="H1811" s="412" t="s">
        <v>3283</v>
      </c>
      <c r="I1811" s="1258"/>
      <c r="J1811" s="2" t="str">
        <f>IF(Table5[[#This Row],[Entered]]&lt;&gt;Table5[[#This Row],[Quantity]],"Check","")</f>
        <v/>
      </c>
    </row>
    <row r="1812" spans="1:10" ht="15" x14ac:dyDescent="0.2">
      <c r="A1812" s="324" t="s">
        <v>3282</v>
      </c>
      <c r="B1812" s="324" t="str">
        <f t="shared" si="108"/>
        <v>1080</v>
      </c>
      <c r="C1812" s="324" t="str">
        <f t="shared" si="109"/>
        <v>02029</v>
      </c>
      <c r="D1812" s="324" t="str">
        <f>"0532"</f>
        <v>0532</v>
      </c>
      <c r="E1812" s="324">
        <v>1</v>
      </c>
      <c r="F1812" s="827">
        <f>IF(COUNTIF(Addenda!A:A,"*WVE615SCA*")&gt;0,2,0)</f>
        <v>0</v>
      </c>
      <c r="G1812" s="829">
        <v>565</v>
      </c>
      <c r="H1812" s="412" t="s">
        <v>3778</v>
      </c>
      <c r="I1812" s="1258"/>
      <c r="J1812" s="73" t="str">
        <f>IF(Table5[[#This Row],[Entered]]&lt;&gt;Table5[[#This Row],[Quantity]],"Check","")</f>
        <v/>
      </c>
    </row>
    <row r="1813" spans="1:10" ht="15" x14ac:dyDescent="0.2">
      <c r="A1813" s="324" t="s">
        <v>3282</v>
      </c>
      <c r="B1813" s="324" t="str">
        <f t="shared" si="108"/>
        <v>1080</v>
      </c>
      <c r="C1813" s="324" t="str">
        <f t="shared" si="109"/>
        <v>02029</v>
      </c>
      <c r="D1813" s="324" t="str">
        <f>"0555"</f>
        <v>0555</v>
      </c>
      <c r="E1813" s="324">
        <v>1</v>
      </c>
      <c r="F1813" s="827">
        <f>IF(COUNTIF(Addenda!A:A,"*WHG643SB*")&gt;0,1,0)</f>
        <v>0</v>
      </c>
      <c r="G1813" s="829">
        <v>270</v>
      </c>
      <c r="H1813" s="412" t="s">
        <v>3606</v>
      </c>
      <c r="I1813" s="1207"/>
      <c r="J1813" s="73" t="str">
        <f>IF(Table5[[#This Row],[Entered]]&lt;&gt;Table5[[#This Row],[Quantity]],"Check","")</f>
        <v/>
      </c>
    </row>
    <row r="1814" spans="1:10" ht="15" x14ac:dyDescent="0.2">
      <c r="A1814" s="324" t="s">
        <v>3282</v>
      </c>
      <c r="B1814" s="324" t="str">
        <f t="shared" si="108"/>
        <v>1080</v>
      </c>
      <c r="C1814" s="324" t="str">
        <f t="shared" si="109"/>
        <v>02029</v>
      </c>
      <c r="D1814" s="324" t="str">
        <f>"0566"</f>
        <v>0566</v>
      </c>
      <c r="E1814" s="324">
        <v>1</v>
      </c>
      <c r="F1814" s="827">
        <f>IF(COUNTIF(Addenda!A:A,"*WHI943BC*")&gt;0,1,0)</f>
        <v>0</v>
      </c>
      <c r="G1814" s="829">
        <v>1329</v>
      </c>
      <c r="H1814" s="412" t="s">
        <v>3779</v>
      </c>
      <c r="I1814" s="1258"/>
      <c r="J1814" s="2" t="str">
        <f>IF(Table5[[#This Row],[Entered]]&lt;&gt;Table5[[#This Row],[Quantity]],"Check","")</f>
        <v/>
      </c>
    </row>
    <row r="1815" spans="1:10" ht="15" x14ac:dyDescent="0.2">
      <c r="A1815" s="324" t="s">
        <v>3282</v>
      </c>
      <c r="B1815" s="324" t="s">
        <v>3839</v>
      </c>
      <c r="C1815" s="324" t="s">
        <v>3840</v>
      </c>
      <c r="D1815" s="324" t="s">
        <v>3841</v>
      </c>
      <c r="E1815" s="324">
        <v>1</v>
      </c>
      <c r="F1815" s="827">
        <f>IF(COUNTIF(Addenda!A:A,"*WHI945BC*")&gt;0,1,0)</f>
        <v>0</v>
      </c>
      <c r="G1815" s="829">
        <v>919</v>
      </c>
      <c r="H1815" s="412" t="s">
        <v>3842</v>
      </c>
      <c r="I1815" s="1207"/>
      <c r="J1815" s="73" t="str">
        <f>IF(Table5[[#This Row],[Entered]]&lt;&gt;Table5[[#This Row],[Quantity]],"Check","")</f>
        <v/>
      </c>
    </row>
    <row r="1816" spans="1:10" ht="15" x14ac:dyDescent="0.2">
      <c r="A1816" s="324" t="s">
        <v>3282</v>
      </c>
      <c r="B1816" s="324" t="str">
        <f t="shared" si="108"/>
        <v>1080</v>
      </c>
      <c r="C1816" s="324" t="str">
        <f t="shared" si="109"/>
        <v>02029</v>
      </c>
      <c r="D1816" s="324" t="str">
        <f>"0583"</f>
        <v>0583</v>
      </c>
      <c r="E1816" s="324">
        <v>1</v>
      </c>
      <c r="F1816" s="827">
        <f>IF(COUNTIF(Addenda!A:A,"*WHG953SB*")&gt;0,1,0)</f>
        <v>0</v>
      </c>
      <c r="G1816" s="829">
        <v>326</v>
      </c>
      <c r="H1816" s="412" t="s">
        <v>3804</v>
      </c>
      <c r="I1816" s="1258"/>
      <c r="J1816" s="73" t="str">
        <f>IF(Table5[[#This Row],[Entered]]&lt;&gt;Table5[[#This Row],[Quantity]],"Check","")</f>
        <v/>
      </c>
    </row>
    <row r="1817" spans="1:10" ht="15" x14ac:dyDescent="0.2">
      <c r="A1817" s="324" t="s">
        <v>3282</v>
      </c>
      <c r="B1817" s="324" t="str">
        <f t="shared" si="108"/>
        <v>1080</v>
      </c>
      <c r="C1817" s="324" t="str">
        <f t="shared" si="109"/>
        <v>02029</v>
      </c>
      <c r="D1817" s="324" t="str">
        <f>"0585"</f>
        <v>0585</v>
      </c>
      <c r="E1817" s="324">
        <v>1</v>
      </c>
      <c r="F1817" s="827">
        <f>IF(COUNTIF(Addenda!A:A,"*WHG955SA*")+COUNTIF(Addenda!A:A,"*WHG955SB*")&gt;0,1,0)</f>
        <v>0</v>
      </c>
      <c r="G1817" s="1160"/>
      <c r="H1817" s="412" t="s">
        <v>3418</v>
      </c>
      <c r="I1817" s="1258"/>
      <c r="J1817" s="2" t="str">
        <f>IF(Table5[[#This Row],[Entered]]&lt;&gt;Table5[[#This Row],[Quantity]],"Check","")</f>
        <v/>
      </c>
    </row>
    <row r="1818" spans="1:10" ht="15" x14ac:dyDescent="0.2">
      <c r="A1818" s="324" t="s">
        <v>3282</v>
      </c>
      <c r="B1818" s="324" t="str">
        <f t="shared" si="108"/>
        <v>1080</v>
      </c>
      <c r="C1818" s="324" t="str">
        <f t="shared" si="109"/>
        <v>02029</v>
      </c>
      <c r="D1818" s="342">
        <f>174</f>
        <v>174</v>
      </c>
      <c r="E1818" s="342">
        <v>1</v>
      </c>
      <c r="F1818" s="1159">
        <f>IF(COUNTIF(Addenda!A:A,"*WHI954BA*")&gt;0,1,0)</f>
        <v>0</v>
      </c>
      <c r="G1818" s="1160"/>
      <c r="H1818" s="503" t="s">
        <v>1662</v>
      </c>
      <c r="I1818" s="1207"/>
      <c r="J1818" s="2" t="str">
        <f>IF(Table5[[#This Row],[Entered]]&lt;&gt;Table5[[#This Row],[Quantity]],"Check","")</f>
        <v/>
      </c>
    </row>
    <row r="1819" spans="1:10" ht="15" x14ac:dyDescent="0.2">
      <c r="A1819" s="324" t="s">
        <v>3282</v>
      </c>
      <c r="B1819" s="324" t="str">
        <f t="shared" si="108"/>
        <v>1080</v>
      </c>
      <c r="C1819" s="324" t="str">
        <f t="shared" si="109"/>
        <v>02029</v>
      </c>
      <c r="D1819" s="324" t="str">
        <f>"0594"</f>
        <v>0594</v>
      </c>
      <c r="E1819" s="324">
        <v>1</v>
      </c>
      <c r="F1819" s="827">
        <f>IF(COUNTIF(Addenda!A:A,"*WVE915SC*")-COUNTIF(Addenda!A:A,"*WVE915SCA*")&gt;0,1,0)</f>
        <v>0</v>
      </c>
      <c r="G1819" s="829">
        <v>940</v>
      </c>
      <c r="H1819" s="412" t="s">
        <v>3419</v>
      </c>
      <c r="I1819" s="1258"/>
      <c r="J1819" s="2" t="str">
        <f>IF(Table5[[#This Row],[Entered]]&lt;&gt;Table5[[#This Row],[Quantity]],"Check","")</f>
        <v/>
      </c>
    </row>
    <row r="1820" spans="1:10" ht="15" x14ac:dyDescent="0.2">
      <c r="A1820" s="324" t="s">
        <v>3282</v>
      </c>
      <c r="B1820" s="324" t="str">
        <f t="shared" si="108"/>
        <v>1080</v>
      </c>
      <c r="C1820" s="324" t="str">
        <f t="shared" si="109"/>
        <v>02029</v>
      </c>
      <c r="D1820" s="324" t="str">
        <f>"0596"</f>
        <v>0596</v>
      </c>
      <c r="E1820" s="324">
        <v>1</v>
      </c>
      <c r="F1820" s="827">
        <f>IF(COUNTIF(Addenda!A:A,"*WVE915SCA*")+COUNTIF(Addenda!A:A,"*WVE916SB*")&gt;0,1,0)</f>
        <v>0</v>
      </c>
      <c r="G1820" s="829">
        <v>1175</v>
      </c>
      <c r="H1820" s="412" t="s">
        <v>3420</v>
      </c>
      <c r="I1820" s="1258"/>
      <c r="J1820" s="2" t="str">
        <f>IF(Table5[[#This Row],[Entered]]&lt;&gt;Table5[[#This Row],[Quantity]],"Check","")</f>
        <v/>
      </c>
    </row>
    <row r="1821" spans="1:10" ht="15" x14ac:dyDescent="0.2">
      <c r="A1821" s="324" t="s">
        <v>3282</v>
      </c>
      <c r="B1821" s="324" t="str">
        <f t="shared" si="108"/>
        <v>1080</v>
      </c>
      <c r="C1821" s="324" t="str">
        <f t="shared" si="109"/>
        <v>02029</v>
      </c>
      <c r="D1821" s="324" t="str">
        <f>"0597"</f>
        <v>0597</v>
      </c>
      <c r="E1821" s="324">
        <v>1</v>
      </c>
      <c r="F1821" s="827">
        <f>IF(COUNTIF(Addenda!A:A,"*WVE915DSCA*")&gt;0,1,0)</f>
        <v>0</v>
      </c>
      <c r="G1821" s="829">
        <v>1240</v>
      </c>
      <c r="H1821" s="412" t="s">
        <v>3569</v>
      </c>
      <c r="I1821" s="1207"/>
      <c r="J1821" s="73" t="str">
        <f>IF(Table5[[#This Row],[Entered]]&lt;&gt;Table5[[#This Row],[Quantity]],"Check","")</f>
        <v/>
      </c>
    </row>
    <row r="1822" spans="1:10" ht="15" x14ac:dyDescent="0.2">
      <c r="A1822" s="324" t="s">
        <v>3282</v>
      </c>
      <c r="B1822" s="324" t="str">
        <f t="shared" si="108"/>
        <v>1080</v>
      </c>
      <c r="C1822" s="324" t="str">
        <f t="shared" si="109"/>
        <v>02029</v>
      </c>
      <c r="D1822" s="342">
        <f>183</f>
        <v>183</v>
      </c>
      <c r="E1822" s="342">
        <v>1</v>
      </c>
      <c r="F1822" s="1159">
        <f>IF(COUNTIF(Addenda!A:A,"*WVEP916SC*")&gt;0,1,0)</f>
        <v>0</v>
      </c>
      <c r="G1822" s="1160"/>
      <c r="H1822" s="503" t="s">
        <v>2284</v>
      </c>
      <c r="I1822" s="1207"/>
      <c r="J1822" s="2" t="str">
        <f>IF(Table5[[#This Row],[Entered]]&lt;&gt;Table5[[#This Row],[Quantity]],"Check","")</f>
        <v/>
      </c>
    </row>
    <row r="1823" spans="1:10" ht="15" x14ac:dyDescent="0.2">
      <c r="A1823" s="324" t="s">
        <v>3282</v>
      </c>
      <c r="B1823" s="324" t="str">
        <f t="shared" si="108"/>
        <v>1080</v>
      </c>
      <c r="C1823" s="324" t="str">
        <f t="shared" si="109"/>
        <v>02029</v>
      </c>
      <c r="D1823" s="342">
        <f>190</f>
        <v>190</v>
      </c>
      <c r="E1823" s="342">
        <v>1</v>
      </c>
      <c r="F1823" s="1159">
        <f>IF(COUNTIF(Addenda!A:A,"*CS602S*")&gt;0,1,0)</f>
        <v>0</v>
      </c>
      <c r="G1823" s="1160"/>
      <c r="H1823" s="503" t="s">
        <v>1663</v>
      </c>
      <c r="I1823" s="1207"/>
      <c r="J1823" s="2" t="str">
        <f>IF(Table5[[#This Row],[Entered]]&lt;&gt;Table5[[#This Row],[Quantity]],"Check","")</f>
        <v/>
      </c>
    </row>
    <row r="1824" spans="1:10" ht="15" x14ac:dyDescent="0.2">
      <c r="A1824" s="324" t="s">
        <v>3282</v>
      </c>
      <c r="B1824" s="324" t="str">
        <f t="shared" si="108"/>
        <v>1080</v>
      </c>
      <c r="C1824" s="324" t="str">
        <f t="shared" si="109"/>
        <v>02029</v>
      </c>
      <c r="D1824" s="342">
        <f>192</f>
        <v>192</v>
      </c>
      <c r="E1824" s="342">
        <v>1</v>
      </c>
      <c r="F1824" s="1159">
        <f>IF(COUNTIF(Addenda!A:A,"*CS902S*")&gt;0,1,0)</f>
        <v>0</v>
      </c>
      <c r="G1824" s="1160"/>
      <c r="H1824" s="503" t="s">
        <v>1664</v>
      </c>
      <c r="I1824" s="1207"/>
      <c r="J1824" s="2" t="str">
        <f>IF(Table5[[#This Row],[Entered]]&lt;&gt;Table5[[#This Row],[Quantity]],"Check","")</f>
        <v/>
      </c>
    </row>
    <row r="1825" spans="1:10" ht="15" x14ac:dyDescent="0.2">
      <c r="A1825" s="324" t="s">
        <v>3282</v>
      </c>
      <c r="B1825" s="324" t="str">
        <f t="shared" si="108"/>
        <v>1080</v>
      </c>
      <c r="C1825" s="324" t="str">
        <f t="shared" si="109"/>
        <v>02029</v>
      </c>
      <c r="D1825" s="342">
        <f>193</f>
        <v>193</v>
      </c>
      <c r="E1825" s="342">
        <v>1</v>
      </c>
      <c r="F1825" s="1159">
        <f>IF(COUNTIF(Addenda!A:A,"*CS910CS*")&gt;0,1,0)</f>
        <v>0</v>
      </c>
      <c r="G1825" s="1160"/>
      <c r="H1825" s="503" t="s">
        <v>1665</v>
      </c>
      <c r="I1825" s="1207"/>
      <c r="J1825" s="2" t="str">
        <f>IF(Table5[[#This Row],[Entered]]&lt;&gt;Table5[[#This Row],[Quantity]],"Check","")</f>
        <v/>
      </c>
    </row>
    <row r="1826" spans="1:10" ht="15" x14ac:dyDescent="0.2">
      <c r="A1826" s="324" t="s">
        <v>3282</v>
      </c>
      <c r="B1826" s="324" t="str">
        <f t="shared" si="108"/>
        <v>1080</v>
      </c>
      <c r="C1826" s="324" t="str">
        <f t="shared" si="109"/>
        <v>02029</v>
      </c>
      <c r="D1826" s="342">
        <f>194</f>
        <v>194</v>
      </c>
      <c r="E1826" s="342">
        <v>1</v>
      </c>
      <c r="F1826" s="1159">
        <f>IF(COUNTIF(Addenda!A:A,"*WRH908IS*")&gt;0,1,0)</f>
        <v>0</v>
      </c>
      <c r="G1826" s="1160"/>
      <c r="H1826" s="503" t="s">
        <v>1666</v>
      </c>
      <c r="I1826" s="1207"/>
      <c r="J1826" s="2" t="str">
        <f>IF(Table5[[#This Row],[Entered]]&lt;&gt;Table5[[#This Row],[Quantity]],"Check","")</f>
        <v/>
      </c>
    </row>
    <row r="1827" spans="1:10" ht="15" x14ac:dyDescent="0.2">
      <c r="A1827" s="324" t="s">
        <v>3282</v>
      </c>
      <c r="B1827" s="324" t="str">
        <f t="shared" si="108"/>
        <v>1080</v>
      </c>
      <c r="C1827" s="324" t="str">
        <f t="shared" si="109"/>
        <v>02029</v>
      </c>
      <c r="D1827" s="342">
        <f>195</f>
        <v>195</v>
      </c>
      <c r="E1827" s="342">
        <v>1</v>
      </c>
      <c r="F1827" s="1159">
        <f>IF(COUNTIF(Addenda!A:A,"*WRC913SB*")+COUNTIF(Addenda!A:A,"*WRC914SC*")&gt;0,1,0)</f>
        <v>0</v>
      </c>
      <c r="G1827" s="1160"/>
      <c r="H1827" s="503" t="s">
        <v>1737</v>
      </c>
      <c r="I1827" s="1207"/>
      <c r="J1827" s="2" t="str">
        <f>IF(Table5[[#This Row],[Entered]]&lt;&gt;Table5[[#This Row],[Quantity]],"Check","")</f>
        <v/>
      </c>
    </row>
    <row r="1828" spans="1:10" ht="15" x14ac:dyDescent="0.2">
      <c r="A1828" s="324" t="s">
        <v>3282</v>
      </c>
      <c r="B1828" s="324" t="str">
        <f t="shared" si="108"/>
        <v>1080</v>
      </c>
      <c r="C1828" s="324" t="str">
        <f t="shared" si="109"/>
        <v>02029</v>
      </c>
      <c r="D1828" s="324" t="str">
        <f>"0638"</f>
        <v>0638</v>
      </c>
      <c r="E1828" s="324">
        <v>1</v>
      </c>
      <c r="F1828" s="827">
        <f>IF(COUNTIF(Addenda!A:A,"*ERI712SA*")&gt;0,1,0)</f>
        <v>0</v>
      </c>
      <c r="G1828" s="829">
        <v>300</v>
      </c>
      <c r="H1828" s="412" t="s">
        <v>3780</v>
      </c>
      <c r="I1828" s="1258"/>
      <c r="J1828" s="2" t="str">
        <f>IF(Table5[[#This Row],[Entered]]&lt;&gt;Table5[[#This Row],[Quantity]],"Check","")</f>
        <v/>
      </c>
    </row>
    <row r="1829" spans="1:10" ht="15" x14ac:dyDescent="0.2">
      <c r="A1829" s="324" t="s">
        <v>3282</v>
      </c>
      <c r="B1829" s="324" t="str">
        <f t="shared" si="108"/>
        <v>1080</v>
      </c>
      <c r="C1829" s="324" t="str">
        <f t="shared" si="109"/>
        <v>02029</v>
      </c>
      <c r="D1829" s="342">
        <f>205</f>
        <v>205</v>
      </c>
      <c r="E1829" s="342">
        <v>1</v>
      </c>
      <c r="F1829" s="1159">
        <f>IF(COUNTIF(Addenda!A:A,"*DW60U2I1*")&gt;0,1,0)</f>
        <v>0</v>
      </c>
      <c r="G1829" s="1160"/>
      <c r="H1829" s="503" t="s">
        <v>1667</v>
      </c>
      <c r="I1829" s="1207"/>
      <c r="J1829" s="2" t="str">
        <f>IF(Table5[[#This Row],[Entered]]&lt;&gt;Table5[[#This Row],[Quantity]],"Check","")</f>
        <v/>
      </c>
    </row>
    <row r="1830" spans="1:10" ht="15" x14ac:dyDescent="0.2">
      <c r="A1830" s="324" t="s">
        <v>3282</v>
      </c>
      <c r="B1830" s="324" t="str">
        <f t="shared" si="108"/>
        <v>1080</v>
      </c>
      <c r="C1830" s="324" t="str">
        <f t="shared" si="109"/>
        <v>02029</v>
      </c>
      <c r="D1830" s="342">
        <f>210</f>
        <v>210</v>
      </c>
      <c r="E1830" s="342">
        <v>1</v>
      </c>
      <c r="F1830" s="1159">
        <f>IF(COUNTIF(Addenda!A:A,"*WSF6608X*")&gt;0,1,0)</f>
        <v>0</v>
      </c>
      <c r="G1830" s="1160"/>
      <c r="H1830" s="503" t="s">
        <v>1668</v>
      </c>
      <c r="I1830" s="1207"/>
      <c r="J1830" s="2" t="str">
        <f>IF(Table5[[#This Row],[Entered]]&lt;&gt;Table5[[#This Row],[Quantity]],"Check","")</f>
        <v/>
      </c>
    </row>
    <row r="1831" spans="1:10" ht="15" x14ac:dyDescent="0.2">
      <c r="A1831" s="324" t="s">
        <v>3282</v>
      </c>
      <c r="B1831" s="324" t="str">
        <f t="shared" si="108"/>
        <v>1080</v>
      </c>
      <c r="C1831" s="324" t="str">
        <f t="shared" si="109"/>
        <v>02029</v>
      </c>
      <c r="D1831" s="342">
        <f>225</f>
        <v>225</v>
      </c>
      <c r="E1831" s="342">
        <v>1</v>
      </c>
      <c r="F1831" s="1159">
        <f>IF(COUNTIF(Addenda!A:A,"*OM60NDB1*")&gt;0,1,0)</f>
        <v>0</v>
      </c>
      <c r="G1831" s="1160"/>
      <c r="H1831" s="503" t="s">
        <v>1669</v>
      </c>
      <c r="I1831" s="1207"/>
      <c r="J1831" s="2" t="str">
        <f>IF(Table5[[#This Row],[Entered]]&lt;&gt;Table5[[#This Row],[Quantity]],"Check","")</f>
        <v/>
      </c>
    </row>
    <row r="1832" spans="1:10" ht="15" x14ac:dyDescent="0.2">
      <c r="A1832" s="324" t="s">
        <v>3282</v>
      </c>
      <c r="B1832" s="324" t="str">
        <f t="shared" si="108"/>
        <v>1080</v>
      </c>
      <c r="C1832" s="324" t="str">
        <f t="shared" si="109"/>
        <v>02029</v>
      </c>
      <c r="D1832" s="324" t="str">
        <f>"0702"</f>
        <v>0702</v>
      </c>
      <c r="E1832" s="324">
        <v>1</v>
      </c>
      <c r="F1832" s="827">
        <f>COUNTIF(Addenda!A:A,"*ILGP95X*")</f>
        <v>0</v>
      </c>
      <c r="G1832" s="829">
        <v>627</v>
      </c>
      <c r="H1832" s="412" t="s">
        <v>3628</v>
      </c>
      <c r="I1832" s="1207"/>
      <c r="J1832" s="73" t="str">
        <f>IF(Table5[[#This Row],[Entered]]&lt;&gt;Table5[[#This Row],[Quantity]],"Check","")</f>
        <v/>
      </c>
    </row>
    <row r="1833" spans="1:10" ht="15" x14ac:dyDescent="0.2">
      <c r="A1833" s="324" t="s">
        <v>3282</v>
      </c>
      <c r="B1833" s="324" t="str">
        <f t="shared" si="108"/>
        <v>1080</v>
      </c>
      <c r="C1833" s="324" t="str">
        <f t="shared" si="109"/>
        <v>02029</v>
      </c>
      <c r="D1833" s="324" t="str">
        <f>"0709"</f>
        <v>0709</v>
      </c>
      <c r="E1833" s="324">
        <v>1</v>
      </c>
      <c r="F1833" s="827">
        <f>COUNTIF(Addenda!A:A,"*IVN900X*")</f>
        <v>0</v>
      </c>
      <c r="G1833" s="829">
        <v>506</v>
      </c>
      <c r="H1833" s="412" t="s">
        <v>3629</v>
      </c>
      <c r="I1833" s="1207"/>
      <c r="J1833" s="73" t="str">
        <f>IF(Table5[[#This Row],[Entered]]&lt;&gt;Table5[[#This Row],[Quantity]],"Check","")</f>
        <v/>
      </c>
    </row>
    <row r="1834" spans="1:10" ht="15" x14ac:dyDescent="0.2">
      <c r="A1834" s="324" t="s">
        <v>3282</v>
      </c>
      <c r="B1834" s="324" t="str">
        <f t="shared" si="108"/>
        <v>1080</v>
      </c>
      <c r="C1834" s="324" t="str">
        <f t="shared" si="109"/>
        <v>02029</v>
      </c>
      <c r="D1834" s="324" t="str">
        <f>"7001"</f>
        <v>7001</v>
      </c>
      <c r="E1834" s="324">
        <v>1</v>
      </c>
      <c r="F1834" s="827">
        <f>COUNTIF(Addenda!A:A,"*ILO990X*")</f>
        <v>0</v>
      </c>
      <c r="G1834" s="829">
        <v>1357</v>
      </c>
      <c r="H1834" s="412" t="s">
        <v>3630</v>
      </c>
      <c r="I1834" s="1207"/>
      <c r="J1834" s="73" t="str">
        <f>IF(Table5[[#This Row],[Entered]]&lt;&gt;Table5[[#This Row],[Quantity]],"Check","")</f>
        <v/>
      </c>
    </row>
    <row r="1835" spans="1:10" ht="15" x14ac:dyDescent="0.2">
      <c r="A1835" s="324" t="s">
        <v>3282</v>
      </c>
      <c r="B1835" s="324" t="str">
        <f t="shared" si="108"/>
        <v>1080</v>
      </c>
      <c r="C1835" s="324" t="str">
        <f t="shared" si="109"/>
        <v>02029</v>
      </c>
      <c r="D1835" s="342">
        <v>703</v>
      </c>
      <c r="E1835" s="342">
        <v>1</v>
      </c>
      <c r="F1835" s="1159">
        <f>COUNTIF(Addenda!A:A,"*HWO90S4MX1*")</f>
        <v>0</v>
      </c>
      <c r="G1835" s="1160"/>
      <c r="H1835" s="503" t="s">
        <v>2435</v>
      </c>
      <c r="I1835" s="1207"/>
      <c r="J1835" s="2" t="str">
        <f>IF(Table5[[#This Row],[Entered]]&lt;&gt;Table5[[#This Row],[Quantity]],"Check","")</f>
        <v/>
      </c>
    </row>
    <row r="1836" spans="1:10" ht="15" x14ac:dyDescent="0.2">
      <c r="A1836" s="324" t="s">
        <v>3282</v>
      </c>
      <c r="B1836" s="324" t="str">
        <f t="shared" si="108"/>
        <v>1080</v>
      </c>
      <c r="C1836" s="324" t="str">
        <f t="shared" si="109"/>
        <v>02029</v>
      </c>
      <c r="D1836" s="342">
        <v>704</v>
      </c>
      <c r="E1836" s="342">
        <v>1</v>
      </c>
      <c r="F1836" s="1159">
        <f>COUNTIF(Addenda!A:A,"*HCG905WFCX1*")</f>
        <v>0</v>
      </c>
      <c r="G1836" s="1160"/>
      <c r="H1836" s="503" t="s">
        <v>2436</v>
      </c>
      <c r="I1836" s="1207"/>
      <c r="J1836" s="2" t="str">
        <f>IF(Table5[[#This Row],[Entered]]&lt;&gt;Table5[[#This Row],[Quantity]],"Check","")</f>
        <v/>
      </c>
    </row>
    <row r="1837" spans="1:10" ht="15" x14ac:dyDescent="0.2">
      <c r="A1837" s="324" t="s">
        <v>3282</v>
      </c>
      <c r="B1837" s="324" t="str">
        <f t="shared" si="108"/>
        <v>1080</v>
      </c>
      <c r="C1837" s="324" t="str">
        <f t="shared" si="109"/>
        <v>02029</v>
      </c>
      <c r="D1837" s="324" t="str">
        <f>"0812"</f>
        <v>0812</v>
      </c>
      <c r="E1837" s="324">
        <v>1</v>
      </c>
      <c r="F1837" s="827">
        <f>COUNTIF(Addenda!A:A,"*WRI814BB*")</f>
        <v>0</v>
      </c>
      <c r="G1837" s="829">
        <v>440</v>
      </c>
      <c r="H1837" s="412" t="s">
        <v>3285</v>
      </c>
      <c r="I1837" s="1258"/>
      <c r="J1837" s="2" t="str">
        <f>IF(Table5[[#This Row],[Entered]]&lt;&gt;Table5[[#This Row],[Quantity]],"Check","")</f>
        <v/>
      </c>
    </row>
    <row r="1838" spans="1:10" ht="15" x14ac:dyDescent="0.2">
      <c r="A1838" s="324" t="s">
        <v>3282</v>
      </c>
      <c r="B1838" s="324" t="str">
        <f t="shared" si="108"/>
        <v>1080</v>
      </c>
      <c r="C1838" s="324" t="str">
        <f t="shared" si="109"/>
        <v>02029</v>
      </c>
      <c r="D1838" s="324" t="str">
        <f>"0828"</f>
        <v>0828</v>
      </c>
      <c r="E1838" s="324">
        <v>1</v>
      </c>
      <c r="F1838" s="827">
        <f>COUNTIF(Addenda!A:A,"*WRF900CS*")</f>
        <v>0</v>
      </c>
      <c r="G1838" s="829">
        <v>212</v>
      </c>
      <c r="H1838" s="412" t="s">
        <v>3421</v>
      </c>
      <c r="I1838" s="1258"/>
      <c r="J1838" s="2" t="str">
        <f>IF(Table5[[#This Row],[Entered]]&lt;&gt;Table5[[#This Row],[Quantity]],"Check","")</f>
        <v/>
      </c>
    </row>
    <row r="1839" spans="1:10" ht="15" x14ac:dyDescent="0.2">
      <c r="A1839" s="324" t="s">
        <v>3282</v>
      </c>
      <c r="B1839" s="324" t="str">
        <f t="shared" si="108"/>
        <v>1080</v>
      </c>
      <c r="C1839" s="324" t="str">
        <f t="shared" si="109"/>
        <v>02029</v>
      </c>
      <c r="D1839" s="324">
        <f>9001</f>
        <v>9001</v>
      </c>
      <c r="E1839" s="324">
        <v>1</v>
      </c>
      <c r="F1839" s="827">
        <f>SUM(F1795:F1838)</f>
        <v>0</v>
      </c>
      <c r="G1839" s="829">
        <v>38</v>
      </c>
      <c r="H1839" s="412" t="s">
        <v>3286</v>
      </c>
      <c r="I1839" s="1258"/>
      <c r="J1839" s="2" t="str">
        <f>IF(Table5[[#This Row],[Entered]]&lt;&gt;Table5[[#This Row],[Quantity]],"Check","")</f>
        <v/>
      </c>
    </row>
    <row r="1840" spans="1:10" ht="15" x14ac:dyDescent="0.2">
      <c r="A1840" s="324" t="s">
        <v>3282</v>
      </c>
      <c r="B1840" s="324" t="str">
        <f t="shared" si="108"/>
        <v>1080</v>
      </c>
      <c r="C1840" s="324" t="str">
        <f t="shared" si="109"/>
        <v>02029</v>
      </c>
      <c r="D1840" s="324" t="str">
        <f>"7000"</f>
        <v>7000</v>
      </c>
      <c r="E1840" s="324">
        <v>1</v>
      </c>
      <c r="F1840" s="827">
        <v>1</v>
      </c>
      <c r="G1840" s="829">
        <v>0</v>
      </c>
      <c r="H1840" s="412" t="str">
        <f>IF(COUNTIF(Addenda!A:A,"*LPG*")&gt;0,"LPG","NATURAL GAS")</f>
        <v>NATURAL GAS</v>
      </c>
      <c r="I1840" s="1258"/>
      <c r="J1840" s="2" t="str">
        <f>IF(Table5[[#This Row],[Entered]]&lt;&gt;Table5[[#This Row],[Quantity]],"Check","")</f>
        <v>Check</v>
      </c>
    </row>
    <row r="1841" spans="1:10" ht="15" x14ac:dyDescent="0.2">
      <c r="A1841" s="324"/>
      <c r="B1841" s="324"/>
      <c r="C1841" s="324"/>
      <c r="D1841" s="324"/>
      <c r="E1841" s="324"/>
      <c r="F1841" s="827"/>
      <c r="G1841" s="829"/>
      <c r="H1841" s="412"/>
      <c r="I1841" s="1258"/>
      <c r="J1841" s="2" t="str">
        <f>IF(Table5[[#This Row],[Entered]]&lt;&gt;Table5[[#This Row],[Quantity]],"Check","")</f>
        <v/>
      </c>
    </row>
    <row r="1842" spans="1:10" ht="15" x14ac:dyDescent="0.2">
      <c r="A1842" s="324" t="s">
        <v>3282</v>
      </c>
      <c r="B1842" s="324" t="str">
        <f>"1080"</f>
        <v>1080</v>
      </c>
      <c r="C1842" s="324">
        <v>12109</v>
      </c>
      <c r="D1842" s="1103">
        <v>600</v>
      </c>
      <c r="E1842" s="1103">
        <v>1</v>
      </c>
      <c r="F1842" s="1104">
        <f>COUNTIF(Addenda!A:A,"*SFRA9300TVX*")</f>
        <v>0</v>
      </c>
      <c r="G1842" s="1105"/>
      <c r="H1842" s="1111" t="s">
        <v>2427</v>
      </c>
      <c r="I1842" s="1205"/>
      <c r="J1842" s="2" t="str">
        <f>IF(Table5[[#This Row],[Entered]]&lt;&gt;Table5[[#This Row],[Quantity]],"Check","")</f>
        <v/>
      </c>
    </row>
    <row r="1843" spans="1:10" ht="15" x14ac:dyDescent="0.2">
      <c r="A1843" s="324" t="s">
        <v>3282</v>
      </c>
      <c r="B1843" s="324" t="str">
        <f>"1080"</f>
        <v>1080</v>
      </c>
      <c r="C1843" s="324">
        <v>12109</v>
      </c>
      <c r="D1843" s="1103">
        <v>601</v>
      </c>
      <c r="E1843" s="1103">
        <v>1</v>
      </c>
      <c r="F1843" s="1104">
        <f>COUNTIF(Addenda!A:A,"*CIR597X5*")</f>
        <v>0</v>
      </c>
      <c r="G1843" s="1105"/>
      <c r="H1843" s="1111" t="s">
        <v>2428</v>
      </c>
      <c r="I1843" s="1205"/>
      <c r="J1843" s="2" t="str">
        <f>IF(Table5[[#This Row],[Entered]]&lt;&gt;Table5[[#This Row],[Quantity]],"Check","")</f>
        <v/>
      </c>
    </row>
    <row r="1844" spans="1:10" ht="15" x14ac:dyDescent="0.2">
      <c r="A1844" s="324" t="s">
        <v>3282</v>
      </c>
      <c r="B1844" s="324" t="str">
        <f>"1080"</f>
        <v>1080</v>
      </c>
      <c r="C1844" s="324">
        <v>12109</v>
      </c>
      <c r="D1844" s="1103">
        <v>602</v>
      </c>
      <c r="E1844" s="1103">
        <v>1</v>
      </c>
      <c r="F1844" s="1104">
        <f>COUNTIF(Addenda!A:A,"*SHW910X1*")</f>
        <v>0</v>
      </c>
      <c r="G1844" s="1105"/>
      <c r="H1844" s="1111" t="s">
        <v>2429</v>
      </c>
      <c r="I1844" s="1205"/>
      <c r="J1844" s="2" t="str">
        <f>IF(Table5[[#This Row],[Entered]]&lt;&gt;Table5[[#This Row],[Quantity]],"Check","")</f>
        <v/>
      </c>
    </row>
    <row r="1845" spans="1:10" ht="15" x14ac:dyDescent="0.2">
      <c r="A1845" s="324" t="s">
        <v>3282</v>
      </c>
      <c r="B1845" s="324" t="str">
        <f>"1080"</f>
        <v>1080</v>
      </c>
      <c r="C1845" s="324">
        <v>12111</v>
      </c>
      <c r="D1845" s="1103">
        <v>9000</v>
      </c>
      <c r="E1845" s="1103">
        <v>1</v>
      </c>
      <c r="F1845" s="1104">
        <f>IF(SUM(F1842:F1844)&gt;0,1,)</f>
        <v>0</v>
      </c>
      <c r="G1845" s="1105"/>
      <c r="H1845" s="1111" t="s">
        <v>2286</v>
      </c>
      <c r="I1845" s="1205"/>
      <c r="J1845" s="2" t="str">
        <f>IF(Table5[[#This Row],[Entered]]&lt;&gt;Table5[[#This Row],[Quantity]],"Check","")</f>
        <v/>
      </c>
    </row>
    <row r="1846" spans="1:10" ht="15" x14ac:dyDescent="0.2">
      <c r="A1846" s="324"/>
      <c r="B1846" s="324"/>
      <c r="C1846" s="324"/>
      <c r="D1846" s="324"/>
      <c r="E1846" s="324"/>
      <c r="F1846" s="827"/>
      <c r="G1846" s="829"/>
      <c r="H1846" s="412"/>
      <c r="I1846" s="1258"/>
      <c r="J1846" s="2" t="str">
        <f>IF(Table5[[#This Row],[Entered]]&lt;&gt;Table5[[#This Row],[Quantity]],"Check","")</f>
        <v/>
      </c>
    </row>
    <row r="1847" spans="1:10" ht="15" x14ac:dyDescent="0.2">
      <c r="A1847" s="324" t="s">
        <v>3282</v>
      </c>
      <c r="B1847" s="324" t="str">
        <f>"1080"</f>
        <v>1080</v>
      </c>
      <c r="C1847" s="324" t="s">
        <v>390</v>
      </c>
      <c r="D1847" s="342">
        <f>115</f>
        <v>115</v>
      </c>
      <c r="E1847" s="342">
        <v>1</v>
      </c>
      <c r="F1847" s="1159">
        <f>IF(COUNTIF(Addenda!A:A,"*BCG95XFFC*")&gt;0,1,0)</f>
        <v>0</v>
      </c>
      <c r="G1847" s="1160"/>
      <c r="H1847" s="503" t="s">
        <v>1191</v>
      </c>
      <c r="I1847" s="1207"/>
      <c r="J1847" s="2" t="str">
        <f>IF(Table5[[#This Row],[Entered]]&lt;&gt;Table5[[#This Row],[Quantity]],"Check","")</f>
        <v/>
      </c>
    </row>
    <row r="1848" spans="1:10" ht="15" x14ac:dyDescent="0.2">
      <c r="A1848" s="324" t="s">
        <v>3282</v>
      </c>
      <c r="B1848" s="324" t="str">
        <f>"1080"</f>
        <v>1080</v>
      </c>
      <c r="C1848" s="324" t="s">
        <v>390</v>
      </c>
      <c r="D1848" s="342">
        <f>281</f>
        <v>281</v>
      </c>
      <c r="E1848" s="342">
        <v>1</v>
      </c>
      <c r="F1848" s="1159">
        <f>IF(COUNTIF(Addenda!A:A,"*BOSE99XP*")&gt;0,1,0)</f>
        <v>0</v>
      </c>
      <c r="G1848" s="1160"/>
      <c r="H1848" s="503" t="s">
        <v>1192</v>
      </c>
      <c r="I1848" s="1207"/>
      <c r="J1848" s="2" t="str">
        <f>IF(Table5[[#This Row],[Entered]]&lt;&gt;Table5[[#This Row],[Quantity]],"Check","")</f>
        <v/>
      </c>
    </row>
    <row r="1849" spans="1:10" ht="15" x14ac:dyDescent="0.2">
      <c r="A1849" s="324" t="s">
        <v>3282</v>
      </c>
      <c r="B1849" s="324" t="str">
        <f>"1080"</f>
        <v>1080</v>
      </c>
      <c r="C1849" s="324" t="s">
        <v>390</v>
      </c>
      <c r="D1849" s="342">
        <f>1916</f>
        <v>1916</v>
      </c>
      <c r="E1849" s="342">
        <v>1</v>
      </c>
      <c r="F1849" s="1159">
        <f>IF(COUNTIF(Addenda!A:A,"*BRU70X*")&gt;0,1,0)</f>
        <v>0</v>
      </c>
      <c r="G1849" s="1160"/>
      <c r="H1849" s="503" t="s">
        <v>1193</v>
      </c>
      <c r="I1849" s="1207"/>
      <c r="J1849" s="2" t="str">
        <f>IF(Table5[[#This Row],[Entered]]&lt;&gt;Table5[[#This Row],[Quantity]],"Check","")</f>
        <v/>
      </c>
    </row>
    <row r="1850" spans="1:10" ht="15" x14ac:dyDescent="0.2">
      <c r="A1850" s="324" t="s">
        <v>3282</v>
      </c>
      <c r="B1850" s="324" t="str">
        <f>"1080"</f>
        <v>1080</v>
      </c>
      <c r="C1850" s="324" t="s">
        <v>390</v>
      </c>
      <c r="D1850" s="342">
        <f>3050</f>
        <v>3050</v>
      </c>
      <c r="E1850" s="342">
        <v>1</v>
      </c>
      <c r="F1850" s="1159">
        <f>SUM(F1847:F1849)</f>
        <v>0</v>
      </c>
      <c r="G1850" s="1160"/>
      <c r="H1850" s="503" t="s">
        <v>915</v>
      </c>
      <c r="I1850" s="1207"/>
      <c r="J1850" s="2" t="str">
        <f>IF(Table5[[#This Row],[Entered]]&lt;&gt;Table5[[#This Row],[Quantity]],"Check","")</f>
        <v/>
      </c>
    </row>
    <row r="1851" spans="1:10" ht="15" x14ac:dyDescent="0.2">
      <c r="A1851" s="324"/>
      <c r="B1851" s="324"/>
      <c r="C1851" s="324"/>
      <c r="D1851" s="324"/>
      <c r="E1851" s="324"/>
      <c r="F1851" s="827"/>
      <c r="G1851" s="829"/>
      <c r="H1851" s="412"/>
      <c r="I1851" s="1258"/>
      <c r="J1851" s="2" t="str">
        <f>IF(Table5[[#This Row],[Entered]]&lt;&gt;Table5[[#This Row],[Quantity]],"Check","")</f>
        <v/>
      </c>
    </row>
    <row r="1852" spans="1:10" ht="15" x14ac:dyDescent="0.2">
      <c r="A1852" s="324" t="s">
        <v>3282</v>
      </c>
      <c r="B1852" s="324" t="str">
        <f t="shared" ref="B1852:B1858" si="110">"1080"</f>
        <v>1080</v>
      </c>
      <c r="C1852" s="324" t="s">
        <v>1097</v>
      </c>
      <c r="D1852" s="324">
        <f>1</f>
        <v>1</v>
      </c>
      <c r="E1852" s="324">
        <v>1</v>
      </c>
      <c r="F1852" s="827">
        <f>COUNTIFS(Addenda!A:A,"*chromagen*",Addenda!A:A,"*gas*")+COUNTIFS(Addenda!A:A,"*leda*",Addenda!A:A,"*gas*")</f>
        <v>0</v>
      </c>
      <c r="G1852" s="829"/>
      <c r="H1852" s="412" t="s">
        <v>1215</v>
      </c>
      <c r="I1852" s="1258"/>
      <c r="J1852" s="2" t="str">
        <f>IF(Table5[[#This Row],[Entered]]&lt;&gt;Table5[[#This Row],[Quantity]],"Check","")</f>
        <v/>
      </c>
    </row>
    <row r="1853" spans="1:10" ht="15" x14ac:dyDescent="0.2">
      <c r="A1853" s="324" t="s">
        <v>3282</v>
      </c>
      <c r="B1853" s="324" t="str">
        <f t="shared" si="110"/>
        <v>1080</v>
      </c>
      <c r="C1853" s="324" t="s">
        <v>1097</v>
      </c>
      <c r="D1853" s="324">
        <f>2</f>
        <v>2</v>
      </c>
      <c r="E1853" s="324">
        <v>1</v>
      </c>
      <c r="F1853" s="827">
        <f>COUNTIFS(Addenda!A:A,"*chromagen*",Addenda!A:A,"*electric*")+COUNTIFS(Addenda!A:A,"*leda*",Addenda!A:A,"*electric*")</f>
        <v>0</v>
      </c>
      <c r="G1853" s="829"/>
      <c r="H1853" s="412" t="s">
        <v>1216</v>
      </c>
      <c r="I1853" s="1258"/>
      <c r="J1853" s="2" t="str">
        <f>IF(Table5[[#This Row],[Entered]]&lt;&gt;Table5[[#This Row],[Quantity]],"Check","")</f>
        <v/>
      </c>
    </row>
    <row r="1854" spans="1:10" ht="15" x14ac:dyDescent="0.2">
      <c r="A1854" s="324" t="s">
        <v>3282</v>
      </c>
      <c r="B1854" s="324" t="str">
        <f t="shared" si="110"/>
        <v>1080</v>
      </c>
      <c r="C1854" s="324" t="s">
        <v>1097</v>
      </c>
      <c r="D1854" s="324">
        <f>3</f>
        <v>3</v>
      </c>
      <c r="E1854" s="324">
        <v>1</v>
      </c>
      <c r="F1854" s="827">
        <f>F1852</f>
        <v>0</v>
      </c>
      <c r="G1854" s="829"/>
      <c r="H1854" s="412" t="s">
        <v>1535</v>
      </c>
      <c r="I1854" s="1258"/>
      <c r="J1854" s="2" t="str">
        <f>IF(Table5[[#This Row],[Entered]]&lt;&gt;Table5[[#This Row],[Quantity]],"Check","")</f>
        <v/>
      </c>
    </row>
    <row r="1855" spans="1:10" ht="15" x14ac:dyDescent="0.2">
      <c r="A1855" s="324" t="s">
        <v>3282</v>
      </c>
      <c r="B1855" s="324" t="str">
        <f t="shared" si="110"/>
        <v>1080</v>
      </c>
      <c r="C1855" s="324" t="s">
        <v>1097</v>
      </c>
      <c r="D1855" s="324">
        <f>20</f>
        <v>20</v>
      </c>
      <c r="E1855" s="324">
        <v>1</v>
      </c>
      <c r="F1855" s="827"/>
      <c r="G1855" s="829"/>
      <c r="H1855" s="412" t="s">
        <v>1098</v>
      </c>
      <c r="I1855" s="1258"/>
      <c r="J1855" s="2" t="str">
        <f>IF(Table5[[#This Row],[Entered]]&lt;&gt;Table5[[#This Row],[Quantity]],"Check","")</f>
        <v/>
      </c>
    </row>
    <row r="1856" spans="1:10" ht="15" x14ac:dyDescent="0.2">
      <c r="A1856" s="324" t="s">
        <v>3282</v>
      </c>
      <c r="B1856" s="324" t="str">
        <f t="shared" si="110"/>
        <v>1080</v>
      </c>
      <c r="C1856" s="324" t="s">
        <v>1097</v>
      </c>
      <c r="D1856" s="324">
        <f>8000</f>
        <v>8000</v>
      </c>
      <c r="E1856" s="324">
        <v>1</v>
      </c>
      <c r="F1856" s="827">
        <f>F1852+F1855</f>
        <v>0</v>
      </c>
      <c r="G1856" s="829"/>
      <c r="H1856" s="412" t="s">
        <v>1217</v>
      </c>
      <c r="I1856" s="1258"/>
      <c r="J1856" s="2" t="str">
        <f>IF(Table5[[#This Row],[Entered]]&lt;&gt;Table5[[#This Row],[Quantity]],"Check","")</f>
        <v/>
      </c>
    </row>
    <row r="1857" spans="1:10" ht="15" x14ac:dyDescent="0.2">
      <c r="A1857" s="324" t="s">
        <v>3282</v>
      </c>
      <c r="B1857" s="324" t="str">
        <f t="shared" si="110"/>
        <v>1080</v>
      </c>
      <c r="C1857" s="324" t="s">
        <v>1097</v>
      </c>
      <c r="D1857" s="324">
        <f>8001</f>
        <v>8001</v>
      </c>
      <c r="E1857" s="324">
        <v>1</v>
      </c>
      <c r="F1857" s="827">
        <f>F1853</f>
        <v>0</v>
      </c>
      <c r="G1857" s="829"/>
      <c r="H1857" s="412" t="s">
        <v>1589</v>
      </c>
      <c r="I1857" s="1258"/>
      <c r="J1857" s="2" t="str">
        <f>IF(Table5[[#This Row],[Entered]]&lt;&gt;Table5[[#This Row],[Quantity]],"Check","")</f>
        <v/>
      </c>
    </row>
    <row r="1858" spans="1:10" ht="15" x14ac:dyDescent="0.2">
      <c r="A1858" s="324" t="s">
        <v>3282</v>
      </c>
      <c r="B1858" s="324" t="str">
        <f t="shared" si="110"/>
        <v>1080</v>
      </c>
      <c r="C1858" s="324" t="s">
        <v>1097</v>
      </c>
      <c r="D1858" s="324">
        <f>8100</f>
        <v>8100</v>
      </c>
      <c r="E1858" s="324">
        <v>1</v>
      </c>
      <c r="F1858" s="827">
        <v>0</v>
      </c>
      <c r="G1858" s="829"/>
      <c r="H1858" s="412" t="s">
        <v>1099</v>
      </c>
      <c r="I1858" s="1258"/>
      <c r="J1858" s="2" t="str">
        <f>IF(Table5[[#This Row],[Entered]]&lt;&gt;Table5[[#This Row],[Quantity]],"Check","")</f>
        <v/>
      </c>
    </row>
    <row r="1859" spans="1:10" ht="15" x14ac:dyDescent="0.2">
      <c r="A1859" s="324"/>
      <c r="B1859" s="324"/>
      <c r="C1859" s="324"/>
      <c r="D1859" s="324"/>
      <c r="E1859" s="324"/>
      <c r="F1859" s="827"/>
      <c r="G1859" s="829"/>
      <c r="H1859" s="412"/>
      <c r="I1859" s="1258"/>
      <c r="J1859" s="2" t="str">
        <f>IF(Table5[[#This Row],[Entered]]&lt;&gt;Table5[[#This Row],[Quantity]],"Check","")</f>
        <v/>
      </c>
    </row>
    <row r="1860" spans="1:10" ht="15" x14ac:dyDescent="0.2">
      <c r="A1860" s="324" t="s">
        <v>3287</v>
      </c>
      <c r="B1860" s="324" t="str">
        <f>"1090"</f>
        <v>1090</v>
      </c>
      <c r="C1860" s="324" t="str">
        <f>"02029"</f>
        <v>02029</v>
      </c>
      <c r="D1860" s="324">
        <v>7000</v>
      </c>
      <c r="E1860" s="324">
        <v>1</v>
      </c>
      <c r="F1860" s="827">
        <f>COUNTIF(Addenda!A:A,"*Rheem Loline Solar Water Heater 325L*")</f>
        <v>0</v>
      </c>
      <c r="G1860" s="829">
        <v>0</v>
      </c>
      <c r="H1860" s="412" t="s">
        <v>3655</v>
      </c>
      <c r="I1860" s="1207"/>
      <c r="J1860" s="73" t="str">
        <f>IF(Table5[[#This Row],[Entered]]&lt;&gt;Table5[[#This Row],[Quantity]],"Check","")</f>
        <v/>
      </c>
    </row>
    <row r="1861" spans="1:10" ht="15" x14ac:dyDescent="0.2">
      <c r="A1861" s="324" t="s">
        <v>3287</v>
      </c>
      <c r="B1861" s="324" t="str">
        <f>"1090"</f>
        <v>1090</v>
      </c>
      <c r="C1861" s="324" t="str">
        <f>"02029"</f>
        <v>02029</v>
      </c>
      <c r="D1861" s="324" t="str">
        <f>"0377"</f>
        <v>0377</v>
      </c>
      <c r="E1861" s="324">
        <v>1</v>
      </c>
      <c r="F1861" s="827">
        <f>COUNTIF(Addenda!A:A,"*876T26*")</f>
        <v>0</v>
      </c>
      <c r="G1861" s="829">
        <v>643</v>
      </c>
      <c r="H1861" s="412" t="s">
        <v>3288</v>
      </c>
      <c r="I1861" s="1258"/>
      <c r="J1861" s="2" t="str">
        <f>IF(Table5[[#This Row],[Entered]]&lt;&gt;Table5[[#This Row],[Quantity]],"Check","")</f>
        <v/>
      </c>
    </row>
    <row r="1862" spans="1:10" ht="15" x14ac:dyDescent="0.2">
      <c r="A1862" s="324" t="s">
        <v>3287</v>
      </c>
      <c r="B1862" s="324" t="str">
        <f>"1090"</f>
        <v>1090</v>
      </c>
      <c r="C1862" s="324" t="str">
        <f>"02029"</f>
        <v>02029</v>
      </c>
      <c r="D1862" s="324">
        <f>9002</f>
        <v>9002</v>
      </c>
      <c r="E1862" s="324">
        <v>1</v>
      </c>
      <c r="F1862" s="827">
        <f>IF(SUM(F1861)&gt;0,1,0)</f>
        <v>0</v>
      </c>
      <c r="G1862" s="829">
        <v>65</v>
      </c>
      <c r="H1862" s="412" t="s">
        <v>3289</v>
      </c>
      <c r="I1862" s="1258"/>
      <c r="J1862" s="2" t="str">
        <f>IF(Table5[[#This Row],[Entered]]&lt;&gt;Table5[[#This Row],[Quantity]],"Check","")</f>
        <v/>
      </c>
    </row>
    <row r="1863" spans="1:10" ht="15" x14ac:dyDescent="0.2">
      <c r="A1863" s="324" t="s">
        <v>3287</v>
      </c>
      <c r="B1863" s="324" t="str">
        <f>"1090"</f>
        <v>1090</v>
      </c>
      <c r="C1863" s="324" t="str">
        <f>"02029"</f>
        <v>02029</v>
      </c>
      <c r="D1863" s="324" t="str">
        <f>"7000"</f>
        <v>7000</v>
      </c>
      <c r="E1863" s="324">
        <v>1</v>
      </c>
      <c r="F1863" s="827">
        <f>IF(SUM(F1860:F1862)&gt;0,1,0)</f>
        <v>0</v>
      </c>
      <c r="G1863" s="829">
        <v>0</v>
      </c>
      <c r="H1863" s="412" t="str">
        <f>IF(COUNTIF(Addenda!A:A,"*LPG*")&gt;0,"LPG","NATURAL GAS")</f>
        <v>NATURAL GAS</v>
      </c>
      <c r="I1863" s="1258"/>
      <c r="J1863" s="2" t="str">
        <f>IF(Table5[[#This Row],[Entered]]&lt;&gt;Table5[[#This Row],[Quantity]],"Check","")</f>
        <v/>
      </c>
    </row>
    <row r="1864" spans="1:10" ht="15" x14ac:dyDescent="0.2">
      <c r="A1864" s="324"/>
      <c r="B1864" s="324"/>
      <c r="C1864" s="324"/>
      <c r="D1864" s="324"/>
      <c r="E1864" s="324"/>
      <c r="F1864" s="827"/>
      <c r="G1864" s="829"/>
      <c r="H1864" s="412"/>
      <c r="I1864" s="1258"/>
      <c r="J1864" s="2" t="str">
        <f>IF(Table5[[#This Row],[Entered]]&lt;&gt;Table5[[#This Row],[Quantity]],"Check","")</f>
        <v/>
      </c>
    </row>
    <row r="1865" spans="1:10" ht="15" x14ac:dyDescent="0.2">
      <c r="A1865" s="324" t="s">
        <v>3318</v>
      </c>
      <c r="B1865" s="324" t="str">
        <f>"1190"</f>
        <v>1190</v>
      </c>
      <c r="C1865" s="324" t="str">
        <f>IF(COUNTIF(Addenda!A:A,"*Plunkett*")&gt;0,"04583","04467")</f>
        <v>04467</v>
      </c>
      <c r="D1865" s="324">
        <v>7000</v>
      </c>
      <c r="E1865" s="324">
        <v>1</v>
      </c>
      <c r="F1865" s="973">
        <v>1</v>
      </c>
      <c r="G1865" s="829">
        <f>Quotes!B21</f>
        <v>0</v>
      </c>
      <c r="H1865" s="412" t="s">
        <v>3540</v>
      </c>
      <c r="I1865" s="1258"/>
      <c r="J1865" s="2" t="str">
        <f>IF(Table5[[#This Row],[Entered]]&lt;&gt;Table5[[#This Row],[Quantity]],"Check","")</f>
        <v>Check</v>
      </c>
    </row>
    <row r="1866" spans="1:10" ht="15" x14ac:dyDescent="0.2">
      <c r="A1866" s="324"/>
      <c r="B1866" s="324"/>
      <c r="C1866" s="324"/>
      <c r="D1866" s="324"/>
      <c r="E1866" s="324"/>
      <c r="F1866" s="827"/>
      <c r="G1866" s="829"/>
      <c r="H1866" s="412"/>
      <c r="I1866" s="1258"/>
      <c r="J1866" s="2" t="str">
        <f>IF(Table5[[#This Row],[Entered]]&lt;&gt;Table5[[#This Row],[Quantity]],"Check","")</f>
        <v/>
      </c>
    </row>
    <row r="1867" spans="1:10" ht="15" x14ac:dyDescent="0.2">
      <c r="A1867" s="324" t="s">
        <v>3319</v>
      </c>
      <c r="B1867" s="324" t="str">
        <f t="shared" ref="B1867:B1914" si="111">"1200"</f>
        <v>1200</v>
      </c>
      <c r="C1867" s="324">
        <v>50062</v>
      </c>
      <c r="D1867" s="324" t="str">
        <f>"0002"</f>
        <v>0002</v>
      </c>
      <c r="E1867" s="324">
        <v>0</v>
      </c>
      <c r="F1867" s="827">
        <v>1</v>
      </c>
      <c r="G1867" s="829">
        <v>0</v>
      </c>
      <c r="H1867" s="412" t="s">
        <v>3320</v>
      </c>
      <c r="I1867" s="1258"/>
      <c r="J1867" s="2" t="str">
        <f>IF(Table5[[#This Row],[Entered]]&lt;&gt;Table5[[#This Row],[Quantity]],"Check","")</f>
        <v>Check</v>
      </c>
    </row>
    <row r="1868" spans="1:10" ht="15" x14ac:dyDescent="0.2">
      <c r="A1868" s="324" t="s">
        <v>3319</v>
      </c>
      <c r="B1868" s="324" t="str">
        <f t="shared" si="111"/>
        <v>1200</v>
      </c>
      <c r="C1868" s="324">
        <v>50062</v>
      </c>
      <c r="D1868" s="324" t="str">
        <f>"0010"</f>
        <v>0010</v>
      </c>
      <c r="E1868" s="324">
        <v>7</v>
      </c>
      <c r="F1868" s="1130">
        <f>ROUNDUP(Mouldings!AG32,1)+ROUNDUP(SUMIF(Name,"Skirting",Length),1)</f>
        <v>0</v>
      </c>
      <c r="G1868" s="829">
        <v>2.85</v>
      </c>
      <c r="H1868" s="412" t="s">
        <v>142</v>
      </c>
      <c r="I1868" s="1258"/>
      <c r="J1868" s="2" t="str">
        <f>IF(Table5[[#This Row],[Entered]]&lt;&gt;Table5[[#This Row],[Quantity]],"Check","")</f>
        <v/>
      </c>
    </row>
    <row r="1869" spans="1:10" ht="15" x14ac:dyDescent="0.2">
      <c r="A1869" s="324" t="s">
        <v>3319</v>
      </c>
      <c r="B1869" s="324" t="str">
        <f t="shared" si="111"/>
        <v>1200</v>
      </c>
      <c r="C1869" s="324">
        <v>50062</v>
      </c>
      <c r="D1869" s="324" t="str">
        <f>"0032"</f>
        <v>0032</v>
      </c>
      <c r="E1869" s="324">
        <v>8</v>
      </c>
      <c r="F1869" s="827">
        <f ca="1">IF('External Cladding'!$J$55&gt;0,(ROUND('External Cladding'!$J$55,0)),0)</f>
        <v>0</v>
      </c>
      <c r="G1869" s="829">
        <v>14</v>
      </c>
      <c r="H1869" s="412" t="s">
        <v>3321</v>
      </c>
      <c r="I1869" s="1258"/>
      <c r="J1869" s="2" t="str">
        <f ca="1">IF(Table5[[#This Row],[Entered]]&lt;&gt;Table5[[#This Row],[Quantity]],"Check","")</f>
        <v/>
      </c>
    </row>
    <row r="1870" spans="1:10" ht="15" x14ac:dyDescent="0.2">
      <c r="A1870" s="324" t="s">
        <v>3319</v>
      </c>
      <c r="B1870" s="324" t="str">
        <f t="shared" si="111"/>
        <v>1200</v>
      </c>
      <c r="C1870" s="324">
        <v>50062</v>
      </c>
      <c r="D1870" s="324" t="str">
        <f>"0035"</f>
        <v>0035</v>
      </c>
      <c r="E1870" s="324">
        <v>8</v>
      </c>
      <c r="F1870" s="827">
        <f ca="1">ROUND(SUMIF(Name,"Cedar Ceiling",Area),1)+CEILING(SUMIFS(Area,Name,"*Raked Ceiling*",Material,"Cedar")*1.1,0.6)</f>
        <v>0</v>
      </c>
      <c r="G1870" s="829"/>
      <c r="H1870" s="412" t="s">
        <v>3358</v>
      </c>
      <c r="I1870" s="1258"/>
      <c r="J1870" s="2" t="str">
        <f ca="1">IF(Table5[[#This Row],[Entered]]&lt;&gt;Table5[[#This Row],[Quantity]],"Check","")</f>
        <v/>
      </c>
    </row>
    <row r="1871" spans="1:10" ht="15" x14ac:dyDescent="0.2">
      <c r="A1871" s="324" t="s">
        <v>3319</v>
      </c>
      <c r="B1871" s="324" t="str">
        <f t="shared" si="111"/>
        <v>1200</v>
      </c>
      <c r="C1871" s="324">
        <v>50062</v>
      </c>
      <c r="D1871" s="324" t="str">
        <f>"0040"</f>
        <v>0040</v>
      </c>
      <c r="E1871" s="324">
        <v>7</v>
      </c>
      <c r="F1871" s="827">
        <f>ROUND(SUMIFS(Length,Name,"Gable")*1.2508,1)+(COUNTIF(Name,"Spandrel")*0.7)</f>
        <v>0</v>
      </c>
      <c r="G1871" s="829">
        <v>5.6</v>
      </c>
      <c r="H1871" s="412" t="s">
        <v>971</v>
      </c>
      <c r="I1871" s="1258"/>
      <c r="J1871" s="2" t="str">
        <f>IF(Table5[[#This Row],[Entered]]&lt;&gt;Table5[[#This Row],[Quantity]],"Check","")</f>
        <v/>
      </c>
    </row>
    <row r="1872" spans="1:10" ht="15" x14ac:dyDescent="0.2">
      <c r="A1872" s="324" t="s">
        <v>3319</v>
      </c>
      <c r="B1872" s="324" t="str">
        <f t="shared" si="111"/>
        <v>1200</v>
      </c>
      <c r="C1872" s="324">
        <v>50062</v>
      </c>
      <c r="D1872" s="324" t="str">
        <f>"0050"</f>
        <v>0050</v>
      </c>
      <c r="E1872" s="324">
        <v>7</v>
      </c>
      <c r="F1872" s="973">
        <f>IF(FasciaType="Zincalume",ROUNDUP(SUMIFS(Length,Name,"Fascia"),1),0)</f>
        <v>0</v>
      </c>
      <c r="G1872" s="829"/>
      <c r="H1872" s="412" t="s">
        <v>3325</v>
      </c>
      <c r="I1872" s="1258"/>
      <c r="J1872" s="2" t="str">
        <f>IF(Table5[[#This Row],[Entered]]&lt;&gt;Table5[[#This Row],[Quantity]],"Check","")</f>
        <v/>
      </c>
    </row>
    <row r="1873" spans="1:10" ht="15" x14ac:dyDescent="0.2">
      <c r="A1873" s="324" t="s">
        <v>3319</v>
      </c>
      <c r="B1873" s="324" t="str">
        <f t="shared" si="111"/>
        <v>1200</v>
      </c>
      <c r="C1873" s="324">
        <v>50062</v>
      </c>
      <c r="D1873" s="324" t="str">
        <f>"0051"</f>
        <v>0051</v>
      </c>
      <c r="E1873" s="324">
        <v>7</v>
      </c>
      <c r="F1873" s="973">
        <f>IF(FasciaType="Zincalume",ROUNDUP(SUMIFS(Length,Name,"Fascia"),1),0)</f>
        <v>0</v>
      </c>
      <c r="G1873" s="829"/>
      <c r="H1873" s="412" t="s">
        <v>3322</v>
      </c>
      <c r="I1873" s="1258"/>
      <c r="J1873" s="2" t="str">
        <f>IF(Table5[[#This Row],[Entered]]&lt;&gt;Table5[[#This Row],[Quantity]],"Check","")</f>
        <v/>
      </c>
    </row>
    <row r="1874" spans="1:10" ht="15" x14ac:dyDescent="0.2">
      <c r="A1874" s="324" t="s">
        <v>3319</v>
      </c>
      <c r="B1874" s="324" t="str">
        <f t="shared" si="111"/>
        <v>1200</v>
      </c>
      <c r="C1874" s="324">
        <v>50062</v>
      </c>
      <c r="D1874" s="324" t="str">
        <f>"0053"</f>
        <v>0053</v>
      </c>
      <c r="E1874" s="324">
        <v>7</v>
      </c>
      <c r="F1874" s="973">
        <f>IF(AND(F1873=0,Addenda!C3&lt;&gt;"Colorbond"),ROUNDUP(SUMIFS(Length,Name,"Fascia"),1),0)</f>
        <v>0</v>
      </c>
      <c r="G1874" s="829"/>
      <c r="H1874" s="412" t="s">
        <v>3324</v>
      </c>
      <c r="I1874" s="1258"/>
      <c r="J1874" s="2" t="str">
        <f>IF(Table5[[#This Row],[Entered]]&lt;&gt;Table5[[#This Row],[Quantity]],"Check","")</f>
        <v/>
      </c>
    </row>
    <row r="1875" spans="1:10" ht="15" x14ac:dyDescent="0.2">
      <c r="A1875" s="324" t="s">
        <v>3319</v>
      </c>
      <c r="B1875" s="324" t="str">
        <f t="shared" si="111"/>
        <v>1200</v>
      </c>
      <c r="C1875" s="324">
        <v>50062</v>
      </c>
      <c r="D1875" s="324" t="str">
        <f>"0060"</f>
        <v>0060</v>
      </c>
      <c r="E1875" s="324">
        <v>1</v>
      </c>
      <c r="F1875" s="973">
        <v>1</v>
      </c>
      <c r="G1875" s="829">
        <v>190</v>
      </c>
      <c r="H1875" s="412" t="s">
        <v>3323</v>
      </c>
      <c r="I1875" s="1258"/>
      <c r="J1875" s="2" t="str">
        <f>IF(Table5[[#This Row],[Entered]]&lt;&gt;Table5[[#This Row],[Quantity]],"Check","")</f>
        <v>Check</v>
      </c>
    </row>
    <row r="1876" spans="1:10" ht="15" x14ac:dyDescent="0.2">
      <c r="A1876" s="324" t="s">
        <v>3319</v>
      </c>
      <c r="B1876" s="324" t="str">
        <f t="shared" si="111"/>
        <v>1200</v>
      </c>
      <c r="C1876" s="324">
        <v>50062</v>
      </c>
      <c r="D1876" s="324" t="str">
        <f>+"0063"</f>
        <v>0063</v>
      </c>
      <c r="E1876" s="324">
        <v>7</v>
      </c>
      <c r="F1876" s="973">
        <f>ROUND(IF(Roof_Type="Tiled Roof",SUMIF(Name,"Valley",Length),0),1)</f>
        <v>0</v>
      </c>
      <c r="G1876" s="829"/>
      <c r="H1876" s="412" t="s">
        <v>3360</v>
      </c>
      <c r="I1876" s="1258"/>
      <c r="J1876" s="2" t="str">
        <f>IF(Table5[[#This Row],[Entered]]&lt;&gt;Table5[[#This Row],[Quantity]],"Check","")</f>
        <v/>
      </c>
    </row>
    <row r="1877" spans="1:10" ht="15" x14ac:dyDescent="0.2">
      <c r="A1877" s="324" t="s">
        <v>3319</v>
      </c>
      <c r="B1877" s="324" t="str">
        <f t="shared" si="111"/>
        <v>1200</v>
      </c>
      <c r="C1877" s="324">
        <v>50062</v>
      </c>
      <c r="D1877" s="324" t="str">
        <f>"0075"</f>
        <v>0075</v>
      </c>
      <c r="E1877" s="324">
        <v>7</v>
      </c>
      <c r="F1877" s="973" cm="1">
        <f t="array" ref="F1877">ROUNDUP(SUMPRODUCT(--(Name="Projected Band"),--(Material="Render"),Length),1)</f>
        <v>0</v>
      </c>
      <c r="G1877" s="829"/>
      <c r="H1877" s="412" t="s">
        <v>3326</v>
      </c>
      <c r="I1877" s="1258"/>
      <c r="J1877" s="2" t="str">
        <f>IF(Table5[[#This Row],[Entered]]&lt;&gt;Table5[[#This Row],[Quantity]],"Check","")</f>
        <v/>
      </c>
    </row>
    <row r="1878" spans="1:10" ht="15" x14ac:dyDescent="0.2">
      <c r="A1878" s="324" t="s">
        <v>3319</v>
      </c>
      <c r="B1878" s="324" t="str">
        <f t="shared" si="111"/>
        <v>1200</v>
      </c>
      <c r="C1878" s="324">
        <v>50062</v>
      </c>
      <c r="D1878" s="324" t="str">
        <f>"0080"</f>
        <v>0080</v>
      </c>
      <c r="E1878" s="324">
        <v>1</v>
      </c>
      <c r="F1878" s="827">
        <f>IF(Brick_type="Timber Frame",COUNTIF(Name,"Door*")+COUNTIF(Name,"DFO*")-COUNTIF(Name,"Door Entry*")-F1879,COUNTIF(Name,"Door Entry")-F1879)</f>
        <v>0</v>
      </c>
      <c r="G1878" s="829"/>
      <c r="H1878" s="412" t="s">
        <v>3327</v>
      </c>
      <c r="I1878" s="1258"/>
      <c r="J1878" s="2" t="str">
        <f>IF(Table5[[#This Row],[Entered]]&lt;&gt;Table5[[#This Row],[Quantity]],"Check","")</f>
        <v/>
      </c>
    </row>
    <row r="1879" spans="1:10" ht="15" x14ac:dyDescent="0.2">
      <c r="A1879" s="324" t="s">
        <v>3319</v>
      </c>
      <c r="B1879" s="324" t="str">
        <f t="shared" si="111"/>
        <v>1200</v>
      </c>
      <c r="C1879" s="324">
        <v>50062</v>
      </c>
      <c r="D1879" s="324" t="str">
        <f>"0082"</f>
        <v>0082</v>
      </c>
      <c r="E1879" s="324">
        <v>1</v>
      </c>
      <c r="F1879" s="827">
        <f>IF(Brick_type="Timber Frame",COUNTIF(Name,"Door Dbl")+COUNTIF(Name,"Door Sld Dbl")+COUNTIF(Name,"Door Cvty Dbl"),COUNTIF(Name,"Door Entry Dbl"))</f>
        <v>0</v>
      </c>
      <c r="G1879" s="829"/>
      <c r="H1879" s="412" t="s">
        <v>3328</v>
      </c>
      <c r="I1879" s="1258"/>
      <c r="J1879" s="2" t="str">
        <f>IF(Table5[[#This Row],[Entered]]&lt;&gt;Table5[[#This Row],[Quantity]],"Check","")</f>
        <v/>
      </c>
    </row>
    <row r="1880" spans="1:10" ht="15" x14ac:dyDescent="0.2">
      <c r="A1880" s="324" t="s">
        <v>3319</v>
      </c>
      <c r="B1880" s="324" t="str">
        <f t="shared" si="111"/>
        <v>1200</v>
      </c>
      <c r="C1880" s="324">
        <v>50062</v>
      </c>
      <c r="D1880" s="324" t="str">
        <f>"0090"</f>
        <v>0090</v>
      </c>
      <c r="E1880" s="324">
        <v>1</v>
      </c>
      <c r="F1880" s="827">
        <f>COUNTIF(Name,"*S/L*")+(COUNTIF(Name,"*2 S/L*"))</f>
        <v>0</v>
      </c>
      <c r="G1880" s="829"/>
      <c r="H1880" s="412" t="s">
        <v>3357</v>
      </c>
      <c r="I1880" s="1258"/>
      <c r="J1880" s="2" t="str">
        <f>IF(Table5[[#This Row],[Entered]]&lt;&gt;Table5[[#This Row],[Quantity]],"Check","")</f>
        <v/>
      </c>
    </row>
    <row r="1881" spans="1:10" ht="15" x14ac:dyDescent="0.2">
      <c r="A1881" s="324" t="s">
        <v>3319</v>
      </c>
      <c r="B1881" s="324" t="str">
        <f t="shared" si="111"/>
        <v>1200</v>
      </c>
      <c r="C1881" s="324">
        <v>50062</v>
      </c>
      <c r="D1881" s="324" t="str">
        <f>"0110"</f>
        <v>0110</v>
      </c>
      <c r="E1881" s="324">
        <v>7</v>
      </c>
      <c r="F1881" s="827">
        <f>ROUND(SUMIFS(Length,Name,"Gable")*1.2508,1)</f>
        <v>0</v>
      </c>
      <c r="G1881" s="829">
        <v>3.92</v>
      </c>
      <c r="H1881" s="412" t="s">
        <v>3329</v>
      </c>
      <c r="I1881" s="1258"/>
      <c r="J1881" s="2" t="str">
        <f>IF(Table5[[#This Row],[Entered]]&lt;&gt;Table5[[#This Row],[Quantity]],"Check","")</f>
        <v/>
      </c>
    </row>
    <row r="1882" spans="1:10" ht="15" x14ac:dyDescent="0.2">
      <c r="A1882" s="324" t="s">
        <v>3319</v>
      </c>
      <c r="B1882" s="324" t="str">
        <f t="shared" si="111"/>
        <v>1200</v>
      </c>
      <c r="C1882" s="324">
        <v>50062</v>
      </c>
      <c r="D1882" s="324" t="str">
        <f>"0120"</f>
        <v>0120</v>
      </c>
      <c r="E1882" s="324">
        <v>7</v>
      </c>
      <c r="F1882" s="1128"/>
      <c r="G1882" s="829"/>
      <c r="H1882" s="412" t="s">
        <v>3330</v>
      </c>
      <c r="I1882" s="1258"/>
      <c r="J1882" s="2" t="str">
        <f>IF(Table5[[#This Row],[Entered]]&lt;&gt;Table5[[#This Row],[Quantity]],"Check","")</f>
        <v/>
      </c>
    </row>
    <row r="1883" spans="1:10" ht="15" x14ac:dyDescent="0.2">
      <c r="A1883" s="324" t="s">
        <v>3319</v>
      </c>
      <c r="B1883" s="324" t="str">
        <f t="shared" si="111"/>
        <v>1200</v>
      </c>
      <c r="C1883" s="324">
        <v>50062</v>
      </c>
      <c r="D1883" s="324" t="str">
        <f>"0140"</f>
        <v>0140</v>
      </c>
      <c r="E1883" s="324">
        <v>1</v>
      </c>
      <c r="F1883" s="827">
        <f>COUNTIF(Name,"Finial")</f>
        <v>0</v>
      </c>
      <c r="G1883" s="829"/>
      <c r="H1883" s="412" t="s">
        <v>3331</v>
      </c>
      <c r="I1883" s="1258"/>
      <c r="J1883" s="2" t="str">
        <f>IF(Table5[[#This Row],[Entered]]&lt;&gt;Table5[[#This Row],[Quantity]],"Check","")</f>
        <v/>
      </c>
    </row>
    <row r="1884" spans="1:10" ht="15" x14ac:dyDescent="0.2">
      <c r="A1884" s="324" t="s">
        <v>3319</v>
      </c>
      <c r="B1884" s="324" t="str">
        <f t="shared" si="111"/>
        <v>1200</v>
      </c>
      <c r="C1884" s="324">
        <v>50062</v>
      </c>
      <c r="D1884" s="324" t="str">
        <f>"0150"</f>
        <v>0150</v>
      </c>
      <c r="E1884" s="324">
        <v>1</v>
      </c>
      <c r="F1884" s="827">
        <f>COUNTIF(Name,"Door Entry*")+COUNTIF(Name,"Door Entry Dbl*")</f>
        <v>0</v>
      </c>
      <c r="G1884" s="829"/>
      <c r="H1884" s="412" t="s">
        <v>3333</v>
      </c>
      <c r="I1884" s="1258"/>
      <c r="J1884" s="2" t="str">
        <f>IF(Table5[[#This Row],[Entered]]&lt;&gt;Table5[[#This Row],[Quantity]],"Check","")</f>
        <v/>
      </c>
    </row>
    <row r="1885" spans="1:10" ht="15" x14ac:dyDescent="0.2">
      <c r="A1885" s="324" t="s">
        <v>3319</v>
      </c>
      <c r="B1885" s="324" t="str">
        <f t="shared" si="111"/>
        <v>1200</v>
      </c>
      <c r="C1885" s="324">
        <v>50062</v>
      </c>
      <c r="D1885" s="324" t="str">
        <f>"0151"</f>
        <v>0151</v>
      </c>
      <c r="E1885" s="324">
        <v>1</v>
      </c>
      <c r="F1885" s="827">
        <f>COUNTIFS(Name,"Door Entry",Length,"&gt;=1.20")</f>
        <v>0</v>
      </c>
      <c r="G1885" s="829"/>
      <c r="H1885" s="412" t="s">
        <v>3332</v>
      </c>
      <c r="I1885" s="1258"/>
      <c r="J1885" s="2" t="str">
        <f>IF(Table5[[#This Row],[Entered]]&lt;&gt;Table5[[#This Row],[Quantity]],"Check","")</f>
        <v/>
      </c>
    </row>
    <row r="1886" spans="1:10" ht="15" x14ac:dyDescent="0.2">
      <c r="A1886" s="324" t="s">
        <v>3319</v>
      </c>
      <c r="B1886" s="324" t="str">
        <f t="shared" si="111"/>
        <v>1200</v>
      </c>
      <c r="C1886" s="324">
        <v>50062</v>
      </c>
      <c r="D1886" s="324" t="str">
        <f>"0160"</f>
        <v>0160</v>
      </c>
      <c r="E1886" s="324">
        <v>7</v>
      </c>
      <c r="F1886" s="827">
        <f>SUMIF(Name,"Exposed Steel Beam",Length)</f>
        <v>0</v>
      </c>
      <c r="G1886" s="829"/>
      <c r="H1886" s="412" t="s">
        <v>3336</v>
      </c>
      <c r="I1886" s="1258"/>
      <c r="J1886" s="2" t="str">
        <f>IF(Table5[[#This Row],[Entered]]&lt;&gt;Table5[[#This Row],[Quantity]],"Check","")</f>
        <v/>
      </c>
    </row>
    <row r="1887" spans="1:10" ht="15" x14ac:dyDescent="0.2">
      <c r="A1887" s="324" t="s">
        <v>3319</v>
      </c>
      <c r="B1887" s="324" t="str">
        <f t="shared" si="111"/>
        <v>1200</v>
      </c>
      <c r="C1887" s="324">
        <v>50062</v>
      </c>
      <c r="D1887" s="324" t="str">
        <f>"0170"</f>
        <v>0170</v>
      </c>
      <c r="E1887" s="324">
        <v>7</v>
      </c>
      <c r="F1887" s="827">
        <f>ROUNDUP(SUMIF(Name,"Birdboard",Length),1)</f>
        <v>0</v>
      </c>
      <c r="G1887" s="829"/>
      <c r="H1887" s="412" t="s">
        <v>1039</v>
      </c>
      <c r="I1887" s="1258"/>
      <c r="J1887" s="2" t="str">
        <f>IF(Table5[[#This Row],[Entered]]&lt;&gt;Table5[[#This Row],[Quantity]],"Check","")</f>
        <v/>
      </c>
    </row>
    <row r="1888" spans="1:10" ht="15" x14ac:dyDescent="0.2">
      <c r="A1888" s="324" t="s">
        <v>3319</v>
      </c>
      <c r="B1888" s="324" t="str">
        <f t="shared" si="111"/>
        <v>1200</v>
      </c>
      <c r="C1888" s="324">
        <v>50062</v>
      </c>
      <c r="D1888" s="324" t="str">
        <f>"0172"</f>
        <v>0172</v>
      </c>
      <c r="E1888" s="324">
        <v>1</v>
      </c>
      <c r="F1888" s="827">
        <f ca="1">IF('External Cladding'!H24-'External Cladding'!G6,1,0)</f>
        <v>0</v>
      </c>
      <c r="G1888" s="829">
        <v>420</v>
      </c>
      <c r="H1888" s="412" t="s">
        <v>3337</v>
      </c>
      <c r="I1888" s="1258"/>
      <c r="J1888" s="2" t="str">
        <f ca="1">IF(Table5[[#This Row],[Entered]]&lt;&gt;Table5[[#This Row],[Quantity]],"Check","")</f>
        <v/>
      </c>
    </row>
    <row r="1889" spans="1:10" ht="15" x14ac:dyDescent="0.2">
      <c r="A1889" s="324" t="s">
        <v>3319</v>
      </c>
      <c r="B1889" s="324" t="str">
        <f t="shared" si="111"/>
        <v>1200</v>
      </c>
      <c r="C1889" s="324">
        <v>50062</v>
      </c>
      <c r="D1889" s="324" t="str">
        <f>"0173"</f>
        <v>0173</v>
      </c>
      <c r="E1889" s="324">
        <v>1</v>
      </c>
      <c r="F1889" s="827">
        <f>IF(COUNTIF(Name,"Render")&gt;0,1,0)</f>
        <v>0</v>
      </c>
      <c r="G1889" s="829">
        <v>200</v>
      </c>
      <c r="H1889" s="412" t="s">
        <v>3338</v>
      </c>
      <c r="I1889" s="1258"/>
      <c r="J1889" s="2" t="str">
        <f>IF(Table5[[#This Row],[Entered]]&lt;&gt;Table5[[#This Row],[Quantity]],"Check","")</f>
        <v/>
      </c>
    </row>
    <row r="1890" spans="1:10" ht="15" x14ac:dyDescent="0.2">
      <c r="A1890" s="324" t="s">
        <v>3319</v>
      </c>
      <c r="B1890" s="324" t="str">
        <f t="shared" si="111"/>
        <v>1200</v>
      </c>
      <c r="C1890" s="324">
        <v>50062</v>
      </c>
      <c r="D1890" s="324" t="str">
        <f>"0175"</f>
        <v>0175</v>
      </c>
      <c r="E1890" s="324">
        <v>7</v>
      </c>
      <c r="F1890" s="827">
        <f>ROUNDUP(SUMIF(Name,"Exposed Rafter",Length),1)</f>
        <v>0</v>
      </c>
      <c r="G1890" s="829"/>
      <c r="H1890" s="412" t="s">
        <v>3339</v>
      </c>
      <c r="I1890" s="1258"/>
      <c r="J1890" s="2" t="str">
        <f>IF(Table5[[#This Row],[Entered]]&lt;&gt;Table5[[#This Row],[Quantity]],"Check","")</f>
        <v/>
      </c>
    </row>
    <row r="1891" spans="1:10" ht="15" x14ac:dyDescent="0.2">
      <c r="A1891" s="324" t="s">
        <v>3319</v>
      </c>
      <c r="B1891" s="324" t="str">
        <f t="shared" si="111"/>
        <v>1200</v>
      </c>
      <c r="C1891" s="324">
        <v>50062</v>
      </c>
      <c r="D1891" s="324" t="str">
        <f>"0181"</f>
        <v>0181</v>
      </c>
      <c r="E1891" s="324">
        <v>1</v>
      </c>
      <c r="F1891" s="827">
        <f>ROUNDUP(SUMIF(Lintel_Location,"External",Lintel_Length),1)</f>
        <v>0</v>
      </c>
      <c r="G1891" s="829">
        <v>4.82</v>
      </c>
      <c r="H1891" s="412" t="s">
        <v>3116</v>
      </c>
      <c r="I1891" s="1258"/>
      <c r="J1891" s="2" t="str">
        <f>IF(Table5[[#This Row],[Entered]]&lt;&gt;Table5[[#This Row],[Quantity]],"Check","")</f>
        <v/>
      </c>
    </row>
    <row r="1892" spans="1:10" ht="15" x14ac:dyDescent="0.2">
      <c r="A1892" s="324" t="s">
        <v>3319</v>
      </c>
      <c r="B1892" s="324" t="str">
        <f t="shared" si="111"/>
        <v>1200</v>
      </c>
      <c r="C1892" s="324">
        <v>50062</v>
      </c>
      <c r="D1892" s="324" t="str">
        <f>"0184"</f>
        <v>0184</v>
      </c>
      <c r="E1892" s="324">
        <v>8</v>
      </c>
      <c r="F1892" s="827">
        <f>IF(TextureCoat?="No",Render_Total_Ground+Render_Total_First,0)</f>
        <v>0</v>
      </c>
      <c r="G1892" s="829">
        <v>15.6</v>
      </c>
      <c r="H1892" s="412" t="s">
        <v>3340</v>
      </c>
      <c r="I1892" s="1258"/>
      <c r="J1892" s="2" t="str">
        <f>IF(Table5[[#This Row],[Entered]]&lt;&gt;Table5[[#This Row],[Quantity]],"Check","")</f>
        <v/>
      </c>
    </row>
    <row r="1893" spans="1:10" ht="15" x14ac:dyDescent="0.2">
      <c r="A1893" s="324" t="s">
        <v>3319</v>
      </c>
      <c r="B1893" s="324" t="str">
        <f t="shared" si="111"/>
        <v>1200</v>
      </c>
      <c r="C1893" s="324">
        <v>50062</v>
      </c>
      <c r="D1893" s="324" t="str">
        <f>"0269"</f>
        <v>0269</v>
      </c>
      <c r="E1893" s="324">
        <v>1</v>
      </c>
      <c r="F1893" s="1128"/>
      <c r="G1893" s="829"/>
      <c r="H1893" s="412" t="s">
        <v>3341</v>
      </c>
      <c r="I1893" s="1258"/>
      <c r="J1893" s="2" t="str">
        <f>IF(Table5[[#This Row],[Entered]]&lt;&gt;Table5[[#This Row],[Quantity]],"Check","")</f>
        <v/>
      </c>
    </row>
    <row r="1894" spans="1:10" ht="15" x14ac:dyDescent="0.2">
      <c r="A1894" s="324" t="s">
        <v>3319</v>
      </c>
      <c r="B1894" s="324" t="str">
        <f t="shared" si="111"/>
        <v>1200</v>
      </c>
      <c r="C1894" s="324">
        <v>50062</v>
      </c>
      <c r="D1894" s="324" t="str">
        <f>"0310"</f>
        <v>0310</v>
      </c>
      <c r="E1894" s="324">
        <v>1</v>
      </c>
      <c r="F1894" s="827">
        <f>COUNTIF(Name,"DOOR*")+COUNTIF(Name,"DOOR DBL")+COUNTIF(Name,"DOOR SLD DBL")-F1896</f>
        <v>0</v>
      </c>
      <c r="G1894" s="829">
        <v>42</v>
      </c>
      <c r="H1894" s="412" t="s">
        <v>3342</v>
      </c>
      <c r="I1894" s="1258"/>
      <c r="J1894" s="2" t="str">
        <f>IF(Table5[[#This Row],[Entered]]&lt;&gt;Table5[[#This Row],[Quantity]],"Check","")</f>
        <v/>
      </c>
    </row>
    <row r="1895" spans="1:10" ht="15" x14ac:dyDescent="0.2">
      <c r="A1895" s="324" t="s">
        <v>3319</v>
      </c>
      <c r="B1895" s="324" t="str">
        <f t="shared" si="111"/>
        <v>1200</v>
      </c>
      <c r="C1895" s="324">
        <v>50062</v>
      </c>
      <c r="D1895" s="324" t="str">
        <f>"0311"</f>
        <v>0311</v>
      </c>
      <c r="E1895" s="324">
        <v>1</v>
      </c>
      <c r="F1895" s="827">
        <f>+COUNTIFS(Name,"Door*",Material,"*Glazed*")</f>
        <v>0</v>
      </c>
      <c r="G1895" s="829"/>
      <c r="H1895" s="412" t="s">
        <v>3343</v>
      </c>
      <c r="I1895" s="1258"/>
      <c r="J1895" s="2" t="str">
        <f>IF(Table5[[#This Row],[Entered]]&lt;&gt;Table5[[#This Row],[Quantity]],"Check","")</f>
        <v/>
      </c>
    </row>
    <row r="1896" spans="1:10" ht="15" x14ac:dyDescent="0.2">
      <c r="A1896" s="324" t="s">
        <v>3319</v>
      </c>
      <c r="B1896" s="324" t="str">
        <f t="shared" si="111"/>
        <v>1200</v>
      </c>
      <c r="C1896" s="324">
        <v>50062</v>
      </c>
      <c r="D1896" s="324" t="str">
        <f>"0317"</f>
        <v>0317</v>
      </c>
      <c r="E1896" s="324">
        <v>1</v>
      </c>
      <c r="F1896" s="827">
        <f>COUNTIFS(Name,"Door*",Material,"*Colonial*")</f>
        <v>0</v>
      </c>
      <c r="G1896" s="829">
        <v>58</v>
      </c>
      <c r="H1896" s="412" t="s">
        <v>3344</v>
      </c>
      <c r="I1896" s="1258"/>
      <c r="J1896" s="2" t="str">
        <f>IF(Table5[[#This Row],[Entered]]&lt;&gt;Table5[[#This Row],[Quantity]],"Check","")</f>
        <v/>
      </c>
    </row>
    <row r="1897" spans="1:10" ht="15" x14ac:dyDescent="0.2">
      <c r="A1897" s="324" t="s">
        <v>3319</v>
      </c>
      <c r="B1897" s="324" t="str">
        <f t="shared" si="111"/>
        <v>1200</v>
      </c>
      <c r="C1897" s="324">
        <v>50062</v>
      </c>
      <c r="D1897" s="324" t="str">
        <f>"0320"</f>
        <v>0320</v>
      </c>
      <c r="E1897" s="324">
        <v>1</v>
      </c>
      <c r="F1897" s="827">
        <f>IF(Brick_type&lt;&gt;"Timber Frame",COUNTIF(Name,"Door*")+COUNTIF(Name,"DFO*")-COUNTIF(Name,"Door Entry*")-F1898,0)</f>
        <v>0</v>
      </c>
      <c r="G1897" s="829">
        <v>42</v>
      </c>
      <c r="H1897" s="412" t="s">
        <v>3334</v>
      </c>
      <c r="I1897" s="1258"/>
      <c r="J1897" s="2" t="str">
        <f>IF(Table5[[#This Row],[Entered]]&lt;&gt;Table5[[#This Row],[Quantity]],"Check","")</f>
        <v/>
      </c>
    </row>
    <row r="1898" spans="1:10" ht="15" x14ac:dyDescent="0.2">
      <c r="A1898" s="324" t="s">
        <v>3319</v>
      </c>
      <c r="B1898" s="324" t="str">
        <f t="shared" si="111"/>
        <v>1200</v>
      </c>
      <c r="C1898" s="324">
        <v>50062</v>
      </c>
      <c r="D1898" s="324" t="str">
        <f>"0321"</f>
        <v>0321</v>
      </c>
      <c r="E1898" s="324">
        <v>1</v>
      </c>
      <c r="F1898" s="827">
        <f>IF(Brick_type&lt;&gt;"Timber Frame",COUNTIF(Name,"Door Dbl")+COUNTIF(Name,"Door Sld Dbl")+COUNTIF(Name,"Door Cvty Dbl"),0)</f>
        <v>0</v>
      </c>
      <c r="G1898" s="829"/>
      <c r="H1898" s="412" t="s">
        <v>3335</v>
      </c>
      <c r="I1898" s="1258"/>
      <c r="J1898" s="2" t="str">
        <f>IF(Table5[[#This Row],[Entered]]&lt;&gt;Table5[[#This Row],[Quantity]],"Check","")</f>
        <v/>
      </c>
    </row>
    <row r="1899" spans="1:10" ht="15" x14ac:dyDescent="0.2">
      <c r="A1899" s="324" t="s">
        <v>3319</v>
      </c>
      <c r="B1899" s="324" t="str">
        <f t="shared" si="111"/>
        <v>1200</v>
      </c>
      <c r="C1899" s="324">
        <v>50062</v>
      </c>
      <c r="D1899" s="324" t="str">
        <f>"0330"</f>
        <v>0330</v>
      </c>
      <c r="E1899" s="324">
        <v>1</v>
      </c>
      <c r="F1899" s="1128"/>
      <c r="G1899" s="829"/>
      <c r="H1899" s="412" t="s">
        <v>3345</v>
      </c>
      <c r="I1899" s="1258"/>
      <c r="J1899" s="2" t="str">
        <f>IF(Table5[[#This Row],[Entered]]&lt;&gt;Table5[[#This Row],[Quantity]],"Check","")</f>
        <v/>
      </c>
    </row>
    <row r="1900" spans="1:10" ht="15" x14ac:dyDescent="0.2">
      <c r="A1900" s="324" t="s">
        <v>3319</v>
      </c>
      <c r="B1900" s="324" t="str">
        <f t="shared" si="111"/>
        <v>1200</v>
      </c>
      <c r="C1900" s="324">
        <v>50062</v>
      </c>
      <c r="D1900" s="324" t="str">
        <f>"0331"</f>
        <v>0331</v>
      </c>
      <c r="E1900" s="324">
        <v>1</v>
      </c>
      <c r="F1900" s="1128"/>
      <c r="G1900" s="829"/>
      <c r="H1900" s="412" t="s">
        <v>3346</v>
      </c>
      <c r="I1900" s="1258"/>
      <c r="J1900" s="2" t="str">
        <f>IF(Table5[[#This Row],[Entered]]&lt;&gt;Table5[[#This Row],[Quantity]],"Check","")</f>
        <v/>
      </c>
    </row>
    <row r="1901" spans="1:10" ht="15" x14ac:dyDescent="0.2">
      <c r="A1901" s="324" t="s">
        <v>3319</v>
      </c>
      <c r="B1901" s="324" t="str">
        <f t="shared" si="111"/>
        <v>1200</v>
      </c>
      <c r="C1901" s="324">
        <v>50062</v>
      </c>
      <c r="D1901" s="324" t="str">
        <f>"0335"</f>
        <v>0335</v>
      </c>
      <c r="E1901" s="324">
        <v>7</v>
      </c>
      <c r="F1901" s="827">
        <f>ROUNDUP(SUMIF(Name,"Skirting",Length),1)</f>
        <v>0</v>
      </c>
      <c r="G1901" s="829"/>
      <c r="H1901" s="412" t="s">
        <v>3347</v>
      </c>
      <c r="I1901" s="1258"/>
      <c r="J1901" s="2" t="str">
        <f>IF(Table5[[#This Row],[Entered]]&lt;&gt;Table5[[#This Row],[Quantity]],"Check","")</f>
        <v/>
      </c>
    </row>
    <row r="1902" spans="1:10" ht="15" x14ac:dyDescent="0.2">
      <c r="A1902" s="324" t="s">
        <v>3319</v>
      </c>
      <c r="B1902" s="324" t="str">
        <f t="shared" si="111"/>
        <v>1200</v>
      </c>
      <c r="C1902" s="324">
        <v>50062</v>
      </c>
      <c r="D1902" s="324" t="str">
        <f>"0350"</f>
        <v>0350</v>
      </c>
      <c r="E1902" s="324">
        <v>7</v>
      </c>
      <c r="F1902" s="827">
        <f>ROUNDUP(SUMIF(Name,"Exposed Timber Beam",Length),1)</f>
        <v>0</v>
      </c>
      <c r="G1902" s="829">
        <v>9.14</v>
      </c>
      <c r="H1902" s="412" t="s">
        <v>3348</v>
      </c>
      <c r="I1902" s="1258"/>
      <c r="J1902" s="2" t="str">
        <f>IF(Table5[[#This Row],[Entered]]&lt;&gt;Table5[[#This Row],[Quantity]],"Check","")</f>
        <v/>
      </c>
    </row>
    <row r="1903" spans="1:10" ht="15" x14ac:dyDescent="0.2">
      <c r="A1903" s="324" t="s">
        <v>3319</v>
      </c>
      <c r="B1903" s="324" t="str">
        <f t="shared" si="111"/>
        <v>1200</v>
      </c>
      <c r="C1903" s="324">
        <v>50062</v>
      </c>
      <c r="D1903" s="324" t="str">
        <f>"0360"</f>
        <v>0360</v>
      </c>
      <c r="E1903" s="324">
        <v>7</v>
      </c>
      <c r="F1903" s="1128"/>
      <c r="G1903" s="829"/>
      <c r="H1903" s="412" t="s">
        <v>1434</v>
      </c>
      <c r="I1903" s="1258"/>
      <c r="J1903" s="2" t="str">
        <f>IF(Table5[[#This Row],[Entered]]&lt;&gt;Table5[[#This Row],[Quantity]],"Check","")</f>
        <v/>
      </c>
    </row>
    <row r="1904" spans="1:10" ht="15" x14ac:dyDescent="0.2">
      <c r="A1904" s="324" t="s">
        <v>3319</v>
      </c>
      <c r="B1904" s="324" t="str">
        <f t="shared" si="111"/>
        <v>1200</v>
      </c>
      <c r="C1904" s="324">
        <v>50062</v>
      </c>
      <c r="D1904" s="324" t="str">
        <f>"0365"</f>
        <v>0365</v>
      </c>
      <c r="E1904" s="324">
        <v>7</v>
      </c>
      <c r="F1904" s="1128"/>
      <c r="G1904" s="829"/>
      <c r="H1904" s="412" t="s">
        <v>3349</v>
      </c>
      <c r="I1904" s="1258"/>
      <c r="J1904" s="2" t="str">
        <f>IF(Table5[[#This Row],[Entered]]&lt;&gt;Table5[[#This Row],[Quantity]],"Check","")</f>
        <v/>
      </c>
    </row>
    <row r="1905" spans="1:10" ht="15" x14ac:dyDescent="0.2">
      <c r="A1905" s="324" t="s">
        <v>3319</v>
      </c>
      <c r="B1905" s="324" t="str">
        <f t="shared" si="111"/>
        <v>1200</v>
      </c>
      <c r="C1905" s="324">
        <v>50062</v>
      </c>
      <c r="D1905" s="324" t="str">
        <f>"0370"</f>
        <v>0370</v>
      </c>
      <c r="E1905" s="324">
        <v>7</v>
      </c>
      <c r="F1905" s="827">
        <f>Mouldings!L46</f>
        <v>0</v>
      </c>
      <c r="G1905" s="829">
        <v>6.46</v>
      </c>
      <c r="H1905" s="412" t="s">
        <v>3037</v>
      </c>
      <c r="I1905" s="1258"/>
      <c r="J1905" s="2" t="str">
        <f>IF(Table5[[#This Row],[Entered]]&lt;&gt;Table5[[#This Row],[Quantity]],"Check","")</f>
        <v/>
      </c>
    </row>
    <row r="1906" spans="1:10" ht="15" x14ac:dyDescent="0.2">
      <c r="A1906" s="324" t="s">
        <v>3319</v>
      </c>
      <c r="B1906" s="324" t="str">
        <f t="shared" si="111"/>
        <v>1200</v>
      </c>
      <c r="C1906" s="324">
        <v>50062</v>
      </c>
      <c r="D1906" s="324" t="str">
        <f>"0380"</f>
        <v>0380</v>
      </c>
      <c r="E1906" s="324">
        <v>1</v>
      </c>
      <c r="F1906" s="827">
        <f>COUNTIFS(Name,"Posts",Material,"Timber*")+COUNTIFS(Name,"Posts",Material,"Steel*")+COUNTIFS('CSV FF'!A:A,"Posts",'CSV FF'!B:B,"Steel*")</f>
        <v>0</v>
      </c>
      <c r="G1906" s="829">
        <v>37</v>
      </c>
      <c r="H1906" s="412" t="s">
        <v>3350</v>
      </c>
      <c r="I1906" s="1258"/>
      <c r="J1906" s="2" t="str">
        <f>IF(Table5[[#This Row],[Entered]]&lt;&gt;Table5[[#This Row],[Quantity]],"Check","")</f>
        <v/>
      </c>
    </row>
    <row r="1907" spans="1:10" ht="15" x14ac:dyDescent="0.2">
      <c r="A1907" s="324" t="s">
        <v>3319</v>
      </c>
      <c r="B1907" s="324" t="str">
        <f t="shared" si="111"/>
        <v>1200</v>
      </c>
      <c r="C1907" s="324">
        <v>50062</v>
      </c>
      <c r="D1907" s="324" t="str">
        <f>"0382"</f>
        <v>0382</v>
      </c>
      <c r="E1907" s="324">
        <v>1</v>
      </c>
      <c r="F1907" s="827">
        <f>COUNTIFS(Name,"Posts",Material,"Bush")</f>
        <v>0</v>
      </c>
      <c r="G1907" s="829"/>
      <c r="H1907" s="412" t="s">
        <v>3351</v>
      </c>
      <c r="I1907" s="1258"/>
      <c r="J1907" s="2" t="str">
        <f>IF(Table5[[#This Row],[Entered]]&lt;&gt;Table5[[#This Row],[Quantity]],"Check","")</f>
        <v/>
      </c>
    </row>
    <row r="1908" spans="1:10" ht="15" x14ac:dyDescent="0.2">
      <c r="A1908" s="324" t="s">
        <v>3319</v>
      </c>
      <c r="B1908" s="324" t="str">
        <f t="shared" si="111"/>
        <v>1200</v>
      </c>
      <c r="C1908" s="324">
        <v>50062</v>
      </c>
      <c r="D1908" s="324" t="str">
        <f>"0420"</f>
        <v>0420</v>
      </c>
      <c r="E1908" s="324">
        <v>8</v>
      </c>
      <c r="F1908" s="827">
        <f>IF(InternalWallPaint?="Yes",Plaster_Total_Ground,0)</f>
        <v>0</v>
      </c>
      <c r="G1908" s="829">
        <v>11.5</v>
      </c>
      <c r="H1908" s="412" t="s">
        <v>3352</v>
      </c>
      <c r="I1908" s="1258"/>
      <c r="J1908" s="2" t="str">
        <f>IF(Table5[[#This Row],[Entered]]&lt;&gt;Table5[[#This Row],[Quantity]],"Check","")</f>
        <v/>
      </c>
    </row>
    <row r="1909" spans="1:10" ht="15" x14ac:dyDescent="0.2">
      <c r="A1909" s="324" t="s">
        <v>3319</v>
      </c>
      <c r="B1909" s="324" t="str">
        <f t="shared" si="111"/>
        <v>1200</v>
      </c>
      <c r="C1909" s="324">
        <v>50062</v>
      </c>
      <c r="D1909" s="324" t="str">
        <f>"0460"</f>
        <v>0460</v>
      </c>
      <c r="E1909" s="324">
        <v>1</v>
      </c>
      <c r="F1909" s="827">
        <f>COUNTIF(Name,"DOOR SLD*")</f>
        <v>0</v>
      </c>
      <c r="G1909" s="829"/>
      <c r="H1909" s="412" t="s">
        <v>3353</v>
      </c>
      <c r="I1909" s="1258"/>
      <c r="J1909" s="2" t="str">
        <f>IF(Table5[[#This Row],[Entered]]&lt;&gt;Table5[[#This Row],[Quantity]],"Check","")</f>
        <v/>
      </c>
    </row>
    <row r="1910" spans="1:10" ht="15" x14ac:dyDescent="0.2">
      <c r="A1910" s="324" t="s">
        <v>3319</v>
      </c>
      <c r="B1910" s="324" t="str">
        <f t="shared" si="111"/>
        <v>1200</v>
      </c>
      <c r="C1910" s="324">
        <v>50062</v>
      </c>
      <c r="D1910" s="324" t="str">
        <f>"0480"</f>
        <v>0480</v>
      </c>
      <c r="E1910" s="324">
        <v>7</v>
      </c>
      <c r="F1910" s="827">
        <f>Mouldings!N46</f>
        <v>0</v>
      </c>
      <c r="G1910" s="829"/>
      <c r="H1910" s="412" t="s">
        <v>3354</v>
      </c>
      <c r="I1910" s="1258"/>
      <c r="J1910" s="2" t="str">
        <f>IF(Table5[[#This Row],[Entered]]&lt;&gt;Table5[[#This Row],[Quantity]],"Check","")</f>
        <v/>
      </c>
    </row>
    <row r="1911" spans="1:10" ht="15" x14ac:dyDescent="0.2">
      <c r="A1911" s="324" t="s">
        <v>3319</v>
      </c>
      <c r="B1911" s="324" t="str">
        <f t="shared" si="111"/>
        <v>1200</v>
      </c>
      <c r="C1911" s="324">
        <v>50062</v>
      </c>
      <c r="D1911" s="324" t="str">
        <f>"0520"</f>
        <v>0520</v>
      </c>
      <c r="E1911" s="324">
        <v>7</v>
      </c>
      <c r="F1911" s="1162"/>
      <c r="G1911" s="829"/>
      <c r="H1911" s="412" t="s">
        <v>3359</v>
      </c>
      <c r="I1911" s="1258"/>
      <c r="J1911" s="2" t="str">
        <f>IF(Table5[[#This Row],[Entered]]&lt;&gt;Table5[[#This Row],[Quantity]],"Check","")</f>
        <v/>
      </c>
    </row>
    <row r="1912" spans="1:10" ht="15" x14ac:dyDescent="0.2">
      <c r="A1912" s="324" t="s">
        <v>3319</v>
      </c>
      <c r="B1912" s="324" t="str">
        <f t="shared" si="111"/>
        <v>1200</v>
      </c>
      <c r="C1912" s="324">
        <v>50062</v>
      </c>
      <c r="D1912" s="324" t="str">
        <f>"8005"</f>
        <v>8005</v>
      </c>
      <c r="E1912" s="324">
        <v>0</v>
      </c>
      <c r="F1912" s="827">
        <f>IF(COUNTIF(Name,"Render")&gt;0,1,0)</f>
        <v>0</v>
      </c>
      <c r="G1912" s="829">
        <v>0</v>
      </c>
      <c r="H1912" s="412" t="s">
        <v>3355</v>
      </c>
      <c r="I1912" s="1258"/>
      <c r="J1912" s="2" t="str">
        <f>IF(Table5[[#This Row],[Entered]]&lt;&gt;Table5[[#This Row],[Quantity]],"Check","")</f>
        <v/>
      </c>
    </row>
    <row r="1913" spans="1:10" ht="15" x14ac:dyDescent="0.2">
      <c r="A1913" s="324" t="s">
        <v>3319</v>
      </c>
      <c r="B1913" s="324" t="str">
        <f t="shared" si="111"/>
        <v>1200</v>
      </c>
      <c r="C1913" s="324">
        <v>50062</v>
      </c>
      <c r="D1913" s="324" t="str">
        <f>"9900"</f>
        <v>9900</v>
      </c>
      <c r="E1913" s="324">
        <v>0</v>
      </c>
      <c r="F1913" s="827">
        <v>1</v>
      </c>
      <c r="G1913" s="829">
        <v>0</v>
      </c>
      <c r="H1913" s="412" t="s">
        <v>3315</v>
      </c>
      <c r="I1913" s="1258"/>
      <c r="J1913" s="2" t="str">
        <f>IF(Table5[[#This Row],[Entered]]&lt;&gt;Table5[[#This Row],[Quantity]],"Check","")</f>
        <v>Check</v>
      </c>
    </row>
    <row r="1914" spans="1:10" ht="15" x14ac:dyDescent="0.2">
      <c r="A1914" s="324" t="s">
        <v>3319</v>
      </c>
      <c r="B1914" s="324" t="str">
        <f t="shared" si="111"/>
        <v>1200</v>
      </c>
      <c r="C1914" s="324">
        <v>50062</v>
      </c>
      <c r="D1914" s="324" t="str">
        <f>"9910"</f>
        <v>9910</v>
      </c>
      <c r="E1914" s="324">
        <v>0</v>
      </c>
      <c r="F1914" s="827">
        <v>1</v>
      </c>
      <c r="G1914" s="829">
        <v>0</v>
      </c>
      <c r="H1914" s="412" t="s">
        <v>3356</v>
      </c>
      <c r="I1914" s="1258"/>
      <c r="J1914" s="2" t="str">
        <f>IF(Table5[[#This Row],[Entered]]&lt;&gt;Table5[[#This Row],[Quantity]],"Check","")</f>
        <v>Check</v>
      </c>
    </row>
    <row r="1915" spans="1:10" ht="15" x14ac:dyDescent="0.2">
      <c r="A1915" s="324"/>
      <c r="B1915" s="324"/>
      <c r="C1915" s="324"/>
      <c r="D1915" s="324"/>
      <c r="E1915" s="324"/>
      <c r="F1915" s="827"/>
      <c r="G1915" s="829"/>
      <c r="H1915" s="412"/>
      <c r="I1915" s="1258"/>
      <c r="J1915" s="2" t="str">
        <f>IF(Table5[[#This Row],[Entered]]&lt;&gt;Table5[[#This Row],[Quantity]],"Check","")</f>
        <v/>
      </c>
    </row>
    <row r="1916" spans="1:10" ht="15" x14ac:dyDescent="0.2">
      <c r="A1916" s="324" t="s">
        <v>3318</v>
      </c>
      <c r="B1916" s="324" t="str">
        <f>"1190"</f>
        <v>1190</v>
      </c>
      <c r="C1916" s="324" t="str">
        <f>IF(COUNTIF(Addenda!A:A,"*Plunkett*")&gt;0,"04583","04467")</f>
        <v>04467</v>
      </c>
      <c r="D1916" s="324">
        <v>7000</v>
      </c>
      <c r="E1916" s="324">
        <v>1</v>
      </c>
      <c r="F1916" s="827"/>
      <c r="G1916" s="829">
        <v>0</v>
      </c>
      <c r="H1916" s="412" t="s">
        <v>2340</v>
      </c>
      <c r="I1916" s="1258"/>
      <c r="J1916" s="2" t="str">
        <f>IF(Table5[[#This Row],[Entered]]&lt;&gt;Table5[[#This Row],[Quantity]],"Check","")</f>
        <v/>
      </c>
    </row>
    <row r="1917" spans="1:10" ht="15" x14ac:dyDescent="0.2">
      <c r="A1917" s="324"/>
      <c r="B1917" s="324"/>
      <c r="C1917" s="324"/>
      <c r="D1917" s="324"/>
      <c r="E1917" s="324"/>
      <c r="F1917" s="827"/>
      <c r="G1917" s="829"/>
      <c r="H1917" s="412"/>
      <c r="I1917" s="1258"/>
      <c r="J1917" s="2" t="str">
        <f>IF(Table5[[#This Row],[Entered]]&lt;&gt;Table5[[#This Row],[Quantity]],"Check","")</f>
        <v/>
      </c>
    </row>
    <row r="1918" spans="1:10" ht="15" x14ac:dyDescent="0.2">
      <c r="A1918" s="324" t="s">
        <v>3318</v>
      </c>
      <c r="B1918" s="324" t="str">
        <f>"1190"</f>
        <v>1190</v>
      </c>
      <c r="C1918" s="324" t="str">
        <f>IF(COUNTIF(Addenda!A:A,"*Plunkett*")&gt;0,"04583","04467")</f>
        <v>04467</v>
      </c>
      <c r="D1918" s="324">
        <v>7001</v>
      </c>
      <c r="E1918" s="324">
        <v>1</v>
      </c>
      <c r="F1918" s="827"/>
      <c r="G1918" s="829">
        <v>0</v>
      </c>
      <c r="H1918" s="412" t="s">
        <v>1229</v>
      </c>
      <c r="I1918" s="1258"/>
      <c r="J1918" s="2" t="str">
        <f>IF(Table5[[#This Row],[Entered]]&lt;&gt;Table5[[#This Row],[Quantity]],"Check","")</f>
        <v/>
      </c>
    </row>
    <row r="1919" spans="1:10" ht="15" x14ac:dyDescent="0.2">
      <c r="A1919" s="324"/>
      <c r="B1919" s="324"/>
      <c r="C1919" s="324"/>
      <c r="D1919" s="324"/>
      <c r="E1919" s="324"/>
      <c r="F1919" s="973"/>
      <c r="G1919" s="829"/>
      <c r="H1919" s="412"/>
      <c r="I1919" s="1258"/>
      <c r="J1919" s="2" t="str">
        <f>IF(Table5[[#This Row],[Entered]]&lt;&gt;Table5[[#This Row],[Quantity]],"Check","")</f>
        <v/>
      </c>
    </row>
    <row r="1920" spans="1:10" ht="15" x14ac:dyDescent="0.2">
      <c r="A1920" s="324" t="s">
        <v>3363</v>
      </c>
      <c r="B1920" s="324" t="str">
        <f>"1030"</f>
        <v>1030</v>
      </c>
      <c r="C1920" s="324">
        <v>93588</v>
      </c>
      <c r="D1920" s="324" t="str">
        <f>"0273"</f>
        <v>0273</v>
      </c>
      <c r="E1920" s="324">
        <v>1</v>
      </c>
      <c r="F1920" s="827">
        <f>IF(COUNTIF(Addenda!A:A,"PLUNKETT")&gt;0,SUMIFS(F:F,B:B,"1080",H:H,"*RANGEHOOD*"),0)</f>
        <v>0</v>
      </c>
      <c r="G1920" s="829">
        <v>150</v>
      </c>
      <c r="H1920" s="1110" t="s">
        <v>3361</v>
      </c>
      <c r="I1920" s="1133"/>
      <c r="J1920" s="2" t="str">
        <f>IF(Table5[[#This Row],[Entered]]&lt;&gt;Table5[[#This Row],[Quantity]],"Check","")</f>
        <v/>
      </c>
    </row>
    <row r="1921" spans="1:10" ht="15" x14ac:dyDescent="0.2">
      <c r="A1921" s="324" t="s">
        <v>3363</v>
      </c>
      <c r="B1921" s="324" t="str">
        <f>"1030"</f>
        <v>1030</v>
      </c>
      <c r="C1921" s="324">
        <v>93588</v>
      </c>
      <c r="D1921" s="324" t="str">
        <f>"0399"</f>
        <v>0399</v>
      </c>
      <c r="E1921" s="324">
        <v>1</v>
      </c>
      <c r="F1921" s="827">
        <f>F1920</f>
        <v>0</v>
      </c>
      <c r="G1921" s="829">
        <v>40</v>
      </c>
      <c r="H1921" s="412" t="s">
        <v>3362</v>
      </c>
      <c r="I1921" s="1258"/>
      <c r="J1921" s="2" t="str">
        <f>IF(Table5[[#This Row],[Entered]]&lt;&gt;Table5[[#This Row],[Quantity]],"Check","")</f>
        <v/>
      </c>
    </row>
    <row r="1922" spans="1:10" ht="15" x14ac:dyDescent="0.2">
      <c r="A1922" s="324" t="s">
        <v>3363</v>
      </c>
      <c r="B1922" s="324" t="str">
        <f>"1030"</f>
        <v>1030</v>
      </c>
      <c r="C1922" s="324">
        <v>93588</v>
      </c>
      <c r="D1922" s="324" t="str">
        <f>"9035"</f>
        <v>9035</v>
      </c>
      <c r="E1922" s="324">
        <v>1</v>
      </c>
      <c r="F1922" s="1132" cm="1">
        <f t="array" ref="F1922">IF(SUM(COUNTIF(Address,{"*COLLIE*"}))&gt;0,1,0)</f>
        <v>0</v>
      </c>
      <c r="G1922" s="829"/>
      <c r="H1922" s="412" t="s">
        <v>3364</v>
      </c>
      <c r="I1922" s="1258"/>
      <c r="J1922" s="2" t="str">
        <f>IF(Table5[[#This Row],[Entered]]&lt;&gt;Table5[[#This Row],[Quantity]],"Check","")</f>
        <v/>
      </c>
    </row>
    <row r="1923" spans="1:10" ht="15" x14ac:dyDescent="0.2">
      <c r="A1923" s="324" t="s">
        <v>3363</v>
      </c>
      <c r="B1923" s="324" t="str">
        <f>"1030"</f>
        <v>1030</v>
      </c>
      <c r="C1923" s="324">
        <v>93588</v>
      </c>
      <c r="D1923" s="324" t="str">
        <f>"9222"</f>
        <v>9222</v>
      </c>
      <c r="E1923" s="324">
        <v>1</v>
      </c>
      <c r="F1923" s="1132" cm="1">
        <f t="array" ref="F1923">IF(SUM(COUNTIF(Address,{"*HARVEY*"}))&gt;0,1,0)</f>
        <v>0</v>
      </c>
      <c r="G1923" s="829"/>
      <c r="H1923" s="412" t="s">
        <v>3365</v>
      </c>
      <c r="I1923" s="1258"/>
      <c r="J1923" s="2" t="str">
        <f>IF(Table5[[#This Row],[Entered]]&lt;&gt;Table5[[#This Row],[Quantity]],"Check","")</f>
        <v/>
      </c>
    </row>
    <row r="1924" spans="1:10" ht="15" x14ac:dyDescent="0.2">
      <c r="A1924" s="324"/>
      <c r="B1924" s="324"/>
      <c r="C1924" s="324"/>
      <c r="D1924" s="324"/>
      <c r="E1924" s="324"/>
      <c r="F1924" s="973"/>
      <c r="G1924" s="829"/>
      <c r="H1924" s="412"/>
      <c r="I1924" s="1258"/>
      <c r="J1924" s="2" t="str">
        <f>IF(Table5[[#This Row],[Entered]]&lt;&gt;Table5[[#This Row],[Quantity]],"Check","")</f>
        <v/>
      </c>
    </row>
    <row r="1925" spans="1:10" ht="15" x14ac:dyDescent="0.2">
      <c r="A1925" s="324" t="s">
        <v>3366</v>
      </c>
      <c r="B1925" s="324" t="str">
        <f>"0870"</f>
        <v>0870</v>
      </c>
      <c r="C1925" s="324">
        <v>11169200</v>
      </c>
      <c r="D1925" s="324">
        <f>1002</f>
        <v>1002</v>
      </c>
      <c r="E1925" s="324">
        <v>1</v>
      </c>
      <c r="F1925" s="1128"/>
      <c r="G1925" s="829"/>
      <c r="H1925" s="412" t="s">
        <v>3367</v>
      </c>
      <c r="I1925" s="1258"/>
      <c r="J1925" s="2" t="str">
        <f>IF(Table5[[#This Row],[Entered]]&lt;&gt;Table5[[#This Row],[Quantity]],"Check","")</f>
        <v/>
      </c>
    </row>
    <row r="1926" spans="1:10" ht="15" x14ac:dyDescent="0.2">
      <c r="A1926" s="324"/>
      <c r="B1926" s="324"/>
      <c r="C1926" s="324"/>
      <c r="D1926" s="324"/>
      <c r="E1926" s="324"/>
      <c r="F1926" s="973"/>
      <c r="G1926" s="829"/>
      <c r="H1926" s="412"/>
      <c r="I1926" s="1258"/>
      <c r="J1926" s="2" t="str">
        <f>IF(Table5[[#This Row],[Entered]]&lt;&gt;Table5[[#This Row],[Quantity]],"Check","")</f>
        <v/>
      </c>
    </row>
    <row r="1927" spans="1:10" ht="15" x14ac:dyDescent="0.2">
      <c r="A1927" s="324" t="s">
        <v>2344</v>
      </c>
      <c r="B1927" s="324" t="str">
        <f t="shared" ref="B1927:B1944" si="112">"0415"</f>
        <v>0415</v>
      </c>
      <c r="C1927" s="324" t="str">
        <f t="shared" ref="C1927:C1944" si="113">"04601"</f>
        <v>04601</v>
      </c>
      <c r="D1927" s="324" t="str">
        <f>"0010"</f>
        <v>0010</v>
      </c>
      <c r="E1927" s="324">
        <v>1</v>
      </c>
      <c r="F1927" s="827">
        <f>CEILING((ExposedAggArea+GranoAreas)/13,1)</f>
        <v>0</v>
      </c>
      <c r="G1927" s="829"/>
      <c r="H1927" s="412" t="s">
        <v>2509</v>
      </c>
      <c r="I1927" s="1258"/>
      <c r="J1927" s="2" t="str">
        <f>IF(Table5[[#This Row],[Entered]]&lt;&gt;Table5[[#This Row],[Quantity]],"Check","")</f>
        <v/>
      </c>
    </row>
    <row r="1928" spans="1:10" ht="15" x14ac:dyDescent="0.2">
      <c r="A1928" s="324" t="s">
        <v>2344</v>
      </c>
      <c r="B1928" s="324" t="str">
        <f t="shared" si="112"/>
        <v>0415</v>
      </c>
      <c r="C1928" s="324" t="str">
        <f t="shared" si="113"/>
        <v>04601</v>
      </c>
      <c r="D1928" s="324" t="str">
        <f>"0140"</f>
        <v>0140</v>
      </c>
      <c r="E1928" s="324">
        <v>1</v>
      </c>
      <c r="F1928" s="827">
        <f>CEILING((GranoAreas+ExposedAggArea)*2/100,1)</f>
        <v>0</v>
      </c>
      <c r="G1928" s="829"/>
      <c r="H1928" s="412" t="s">
        <v>2401</v>
      </c>
      <c r="I1928" s="1258"/>
      <c r="J1928" s="2" t="str">
        <f>IF(Table5[[#This Row],[Entered]]&lt;&gt;Table5[[#This Row],[Quantity]],"Check","")</f>
        <v/>
      </c>
    </row>
    <row r="1929" spans="1:10" ht="15" x14ac:dyDescent="0.2">
      <c r="A1929" s="324" t="s">
        <v>2344</v>
      </c>
      <c r="B1929" s="324" t="str">
        <f t="shared" si="112"/>
        <v>0415</v>
      </c>
      <c r="C1929" s="324" t="str">
        <f t="shared" si="113"/>
        <v>04601</v>
      </c>
      <c r="D1929" s="324" t="str">
        <f>"0176"</f>
        <v>0176</v>
      </c>
      <c r="E1929" s="324">
        <v>1</v>
      </c>
      <c r="F1929" s="827">
        <f>CEILING((GranoAreas+ExposedAggArea)/200,1)</f>
        <v>0</v>
      </c>
      <c r="G1929" s="829"/>
      <c r="H1929" s="412" t="s">
        <v>1481</v>
      </c>
      <c r="I1929" s="1258"/>
      <c r="J1929" s="2" t="str">
        <f>IF(Table5[[#This Row],[Entered]]&lt;&gt;Table5[[#This Row],[Quantity]],"Check","")</f>
        <v/>
      </c>
    </row>
    <row r="1930" spans="1:10" ht="15" x14ac:dyDescent="0.2">
      <c r="A1930" s="324" t="s">
        <v>2344</v>
      </c>
      <c r="B1930" s="324" t="str">
        <f t="shared" si="112"/>
        <v>0415</v>
      </c>
      <c r="C1930" s="324" t="str">
        <f t="shared" si="113"/>
        <v>04601</v>
      </c>
      <c r="D1930" s="324">
        <f>9100</f>
        <v>9100</v>
      </c>
      <c r="E1930" s="324">
        <v>1</v>
      </c>
      <c r="F1930" s="827">
        <f>IF(SUM($F$1927:$F$1929)&gt;0,IF(OR(ISNUMBER(SEARCH("Bunbury",Address)),ISNUMBER(SEARCH("Dalyellup",Address)),ISNUMBER(SEARCH("Millbridge",Address)),ISNUMBER(SEARCH("Eaton",Address)),ISNUMBER(SEARCH("Brunswick",Address)),ISNUMBER(SEARCH("Australind",Address))),1,0),0)</f>
        <v>0</v>
      </c>
      <c r="G1930" s="829"/>
      <c r="H1930" s="412" t="s">
        <v>1836</v>
      </c>
      <c r="I1930" s="1258"/>
      <c r="J1930" s="2" t="str">
        <f>IF(Table5[[#This Row],[Entered]]&lt;&gt;Table5[[#This Row],[Quantity]],"Check","")</f>
        <v/>
      </c>
    </row>
    <row r="1931" spans="1:10" ht="15" x14ac:dyDescent="0.2">
      <c r="A1931" s="324" t="s">
        <v>2344</v>
      </c>
      <c r="B1931" s="324" t="str">
        <f t="shared" si="112"/>
        <v>0415</v>
      </c>
      <c r="C1931" s="324" t="str">
        <f t="shared" si="113"/>
        <v>04601</v>
      </c>
      <c r="D1931" s="324">
        <f>9150</f>
        <v>9150</v>
      </c>
      <c r="E1931" s="324">
        <v>1</v>
      </c>
      <c r="F1931" s="827">
        <f>IF(SUM($F$1927:$F$1929)&gt;0,IF(ISNUMBER(SEARCH("Bunbury",Address)),1,0),0)</f>
        <v>0</v>
      </c>
      <c r="G1931" s="829"/>
      <c r="H1931" s="412" t="s">
        <v>1200</v>
      </c>
      <c r="I1931" s="1258"/>
      <c r="J1931" s="2" t="str">
        <f>IF(Table5[[#This Row],[Entered]]&lt;&gt;Table5[[#This Row],[Quantity]],"Check","")</f>
        <v/>
      </c>
    </row>
    <row r="1932" spans="1:10" ht="15" x14ac:dyDescent="0.2">
      <c r="A1932" s="324" t="s">
        <v>2344</v>
      </c>
      <c r="B1932" s="324" t="str">
        <f t="shared" si="112"/>
        <v>0415</v>
      </c>
      <c r="C1932" s="324" t="str">
        <f t="shared" si="113"/>
        <v>04601</v>
      </c>
      <c r="D1932" s="324">
        <f>9160</f>
        <v>9160</v>
      </c>
      <c r="E1932" s="324">
        <v>1</v>
      </c>
      <c r="F1932" s="827">
        <f>IF(SUM($F$1927:$F$1929)&gt;0,IF(OR(ISNUMBER(SEARCH("Dardanup",Address)),ISNUMBER(SEARCH("Dardanup",Address))),1,0),0)</f>
        <v>0</v>
      </c>
      <c r="G1932" s="829"/>
      <c r="H1932" s="412" t="s">
        <v>1541</v>
      </c>
      <c r="I1932" s="1258"/>
      <c r="J1932" s="2" t="str">
        <f>IF(Table5[[#This Row],[Entered]]&lt;&gt;Table5[[#This Row],[Quantity]],"Check","")</f>
        <v/>
      </c>
    </row>
    <row r="1933" spans="1:10" ht="15" x14ac:dyDescent="0.2">
      <c r="A1933" s="324" t="s">
        <v>2344</v>
      </c>
      <c r="B1933" s="324" t="str">
        <f t="shared" si="112"/>
        <v>0415</v>
      </c>
      <c r="C1933" s="324" t="str">
        <f t="shared" si="113"/>
        <v>04601</v>
      </c>
      <c r="D1933" s="324" t="str">
        <f>"9031"</f>
        <v>9031</v>
      </c>
      <c r="E1933" s="324">
        <v>1</v>
      </c>
      <c r="F1933" s="827">
        <f>IF(SUM($F$1927:$F$1929)&gt;0,IF(OR(ISNUMBER(SEARCH("Busselton",Address)),ISNUMBER(SEARCH("Kealy",Address)),ISNUMBER(SEARCH("Broadwater",Address)),ISNUMBER(SEARCH("Geographe",Address)),ISNUMBER(SEARCH("Abbey",Address)),ISNUMBER(SEARCH("Yalyalup",Address)),ISNUMBER(SEARCH("Provence",Address)),ISNUMBER(SEARCH("Vasse",Address))),1,0),0)</f>
        <v>0</v>
      </c>
      <c r="G1933" s="829"/>
      <c r="H1933" s="412" t="s">
        <v>670</v>
      </c>
      <c r="I1933" s="1258"/>
      <c r="J1933" s="2" t="str">
        <f>IF(Table5[[#This Row],[Entered]]&lt;&gt;Table5[[#This Row],[Quantity]],"Check","")</f>
        <v/>
      </c>
    </row>
    <row r="1934" spans="1:10" ht="15" x14ac:dyDescent="0.2">
      <c r="A1934" s="324" t="s">
        <v>2344</v>
      </c>
      <c r="B1934" s="324" t="str">
        <f t="shared" si="112"/>
        <v>0415</v>
      </c>
      <c r="C1934" s="324" t="str">
        <f t="shared" si="113"/>
        <v>04601</v>
      </c>
      <c r="D1934" s="324">
        <f>9300</f>
        <v>9300</v>
      </c>
      <c r="E1934" s="324">
        <v>1</v>
      </c>
      <c r="F1934" s="827">
        <f>IF(SUM($F$1927:$F$1929)&gt;0,IF(OR(ISNUMBER(SEARCH("Capel",Address)),ISNUMBER(SEARCH("Yallingup",Address))),1,0),0)</f>
        <v>0</v>
      </c>
      <c r="G1934" s="829"/>
      <c r="H1934" s="412" t="s">
        <v>1201</v>
      </c>
      <c r="I1934" s="1258"/>
      <c r="J1934" s="2" t="str">
        <f>IF(Table5[[#This Row],[Entered]]&lt;&gt;Table5[[#This Row],[Quantity]],"Check","")</f>
        <v/>
      </c>
    </row>
    <row r="1935" spans="1:10" ht="15" x14ac:dyDescent="0.2">
      <c r="A1935" s="324" t="s">
        <v>2344</v>
      </c>
      <c r="B1935" s="324" t="str">
        <f t="shared" si="112"/>
        <v>0415</v>
      </c>
      <c r="C1935" s="324" t="str">
        <f t="shared" si="113"/>
        <v>04601</v>
      </c>
      <c r="D1935" s="324">
        <f>9400</f>
        <v>9400</v>
      </c>
      <c r="E1935" s="324">
        <v>1</v>
      </c>
      <c r="F1935" s="827">
        <f>IF(SUM($F$1927:$F$1929)&gt;0,IF(ISNUMBER(SEARCH("Margaret RIver",Address)),1,0),0)</f>
        <v>0</v>
      </c>
      <c r="G1935" s="829"/>
      <c r="H1935" s="412" t="s">
        <v>948</v>
      </c>
      <c r="I1935" s="1258"/>
      <c r="J1935" s="2" t="str">
        <f>IF(Table5[[#This Row],[Entered]]&lt;&gt;Table5[[#This Row],[Quantity]],"Check","")</f>
        <v/>
      </c>
    </row>
    <row r="1936" spans="1:10" ht="15" x14ac:dyDescent="0.2">
      <c r="A1936" s="324" t="s">
        <v>2344</v>
      </c>
      <c r="B1936" s="324" t="str">
        <f t="shared" si="112"/>
        <v>0415</v>
      </c>
      <c r="C1936" s="324" t="str">
        <f t="shared" si="113"/>
        <v>04601</v>
      </c>
      <c r="D1936" s="324">
        <f>9405</f>
        <v>9405</v>
      </c>
      <c r="E1936" s="324">
        <v>1</v>
      </c>
      <c r="F1936" s="827">
        <f>IF(SUM($F$1927:$F$1929)&gt;0,IF(ISNUMBER(SEARCH("Augusta",Address)),1,0),0)</f>
        <v>0</v>
      </c>
      <c r="G1936" s="829"/>
      <c r="H1936" s="412" t="s">
        <v>1578</v>
      </c>
      <c r="I1936" s="1258"/>
      <c r="J1936" s="2" t="str">
        <f>IF(Table5[[#This Row],[Entered]]&lt;&gt;Table5[[#This Row],[Quantity]],"Check","")</f>
        <v/>
      </c>
    </row>
    <row r="1937" spans="1:10" ht="15" x14ac:dyDescent="0.2">
      <c r="A1937" s="324" t="s">
        <v>2344</v>
      </c>
      <c r="B1937" s="324" t="str">
        <f t="shared" si="112"/>
        <v>0415</v>
      </c>
      <c r="C1937" s="324" t="str">
        <f t="shared" si="113"/>
        <v>04601</v>
      </c>
      <c r="D1937" s="324">
        <f>9410</f>
        <v>9410</v>
      </c>
      <c r="E1937" s="324">
        <v>1</v>
      </c>
      <c r="F1937" s="827">
        <f>IF(SUM($F$1927:$F$1929)&gt;0,IF(ISNUMBER(SEARCH("Donnybrook",Address)),1,0),0)</f>
        <v>0</v>
      </c>
      <c r="G1937" s="829"/>
      <c r="H1937" s="412" t="s">
        <v>1837</v>
      </c>
      <c r="I1937" s="1258"/>
      <c r="J1937" s="2" t="str">
        <f>IF(Table5[[#This Row],[Entered]]&lt;&gt;Table5[[#This Row],[Quantity]],"Check","")</f>
        <v/>
      </c>
    </row>
    <row r="1938" spans="1:10" ht="15" x14ac:dyDescent="0.2">
      <c r="A1938" s="324" t="s">
        <v>2344</v>
      </c>
      <c r="B1938" s="324" t="str">
        <f t="shared" si="112"/>
        <v>0415</v>
      </c>
      <c r="C1938" s="324" t="str">
        <f t="shared" si="113"/>
        <v>04601</v>
      </c>
      <c r="D1938" s="324">
        <f>9420</f>
        <v>9420</v>
      </c>
      <c r="E1938" s="324">
        <v>1</v>
      </c>
      <c r="F1938" s="827">
        <f>IF(SUM($F$1927:$F$1929)&gt;0,IF(ISNUMBER(SEARCH("Harvey",Address)),1,0),0)</f>
        <v>0</v>
      </c>
      <c r="G1938" s="829"/>
      <c r="H1938" s="412" t="s">
        <v>1838</v>
      </c>
      <c r="I1938" s="1258"/>
      <c r="J1938" s="2" t="str">
        <f>IF(Table5[[#This Row],[Entered]]&lt;&gt;Table5[[#This Row],[Quantity]],"Check","")</f>
        <v/>
      </c>
    </row>
    <row r="1939" spans="1:10" ht="15" x14ac:dyDescent="0.2">
      <c r="A1939" s="324" t="s">
        <v>2344</v>
      </c>
      <c r="B1939" s="324" t="str">
        <f t="shared" si="112"/>
        <v>0415</v>
      </c>
      <c r="C1939" s="324" t="str">
        <f t="shared" si="113"/>
        <v>04601</v>
      </c>
      <c r="D1939" s="324">
        <f>9425</f>
        <v>9425</v>
      </c>
      <c r="E1939" s="324">
        <v>1</v>
      </c>
      <c r="F1939" s="827">
        <f>IF(SUM($F$1927:$F$1929)&gt;0,IF(ISNUMBER(SEARCH("Waroona",Address)),1,0),0)</f>
        <v>0</v>
      </c>
      <c r="G1939" s="829"/>
      <c r="H1939" s="412" t="s">
        <v>1839</v>
      </c>
      <c r="I1939" s="1258"/>
      <c r="J1939" s="2" t="str">
        <f>IF(Table5[[#This Row],[Entered]]&lt;&gt;Table5[[#This Row],[Quantity]],"Check","")</f>
        <v/>
      </c>
    </row>
    <row r="1940" spans="1:10" ht="15" x14ac:dyDescent="0.2">
      <c r="A1940" s="324" t="s">
        <v>2344</v>
      </c>
      <c r="B1940" s="324" t="str">
        <f t="shared" si="112"/>
        <v>0415</v>
      </c>
      <c r="C1940" s="324" t="str">
        <f t="shared" si="113"/>
        <v>04601</v>
      </c>
      <c r="D1940" s="324">
        <f>9430</f>
        <v>9430</v>
      </c>
      <c r="E1940" s="324">
        <v>1</v>
      </c>
      <c r="F1940" s="827">
        <f>IF(SUM($F$1927:$F$1929)&gt;0,IF(ISNUMBER(SEARCH("Collie",Address)),1,0),0)</f>
        <v>0</v>
      </c>
      <c r="G1940" s="829"/>
      <c r="H1940" s="412" t="s">
        <v>1840</v>
      </c>
      <c r="I1940" s="1258"/>
      <c r="J1940" s="2" t="str">
        <f>IF(Table5[[#This Row],[Entered]]&lt;&gt;Table5[[#This Row],[Quantity]],"Check","")</f>
        <v/>
      </c>
    </row>
    <row r="1941" spans="1:10" ht="15" x14ac:dyDescent="0.2">
      <c r="A1941" s="324" t="s">
        <v>2344</v>
      </c>
      <c r="B1941" s="324" t="str">
        <f t="shared" si="112"/>
        <v>0415</v>
      </c>
      <c r="C1941" s="324" t="str">
        <f t="shared" si="113"/>
        <v>04601</v>
      </c>
      <c r="D1941" s="324">
        <f>9440</f>
        <v>9440</v>
      </c>
      <c r="E1941" s="324">
        <v>1</v>
      </c>
      <c r="F1941" s="827">
        <f>IF(SUM($F$1927:$F$1929)&gt;0,IF(OR(ISNUMBER(SEARCH("Bridgetown",Address)),ISNUMBER(SEARCH("Manjimup",Address))),1,0),0)</f>
        <v>0</v>
      </c>
      <c r="G1941" s="829"/>
      <c r="H1941" s="412" t="s">
        <v>1841</v>
      </c>
      <c r="I1941" s="1258"/>
      <c r="J1941" s="2" t="str">
        <f>IF(Table5[[#This Row],[Entered]]&lt;&gt;Table5[[#This Row],[Quantity]],"Check","")</f>
        <v/>
      </c>
    </row>
    <row r="1942" spans="1:10" ht="15" x14ac:dyDescent="0.2">
      <c r="A1942" s="324" t="s">
        <v>2344</v>
      </c>
      <c r="B1942" s="324" t="str">
        <f t="shared" si="112"/>
        <v>0415</v>
      </c>
      <c r="C1942" s="324" t="str">
        <f t="shared" si="113"/>
        <v>04601</v>
      </c>
      <c r="D1942" s="324">
        <f>9450</f>
        <v>9450</v>
      </c>
      <c r="E1942" s="324">
        <v>1</v>
      </c>
      <c r="F1942" s="827">
        <f>IF(SUM($F$1927:$F$1929)&gt;0,IF(ISNUMBER(SEARCH("Nannup",Address)),1,0),0)</f>
        <v>0</v>
      </c>
      <c r="G1942" s="829"/>
      <c r="H1942" s="412" t="s">
        <v>1672</v>
      </c>
      <c r="I1942" s="1258"/>
      <c r="J1942" s="2" t="str">
        <f>IF(Table5[[#This Row],[Entered]]&lt;&gt;Table5[[#This Row],[Quantity]],"Check","")</f>
        <v/>
      </c>
    </row>
    <row r="1943" spans="1:10" ht="15" x14ac:dyDescent="0.2">
      <c r="A1943" s="324" t="s">
        <v>2344</v>
      </c>
      <c r="B1943" s="324" t="str">
        <f t="shared" si="112"/>
        <v>0415</v>
      </c>
      <c r="C1943" s="324" t="str">
        <f t="shared" si="113"/>
        <v>04601</v>
      </c>
      <c r="D1943" s="324">
        <f>9460</f>
        <v>9460</v>
      </c>
      <c r="E1943" s="324">
        <v>1</v>
      </c>
      <c r="F1943" s="827">
        <f>IF(SUM($F$1927:$F$1929)&gt;0,IF(ISNUMBER(SEARCH("MANJIMUP",Address)),1,0),0)</f>
        <v>0</v>
      </c>
      <c r="G1943" s="829"/>
      <c r="H1943" s="412" t="s">
        <v>1842</v>
      </c>
      <c r="I1943" s="1258"/>
      <c r="J1943" s="2" t="str">
        <f>IF(Table5[[#This Row],[Entered]]&lt;&gt;Table5[[#This Row],[Quantity]],"Check","")</f>
        <v/>
      </c>
    </row>
    <row r="1944" spans="1:10" ht="15" x14ac:dyDescent="0.2">
      <c r="A1944" s="324" t="s">
        <v>2344</v>
      </c>
      <c r="B1944" s="324" t="str">
        <f t="shared" si="112"/>
        <v>0415</v>
      </c>
      <c r="C1944" s="324" t="str">
        <f t="shared" si="113"/>
        <v>04601</v>
      </c>
      <c r="D1944" s="324">
        <v>9470</v>
      </c>
      <c r="E1944" s="324">
        <v>1</v>
      </c>
      <c r="F1944" s="827">
        <f>IF(SUM($F$1927:$F$1929)&gt;0,IF(ISNUMBER(SEARCH("BOYUP BROOK",Address)),1,0),0)</f>
        <v>0</v>
      </c>
      <c r="G1944" s="829"/>
      <c r="H1944" s="412" t="s">
        <v>1843</v>
      </c>
      <c r="I1944" s="1258"/>
      <c r="J1944" s="2" t="str">
        <f>IF(Table5[[#This Row],[Entered]]&lt;&gt;Table5[[#This Row],[Quantity]],"Check","")</f>
        <v/>
      </c>
    </row>
    <row r="1945" spans="1:10" ht="15" x14ac:dyDescent="0.2">
      <c r="A1945" s="324" t="s">
        <v>2344</v>
      </c>
      <c r="B1945" s="324" t="str">
        <f t="shared" ref="B1945:B1969" si="114">"0430"</f>
        <v>0430</v>
      </c>
      <c r="C1945" s="324" t="str">
        <f t="shared" ref="C1945:C1969" si="115">"03725"</f>
        <v>03725</v>
      </c>
      <c r="D1945" s="324" t="str">
        <f>"0632"</f>
        <v>0632</v>
      </c>
      <c r="E1945" s="324">
        <v>9</v>
      </c>
      <c r="F1945" s="973">
        <f>IF(OR(ISNUMBER(SEARCH("ROELANDS",Address)),ISNUMBER(SEARCH("BRUNSWICK",Address))),'Grano  Paving'!$C$6,0)</f>
        <v>0</v>
      </c>
      <c r="G1945" s="829">
        <v>189</v>
      </c>
      <c r="H1945" s="412" t="s">
        <v>3541</v>
      </c>
      <c r="I1945" s="1258"/>
      <c r="J1945" s="2" t="str">
        <f>IF(Table5[[#This Row],[Entered]]&lt;&gt;Table5[[#This Row],[Quantity]],"Check","")</f>
        <v/>
      </c>
    </row>
    <row r="1946" spans="1:10" ht="15" x14ac:dyDescent="0.2">
      <c r="A1946" s="324" t="s">
        <v>2344</v>
      </c>
      <c r="B1946" s="324" t="str">
        <f t="shared" si="114"/>
        <v>0430</v>
      </c>
      <c r="C1946" s="324" t="str">
        <f t="shared" si="115"/>
        <v>03725</v>
      </c>
      <c r="D1946" s="1103">
        <v>9110</v>
      </c>
      <c r="E1946" s="324">
        <v>9</v>
      </c>
      <c r="F1946" s="1106">
        <f>IF(OR(ISNUMBER(SEARCH("Bunbury",Address)),ISNUMBER(SEARCH("Dalyellup",Address)),ISNUMBER(SEARCH("Eaton",Address)),ISNUMBER(SEARCH("GLEN IRIS",Address)),ISNUMBER(SEARCH("Millbridge",Address))),'Grano  Paving'!$C$6,0)</f>
        <v>0</v>
      </c>
      <c r="G1946" s="1105"/>
      <c r="H1946" s="1111" t="s">
        <v>2315</v>
      </c>
      <c r="I1946" s="1205"/>
      <c r="J1946" s="2" t="str">
        <f>IF(Table5[[#This Row],[Entered]]&lt;&gt;Table5[[#This Row],[Quantity]],"Check","")</f>
        <v/>
      </c>
    </row>
    <row r="1947" spans="1:10" ht="15" x14ac:dyDescent="0.2">
      <c r="A1947" s="324" t="s">
        <v>2344</v>
      </c>
      <c r="B1947" s="324" t="str">
        <f t="shared" si="114"/>
        <v>0430</v>
      </c>
      <c r="C1947" s="324" t="str">
        <f t="shared" si="115"/>
        <v>03725</v>
      </c>
      <c r="D1947" s="1103">
        <v>9120</v>
      </c>
      <c r="E1947" s="324">
        <v>9</v>
      </c>
      <c r="F1947" s="1106">
        <f>IF(OR(ISNUMBER(SEARCH("DARDANUP",Address))),'Grano  Paving'!$C$6,0)</f>
        <v>0</v>
      </c>
      <c r="G1947" s="1105"/>
      <c r="H1947" s="1111" t="s">
        <v>1677</v>
      </c>
      <c r="I1947" s="1205"/>
      <c r="J1947" s="2" t="str">
        <f>IF(Table5[[#This Row],[Entered]]&lt;&gt;Table5[[#This Row],[Quantity]],"Check","")</f>
        <v/>
      </c>
    </row>
    <row r="1948" spans="1:10" ht="15" x14ac:dyDescent="0.2">
      <c r="A1948" s="324" t="s">
        <v>2344</v>
      </c>
      <c r="B1948" s="324" t="str">
        <f t="shared" si="114"/>
        <v>0430</v>
      </c>
      <c r="C1948" s="324" t="str">
        <f t="shared" si="115"/>
        <v>03725</v>
      </c>
      <c r="D1948" s="1103">
        <v>9140</v>
      </c>
      <c r="E1948" s="324">
        <v>9</v>
      </c>
      <c r="F1948" s="1106">
        <f>IF(OR(ISNUMBER(SEARCH("CAPEL",Address)),ISNUMBER(SEARCH("PEPPERMINT GROVE",Address))),'Grano  Paving'!$C$6,0)</f>
        <v>0</v>
      </c>
      <c r="G1948" s="1105"/>
      <c r="H1948" s="1111" t="s">
        <v>2314</v>
      </c>
      <c r="I1948" s="1205"/>
      <c r="J1948" s="2" t="str">
        <f>IF(Table5[[#This Row],[Entered]]&lt;&gt;Table5[[#This Row],[Quantity]],"Check","")</f>
        <v/>
      </c>
    </row>
    <row r="1949" spans="1:10" ht="15" x14ac:dyDescent="0.2">
      <c r="A1949" s="324" t="s">
        <v>2344</v>
      </c>
      <c r="B1949" s="324" t="str">
        <f t="shared" si="114"/>
        <v>0430</v>
      </c>
      <c r="C1949" s="324" t="str">
        <f t="shared" si="115"/>
        <v>03725</v>
      </c>
      <c r="D1949" s="1103">
        <v>9170</v>
      </c>
      <c r="E1949" s="324">
        <v>9</v>
      </c>
      <c r="F1949" s="1106">
        <f>IF(ISNUMBER(SEARCH("Donnybrook",Address)),'Grano  Paving'!$C$6,0)</f>
        <v>0</v>
      </c>
      <c r="G1949" s="1105"/>
      <c r="H1949" s="1111" t="s">
        <v>1678</v>
      </c>
      <c r="I1949" s="1205"/>
      <c r="J1949" s="2" t="str">
        <f>IF(Table5[[#This Row],[Entered]]&lt;&gt;Table5[[#This Row],[Quantity]],"Check","")</f>
        <v/>
      </c>
    </row>
    <row r="1950" spans="1:10" ht="15" x14ac:dyDescent="0.2">
      <c r="A1950" s="324" t="s">
        <v>2344</v>
      </c>
      <c r="B1950" s="324" t="str">
        <f t="shared" si="114"/>
        <v>0430</v>
      </c>
      <c r="C1950" s="324" t="str">
        <f t="shared" si="115"/>
        <v>03725</v>
      </c>
      <c r="D1950" s="1103">
        <v>9180</v>
      </c>
      <c r="E1950" s="324">
        <v>9</v>
      </c>
      <c r="F1950" s="1106">
        <f>IF(ISNUMBER(SEARCH("Harvey",Address)),'Grano  Paving'!$C$6,0)</f>
        <v>0</v>
      </c>
      <c r="G1950" s="1105"/>
      <c r="H1950" s="1111" t="s">
        <v>1844</v>
      </c>
      <c r="I1950" s="1205"/>
      <c r="J1950" s="2" t="str">
        <f>IF(Table5[[#This Row],[Entered]]&lt;&gt;Table5[[#This Row],[Quantity]],"Check","")</f>
        <v/>
      </c>
    </row>
    <row r="1951" spans="1:10" ht="15" x14ac:dyDescent="0.2">
      <c r="A1951" s="324" t="s">
        <v>2344</v>
      </c>
      <c r="B1951" s="324" t="str">
        <f t="shared" si="114"/>
        <v>0430</v>
      </c>
      <c r="C1951" s="324" t="str">
        <f t="shared" si="115"/>
        <v>03725</v>
      </c>
      <c r="D1951" s="1103">
        <v>9190</v>
      </c>
      <c r="E1951" s="324">
        <v>9</v>
      </c>
      <c r="F1951" s="1106">
        <f>IF(OR(ISNUMBER(SEARCH("WAROONA",Address))),'Grano  Paving'!$C$6,0)</f>
        <v>0</v>
      </c>
      <c r="G1951" s="1105"/>
      <c r="H1951" s="1111" t="s">
        <v>1681</v>
      </c>
      <c r="I1951" s="1205"/>
      <c r="J1951" s="2" t="str">
        <f>IF(Table5[[#This Row],[Entered]]&lt;&gt;Table5[[#This Row],[Quantity]],"Check","")</f>
        <v/>
      </c>
    </row>
    <row r="1952" spans="1:10" ht="15" x14ac:dyDescent="0.2">
      <c r="A1952" s="324" t="s">
        <v>2344</v>
      </c>
      <c r="B1952" s="324" t="str">
        <f t="shared" si="114"/>
        <v>0430</v>
      </c>
      <c r="C1952" s="324" t="str">
        <f t="shared" si="115"/>
        <v>03725</v>
      </c>
      <c r="D1952" s="1103">
        <v>9200</v>
      </c>
      <c r="E1952" s="324">
        <v>9</v>
      </c>
      <c r="F1952" s="1106">
        <f>IF(OR(ISNUMBER(SEARCH("Collie",Address))),'Grano  Paving'!$C$6,0)</f>
        <v>0</v>
      </c>
      <c r="G1952" s="1105"/>
      <c r="H1952" s="1111" t="s">
        <v>1679</v>
      </c>
      <c r="I1952" s="1205"/>
      <c r="J1952" s="2" t="str">
        <f>IF(Table5[[#This Row],[Entered]]&lt;&gt;Table5[[#This Row],[Quantity]],"Check","")</f>
        <v/>
      </c>
    </row>
    <row r="1953" spans="1:10" ht="15" x14ac:dyDescent="0.2">
      <c r="A1953" s="324" t="s">
        <v>2344</v>
      </c>
      <c r="B1953" s="324" t="str">
        <f t="shared" si="114"/>
        <v>0430</v>
      </c>
      <c r="C1953" s="324" t="str">
        <f t="shared" si="115"/>
        <v>03725</v>
      </c>
      <c r="D1953" s="1103">
        <f>15</f>
        <v>15</v>
      </c>
      <c r="E1953" s="324">
        <v>9</v>
      </c>
      <c r="F1953" s="1106">
        <f>IF(OR(ISNUMBER(SEARCH("YARLOOP",Address)),ISNUMBER(SEARCH("COOKERNUP",Address))),'Grano  Paving'!$C$6,0)</f>
        <v>0</v>
      </c>
      <c r="G1953" s="1105"/>
      <c r="H1953" s="1111" t="s">
        <v>1680</v>
      </c>
      <c r="I1953" s="1205"/>
      <c r="J1953" s="2" t="str">
        <f>IF(Table5[[#This Row],[Entered]]&lt;&gt;Table5[[#This Row],[Quantity]],"Check","")</f>
        <v/>
      </c>
    </row>
    <row r="1954" spans="1:10" ht="15" x14ac:dyDescent="0.2">
      <c r="A1954" s="324" t="s">
        <v>2344</v>
      </c>
      <c r="B1954" s="324" t="str">
        <f t="shared" si="114"/>
        <v>0430</v>
      </c>
      <c r="C1954" s="324" t="str">
        <f t="shared" si="115"/>
        <v>03725</v>
      </c>
      <c r="D1954" s="1103">
        <f>17</f>
        <v>17</v>
      </c>
      <c r="E1954" s="324">
        <v>9</v>
      </c>
      <c r="F1954" s="1106">
        <f>IF(OR(ISNUMBER(SEARCH("MYALUP",Address)),ISNUMBER(SEARCH("BINNINGUP",Address))),'Grano  Paving'!$C$6,0)</f>
        <v>0</v>
      </c>
      <c r="G1954" s="1105"/>
      <c r="H1954" s="1111" t="s">
        <v>1682</v>
      </c>
      <c r="I1954" s="1205"/>
      <c r="J1954" s="2" t="str">
        <f>IF(Table5[[#This Row],[Entered]]&lt;&gt;Table5[[#This Row],[Quantity]],"Check","")</f>
        <v/>
      </c>
    </row>
    <row r="1955" spans="1:10" ht="15" x14ac:dyDescent="0.2">
      <c r="A1955" s="324" t="s">
        <v>2344</v>
      </c>
      <c r="B1955" s="324" t="str">
        <f t="shared" si="114"/>
        <v>0430</v>
      </c>
      <c r="C1955" s="324" t="str">
        <f t="shared" si="115"/>
        <v>03725</v>
      </c>
      <c r="D1955" s="1103">
        <f>200</f>
        <v>200</v>
      </c>
      <c r="E1955" s="324">
        <v>8</v>
      </c>
      <c r="F1955" s="1106">
        <f>COUNTIFS(Addenda!A:A,"*coloured concrete*")*F1946*10</f>
        <v>0</v>
      </c>
      <c r="G1955" s="1105"/>
      <c r="H1955" s="1111" t="s">
        <v>1089</v>
      </c>
      <c r="I1955" s="1205"/>
      <c r="J1955" s="2" t="str">
        <f>IF(Table5[[#This Row],[Entered]]&lt;&gt;Table5[[#This Row],[Quantity]],"Check","")</f>
        <v/>
      </c>
    </row>
    <row r="1956" spans="1:10" ht="15" x14ac:dyDescent="0.2">
      <c r="A1956" s="324" t="s">
        <v>2344</v>
      </c>
      <c r="B1956" s="324" t="str">
        <f t="shared" si="114"/>
        <v>0430</v>
      </c>
      <c r="C1956" s="324" t="str">
        <f t="shared" si="115"/>
        <v>03725</v>
      </c>
      <c r="D1956" s="1103" t="s">
        <v>663</v>
      </c>
      <c r="E1956" s="324">
        <v>9</v>
      </c>
      <c r="F1956" s="1106">
        <f>COUNTIFS(Addenda!A:A,"*coloured concrete*")*F1955</f>
        <v>0</v>
      </c>
      <c r="G1956" s="1105"/>
      <c r="H1956" s="1111" t="s">
        <v>1090</v>
      </c>
      <c r="I1956" s="1205"/>
      <c r="J1956" s="2" t="str">
        <f>IF(Table5[[#This Row],[Entered]]&lt;&gt;Table5[[#This Row],[Quantity]],"Check","")</f>
        <v/>
      </c>
    </row>
    <row r="1957" spans="1:10" ht="15" x14ac:dyDescent="0.2">
      <c r="A1957" s="324" t="s">
        <v>2344</v>
      </c>
      <c r="B1957" s="324" t="str">
        <f t="shared" si="114"/>
        <v>0430</v>
      </c>
      <c r="C1957" s="324" t="str">
        <f t="shared" si="115"/>
        <v>03725</v>
      </c>
      <c r="D1957" s="830" t="str">
        <f>"0534"</f>
        <v>0534</v>
      </c>
      <c r="E1957" s="324">
        <v>9</v>
      </c>
      <c r="F1957" s="973">
        <f>IF(OR(ISNUMBER(SEARCH("DUNSBOROUGH",Address))),'Grano  Paving'!$C$6,0)</f>
        <v>0</v>
      </c>
      <c r="G1957" s="829">
        <v>210</v>
      </c>
      <c r="H1957" s="1110" t="s">
        <v>2516</v>
      </c>
      <c r="I1957" s="1133"/>
      <c r="J1957" s="2" t="str">
        <f>IF(Table5[[#This Row],[Entered]]&lt;&gt;Table5[[#This Row],[Quantity]],"Check","")</f>
        <v/>
      </c>
    </row>
    <row r="1958" spans="1:10" ht="15" x14ac:dyDescent="0.2">
      <c r="A1958" s="324" t="s">
        <v>2344</v>
      </c>
      <c r="B1958" s="324" t="str">
        <f t="shared" si="114"/>
        <v>0430</v>
      </c>
      <c r="C1958" s="324" t="str">
        <f t="shared" si="115"/>
        <v>03725</v>
      </c>
      <c r="D1958" s="830" t="str">
        <f>"0556"</f>
        <v>0556</v>
      </c>
      <c r="E1958" s="324">
        <v>9</v>
      </c>
      <c r="F1958" s="973">
        <f>IF(OR(ISNUMBER(SEARCH("AUSTRALIND",Address))),'Grano  Paving'!$C$6,0)</f>
        <v>0</v>
      </c>
      <c r="G1958" s="829">
        <v>184</v>
      </c>
      <c r="H1958" s="1110" t="s">
        <v>3556</v>
      </c>
      <c r="I1958" s="1207"/>
      <c r="J1958" s="73" t="str">
        <f>IF(Table5[[#This Row],[Entered]]&lt;&gt;Table5[[#This Row],[Quantity]],"Check","")</f>
        <v/>
      </c>
    </row>
    <row r="1959" spans="1:10" ht="15" x14ac:dyDescent="0.2">
      <c r="A1959" s="324" t="s">
        <v>2344</v>
      </c>
      <c r="B1959" s="324" t="str">
        <f t="shared" si="114"/>
        <v>0430</v>
      </c>
      <c r="C1959" s="324" t="str">
        <f t="shared" si="115"/>
        <v>03725</v>
      </c>
      <c r="D1959" s="830" t="str">
        <f>"3070"</f>
        <v>3070</v>
      </c>
      <c r="E1959" s="324">
        <v>9</v>
      </c>
      <c r="F1959" s="973">
        <f>IF(OR(ISNUMBER(SEARCH("Busselton",Address)),ISNUMBER(SEARCH("Kealy",Address)),ISNUMBER(SEARCH("Broadwater",Address)),ISNUMBER(SEARCH("Geographe",Address)),ISNUMBER(SEARCH("Yalyalup",Address)),ISNUMBER(SEARCH("Provence",Address)),ISNUMBER(SEARCH("Vasse",Address))),'Grano  Paving'!$C$6,0)</f>
        <v>0</v>
      </c>
      <c r="G1959" s="829">
        <v>195</v>
      </c>
      <c r="H1959" s="1110" t="s">
        <v>3422</v>
      </c>
      <c r="I1959" s="1133"/>
      <c r="J1959" s="2" t="str">
        <f>IF(Table5[[#This Row],[Entered]]&lt;&gt;Table5[[#This Row],[Quantity]],"Check","")</f>
        <v/>
      </c>
    </row>
    <row r="1960" spans="1:10" ht="15" x14ac:dyDescent="0.2">
      <c r="A1960" s="324" t="s">
        <v>2344</v>
      </c>
      <c r="B1960" s="324" t="str">
        <f t="shared" si="114"/>
        <v>0430</v>
      </c>
      <c r="C1960" s="324" t="str">
        <f t="shared" si="115"/>
        <v>03725</v>
      </c>
      <c r="D1960" s="830" t="str">
        <f>"3073"</f>
        <v>3073</v>
      </c>
      <c r="E1960" s="324">
        <v>9</v>
      </c>
      <c r="F1960" s="973">
        <f>IF(OR(ISNUMBER(SEARCH("Margaret River",Address))),'Grano  Paving'!$C$6,0)</f>
        <v>0</v>
      </c>
      <c r="G1960" s="1105"/>
      <c r="H1960" s="1110" t="s">
        <v>3368</v>
      </c>
      <c r="I1960" s="1133"/>
      <c r="J1960" s="2" t="str">
        <f>IF(Table5[[#This Row],[Entered]]&lt;&gt;Table5[[#This Row],[Quantity]],"Check","")</f>
        <v/>
      </c>
    </row>
    <row r="1961" spans="1:10" ht="15" x14ac:dyDescent="0.2">
      <c r="A1961" s="324" t="s">
        <v>2344</v>
      </c>
      <c r="B1961" s="324" t="str">
        <f t="shared" si="114"/>
        <v>0430</v>
      </c>
      <c r="C1961" s="324" t="str">
        <f t="shared" si="115"/>
        <v>03725</v>
      </c>
      <c r="D1961" s="1107">
        <v>9160</v>
      </c>
      <c r="E1961" s="324">
        <v>9</v>
      </c>
      <c r="F1961" s="1106">
        <f>IF(OR(ISNUMBER(SEARCH("AUGUSTA",Address))),'Grano  Paving'!$C$6,0)</f>
        <v>0</v>
      </c>
      <c r="G1961" s="1105"/>
      <c r="H1961" s="1112" t="s">
        <v>1676</v>
      </c>
      <c r="I1961" s="1206"/>
      <c r="J1961" s="2" t="str">
        <f>IF(Table5[[#This Row],[Entered]]&lt;&gt;Table5[[#This Row],[Quantity]],"Check","")</f>
        <v/>
      </c>
    </row>
    <row r="1962" spans="1:10" ht="15" x14ac:dyDescent="0.2">
      <c r="A1962" s="324" t="s">
        <v>2344</v>
      </c>
      <c r="B1962" s="324" t="str">
        <f t="shared" si="114"/>
        <v>0430</v>
      </c>
      <c r="C1962" s="324" t="str">
        <f t="shared" si="115"/>
        <v>03725</v>
      </c>
      <c r="D1962" s="1107">
        <v>9170</v>
      </c>
      <c r="E1962" s="324">
        <v>9</v>
      </c>
      <c r="F1962" s="1106">
        <f>IF(OR(ISNUMBER(SEARCH("DONNYBROOK",Address))),'Grano  Paving'!$C$6,0)</f>
        <v>0</v>
      </c>
      <c r="G1962" s="1105"/>
      <c r="H1962" s="1112" t="s">
        <v>1678</v>
      </c>
      <c r="I1962" s="1206"/>
      <c r="J1962" s="2" t="str">
        <f>IF(Table5[[#This Row],[Entered]]&lt;&gt;Table5[[#This Row],[Quantity]],"Check","")</f>
        <v/>
      </c>
    </row>
    <row r="1963" spans="1:10" ht="15" x14ac:dyDescent="0.2">
      <c r="A1963" s="324" t="s">
        <v>2344</v>
      </c>
      <c r="B1963" s="324" t="str">
        <f t="shared" si="114"/>
        <v>0430</v>
      </c>
      <c r="C1963" s="324" t="str">
        <f t="shared" si="115"/>
        <v>03725</v>
      </c>
      <c r="D1963" s="1107">
        <v>9180</v>
      </c>
      <c r="E1963" s="324">
        <v>9</v>
      </c>
      <c r="F1963" s="1106"/>
      <c r="G1963" s="1105"/>
      <c r="H1963" s="1112" t="s">
        <v>1844</v>
      </c>
      <c r="I1963" s="1206"/>
      <c r="J1963" s="2" t="str">
        <f>IF(Table5[[#This Row],[Entered]]&lt;&gt;Table5[[#This Row],[Quantity]],"Check","")</f>
        <v/>
      </c>
    </row>
    <row r="1964" spans="1:10" ht="15" x14ac:dyDescent="0.2">
      <c r="A1964" s="324" t="s">
        <v>2344</v>
      </c>
      <c r="B1964" s="324" t="str">
        <f t="shared" si="114"/>
        <v>0430</v>
      </c>
      <c r="C1964" s="324" t="str">
        <f t="shared" si="115"/>
        <v>03725</v>
      </c>
      <c r="D1964" s="1107">
        <v>9190</v>
      </c>
      <c r="E1964" s="324">
        <v>9</v>
      </c>
      <c r="F1964" s="1106"/>
      <c r="G1964" s="1105"/>
      <c r="H1964" s="1112" t="s">
        <v>1681</v>
      </c>
      <c r="I1964" s="1206"/>
      <c r="J1964" s="2" t="str">
        <f>IF(Table5[[#This Row],[Entered]]&lt;&gt;Table5[[#This Row],[Quantity]],"Check","")</f>
        <v/>
      </c>
    </row>
    <row r="1965" spans="1:10" ht="15" x14ac:dyDescent="0.2">
      <c r="A1965" s="324" t="s">
        <v>2344</v>
      </c>
      <c r="B1965" s="324" t="str">
        <f t="shared" si="114"/>
        <v>0430</v>
      </c>
      <c r="C1965" s="324" t="str">
        <f t="shared" si="115"/>
        <v>03725</v>
      </c>
      <c r="D1965" s="1107">
        <v>9210</v>
      </c>
      <c r="E1965" s="324">
        <v>9</v>
      </c>
      <c r="F1965" s="1106">
        <f>IF(OR(ISNUMBER(SEARCH("BRIDGETOWN",Address))),'Grano  Paving'!$C$6,0)</f>
        <v>0</v>
      </c>
      <c r="G1965" s="1105"/>
      <c r="H1965" s="1112" t="s">
        <v>1834</v>
      </c>
      <c r="I1965" s="1206"/>
      <c r="J1965" s="2" t="str">
        <f>IF(Table5[[#This Row],[Entered]]&lt;&gt;Table5[[#This Row],[Quantity]],"Check","")</f>
        <v/>
      </c>
    </row>
    <row r="1966" spans="1:10" ht="15" x14ac:dyDescent="0.2">
      <c r="A1966" s="324" t="s">
        <v>2344</v>
      </c>
      <c r="B1966" s="324" t="str">
        <f t="shared" si="114"/>
        <v>0430</v>
      </c>
      <c r="C1966" s="324" t="str">
        <f t="shared" si="115"/>
        <v>03725</v>
      </c>
      <c r="D1966" s="1107">
        <v>9220</v>
      </c>
      <c r="E1966" s="324">
        <v>9</v>
      </c>
      <c r="F1966" s="1106">
        <f>IF(OR(ISNUMBER(SEARCH("NANNUP",Address))),'Grano  Paving'!$C$6,0)</f>
        <v>0</v>
      </c>
      <c r="G1966" s="1105"/>
      <c r="H1966" s="1112" t="s">
        <v>1845</v>
      </c>
      <c r="I1966" s="1206"/>
      <c r="J1966" s="2" t="str">
        <f>IF(Table5[[#This Row],[Entered]]&lt;&gt;Table5[[#This Row],[Quantity]],"Check","")</f>
        <v/>
      </c>
    </row>
    <row r="1967" spans="1:10" ht="15" x14ac:dyDescent="0.2">
      <c r="A1967" s="324" t="s">
        <v>2344</v>
      </c>
      <c r="B1967" s="324" t="str">
        <f t="shared" si="114"/>
        <v>0430</v>
      </c>
      <c r="C1967" s="324" t="str">
        <f t="shared" si="115"/>
        <v>03725</v>
      </c>
      <c r="D1967" s="1107">
        <v>9230</v>
      </c>
      <c r="E1967" s="324">
        <v>9</v>
      </c>
      <c r="F1967" s="1106">
        <f>IF(OR(ISNUMBER(SEARCH("MANJIMUP",Address))),'Grano  Paving'!$C$6,0)</f>
        <v>0</v>
      </c>
      <c r="G1967" s="1105"/>
      <c r="H1967" s="1112" t="s">
        <v>1715</v>
      </c>
      <c r="I1967" s="1206"/>
      <c r="J1967" s="2" t="str">
        <f>IF(Table5[[#This Row],[Entered]]&lt;&gt;Table5[[#This Row],[Quantity]],"Check","")</f>
        <v/>
      </c>
    </row>
    <row r="1968" spans="1:10" ht="15" x14ac:dyDescent="0.2">
      <c r="A1968" s="324" t="s">
        <v>2344</v>
      </c>
      <c r="B1968" s="324" t="str">
        <f t="shared" si="114"/>
        <v>0430</v>
      </c>
      <c r="C1968" s="324" t="str">
        <f t="shared" si="115"/>
        <v>03725</v>
      </c>
      <c r="D1968" s="1107">
        <v>9600</v>
      </c>
      <c r="E1968" s="324">
        <v>9</v>
      </c>
      <c r="F1968" s="1106"/>
      <c r="G1968" s="1105"/>
      <c r="H1968" s="1112" t="s">
        <v>1675</v>
      </c>
      <c r="I1968" s="1206"/>
      <c r="J1968" s="2" t="str">
        <f>IF(Table5[[#This Row],[Entered]]&lt;&gt;Table5[[#This Row],[Quantity]],"Check","")</f>
        <v/>
      </c>
    </row>
    <row r="1969" spans="1:10" ht="15" x14ac:dyDescent="0.2">
      <c r="A1969" s="324" t="s">
        <v>2344</v>
      </c>
      <c r="B1969" s="324" t="str">
        <f t="shared" si="114"/>
        <v>0430</v>
      </c>
      <c r="C1969" s="324" t="str">
        <f t="shared" si="115"/>
        <v>03725</v>
      </c>
      <c r="D1969" s="1107">
        <v>9610</v>
      </c>
      <c r="E1969" s="324">
        <v>9</v>
      </c>
      <c r="F1969" s="1106"/>
      <c r="G1969" s="1105"/>
      <c r="H1969" s="1112" t="s">
        <v>1846</v>
      </c>
      <c r="I1969" s="1206"/>
      <c r="J1969" s="2" t="str">
        <f>IF(Table5[[#This Row],[Entered]]&lt;&gt;Table5[[#This Row],[Quantity]],"Check","")</f>
        <v/>
      </c>
    </row>
    <row r="1970" spans="1:10" ht="15" x14ac:dyDescent="0.2">
      <c r="A1970" s="324"/>
      <c r="B1970" s="324"/>
      <c r="C1970" s="324"/>
      <c r="D1970" s="324"/>
      <c r="E1970" s="324"/>
      <c r="F1970" s="973"/>
      <c r="G1970" s="829"/>
      <c r="H1970" s="412"/>
      <c r="I1970" s="1258"/>
      <c r="J1970" s="2" t="str">
        <f>IF(Table5[[#This Row],[Entered]]&lt;&gt;Table5[[#This Row],[Quantity]],"Check","")</f>
        <v/>
      </c>
    </row>
    <row r="1971" spans="1:10" ht="15" x14ac:dyDescent="0.2">
      <c r="A1971" s="324" t="s">
        <v>2344</v>
      </c>
      <c r="B1971" s="324" t="str">
        <f>"1220"</f>
        <v>1220</v>
      </c>
      <c r="C1971" s="324">
        <v>50062</v>
      </c>
      <c r="D1971" s="324" t="str">
        <f>"0025"</f>
        <v>0025</v>
      </c>
      <c r="E1971" s="324">
        <v>8</v>
      </c>
      <c r="F1971" s="973">
        <f>CEILING('Grano  Paving'!B3,0.1)</f>
        <v>0</v>
      </c>
      <c r="G1971" s="829">
        <v>20</v>
      </c>
      <c r="H1971" s="412" t="s">
        <v>3369</v>
      </c>
      <c r="I1971" s="1258"/>
      <c r="J1971" s="2" t="str">
        <f>IF(Table5[[#This Row],[Entered]]&lt;&gt;Table5[[#This Row],[Quantity]],"Check","")</f>
        <v/>
      </c>
    </row>
    <row r="1972" spans="1:10" ht="15" x14ac:dyDescent="0.2">
      <c r="A1972" s="324" t="s">
        <v>2344</v>
      </c>
      <c r="B1972" s="324">
        <v>1220</v>
      </c>
      <c r="C1972" s="324">
        <v>50062</v>
      </c>
      <c r="D1972" s="324" t="str">
        <f>"0027"</f>
        <v>0027</v>
      </c>
      <c r="E1972" s="324">
        <v>8</v>
      </c>
      <c r="F1972" s="973">
        <f>CEILING('Grano  Paving'!B4,0.1)</f>
        <v>0</v>
      </c>
      <c r="G1972" s="829"/>
      <c r="H1972" s="412" t="s">
        <v>3370</v>
      </c>
      <c r="I1972" s="1258"/>
      <c r="J1972" s="2" t="str">
        <f>IF(Table5[[#This Row],[Entered]]&lt;&gt;Table5[[#This Row],[Quantity]],"Check","")</f>
        <v/>
      </c>
    </row>
    <row r="1973" spans="1:10" ht="15" x14ac:dyDescent="0.2">
      <c r="A1973" s="324" t="s">
        <v>2344</v>
      </c>
      <c r="B1973" s="324" t="str">
        <f>"1220"</f>
        <v>1220</v>
      </c>
      <c r="C1973" s="324">
        <v>50062</v>
      </c>
      <c r="D1973" s="324" t="str">
        <f>"0172"</f>
        <v>0172</v>
      </c>
      <c r="E1973" s="324">
        <v>1</v>
      </c>
      <c r="F1973" s="973">
        <f>IF('Grano  Paving'!$B$3+'Grano  Paving'!B4&gt;40,1.5,IF('Grano  Paving'!$B$3+'Grano  Paving'!B4&gt;0,1,0))</f>
        <v>0</v>
      </c>
      <c r="G1973" s="829">
        <v>50</v>
      </c>
      <c r="H1973" s="412" t="s">
        <v>3571</v>
      </c>
      <c r="I1973" s="1258"/>
      <c r="J1973" s="2" t="str">
        <f>IF(Table5[[#This Row],[Entered]]&lt;&gt;Table5[[#This Row],[Quantity]],"Check","")</f>
        <v/>
      </c>
    </row>
    <row r="1974" spans="1:10" ht="15" x14ac:dyDescent="0.2">
      <c r="A1974" s="324"/>
      <c r="B1974" s="324"/>
      <c r="C1974" s="324"/>
      <c r="D1974" s="324"/>
      <c r="E1974" s="324"/>
      <c r="F1974" s="973"/>
      <c r="G1974" s="829"/>
      <c r="H1974" s="412"/>
      <c r="I1974" s="1258"/>
      <c r="J1974" s="2" t="str">
        <f>IF(Table5[[#This Row],[Entered]]&lt;&gt;Table5[[#This Row],[Quantity]],"Check","")</f>
        <v/>
      </c>
    </row>
    <row r="1975" spans="1:10" ht="15" x14ac:dyDescent="0.2">
      <c r="A1975" s="324" t="s">
        <v>391</v>
      </c>
      <c r="B1975" s="324" t="s">
        <v>392</v>
      </c>
      <c r="C1975" s="324" t="s">
        <v>666</v>
      </c>
      <c r="D1975" s="324">
        <f>10</f>
        <v>10</v>
      </c>
      <c r="E1975" s="324">
        <v>1</v>
      </c>
      <c r="F1975" s="973"/>
      <c r="G1975" s="829"/>
      <c r="H1975" s="412" t="s">
        <v>1120</v>
      </c>
      <c r="I1975" s="1258"/>
      <c r="J1975" s="2" t="str">
        <f>IF(Table5[[#This Row],[Entered]]&lt;&gt;Table5[[#This Row],[Quantity]],"Check","")</f>
        <v/>
      </c>
    </row>
    <row r="1976" spans="1:10" ht="15" x14ac:dyDescent="0.2">
      <c r="A1976" s="324" t="s">
        <v>391</v>
      </c>
      <c r="B1976" s="324" t="s">
        <v>392</v>
      </c>
      <c r="C1976" s="324" t="s">
        <v>666</v>
      </c>
      <c r="D1976" s="324">
        <f>15</f>
        <v>15</v>
      </c>
      <c r="E1976" s="324">
        <v>1</v>
      </c>
      <c r="F1976" s="973"/>
      <c r="G1976" s="829"/>
      <c r="H1976" s="412" t="s">
        <v>667</v>
      </c>
      <c r="I1976" s="1258"/>
      <c r="J1976" s="2" t="str">
        <f>IF(Table5[[#This Row],[Entered]]&lt;&gt;Table5[[#This Row],[Quantity]],"Check","")</f>
        <v/>
      </c>
    </row>
    <row r="1977" spans="1:10" ht="15" x14ac:dyDescent="0.2">
      <c r="A1977" s="324" t="s">
        <v>391</v>
      </c>
      <c r="B1977" s="324" t="s">
        <v>392</v>
      </c>
      <c r="C1977" s="324" t="s">
        <v>666</v>
      </c>
      <c r="D1977" s="324">
        <f>20</f>
        <v>20</v>
      </c>
      <c r="E1977" s="324">
        <v>1</v>
      </c>
      <c r="F1977" s="827"/>
      <c r="G1977" s="829"/>
      <c r="H1977" s="412" t="s">
        <v>1074</v>
      </c>
      <c r="I1977" s="1258"/>
      <c r="J1977" s="2" t="str">
        <f>IF(Table5[[#This Row],[Entered]]&lt;&gt;Table5[[#This Row],[Quantity]],"Check","")</f>
        <v/>
      </c>
    </row>
    <row r="1978" spans="1:10" ht="15" x14ac:dyDescent="0.2">
      <c r="A1978" s="324" t="s">
        <v>391</v>
      </c>
      <c r="B1978" s="324" t="s">
        <v>392</v>
      </c>
      <c r="C1978" s="324" t="s">
        <v>666</v>
      </c>
      <c r="D1978" s="324">
        <f>25</f>
        <v>25</v>
      </c>
      <c r="E1978" s="324">
        <v>1</v>
      </c>
      <c r="F1978" s="973"/>
      <c r="G1978" s="829"/>
      <c r="H1978" s="412" t="s">
        <v>1321</v>
      </c>
      <c r="I1978" s="1258"/>
      <c r="J1978" s="2" t="str">
        <f>IF(Table5[[#This Row],[Entered]]&lt;&gt;Table5[[#This Row],[Quantity]],"Check","")</f>
        <v/>
      </c>
    </row>
    <row r="1979" spans="1:10" ht="15" x14ac:dyDescent="0.2">
      <c r="A1979" s="324" t="s">
        <v>391</v>
      </c>
      <c r="B1979" s="324" t="s">
        <v>392</v>
      </c>
      <c r="C1979" s="324" t="s">
        <v>666</v>
      </c>
      <c r="D1979" s="324">
        <f>40</f>
        <v>40</v>
      </c>
      <c r="E1979" s="324">
        <v>1</v>
      </c>
      <c r="F1979" s="827"/>
      <c r="G1979" s="829"/>
      <c r="H1979" s="412" t="s">
        <v>1075</v>
      </c>
      <c r="I1979" s="1258"/>
      <c r="J1979" s="2" t="str">
        <f>IF(Table5[[#This Row],[Entered]]&lt;&gt;Table5[[#This Row],[Quantity]],"Check","")</f>
        <v/>
      </c>
    </row>
    <row r="1980" spans="1:10" ht="15" x14ac:dyDescent="0.2">
      <c r="A1980" s="324" t="s">
        <v>391</v>
      </c>
      <c r="B1980" s="324" t="s">
        <v>392</v>
      </c>
      <c r="C1980" s="324" t="s">
        <v>666</v>
      </c>
      <c r="D1980" s="324">
        <f>100</f>
        <v>100</v>
      </c>
      <c r="E1980" s="324">
        <v>8</v>
      </c>
      <c r="F1980" s="973"/>
      <c r="G1980" s="829"/>
      <c r="H1980" s="412" t="s">
        <v>2304</v>
      </c>
      <c r="I1980" s="1258"/>
      <c r="J1980" s="2" t="str">
        <f>IF(Table5[[#This Row],[Entered]]&lt;&gt;Table5[[#This Row],[Quantity]],"Check","")</f>
        <v/>
      </c>
    </row>
    <row r="1981" spans="1:10" ht="15" x14ac:dyDescent="0.2">
      <c r="A1981" s="324" t="s">
        <v>391</v>
      </c>
      <c r="B1981" s="324" t="s">
        <v>392</v>
      </c>
      <c r="C1981" s="324" t="s">
        <v>666</v>
      </c>
      <c r="D1981" s="324">
        <f>210</f>
        <v>210</v>
      </c>
      <c r="E1981" s="324">
        <v>8</v>
      </c>
      <c r="F1981" s="973">
        <f>ROUNDDOWN('Grano  Paving'!$B$5-'Grano  Paving'!$B$3,1)+F2104</f>
        <v>0</v>
      </c>
      <c r="G1981" s="829"/>
      <c r="H1981" s="412" t="s">
        <v>1507</v>
      </c>
      <c r="I1981" s="1258"/>
      <c r="J1981" s="2" t="str">
        <f>IF(Table5[[#This Row],[Entered]]&lt;&gt;Table5[[#This Row],[Quantity]],"Check","")</f>
        <v/>
      </c>
    </row>
    <row r="1982" spans="1:10" ht="15" x14ac:dyDescent="0.2">
      <c r="A1982" s="324" t="s">
        <v>391</v>
      </c>
      <c r="B1982" s="324" t="s">
        <v>392</v>
      </c>
      <c r="C1982" s="324" t="s">
        <v>666</v>
      </c>
      <c r="D1982" s="324">
        <f>220</f>
        <v>220</v>
      </c>
      <c r="E1982" s="324">
        <v>1</v>
      </c>
      <c r="F1982" s="973"/>
      <c r="G1982" s="829"/>
      <c r="H1982" s="412" t="s">
        <v>1121</v>
      </c>
      <c r="I1982" s="1258"/>
      <c r="J1982" s="2" t="str">
        <f>IF(Table5[[#This Row],[Entered]]&lt;&gt;Table5[[#This Row],[Quantity]],"Check","")</f>
        <v/>
      </c>
    </row>
    <row r="1983" spans="1:10" ht="15" x14ac:dyDescent="0.2">
      <c r="A1983" s="324" t="s">
        <v>391</v>
      </c>
      <c r="B1983" s="324" t="s">
        <v>392</v>
      </c>
      <c r="C1983" s="324" t="s">
        <v>666</v>
      </c>
      <c r="D1983" s="324">
        <f>9995</f>
        <v>9995</v>
      </c>
      <c r="E1983" s="324">
        <v>0</v>
      </c>
      <c r="F1983" s="973"/>
      <c r="G1983" s="829"/>
      <c r="H1983" s="412" t="s">
        <v>1029</v>
      </c>
      <c r="I1983" s="1258"/>
      <c r="J1983" s="2" t="str">
        <f>IF(Table5[[#This Row],[Entered]]&lt;&gt;Table5[[#This Row],[Quantity]],"Check","")</f>
        <v/>
      </c>
    </row>
    <row r="1984" spans="1:10" ht="15" x14ac:dyDescent="0.2">
      <c r="A1984" s="324"/>
      <c r="B1984" s="324"/>
      <c r="C1984" s="324"/>
      <c r="D1984" s="324"/>
      <c r="E1984" s="324"/>
      <c r="F1984" s="973"/>
      <c r="G1984" s="829"/>
      <c r="H1984" s="412"/>
      <c r="I1984" s="1258"/>
      <c r="J1984" s="2" t="str">
        <f>IF(Table5[[#This Row],[Entered]]&lt;&gt;Table5[[#This Row],[Quantity]],"Check","")</f>
        <v/>
      </c>
    </row>
    <row r="1985" spans="1:10" ht="15" x14ac:dyDescent="0.2">
      <c r="A1985" s="324" t="s">
        <v>393</v>
      </c>
      <c r="B1985" s="324" t="s">
        <v>1435</v>
      </c>
      <c r="C1985" s="324" t="s">
        <v>1753</v>
      </c>
      <c r="D1985" s="324" t="s">
        <v>663</v>
      </c>
      <c r="E1985" s="324">
        <v>1</v>
      </c>
      <c r="F1985" s="973">
        <f ca="1">IF(AND(ROUNDUP(SUMIFS(Area,Name,"Decking",Material,"Post"),0)*2&gt;0),ROUNDUP(SUMIFS(Area,Name,"Decking",Material,"Post"),0)*2,0)</f>
        <v>0</v>
      </c>
      <c r="G1985" s="829">
        <v>0</v>
      </c>
      <c r="H1985" s="412" t="s">
        <v>1366</v>
      </c>
      <c r="I1985" s="1258"/>
      <c r="J1985" s="2" t="str">
        <f ca="1">IF(Table5[[#This Row],[Entered]]&lt;&gt;Table5[[#This Row],[Quantity]],"Check","")</f>
        <v/>
      </c>
    </row>
    <row r="1986" spans="1:10" ht="15" x14ac:dyDescent="0.2">
      <c r="A1986" s="324" t="s">
        <v>393</v>
      </c>
      <c r="B1986" s="324" t="s">
        <v>1435</v>
      </c>
      <c r="C1986" s="324" t="s">
        <v>1753</v>
      </c>
      <c r="D1986" s="324">
        <f>700</f>
        <v>700</v>
      </c>
      <c r="E1986" s="324">
        <v>1</v>
      </c>
      <c r="F1986" s="827">
        <f ca="1">F1985</f>
        <v>0</v>
      </c>
      <c r="G1986" s="829"/>
      <c r="H1986" s="412" t="s">
        <v>1367</v>
      </c>
      <c r="I1986" s="1258"/>
      <c r="J1986" s="2" t="str">
        <f ca="1">IF(Table5[[#This Row],[Entered]]&lt;&gt;Table5[[#This Row],[Quantity]],"Check","")</f>
        <v/>
      </c>
    </row>
    <row r="1987" spans="1:10" ht="15" x14ac:dyDescent="0.2">
      <c r="A1987" s="324" t="s">
        <v>393</v>
      </c>
      <c r="B1987" s="324" t="s">
        <v>1435</v>
      </c>
      <c r="C1987" s="324" t="s">
        <v>1753</v>
      </c>
      <c r="D1987" s="324">
        <f>8000</f>
        <v>8000</v>
      </c>
      <c r="E1987" s="324">
        <v>1</v>
      </c>
      <c r="F1987" s="827" cm="1">
        <f t="array" aca="1" ref="F1987" ca="1">IF(F1985&gt;0,IF(SUMPRODUCT(--ISNUMBER(SEARCH(BunningsZone1,Address)))&gt;0,1,0),0)</f>
        <v>0</v>
      </c>
      <c r="G1987" s="829"/>
      <c r="H1987" s="412" t="s">
        <v>1809</v>
      </c>
      <c r="I1987" s="1258"/>
      <c r="J1987" s="2" t="str">
        <f ca="1">IF(Table5[[#This Row],[Entered]]&lt;&gt;Table5[[#This Row],[Quantity]],"Check","")</f>
        <v/>
      </c>
    </row>
    <row r="1988" spans="1:10" ht="15" x14ac:dyDescent="0.2">
      <c r="A1988" s="324" t="s">
        <v>393</v>
      </c>
      <c r="B1988" s="324" t="s">
        <v>1435</v>
      </c>
      <c r="C1988" s="324" t="s">
        <v>1753</v>
      </c>
      <c r="D1988" s="324">
        <f>8001</f>
        <v>8001</v>
      </c>
      <c r="E1988" s="324">
        <v>1</v>
      </c>
      <c r="F1988" s="827" cm="1">
        <f t="array" aca="1" ref="F1988" ca="1">IF(F1985&gt;0,IF(SUMPRODUCT(--ISNUMBER(SEARCH(BunningsZone2,Address)))&gt;0,1,0),0)</f>
        <v>0</v>
      </c>
      <c r="G1988" s="829"/>
      <c r="H1988" s="412" t="s">
        <v>1810</v>
      </c>
      <c r="I1988" s="1258"/>
      <c r="J1988" s="2" t="str">
        <f ca="1">IF(Table5[[#This Row],[Entered]]&lt;&gt;Table5[[#This Row],[Quantity]],"Check","")</f>
        <v/>
      </c>
    </row>
    <row r="1989" spans="1:10" ht="15" x14ac:dyDescent="0.2">
      <c r="A1989" s="324" t="s">
        <v>393</v>
      </c>
      <c r="B1989" s="324" t="s">
        <v>1435</v>
      </c>
      <c r="C1989" s="324" t="s">
        <v>1753</v>
      </c>
      <c r="D1989" s="324">
        <f>8002</f>
        <v>8002</v>
      </c>
      <c r="E1989" s="324">
        <v>1</v>
      </c>
      <c r="F1989" s="827" cm="1">
        <f t="array" aca="1" ref="F1989" ca="1">IF(F1985&gt;0,IF(SUMPRODUCT(--ISNUMBER(SEARCH(BunningsZone3,Address)))&gt;0,1,0),0)</f>
        <v>0</v>
      </c>
      <c r="G1989" s="829"/>
      <c r="H1989" s="412" t="s">
        <v>1811</v>
      </c>
      <c r="I1989" s="1258"/>
      <c r="J1989" s="2" t="str">
        <f ca="1">IF(Table5[[#This Row],[Entered]]&lt;&gt;Table5[[#This Row],[Quantity]],"Check","")</f>
        <v/>
      </c>
    </row>
    <row r="1990" spans="1:10" ht="15" x14ac:dyDescent="0.2">
      <c r="A1990" s="324" t="s">
        <v>393</v>
      </c>
      <c r="B1990" s="324" t="s">
        <v>1435</v>
      </c>
      <c r="C1990" s="324" t="s">
        <v>1753</v>
      </c>
      <c r="D1990" s="324">
        <f>8003</f>
        <v>8003</v>
      </c>
      <c r="E1990" s="324">
        <v>1</v>
      </c>
      <c r="F1990" s="827" cm="1">
        <f t="array" aca="1" ref="F1990" ca="1">IF(F1985&gt;0,IF(SUMPRODUCT(--ISNUMBER(SEARCH(BunningsZone4,Address)))&gt;0,1,0),0)</f>
        <v>0</v>
      </c>
      <c r="G1990" s="829"/>
      <c r="H1990" s="412" t="s">
        <v>1812</v>
      </c>
      <c r="I1990" s="1258"/>
      <c r="J1990" s="2" t="str">
        <f ca="1">IF(Table5[[#This Row],[Entered]]&lt;&gt;Table5[[#This Row],[Quantity]],"Check","")</f>
        <v/>
      </c>
    </row>
    <row r="1991" spans="1:10" ht="15" x14ac:dyDescent="0.2">
      <c r="A1991" s="324" t="s">
        <v>393</v>
      </c>
      <c r="B1991" s="324" t="s">
        <v>1435</v>
      </c>
      <c r="C1991" s="324" t="s">
        <v>1753</v>
      </c>
      <c r="D1991" s="324">
        <f>8004</f>
        <v>8004</v>
      </c>
      <c r="E1991" s="324">
        <v>1</v>
      </c>
      <c r="F1991" s="827" cm="1">
        <f t="array" aca="1" ref="F1991" ca="1">IF(F1985&gt;0,IF(SUMPRODUCT(--ISNUMBER(SEARCH(BunningsZone5,Address)))&gt;0,1,0),0)</f>
        <v>0</v>
      </c>
      <c r="G1991" s="829"/>
      <c r="H1991" s="412" t="s">
        <v>1813</v>
      </c>
      <c r="I1991" s="1258"/>
      <c r="J1991" s="2" t="str">
        <f ca="1">IF(Table5[[#This Row],[Entered]]&lt;&gt;Table5[[#This Row],[Quantity]],"Check","")</f>
        <v/>
      </c>
    </row>
    <row r="1992" spans="1:10" ht="15" x14ac:dyDescent="0.2">
      <c r="A1992" s="324" t="s">
        <v>393</v>
      </c>
      <c r="B1992" s="324" t="s">
        <v>1435</v>
      </c>
      <c r="C1992" s="324" t="s">
        <v>1753</v>
      </c>
      <c r="D1992" s="324">
        <f>8005</f>
        <v>8005</v>
      </c>
      <c r="E1992" s="324">
        <v>1</v>
      </c>
      <c r="F1992" s="827" cm="1">
        <f t="array" aca="1" ref="F1992" ca="1">IF(F1985&gt;0,IF(SUMPRODUCT(--ISNUMBER(SEARCH(BunningsZone6,Address)))&gt;0,1,0),0)</f>
        <v>0</v>
      </c>
      <c r="G1992" s="829"/>
      <c r="H1992" s="412" t="s">
        <v>1814</v>
      </c>
      <c r="I1992" s="1258"/>
      <c r="J1992" s="2" t="str">
        <f ca="1">IF(Table5[[#This Row],[Entered]]&lt;&gt;Table5[[#This Row],[Quantity]],"Check","")</f>
        <v/>
      </c>
    </row>
    <row r="1993" spans="1:10" ht="15" x14ac:dyDescent="0.2">
      <c r="A1993" s="324"/>
      <c r="B1993" s="324"/>
      <c r="C1993" s="324"/>
      <c r="D1993" s="324"/>
      <c r="E1993" s="324"/>
      <c r="F1993" s="827"/>
      <c r="G1993" s="829"/>
      <c r="H1993" s="412"/>
      <c r="I1993" s="1258"/>
      <c r="J1993" s="2" t="str">
        <f>IF(Table5[[#This Row],[Entered]]&lt;&gt;Table5[[#This Row],[Quantity]],"Check","")</f>
        <v/>
      </c>
    </row>
    <row r="1994" spans="1:10" ht="15" x14ac:dyDescent="0.2">
      <c r="A1994" s="324" t="s">
        <v>3423</v>
      </c>
      <c r="B1994" s="324">
        <v>1170</v>
      </c>
      <c r="C1994" s="324" t="str">
        <f>"50061"</f>
        <v>50061</v>
      </c>
      <c r="D1994" s="324" t="str">
        <f>"0018"</f>
        <v>0018</v>
      </c>
      <c r="E1994" s="324">
        <v>1</v>
      </c>
      <c r="F1994" s="973">
        <f>F1995</f>
        <v>0</v>
      </c>
      <c r="G1994" s="829">
        <v>250</v>
      </c>
      <c r="H1994" s="412" t="s">
        <v>1040</v>
      </c>
      <c r="I1994" s="1258"/>
      <c r="J1994" s="2" t="str">
        <f>IF(Table5[[#This Row],[Entered]]&lt;&gt;Table5[[#This Row],[Quantity]],"Check","")</f>
        <v/>
      </c>
    </row>
    <row r="1995" spans="1:10" ht="15" x14ac:dyDescent="0.2">
      <c r="A1995" s="324" t="s">
        <v>3423</v>
      </c>
      <c r="B1995" s="324">
        <v>1170</v>
      </c>
      <c r="C1995" s="324" t="str">
        <f>"50061"</f>
        <v>50061</v>
      </c>
      <c r="D1995" s="324" t="str">
        <f>"0081"</f>
        <v>0081</v>
      </c>
      <c r="E1995" s="324">
        <v>1</v>
      </c>
      <c r="F1995" s="973">
        <f>IF('Grano  Paving'!C10&gt;0,1,0)</f>
        <v>0</v>
      </c>
      <c r="G1995" s="829">
        <v>200</v>
      </c>
      <c r="H1995" s="412" t="s">
        <v>3424</v>
      </c>
      <c r="I1995" s="1258"/>
      <c r="J1995" s="2" t="str">
        <f>IF(Table5[[#This Row],[Entered]]&lt;&gt;Table5[[#This Row],[Quantity]],"Check","")</f>
        <v/>
      </c>
    </row>
    <row r="1996" spans="1:10" ht="15" x14ac:dyDescent="0.2">
      <c r="A1996" s="324"/>
      <c r="B1996" s="324"/>
      <c r="C1996" s="324"/>
      <c r="D1996" s="324"/>
      <c r="E1996" s="324"/>
      <c r="F1996" s="827"/>
      <c r="G1996" s="829"/>
      <c r="H1996" s="412"/>
      <c r="I1996" s="1258"/>
      <c r="J1996" s="2" t="str">
        <f>IF(Table5[[#This Row],[Entered]]&lt;&gt;Table5[[#This Row],[Quantity]],"Check","")</f>
        <v/>
      </c>
    </row>
    <row r="1997" spans="1:10" ht="15" x14ac:dyDescent="0.2">
      <c r="A1997" s="342" t="s">
        <v>3423</v>
      </c>
      <c r="B1997" s="342" t="str">
        <f t="shared" ref="B1997:B2039" si="116">"1240"</f>
        <v>1240</v>
      </c>
      <c r="C1997" s="342" t="str">
        <f t="shared" ref="C1997:C2039" si="117">"02004"</f>
        <v>02004</v>
      </c>
      <c r="D1997" s="342">
        <f>20</f>
        <v>20</v>
      </c>
      <c r="E1997" s="342">
        <v>4</v>
      </c>
      <c r="F1997" s="1185"/>
      <c r="G1997" s="1160"/>
      <c r="H1997" s="503" t="s">
        <v>1122</v>
      </c>
      <c r="I1997" s="1207"/>
      <c r="J1997" s="2" t="str">
        <f>IF(Table5[[#This Row],[Entered]]&lt;&gt;Table5[[#This Row],[Quantity]],"Check","")</f>
        <v/>
      </c>
    </row>
    <row r="1998" spans="1:10" ht="15" x14ac:dyDescent="0.2">
      <c r="A1998" s="342" t="s">
        <v>3423</v>
      </c>
      <c r="B1998" s="342" t="str">
        <f t="shared" si="116"/>
        <v>1240</v>
      </c>
      <c r="C1998" s="342" t="str">
        <f t="shared" si="117"/>
        <v>02004</v>
      </c>
      <c r="D1998" s="342">
        <f>25</f>
        <v>25</v>
      </c>
      <c r="E1998" s="342">
        <v>4</v>
      </c>
      <c r="F1998" s="1185"/>
      <c r="G1998" s="1160"/>
      <c r="H1998" s="503" t="s">
        <v>1123</v>
      </c>
      <c r="I1998" s="1207"/>
      <c r="J1998" s="2" t="str">
        <f>IF(Table5[[#This Row],[Entered]]&lt;&gt;Table5[[#This Row],[Quantity]],"Check","")</f>
        <v/>
      </c>
    </row>
    <row r="1999" spans="1:10" ht="15" x14ac:dyDescent="0.2">
      <c r="A1999" s="342" t="s">
        <v>3423</v>
      </c>
      <c r="B1999" s="342" t="str">
        <f t="shared" si="116"/>
        <v>1240</v>
      </c>
      <c r="C1999" s="342" t="str">
        <f t="shared" si="117"/>
        <v>02004</v>
      </c>
      <c r="D1999" s="342">
        <f>30</f>
        <v>30</v>
      </c>
      <c r="E1999" s="342">
        <v>4</v>
      </c>
      <c r="F1999" s="1185">
        <f>IF(AND(COUNTIF('Grano  Paving'!$A$10,"*Stonewash*")=0,COUNTIF('Grano  Paving'!$A$10,"*Granite*")=0,COUNTIF('Grano  Paving'!$A$10,"*Vistapave*")=1),IF('Grano  Paving'!$A$10='Grano  Paving'!$A$13,'Grano  Paving'!$H$10+'Grano  Paving'!$H$13,'Grano  Paving'!$H$10),0)</f>
        <v>0</v>
      </c>
      <c r="G1999" s="1160"/>
      <c r="H1999" s="503" t="s">
        <v>1041</v>
      </c>
      <c r="I1999" s="1207"/>
      <c r="J1999" s="2" t="str">
        <f>IF(Table5[[#This Row],[Entered]]&lt;&gt;Table5[[#This Row],[Quantity]],"Check","")</f>
        <v/>
      </c>
    </row>
    <row r="2000" spans="1:10" ht="15" x14ac:dyDescent="0.2">
      <c r="A2000" s="342" t="s">
        <v>3423</v>
      </c>
      <c r="B2000" s="342" t="str">
        <f t="shared" si="116"/>
        <v>1240</v>
      </c>
      <c r="C2000" s="342" t="str">
        <f t="shared" si="117"/>
        <v>02004</v>
      </c>
      <c r="D2000" s="342" t="s">
        <v>663</v>
      </c>
      <c r="E2000" s="342">
        <v>0</v>
      </c>
      <c r="F2000" s="1185">
        <f>IF(F1999&gt;0,1,0)</f>
        <v>0</v>
      </c>
      <c r="G2000" s="1160"/>
      <c r="H2000" s="503" t="str">
        <f ca="1">IF('Grano  Paving'!$A$10='Grano  Paving'!$A$13,'Grano  Paving'!$G$10+'Grano  Paving'!$G$13&amp;" PACKS "&amp;UPPER('Grano  Paving'!$A$10),IF(F1999&gt;0,'Grano  Paving'!$G$10&amp;" PACKS "&amp;UPPER('Grano  Paving'!$A$10),""))</f>
        <v xml:space="preserve">0 PACKS </v>
      </c>
      <c r="I2000" s="1207"/>
      <c r="J2000" s="2" t="str">
        <f>IF(Table5[[#This Row],[Entered]]&lt;&gt;Table5[[#This Row],[Quantity]],"Check","")</f>
        <v/>
      </c>
    </row>
    <row r="2001" spans="1:10" ht="15" x14ac:dyDescent="0.2">
      <c r="A2001" s="342" t="s">
        <v>3423</v>
      </c>
      <c r="B2001" s="342" t="str">
        <f t="shared" si="116"/>
        <v>1240</v>
      </c>
      <c r="C2001" s="342" t="str">
        <f t="shared" si="117"/>
        <v>02004</v>
      </c>
      <c r="D2001" s="342">
        <f>30</f>
        <v>30</v>
      </c>
      <c r="E2001" s="342">
        <v>4</v>
      </c>
      <c r="F2001" s="1185">
        <f ca="1">IF('Grano  Paving'!$A$10&lt;&gt;'Grano  Paving'!$A$13,IF(AND(COUNTIF('Grano  Paving'!$A$13,"*Stonewash*")=0,COUNTIF('Grano  Paving'!$A$13,"*Granite*")=0,COUNTIF('Grano  Paving'!$A$13,"*Vistapave*")=1),'Grano  Paving'!$H$13,0),0)</f>
        <v>0</v>
      </c>
      <c r="G2001" s="1160"/>
      <c r="H2001" s="503" t="s">
        <v>1041</v>
      </c>
      <c r="I2001" s="1207"/>
      <c r="J2001" s="2" t="str">
        <f ca="1">IF(Table5[[#This Row],[Entered]]&lt;&gt;Table5[[#This Row],[Quantity]],"Check","")</f>
        <v/>
      </c>
    </row>
    <row r="2002" spans="1:10" ht="15" x14ac:dyDescent="0.2">
      <c r="A2002" s="342" t="s">
        <v>3423</v>
      </c>
      <c r="B2002" s="342" t="str">
        <f t="shared" si="116"/>
        <v>1240</v>
      </c>
      <c r="C2002" s="342" t="str">
        <f t="shared" si="117"/>
        <v>02004</v>
      </c>
      <c r="D2002" s="342" t="s">
        <v>664</v>
      </c>
      <c r="E2002" s="342">
        <v>0</v>
      </c>
      <c r="F2002" s="1185">
        <f ca="1">IF(F2001&gt;0,1,0)</f>
        <v>0</v>
      </c>
      <c r="G2002" s="1160"/>
      <c r="H2002" s="503" t="str">
        <f ca="1">IF(F2001&gt;0,'Grano  Paving'!$G$13&amp;" PACKS "&amp;UPPER('Grano  Paving'!$A$13),"")</f>
        <v/>
      </c>
      <c r="I2002" s="1207"/>
      <c r="J2002" s="2" t="str">
        <f ca="1">IF(Table5[[#This Row],[Entered]]&lt;&gt;Table5[[#This Row],[Quantity]],"Check","")</f>
        <v/>
      </c>
    </row>
    <row r="2003" spans="1:10" ht="15" x14ac:dyDescent="0.2">
      <c r="A2003" s="342" t="s">
        <v>3423</v>
      </c>
      <c r="B2003" s="342" t="str">
        <f t="shared" si="116"/>
        <v>1240</v>
      </c>
      <c r="C2003" s="342" t="str">
        <f t="shared" si="117"/>
        <v>02004</v>
      </c>
      <c r="D2003" s="342">
        <f>35</f>
        <v>35</v>
      </c>
      <c r="E2003" s="342">
        <v>4</v>
      </c>
      <c r="F2003" s="1185">
        <f ca="1">IF('Grano  Paving'!$A$10&lt;&gt;'Grano  Paving'!$A$13,IF(AND(COUNTIF('Grano  Paving'!$A$13,"*Stonewash*")=0,COUNTIF('Grano  Paving'!$A$13,"*Granite*")=0,COUNTIF('Grano  Paving'!$A$13,"*Flagstone*")=1),'Grano  Paving'!$H$13,0),0)</f>
        <v>0</v>
      </c>
      <c r="G2003" s="1160"/>
      <c r="H2003" s="503" t="s">
        <v>1642</v>
      </c>
      <c r="I2003" s="1207"/>
      <c r="J2003" s="2" t="str">
        <f ca="1">IF(Table5[[#This Row],[Entered]]&lt;&gt;Table5[[#This Row],[Quantity]],"Check","")</f>
        <v/>
      </c>
    </row>
    <row r="2004" spans="1:10" ht="15" x14ac:dyDescent="0.2">
      <c r="A2004" s="342" t="s">
        <v>3423</v>
      </c>
      <c r="B2004" s="342" t="str">
        <f t="shared" si="116"/>
        <v>1240</v>
      </c>
      <c r="C2004" s="342" t="str">
        <f t="shared" si="117"/>
        <v>02004</v>
      </c>
      <c r="D2004" s="342" t="s">
        <v>1135</v>
      </c>
      <c r="E2004" s="342">
        <v>0</v>
      </c>
      <c r="F2004" s="1185">
        <f ca="1">IF(F2003&gt;0,1,0)</f>
        <v>0</v>
      </c>
      <c r="G2004" s="1160"/>
      <c r="H2004" s="503" t="str">
        <f ca="1">IF(F2003&gt;0,'Grano  Paving'!$G$13&amp;" PACKS "&amp;UPPER('Grano  Paving'!$A$13),"")</f>
        <v/>
      </c>
      <c r="I2004" s="1207"/>
      <c r="J2004" s="2" t="str">
        <f ca="1">IF(Table5[[#This Row],[Entered]]&lt;&gt;Table5[[#This Row],[Quantity]],"Check","")</f>
        <v/>
      </c>
    </row>
    <row r="2005" spans="1:10" ht="15" x14ac:dyDescent="0.2">
      <c r="A2005" s="342" t="s">
        <v>3423</v>
      </c>
      <c r="B2005" s="342" t="str">
        <f t="shared" si="116"/>
        <v>1240</v>
      </c>
      <c r="C2005" s="342" t="str">
        <f t="shared" si="117"/>
        <v>02004</v>
      </c>
      <c r="D2005" s="342">
        <f>40</f>
        <v>40</v>
      </c>
      <c r="E2005" s="342">
        <v>4</v>
      </c>
      <c r="F2005" s="1185">
        <f>IF(AND(COUNTIF('Grano  Paving'!$A$10,"*Stonewash*")=0,COUNTIF('Grano  Paving'!$A$10,"*Easipave*")=1),'Grano  Paving'!$H$10,0)</f>
        <v>0</v>
      </c>
      <c r="G2005" s="1160"/>
      <c r="H2005" s="503" t="s">
        <v>1042</v>
      </c>
      <c r="I2005" s="1207"/>
      <c r="J2005" s="2" t="str">
        <f>IF(Table5[[#This Row],[Entered]]&lt;&gt;Table5[[#This Row],[Quantity]],"Check","")</f>
        <v/>
      </c>
    </row>
    <row r="2006" spans="1:10" ht="15" x14ac:dyDescent="0.2">
      <c r="A2006" s="342" t="s">
        <v>3423</v>
      </c>
      <c r="B2006" s="342" t="str">
        <f t="shared" si="116"/>
        <v>1240</v>
      </c>
      <c r="C2006" s="342" t="str">
        <f t="shared" si="117"/>
        <v>02004</v>
      </c>
      <c r="D2006" s="342" t="s">
        <v>663</v>
      </c>
      <c r="E2006" s="342">
        <v>0</v>
      </c>
      <c r="F2006" s="1185">
        <f>IF(F2005&gt;0,1,0)</f>
        <v>0</v>
      </c>
      <c r="G2006" s="1160"/>
      <c r="H2006" s="503" t="str">
        <f>IF(F2005&gt;0,'Grano  Paving'!$G$10&amp;" PACKS "&amp;UPPER('Grano  Paving'!$A$10),"")</f>
        <v/>
      </c>
      <c r="I2006" s="1207"/>
      <c r="J2006" s="2" t="str">
        <f>IF(Table5[[#This Row],[Entered]]&lt;&gt;Table5[[#This Row],[Quantity]],"Check","")</f>
        <v/>
      </c>
    </row>
    <row r="2007" spans="1:10" ht="15" x14ac:dyDescent="0.2">
      <c r="A2007" s="342" t="s">
        <v>3423</v>
      </c>
      <c r="B2007" s="342" t="str">
        <f t="shared" si="116"/>
        <v>1240</v>
      </c>
      <c r="C2007" s="342" t="str">
        <f t="shared" si="117"/>
        <v>02004</v>
      </c>
      <c r="D2007" s="342">
        <f>40</f>
        <v>40</v>
      </c>
      <c r="E2007" s="342">
        <v>4</v>
      </c>
      <c r="F2007" s="1185">
        <f ca="1">IF('Grano  Paving'!$A$10&lt;&gt;'Grano  Paving'!$A$13,IF(AND(COUNTIF('Grano  Paving'!$A$13,"*Stonewash*")=0,COUNTIF('Grano  Paving'!$A$13,"*Granite*")=0,COUNTIF('Grano  Paving'!$A$13,"*Easipave*")=1),'Grano  Paving'!$H$13,0),0)</f>
        <v>0</v>
      </c>
      <c r="G2007" s="1160"/>
      <c r="H2007" s="503" t="s">
        <v>1042</v>
      </c>
      <c r="I2007" s="1207"/>
      <c r="J2007" s="2" t="str">
        <f ca="1">IF(Table5[[#This Row],[Entered]]&lt;&gt;Table5[[#This Row],[Quantity]],"Check","")</f>
        <v/>
      </c>
    </row>
    <row r="2008" spans="1:10" ht="15" x14ac:dyDescent="0.2">
      <c r="A2008" s="342" t="s">
        <v>3423</v>
      </c>
      <c r="B2008" s="342" t="str">
        <f t="shared" si="116"/>
        <v>1240</v>
      </c>
      <c r="C2008" s="342" t="str">
        <f t="shared" si="117"/>
        <v>02004</v>
      </c>
      <c r="D2008" s="342" t="s">
        <v>664</v>
      </c>
      <c r="E2008" s="342">
        <v>0</v>
      </c>
      <c r="F2008" s="1185">
        <f ca="1">IF(F2007&gt;0,1,0)</f>
        <v>0</v>
      </c>
      <c r="G2008" s="1160"/>
      <c r="H2008" s="503" t="str">
        <f ca="1">IF(F2007&gt;0,'Grano  Paving'!$G$13&amp;" PACKS "&amp;UPPER('Grano  Paving'!$A$13),"")</f>
        <v/>
      </c>
      <c r="I2008" s="1207"/>
      <c r="J2008" s="2" t="str">
        <f ca="1">IF(Table5[[#This Row],[Entered]]&lt;&gt;Table5[[#This Row],[Quantity]],"Check","")</f>
        <v/>
      </c>
    </row>
    <row r="2009" spans="1:10" ht="15" x14ac:dyDescent="0.2">
      <c r="A2009" s="342" t="s">
        <v>3423</v>
      </c>
      <c r="B2009" s="342" t="str">
        <f t="shared" si="116"/>
        <v>1240</v>
      </c>
      <c r="C2009" s="342" t="str">
        <f t="shared" si="117"/>
        <v>02004</v>
      </c>
      <c r="D2009" s="342">
        <f>45</f>
        <v>45</v>
      </c>
      <c r="E2009" s="342">
        <v>4</v>
      </c>
      <c r="F2009" s="1185">
        <f>IF(AND(COUNTIF('Grano  Paving'!$A$10,"*Stonewash*")=0,COUNTIF('Grano  Paving'!$A$10,"*NEWPAVE*")=1),'Grano  Paving'!$H$10,0)</f>
        <v>0</v>
      </c>
      <c r="G2009" s="1160"/>
      <c r="H2009" s="503" t="s">
        <v>1043</v>
      </c>
      <c r="I2009" s="1207"/>
      <c r="J2009" s="2" t="str">
        <f>IF(Table5[[#This Row],[Entered]]&lt;&gt;Table5[[#This Row],[Quantity]],"Check","")</f>
        <v/>
      </c>
    </row>
    <row r="2010" spans="1:10" ht="15" x14ac:dyDescent="0.2">
      <c r="A2010" s="342" t="s">
        <v>3423</v>
      </c>
      <c r="B2010" s="342" t="str">
        <f t="shared" si="116"/>
        <v>1240</v>
      </c>
      <c r="C2010" s="342" t="str">
        <f t="shared" si="117"/>
        <v>02004</v>
      </c>
      <c r="D2010" s="342" t="s">
        <v>663</v>
      </c>
      <c r="E2010" s="342">
        <v>0</v>
      </c>
      <c r="F2010" s="1185">
        <f>IF(F2009&gt;0,1,0)</f>
        <v>0</v>
      </c>
      <c r="G2010" s="1160"/>
      <c r="H2010" s="503" t="str">
        <f>IF(F2009&gt;0,'Grano  Paving'!$G$10&amp;" PACKS "&amp;UPPER('Grano  Paving'!$A$10),"")</f>
        <v/>
      </c>
      <c r="I2010" s="1207"/>
      <c r="J2010" s="2" t="str">
        <f>IF(Table5[[#This Row],[Entered]]&lt;&gt;Table5[[#This Row],[Quantity]],"Check","")</f>
        <v/>
      </c>
    </row>
    <row r="2011" spans="1:10" ht="15" x14ac:dyDescent="0.2">
      <c r="A2011" s="342" t="s">
        <v>3423</v>
      </c>
      <c r="B2011" s="342" t="str">
        <f t="shared" si="116"/>
        <v>1240</v>
      </c>
      <c r="C2011" s="342" t="str">
        <f t="shared" si="117"/>
        <v>02004</v>
      </c>
      <c r="D2011" s="342">
        <f>45</f>
        <v>45</v>
      </c>
      <c r="E2011" s="342">
        <v>4</v>
      </c>
      <c r="F2011" s="1185">
        <f ca="1">IF('Grano  Paving'!$A$10&lt;&gt;'Grano  Paving'!$A$13,IF(AND(COUNTIF('Grano  Paving'!$A$13,"*Stonewash*")=0,COUNTIF('Grano  Paving'!$A$13,"*NEWPAVE*")=1),'Grano  Paving'!$H$13,0),0)</f>
        <v>0</v>
      </c>
      <c r="G2011" s="1160"/>
      <c r="H2011" s="503" t="s">
        <v>1043</v>
      </c>
      <c r="I2011" s="1207"/>
      <c r="J2011" s="2" t="str">
        <f ca="1">IF(Table5[[#This Row],[Entered]]&lt;&gt;Table5[[#This Row],[Quantity]],"Check","")</f>
        <v/>
      </c>
    </row>
    <row r="2012" spans="1:10" ht="15" x14ac:dyDescent="0.2">
      <c r="A2012" s="342" t="s">
        <v>3423</v>
      </c>
      <c r="B2012" s="342" t="str">
        <f t="shared" si="116"/>
        <v>1240</v>
      </c>
      <c r="C2012" s="342" t="str">
        <f t="shared" si="117"/>
        <v>02004</v>
      </c>
      <c r="D2012" s="342" t="s">
        <v>664</v>
      </c>
      <c r="E2012" s="342">
        <v>0</v>
      </c>
      <c r="F2012" s="1185">
        <f ca="1">IF(F2011&gt;0,1,0)</f>
        <v>0</v>
      </c>
      <c r="G2012" s="1160"/>
      <c r="H2012" s="503" t="str">
        <f ca="1">IF(F2011&gt;0,'Grano  Paving'!$G$10&amp;" PACKS "&amp;UPPER('Grano  Paving'!$A$10),"")</f>
        <v/>
      </c>
      <c r="I2012" s="1207"/>
      <c r="J2012" s="2" t="str">
        <f ca="1">IF(Table5[[#This Row],[Entered]]&lt;&gt;Table5[[#This Row],[Quantity]],"Check","")</f>
        <v/>
      </c>
    </row>
    <row r="2013" spans="1:10" ht="15" x14ac:dyDescent="0.2">
      <c r="A2013" s="342" t="s">
        <v>3423</v>
      </c>
      <c r="B2013" s="342" t="str">
        <f t="shared" si="116"/>
        <v>1240</v>
      </c>
      <c r="C2013" s="342" t="str">
        <f t="shared" si="117"/>
        <v>02004</v>
      </c>
      <c r="D2013" s="342">
        <f>46</f>
        <v>46</v>
      </c>
      <c r="E2013" s="342">
        <v>4</v>
      </c>
      <c r="F2013" s="1185">
        <f>IF(AND(COUNTIF('Grano  Paving'!$A$10,"*Stonewash*")=0,COUNTIF('Grano  Paving'!$A$10,"*GRANDPAVE*")=1),'Grano  Paving'!$H$10,0)</f>
        <v>0</v>
      </c>
      <c r="G2013" s="1160"/>
      <c r="H2013" s="503" t="s">
        <v>1044</v>
      </c>
      <c r="I2013" s="1207"/>
      <c r="J2013" s="2" t="str">
        <f>IF(Table5[[#This Row],[Entered]]&lt;&gt;Table5[[#This Row],[Quantity]],"Check","")</f>
        <v/>
      </c>
    </row>
    <row r="2014" spans="1:10" ht="15" x14ac:dyDescent="0.2">
      <c r="A2014" s="342" t="s">
        <v>3423</v>
      </c>
      <c r="B2014" s="342" t="str">
        <f t="shared" si="116"/>
        <v>1240</v>
      </c>
      <c r="C2014" s="342" t="str">
        <f t="shared" si="117"/>
        <v>02004</v>
      </c>
      <c r="D2014" s="342" t="s">
        <v>663</v>
      </c>
      <c r="E2014" s="342">
        <v>0</v>
      </c>
      <c r="F2014" s="1185">
        <f>IF(F2013&gt;0,1,0)</f>
        <v>0</v>
      </c>
      <c r="G2014" s="1160"/>
      <c r="H2014" s="503" t="str">
        <f>IF(F2013&gt;0,'Grano  Paving'!$G$10&amp;" PACKS "&amp;UPPER('Grano  Paving'!$A$10),"")</f>
        <v/>
      </c>
      <c r="I2014" s="1207"/>
      <c r="J2014" s="2" t="str">
        <f>IF(Table5[[#This Row],[Entered]]&lt;&gt;Table5[[#This Row],[Quantity]],"Check","")</f>
        <v/>
      </c>
    </row>
    <row r="2015" spans="1:10" ht="15" x14ac:dyDescent="0.2">
      <c r="A2015" s="342" t="s">
        <v>3423</v>
      </c>
      <c r="B2015" s="342" t="str">
        <f t="shared" si="116"/>
        <v>1240</v>
      </c>
      <c r="C2015" s="342" t="str">
        <f t="shared" si="117"/>
        <v>02004</v>
      </c>
      <c r="D2015" s="342">
        <f>46</f>
        <v>46</v>
      </c>
      <c r="E2015" s="342">
        <v>4</v>
      </c>
      <c r="F2015" s="1185">
        <f ca="1">IF('Grano  Paving'!$A$10&lt;&gt;'Grano  Paving'!$A$13,IF(AND(COUNTIF('Grano  Paving'!$A$13,"*Stonewash*")=0,COUNTIF('Grano  Paving'!$A$13,"*GRANDPAVE*")=1),'Grano  Paving'!$H$13,0),0)</f>
        <v>0</v>
      </c>
      <c r="G2015" s="1160"/>
      <c r="H2015" s="503" t="s">
        <v>1044</v>
      </c>
      <c r="I2015" s="1207"/>
      <c r="J2015" s="2" t="str">
        <f ca="1">IF(Table5[[#This Row],[Entered]]&lt;&gt;Table5[[#This Row],[Quantity]],"Check","")</f>
        <v/>
      </c>
    </row>
    <row r="2016" spans="1:10" ht="15" x14ac:dyDescent="0.2">
      <c r="A2016" s="342" t="s">
        <v>3423</v>
      </c>
      <c r="B2016" s="342" t="str">
        <f t="shared" si="116"/>
        <v>1240</v>
      </c>
      <c r="C2016" s="342" t="str">
        <f t="shared" si="117"/>
        <v>02004</v>
      </c>
      <c r="D2016" s="342" t="s">
        <v>664</v>
      </c>
      <c r="E2016" s="342">
        <v>0</v>
      </c>
      <c r="F2016" s="1185">
        <f ca="1">IF(F2015&gt;0,1,0)</f>
        <v>0</v>
      </c>
      <c r="G2016" s="1160"/>
      <c r="H2016" s="503" t="str">
        <f ca="1">IF(F2015&gt;0,'Grano  Paving'!$G$10&amp;" PACKS "&amp;UPPER('Grano  Paving'!$A$10),"")</f>
        <v/>
      </c>
      <c r="I2016" s="1207"/>
      <c r="J2016" s="2" t="str">
        <f ca="1">IF(Table5[[#This Row],[Entered]]&lt;&gt;Table5[[#This Row],[Quantity]],"Check","")</f>
        <v/>
      </c>
    </row>
    <row r="2017" spans="1:10" ht="15" x14ac:dyDescent="0.2">
      <c r="A2017" s="342" t="s">
        <v>3423</v>
      </c>
      <c r="B2017" s="342" t="str">
        <f t="shared" si="116"/>
        <v>1240</v>
      </c>
      <c r="C2017" s="342" t="str">
        <f t="shared" si="117"/>
        <v>02004</v>
      </c>
      <c r="D2017" s="342">
        <f>47</f>
        <v>47</v>
      </c>
      <c r="E2017" s="342">
        <v>4</v>
      </c>
      <c r="F2017" s="1185">
        <v>0</v>
      </c>
      <c r="G2017" s="1160"/>
      <c r="H2017" s="503" t="s">
        <v>1124</v>
      </c>
      <c r="I2017" s="1207"/>
      <c r="J2017" s="2" t="str">
        <f>IF(Table5[[#This Row],[Entered]]&lt;&gt;Table5[[#This Row],[Quantity]],"Check","")</f>
        <v/>
      </c>
    </row>
    <row r="2018" spans="1:10" ht="15" x14ac:dyDescent="0.2">
      <c r="A2018" s="324" t="s">
        <v>3423</v>
      </c>
      <c r="B2018" s="324" t="str">
        <f t="shared" si="116"/>
        <v>1240</v>
      </c>
      <c r="C2018" s="324" t="str">
        <f t="shared" si="117"/>
        <v>02004</v>
      </c>
      <c r="D2018" s="324" t="str">
        <f>"0415"</f>
        <v>0415</v>
      </c>
      <c r="E2018" s="324">
        <v>4</v>
      </c>
      <c r="F2018" s="973">
        <f>IF(AND(COUNTIF('Grano  Paving'!$A$10,"*Stonewash*")=1,COUNTIF('Grano  Paving'!$A$10,"*Vistapave*")=1),IF('Grano  Paving'!$A$10='Grano  Paving'!$A$13,'Grano  Paving'!$H$10+'Grano  Paving'!$H$13,'Grano  Paving'!$H$10),0)</f>
        <v>0</v>
      </c>
      <c r="G2018" s="829">
        <v>746.05</v>
      </c>
      <c r="H2018" s="412" t="s">
        <v>3805</v>
      </c>
      <c r="I2018" s="1258"/>
      <c r="J2018" s="2" t="str">
        <f>IF(Table5[[#This Row],[Entered]]&lt;&gt;Table5[[#This Row],[Quantity]],"Check","")</f>
        <v/>
      </c>
    </row>
    <row r="2019" spans="1:10" ht="15" x14ac:dyDescent="0.2">
      <c r="A2019" s="324" t="s">
        <v>3423</v>
      </c>
      <c r="B2019" s="324" t="str">
        <f t="shared" si="116"/>
        <v>1240</v>
      </c>
      <c r="C2019" s="324" t="str">
        <f t="shared" si="117"/>
        <v>02004</v>
      </c>
      <c r="D2019" s="324" t="str">
        <f>"7000"</f>
        <v>7000</v>
      </c>
      <c r="E2019" s="324">
        <v>0</v>
      </c>
      <c r="F2019" s="973">
        <f>IF(F2018&gt;0,1,0)</f>
        <v>0</v>
      </c>
      <c r="G2019" s="829">
        <v>0</v>
      </c>
      <c r="H2019" s="412" t="str">
        <f ca="1">IF('Grano  Paving'!$A$10='Grano  Paving'!$A$13,'Grano  Paving'!$G$10+'Grano  Paving'!$G$13&amp;" PACKS "&amp;UPPER('Grano  Paving'!$A$10),IF(F2018&gt;0,'Grano  Paving'!$G$10&amp;" PACKS "&amp;UPPER('Grano  Paving'!$A$10),""))</f>
        <v xml:space="preserve">0 PACKS </v>
      </c>
      <c r="I2019" s="1207"/>
      <c r="J2019" s="2" t="str">
        <f>IF(Table5[[#This Row],[Entered]]&lt;&gt;Table5[[#This Row],[Quantity]],"Check","")</f>
        <v/>
      </c>
    </row>
    <row r="2020" spans="1:10" ht="15" x14ac:dyDescent="0.2">
      <c r="A2020" s="342" t="s">
        <v>3423</v>
      </c>
      <c r="B2020" s="342" t="str">
        <f t="shared" si="116"/>
        <v>1240</v>
      </c>
      <c r="C2020" s="342" t="str">
        <f t="shared" si="117"/>
        <v>02004</v>
      </c>
      <c r="D2020" s="342">
        <f>50</f>
        <v>50</v>
      </c>
      <c r="E2020" s="342">
        <v>4</v>
      </c>
      <c r="F2020" s="1185">
        <f ca="1">IF('Grano  Paving'!$A$10&lt;&gt;'Grano  Paving'!$A$13,IF(AND(COUNTIF('Grano  Paving'!$A$13,"*Stonewash*")=1,COUNTIF('Grano  Paving'!$A$13,"*Vistapave*")=1),'Grano  Paving'!$H$13,0),0)</f>
        <v>0</v>
      </c>
      <c r="G2020" s="1160"/>
      <c r="H2020" s="503" t="s">
        <v>2305</v>
      </c>
      <c r="I2020" s="1207"/>
      <c r="J2020" s="2" t="str">
        <f ca="1">IF(Table5[[#This Row],[Entered]]&lt;&gt;Table5[[#This Row],[Quantity]],"Check","")</f>
        <v/>
      </c>
    </row>
    <row r="2021" spans="1:10" ht="15" x14ac:dyDescent="0.2">
      <c r="A2021" s="342" t="s">
        <v>3423</v>
      </c>
      <c r="B2021" s="342" t="str">
        <f t="shared" si="116"/>
        <v>1240</v>
      </c>
      <c r="C2021" s="342" t="str">
        <f t="shared" si="117"/>
        <v>02004</v>
      </c>
      <c r="D2021" s="342" t="s">
        <v>664</v>
      </c>
      <c r="E2021" s="342">
        <v>0</v>
      </c>
      <c r="F2021" s="1185">
        <f ca="1">IF(F2020&gt;0,1,0)</f>
        <v>0</v>
      </c>
      <c r="G2021" s="1160"/>
      <c r="H2021" s="503" t="str">
        <f ca="1">IF(F2020&gt;0,'Grano  Paving'!$G$13&amp;" PACKS "&amp;UPPER('Grano  Paving'!$A$13),"")</f>
        <v/>
      </c>
      <c r="I2021" s="1207"/>
      <c r="J2021" s="2" t="str">
        <f ca="1">IF(Table5[[#This Row],[Entered]]&lt;&gt;Table5[[#This Row],[Quantity]],"Check","")</f>
        <v/>
      </c>
    </row>
    <row r="2022" spans="1:10" ht="15" x14ac:dyDescent="0.2">
      <c r="A2022" s="342" t="s">
        <v>3423</v>
      </c>
      <c r="B2022" s="342" t="str">
        <f t="shared" si="116"/>
        <v>1240</v>
      </c>
      <c r="C2022" s="342" t="str">
        <f t="shared" si="117"/>
        <v>02004</v>
      </c>
      <c r="D2022" s="342">
        <f>51</f>
        <v>51</v>
      </c>
      <c r="E2022" s="342">
        <v>4</v>
      </c>
      <c r="F2022" s="1185">
        <f>IF(AND(COUNTIF('Grano  Paving'!$A$10,"*Stonewash*")=1,COUNTIF('Grano  Paving'!$A$10,"*GRANDPAVE*")=1),'Grano  Paving'!$H$10,0)</f>
        <v>0</v>
      </c>
      <c r="G2022" s="1160"/>
      <c r="H2022" s="503" t="s">
        <v>2306</v>
      </c>
      <c r="I2022" s="1207"/>
      <c r="J2022" s="2" t="str">
        <f>IF(Table5[[#This Row],[Entered]]&lt;&gt;Table5[[#This Row],[Quantity]],"Check","")</f>
        <v/>
      </c>
    </row>
    <row r="2023" spans="1:10" ht="15" x14ac:dyDescent="0.2">
      <c r="A2023" s="342" t="s">
        <v>3423</v>
      </c>
      <c r="B2023" s="342" t="str">
        <f t="shared" si="116"/>
        <v>1240</v>
      </c>
      <c r="C2023" s="342" t="str">
        <f t="shared" si="117"/>
        <v>02004</v>
      </c>
      <c r="D2023" s="342" t="s">
        <v>663</v>
      </c>
      <c r="E2023" s="342">
        <v>0</v>
      </c>
      <c r="F2023" s="1185">
        <f>IF(F2022&gt;0,1,0)</f>
        <v>0</v>
      </c>
      <c r="G2023" s="1160"/>
      <c r="H2023" s="503" t="str">
        <f>IF(F2022&gt;0,'Grano  Paving'!$G$10&amp;" PACKS "&amp;UPPER('Grano  Paving'!$A$10),"")</f>
        <v/>
      </c>
      <c r="I2023" s="1207"/>
      <c r="J2023" s="2" t="str">
        <f>IF(Table5[[#This Row],[Entered]]&lt;&gt;Table5[[#This Row],[Quantity]],"Check","")</f>
        <v/>
      </c>
    </row>
    <row r="2024" spans="1:10" ht="15" x14ac:dyDescent="0.2">
      <c r="A2024" s="342" t="s">
        <v>3423</v>
      </c>
      <c r="B2024" s="342" t="str">
        <f t="shared" si="116"/>
        <v>1240</v>
      </c>
      <c r="C2024" s="342" t="str">
        <f t="shared" si="117"/>
        <v>02004</v>
      </c>
      <c r="D2024" s="342">
        <f>51</f>
        <v>51</v>
      </c>
      <c r="E2024" s="342">
        <v>4</v>
      </c>
      <c r="F2024" s="1185">
        <f ca="1">IF('Grano  Paving'!$A$10&lt;&gt;'Grano  Paving'!$A$13,IF(AND(COUNTIF('Grano  Paving'!$A$13,"*Stonewash*")=1,COUNTIF('Grano  Paving'!$A$13,"*GRANDPAVE*")=1),'Grano  Paving'!$H$13,0),0)</f>
        <v>0</v>
      </c>
      <c r="G2024" s="1160"/>
      <c r="H2024" s="503" t="s">
        <v>2306</v>
      </c>
      <c r="I2024" s="1207"/>
      <c r="J2024" s="2" t="str">
        <f ca="1">IF(Table5[[#This Row],[Entered]]&lt;&gt;Table5[[#This Row],[Quantity]],"Check","")</f>
        <v/>
      </c>
    </row>
    <row r="2025" spans="1:10" ht="15" x14ac:dyDescent="0.2">
      <c r="A2025" s="342" t="s">
        <v>3423</v>
      </c>
      <c r="B2025" s="342" t="str">
        <f t="shared" si="116"/>
        <v>1240</v>
      </c>
      <c r="C2025" s="342" t="str">
        <f t="shared" si="117"/>
        <v>02004</v>
      </c>
      <c r="D2025" s="342" t="s">
        <v>664</v>
      </c>
      <c r="E2025" s="342">
        <v>0</v>
      </c>
      <c r="F2025" s="1185">
        <f ca="1">IF(F2024&gt;0,1,0)</f>
        <v>0</v>
      </c>
      <c r="G2025" s="1160"/>
      <c r="H2025" s="503" t="str">
        <f ca="1">IF(F2024&gt;0,'Grano  Paving'!$G$10&amp;" PACKS "&amp;UPPER('Grano  Paving'!$A$10),"")</f>
        <v/>
      </c>
      <c r="I2025" s="1207"/>
      <c r="J2025" s="2" t="str">
        <f ca="1">IF(Table5[[#This Row],[Entered]]&lt;&gt;Table5[[#This Row],[Quantity]],"Check","")</f>
        <v/>
      </c>
    </row>
    <row r="2026" spans="1:10" ht="15" x14ac:dyDescent="0.2">
      <c r="A2026" s="324" t="s">
        <v>3423</v>
      </c>
      <c r="B2026" s="324" t="str">
        <f t="shared" si="116"/>
        <v>1240</v>
      </c>
      <c r="C2026" s="324" t="str">
        <f t="shared" si="117"/>
        <v>02004</v>
      </c>
      <c r="D2026" s="324" t="str">
        <f>"0432"</f>
        <v>0432</v>
      </c>
      <c r="E2026" s="324">
        <v>4</v>
      </c>
      <c r="F2026" s="973">
        <f>IF(AND(COUNTIF('Grano  Paving'!$A$10,"*Stonewash*")=1,COUNTIF('Grano  Paving'!$A$10,"*FLAGSTONE*")=1),IF('Grano  Paving'!$A$10='Grano  Paving'!$A$13,'Grano  Paving'!$H$10+'Grano  Paving'!$H$13,'Grano  Paving'!$H$10),0)</f>
        <v>0</v>
      </c>
      <c r="G2026" s="829">
        <v>1140</v>
      </c>
      <c r="H2026" s="412" t="s">
        <v>3608</v>
      </c>
      <c r="I2026" s="1207"/>
      <c r="J2026" s="2" t="str">
        <f>IF(Table5[[#This Row],[Entered]]&lt;&gt;Table5[[#This Row],[Quantity]],"Check","")</f>
        <v/>
      </c>
    </row>
    <row r="2027" spans="1:10" ht="15" x14ac:dyDescent="0.2">
      <c r="A2027" s="324" t="s">
        <v>3423</v>
      </c>
      <c r="B2027" s="324" t="str">
        <f t="shared" si="116"/>
        <v>1240</v>
      </c>
      <c r="C2027" s="324" t="str">
        <f t="shared" si="117"/>
        <v>02004</v>
      </c>
      <c r="D2027" s="324">
        <v>7000</v>
      </c>
      <c r="E2027" s="324">
        <v>0</v>
      </c>
      <c r="F2027" s="973">
        <f>IF(F2026&gt;0,1,0)</f>
        <v>0</v>
      </c>
      <c r="G2027" s="829">
        <v>0</v>
      </c>
      <c r="H2027" s="412" t="str">
        <f>IF(F2026&gt;0,'Grano  Paving'!$G$10&amp;" PACKS "&amp;UPPER('Grano  Paving'!$A$10),"")</f>
        <v/>
      </c>
      <c r="I2027" s="1207"/>
      <c r="J2027" s="2" t="str">
        <f>IF(Table5[[#This Row],[Entered]]&lt;&gt;Table5[[#This Row],[Quantity]],"Check","")</f>
        <v/>
      </c>
    </row>
    <row r="2028" spans="1:10" ht="15" x14ac:dyDescent="0.2">
      <c r="A2028" s="324" t="s">
        <v>3423</v>
      </c>
      <c r="B2028" s="324" t="str">
        <f t="shared" si="116"/>
        <v>1240</v>
      </c>
      <c r="C2028" s="324" t="str">
        <f t="shared" si="117"/>
        <v>02004</v>
      </c>
      <c r="D2028" s="324" t="str">
        <f>"0414"</f>
        <v>0414</v>
      </c>
      <c r="E2028" s="324">
        <v>4</v>
      </c>
      <c r="F2028" s="973">
        <f>IF(AND(COUNTIF('Grano  Paving'!$A$10,"*Granite*")=1,COUNTIF('Grano  Paving'!$A$10,"*Vistapave*")=1),IF('Grano  Paving'!$A$10='Grano  Paving'!$A$13,'Grano  Paving'!$H$10+'Grano  Paving'!$H$13,'Grano  Paving'!$H$10),0)</f>
        <v>0</v>
      </c>
      <c r="G2028" s="829"/>
      <c r="H2028" s="412" t="s">
        <v>2308</v>
      </c>
      <c r="I2028" s="1258"/>
      <c r="J2028" s="2" t="str">
        <f>IF(Table5[[#This Row],[Entered]]&lt;&gt;Table5[[#This Row],[Quantity]],"Check","")</f>
        <v/>
      </c>
    </row>
    <row r="2029" spans="1:10" ht="15" x14ac:dyDescent="0.2">
      <c r="A2029" s="324" t="s">
        <v>3423</v>
      </c>
      <c r="B2029" s="324" t="str">
        <f t="shared" si="116"/>
        <v>1240</v>
      </c>
      <c r="C2029" s="324" t="str">
        <f t="shared" si="117"/>
        <v>02004</v>
      </c>
      <c r="D2029" s="324">
        <v>7000</v>
      </c>
      <c r="E2029" s="324">
        <v>0</v>
      </c>
      <c r="F2029" s="973">
        <f>IF(F2028&gt;0,1,0)</f>
        <v>0</v>
      </c>
      <c r="G2029" s="829">
        <v>0</v>
      </c>
      <c r="H2029" s="412" t="str">
        <f ca="1">IF('Grano  Paving'!$A$10='Grano  Paving'!$A$13,'Grano  Paving'!$G$10+'Grano  Paving'!$G$13&amp;" PACKS "&amp;'Grano  Paving'!$A$10,IF(F2028&gt;0,'Grano  Paving'!$G$10&amp;" PACKS "&amp;UPPER('Grano  Paving'!$A$10),""))</f>
        <v xml:space="preserve">0 PACKS </v>
      </c>
      <c r="I2029" s="1258"/>
      <c r="J2029" s="2" t="str">
        <f>IF(Table5[[#This Row],[Entered]]&lt;&gt;Table5[[#This Row],[Quantity]],"Check","")</f>
        <v/>
      </c>
    </row>
    <row r="2030" spans="1:10" ht="15" x14ac:dyDescent="0.2">
      <c r="A2030" s="324" t="s">
        <v>3423</v>
      </c>
      <c r="B2030" s="324" t="str">
        <f t="shared" si="116"/>
        <v>1240</v>
      </c>
      <c r="C2030" s="324" t="str">
        <f t="shared" si="117"/>
        <v>02004</v>
      </c>
      <c r="D2030" s="324" t="str">
        <f>"0414"</f>
        <v>0414</v>
      </c>
      <c r="E2030" s="324">
        <v>4</v>
      </c>
      <c r="F2030" s="973">
        <f ca="1">IF('Grano  Paving'!$A$10&lt;&gt;'Grano  Paving'!$A$13,IF(AND(COUNTIF('Grano  Paving'!$A$13,"*Granite*")=1,COUNTIF('Grano  Paving'!$A$13,"*Vistapave*")=1),'Grano  Paving'!$H$13,0),0)</f>
        <v>0</v>
      </c>
      <c r="G2030" s="829">
        <v>721.36</v>
      </c>
      <c r="H2030" s="412" t="s">
        <v>2308</v>
      </c>
      <c r="I2030" s="1258"/>
      <c r="J2030" s="2" t="str">
        <f ca="1">IF(Table5[[#This Row],[Entered]]&lt;&gt;Table5[[#This Row],[Quantity]],"Check","")</f>
        <v/>
      </c>
    </row>
    <row r="2031" spans="1:10" ht="15" x14ac:dyDescent="0.2">
      <c r="A2031" s="324" t="s">
        <v>3423</v>
      </c>
      <c r="B2031" s="324" t="str">
        <f t="shared" si="116"/>
        <v>1240</v>
      </c>
      <c r="C2031" s="324" t="str">
        <f t="shared" si="117"/>
        <v>02004</v>
      </c>
      <c r="D2031" s="324">
        <v>7001</v>
      </c>
      <c r="E2031" s="324">
        <v>0</v>
      </c>
      <c r="F2031" s="973">
        <f ca="1">IF(F2030&gt;0,1,0)</f>
        <v>0</v>
      </c>
      <c r="G2031" s="829">
        <v>0</v>
      </c>
      <c r="H2031" s="412" t="str">
        <f ca="1">IF(F2030&gt;0,'Grano  Paving'!$G$13&amp;" PACKS "&amp;UPPER('Grano  Paving'!$A$13),"")</f>
        <v/>
      </c>
      <c r="I2031" s="1258"/>
      <c r="J2031" s="2" t="str">
        <f ca="1">IF(Table5[[#This Row],[Entered]]&lt;&gt;Table5[[#This Row],[Quantity]],"Check","")</f>
        <v/>
      </c>
    </row>
    <row r="2032" spans="1:10" ht="15" x14ac:dyDescent="0.2">
      <c r="A2032" s="324" t="s">
        <v>3423</v>
      </c>
      <c r="B2032" s="324" t="str">
        <f t="shared" si="116"/>
        <v>1240</v>
      </c>
      <c r="C2032" s="324" t="str">
        <f t="shared" si="117"/>
        <v>02004</v>
      </c>
      <c r="D2032" s="324" t="str">
        <f>"0433"</f>
        <v>0433</v>
      </c>
      <c r="E2032" s="324">
        <v>4</v>
      </c>
      <c r="F2032" s="973">
        <f>IF(AND(COUNTIF('Grano  Paving'!$A$10,"*Stonewash*")=0,COUNTIF('Grano  Paving'!$A$10,"*Granite*")=0,COUNTIF('Grano  Paving'!$A$10,"*Flagstone*")=1),IF('Grano  Paving'!$A$10='Grano  Paving'!$A$13,'Grano  Paving'!$H$10+'Grano  Paving'!$H$13,'Grano  Paving'!$H$10),0)</f>
        <v>0</v>
      </c>
      <c r="G2032" s="829">
        <v>1180</v>
      </c>
      <c r="H2032" s="412" t="s">
        <v>3656</v>
      </c>
      <c r="I2032" s="1258"/>
      <c r="J2032" s="2" t="str">
        <f>IF(Table5[[#This Row],[Entered]]&lt;&gt;Table5[[#This Row],[Quantity]],"Check","")</f>
        <v/>
      </c>
    </row>
    <row r="2033" spans="1:10" ht="15" x14ac:dyDescent="0.2">
      <c r="A2033" s="324" t="s">
        <v>3423</v>
      </c>
      <c r="B2033" s="324" t="str">
        <f t="shared" si="116"/>
        <v>1240</v>
      </c>
      <c r="C2033" s="324" t="str">
        <f t="shared" si="117"/>
        <v>02004</v>
      </c>
      <c r="D2033" s="324" t="str">
        <f>"7002"</f>
        <v>7002</v>
      </c>
      <c r="E2033" s="324">
        <v>0</v>
      </c>
      <c r="F2033" s="973">
        <f>IF(F2032&gt;0,1,0)</f>
        <v>0</v>
      </c>
      <c r="G2033" s="829">
        <v>0</v>
      </c>
      <c r="H2033" s="412" t="str">
        <f ca="1">IF('Grano  Paving'!$A$10='Grano  Paving'!$A$13,'Grano  Paving'!$G$10+'Grano  Paving'!$G$13&amp;" PACKS "&amp;UPPER('Grano  Paving'!$A$10),IF(F2032&gt;0,'Grano  Paving'!$G$10&amp;" PACKS "&amp;UPPER('Grano  Paving'!$A$10),""))</f>
        <v xml:space="preserve">0 PACKS </v>
      </c>
      <c r="I2033" s="1258"/>
      <c r="J2033" s="2" t="str">
        <f>IF(Table5[[#This Row],[Entered]]&lt;&gt;Table5[[#This Row],[Quantity]],"Check","")</f>
        <v/>
      </c>
    </row>
    <row r="2034" spans="1:10" ht="15" x14ac:dyDescent="0.2">
      <c r="A2034" s="342" t="s">
        <v>3423</v>
      </c>
      <c r="B2034" s="342" t="str">
        <f t="shared" si="116"/>
        <v>1240</v>
      </c>
      <c r="C2034" s="342" t="str">
        <f t="shared" si="117"/>
        <v>02004</v>
      </c>
      <c r="D2034" s="342">
        <f>66</f>
        <v>66</v>
      </c>
      <c r="E2034" s="342">
        <v>4</v>
      </c>
      <c r="F2034" s="1185">
        <f ca="1">IF(AND(COUNTIF('Grano  Paving'!$A$10,"*Granite*")=1,COUNTIF('Grano  Paving'!$A$10,"*Flagstone*")=1),IF('Grano  Paving'!$A$10='Grano  Paving'!$A$13,'Grano  Paving'!$H$10+'Grano  Paving'!$H$13,'Grano  Paving'!$H$10),0)+IF('Grano  Paving'!$A$10&lt;&gt;'Grano  Paving'!$A$13,IF(AND(COUNTIF('Grano  Paving'!$A$13,"*Granite*")=1,COUNTIF('Grano  Paving'!$A$13,"*Flagstone*")=1),'Grano  Paving'!$H$13,0),0)</f>
        <v>0</v>
      </c>
      <c r="G2034" s="1160"/>
      <c r="H2034" s="503" t="s">
        <v>2309</v>
      </c>
      <c r="I2034" s="1207"/>
      <c r="J2034" s="2" t="str">
        <f ca="1">IF(Table5[[#This Row],[Entered]]&lt;&gt;Table5[[#This Row],[Quantity]],"Check","")</f>
        <v/>
      </c>
    </row>
    <row r="2035" spans="1:10" ht="15" x14ac:dyDescent="0.2">
      <c r="A2035" s="342" t="s">
        <v>3423</v>
      </c>
      <c r="B2035" s="342" t="str">
        <f t="shared" si="116"/>
        <v>1240</v>
      </c>
      <c r="C2035" s="342" t="str">
        <f t="shared" si="117"/>
        <v>02004</v>
      </c>
      <c r="D2035" s="342" t="s">
        <v>663</v>
      </c>
      <c r="E2035" s="342">
        <v>0</v>
      </c>
      <c r="F2035" s="1185">
        <f ca="1">IF(F2034&gt;0,1,0)</f>
        <v>0</v>
      </c>
      <c r="G2035" s="1160"/>
      <c r="H2035" s="503" t="str">
        <f ca="1">IF(F2034&gt;0,'Grano  Paving'!$G$10&amp;" PACKS "&amp;UPPER('Grano  Paving'!$A$10),"")</f>
        <v/>
      </c>
      <c r="I2035" s="1207"/>
      <c r="J2035" s="2" t="str">
        <f ca="1">IF(Table5[[#This Row],[Entered]]&lt;&gt;Table5[[#This Row],[Quantity]],"Check","")</f>
        <v/>
      </c>
    </row>
    <row r="2036" spans="1:10" ht="15" x14ac:dyDescent="0.2">
      <c r="A2036" s="342" t="s">
        <v>3423</v>
      </c>
      <c r="B2036" s="342" t="str">
        <f t="shared" si="116"/>
        <v>1240</v>
      </c>
      <c r="C2036" s="342" t="str">
        <f t="shared" si="117"/>
        <v>02004</v>
      </c>
      <c r="D2036" s="342">
        <f>70</f>
        <v>70</v>
      </c>
      <c r="E2036" s="342">
        <v>4</v>
      </c>
      <c r="F2036" s="1185">
        <f>IF(AND(COUNTIF('Grano  Paving'!$A$10,"*GRANITE*")=1,COUNTIF('Grano  Paving'!$A$10,"*GRANDPAVE*")=1),'Grano  Paving'!$H$10,0)</f>
        <v>0</v>
      </c>
      <c r="G2036" s="1160"/>
      <c r="H2036" s="503" t="s">
        <v>2310</v>
      </c>
      <c r="I2036" s="1207"/>
      <c r="J2036" s="2" t="str">
        <f>IF(Table5[[#This Row],[Entered]]&lt;&gt;Table5[[#This Row],[Quantity]],"Check","")</f>
        <v/>
      </c>
    </row>
    <row r="2037" spans="1:10" ht="15" x14ac:dyDescent="0.2">
      <c r="A2037" s="342" t="s">
        <v>3423</v>
      </c>
      <c r="B2037" s="342" t="str">
        <f t="shared" si="116"/>
        <v>1240</v>
      </c>
      <c r="C2037" s="342" t="str">
        <f t="shared" si="117"/>
        <v>02004</v>
      </c>
      <c r="D2037" s="342" t="s">
        <v>663</v>
      </c>
      <c r="E2037" s="342">
        <v>0</v>
      </c>
      <c r="F2037" s="1185">
        <f>IF(F2036&gt;0,1,0)</f>
        <v>0</v>
      </c>
      <c r="G2037" s="1160"/>
      <c r="H2037" s="503" t="str">
        <f>IF(F2036&gt;0,'Grano  Paving'!$G$10&amp;" PACKS "&amp;UPPER('Grano  Paving'!$A$10),"")</f>
        <v/>
      </c>
      <c r="I2037" s="1207"/>
      <c r="J2037" s="2" t="str">
        <f>IF(Table5[[#This Row],[Entered]]&lt;&gt;Table5[[#This Row],[Quantity]],"Check","")</f>
        <v/>
      </c>
    </row>
    <row r="2038" spans="1:10" ht="15" x14ac:dyDescent="0.2">
      <c r="A2038" s="342" t="s">
        <v>3423</v>
      </c>
      <c r="B2038" s="342" t="str">
        <f t="shared" si="116"/>
        <v>1240</v>
      </c>
      <c r="C2038" s="342" t="str">
        <f t="shared" si="117"/>
        <v>02004</v>
      </c>
      <c r="D2038" s="342">
        <f>70</f>
        <v>70</v>
      </c>
      <c r="E2038" s="342">
        <v>4</v>
      </c>
      <c r="F2038" s="1185">
        <f ca="1">IF('Grano  Paving'!$A$10&lt;&gt;'Grano  Paving'!$A$13,IF(AND(COUNTIF('Grano  Paving'!$A$13,"*GRANITE*")=1,COUNTIF('Grano  Paving'!$A$13,"*GRANDPAVE*")=1),'Grano  Paving'!$H$13,0),0)</f>
        <v>0</v>
      </c>
      <c r="G2038" s="1160"/>
      <c r="H2038" s="503" t="s">
        <v>2310</v>
      </c>
      <c r="I2038" s="1207"/>
      <c r="J2038" s="2" t="str">
        <f ca="1">IF(Table5[[#This Row],[Entered]]&lt;&gt;Table5[[#This Row],[Quantity]],"Check","")</f>
        <v/>
      </c>
    </row>
    <row r="2039" spans="1:10" ht="15" x14ac:dyDescent="0.2">
      <c r="A2039" s="342" t="s">
        <v>3423</v>
      </c>
      <c r="B2039" s="342" t="str">
        <f t="shared" si="116"/>
        <v>1240</v>
      </c>
      <c r="C2039" s="342" t="str">
        <f t="shared" si="117"/>
        <v>02004</v>
      </c>
      <c r="D2039" s="342" t="s">
        <v>664</v>
      </c>
      <c r="E2039" s="342">
        <v>0</v>
      </c>
      <c r="F2039" s="1185">
        <f ca="1">IF(F2038&gt;0,1,0)</f>
        <v>0</v>
      </c>
      <c r="G2039" s="1160"/>
      <c r="H2039" s="503" t="str">
        <f ca="1">IF(F2038&gt;0,'Grano  Paving'!$G$10&amp;" PACKS "&amp;UPPER('Grano  Paving'!$A$10),"")</f>
        <v/>
      </c>
      <c r="I2039" s="1207"/>
      <c r="J2039" s="2" t="str">
        <f ca="1">IF(Table5[[#This Row],[Entered]]&lt;&gt;Table5[[#This Row],[Quantity]],"Check","")</f>
        <v/>
      </c>
    </row>
    <row r="2040" spans="1:10" ht="15" x14ac:dyDescent="0.2">
      <c r="A2040" s="324"/>
      <c r="B2040" s="324"/>
      <c r="C2040" s="324"/>
      <c r="D2040" s="324"/>
      <c r="E2040" s="324"/>
      <c r="F2040" s="973"/>
      <c r="G2040" s="829"/>
      <c r="H2040" s="412"/>
      <c r="I2040" s="1258"/>
      <c r="J2040" s="2" t="str">
        <f>IF(Table5[[#This Row],[Entered]]&lt;&gt;Table5[[#This Row],[Quantity]],"Check","")</f>
        <v/>
      </c>
    </row>
    <row r="2041" spans="1:10" ht="15" x14ac:dyDescent="0.2">
      <c r="A2041" s="342" t="s">
        <v>3423</v>
      </c>
      <c r="B2041" s="342" t="str">
        <f t="shared" ref="B2041:B2084" si="118">"1240"</f>
        <v>1240</v>
      </c>
      <c r="C2041" s="342" t="str">
        <f t="shared" ref="C2041:C2084" si="119">"02004"</f>
        <v>02004</v>
      </c>
      <c r="D2041" s="342">
        <f>20</f>
        <v>20</v>
      </c>
      <c r="E2041" s="342">
        <v>4</v>
      </c>
      <c r="F2041" s="1185">
        <v>0</v>
      </c>
      <c r="G2041" s="1160"/>
      <c r="H2041" s="503" t="s">
        <v>1122</v>
      </c>
      <c r="I2041" s="1207"/>
      <c r="J2041" s="2" t="str">
        <f>IF(Table5[[#This Row],[Entered]]&lt;&gt;Table5[[#This Row],[Quantity]],"Check","")</f>
        <v/>
      </c>
    </row>
    <row r="2042" spans="1:10" ht="15" x14ac:dyDescent="0.2">
      <c r="A2042" s="342" t="s">
        <v>3423</v>
      </c>
      <c r="B2042" s="342" t="str">
        <f t="shared" si="118"/>
        <v>1240</v>
      </c>
      <c r="C2042" s="342" t="str">
        <f t="shared" si="119"/>
        <v>02004</v>
      </c>
      <c r="D2042" s="342">
        <f>25</f>
        <v>25</v>
      </c>
      <c r="E2042" s="342">
        <v>4</v>
      </c>
      <c r="F2042" s="1185">
        <v>0</v>
      </c>
      <c r="G2042" s="1160"/>
      <c r="H2042" s="503" t="s">
        <v>1123</v>
      </c>
      <c r="I2042" s="1207"/>
      <c r="J2042" s="2" t="str">
        <f>IF(Table5[[#This Row],[Entered]]&lt;&gt;Table5[[#This Row],[Quantity]],"Check","")</f>
        <v/>
      </c>
    </row>
    <row r="2043" spans="1:10" ht="15" x14ac:dyDescent="0.2">
      <c r="A2043" s="342" t="s">
        <v>3423</v>
      </c>
      <c r="B2043" s="342" t="str">
        <f t="shared" si="118"/>
        <v>1240</v>
      </c>
      <c r="C2043" s="342" t="str">
        <f t="shared" si="119"/>
        <v>02004</v>
      </c>
      <c r="D2043" s="342">
        <f>30</f>
        <v>30</v>
      </c>
      <c r="E2043" s="342">
        <v>4</v>
      </c>
      <c r="F2043" s="1185">
        <f>IF(AND(COUNTIF('Grano  Paving'!$A$16,"*Stonewash*")=0,COUNTIF('Grano  Paving'!$A$16,"*Granite*")=0,COUNTIF('Grano  Paving'!$A$16,"*Vistapave*")=1),IF('Grano  Paving'!$A$16='Grano  Paving'!$A$19,'Grano  Paving'!$H$16+'Grano  Paving'!$H$19,'Grano  Paving'!$H$16),0)</f>
        <v>0</v>
      </c>
      <c r="G2043" s="1160"/>
      <c r="H2043" s="503" t="s">
        <v>1041</v>
      </c>
      <c r="I2043" s="1207"/>
      <c r="J2043" s="2" t="str">
        <f>IF(Table5[[#This Row],[Entered]]&lt;&gt;Table5[[#This Row],[Quantity]],"Check","")</f>
        <v/>
      </c>
    </row>
    <row r="2044" spans="1:10" ht="15" x14ac:dyDescent="0.2">
      <c r="A2044" s="342" t="s">
        <v>3423</v>
      </c>
      <c r="B2044" s="342" t="str">
        <f t="shared" si="118"/>
        <v>1240</v>
      </c>
      <c r="C2044" s="342" t="str">
        <f t="shared" si="119"/>
        <v>02004</v>
      </c>
      <c r="D2044" s="342" t="s">
        <v>663</v>
      </c>
      <c r="E2044" s="342">
        <v>0</v>
      </c>
      <c r="F2044" s="1185">
        <f>IF(F2043&gt;0,1,0)</f>
        <v>0</v>
      </c>
      <c r="G2044" s="1160"/>
      <c r="H2044" s="503" t="str">
        <f>IF('Grano  Paving'!$A$16='Grano  Paving'!$A$19,'Grano  Paving'!$G$16+'Grano  Paving'!$G$19&amp;" PACKS "&amp;UPPER('Grano  Paving'!$A$16),IF(F2043&gt;0,'Grano  Paving'!$G$16&amp;" PACKS "&amp;UPPER('Grano  Paving'!$A$16),""))</f>
        <v xml:space="preserve">0 PACKS </v>
      </c>
      <c r="I2044" s="1207"/>
      <c r="J2044" s="2" t="str">
        <f>IF(Table5[[#This Row],[Entered]]&lt;&gt;Table5[[#This Row],[Quantity]],"Check","")</f>
        <v/>
      </c>
    </row>
    <row r="2045" spans="1:10" ht="15" x14ac:dyDescent="0.2">
      <c r="A2045" s="342" t="s">
        <v>3423</v>
      </c>
      <c r="B2045" s="342" t="str">
        <f t="shared" si="118"/>
        <v>1240</v>
      </c>
      <c r="C2045" s="342" t="str">
        <f t="shared" si="119"/>
        <v>02004</v>
      </c>
      <c r="D2045" s="342">
        <f>30</f>
        <v>30</v>
      </c>
      <c r="E2045" s="342">
        <v>4</v>
      </c>
      <c r="F2045" s="1185">
        <f>IF('Grano  Paving'!$A$16&lt;&gt;'Grano  Paving'!$A$19,IF(AND(COUNTIF('Grano  Paving'!$A$19,"*Stonewash*")=0,COUNTIF('Grano  Paving'!$A$19,"*Granite*")=0,COUNTIF('Grano  Paving'!$A$19,"*Vistapave*")=1),'Grano  Paving'!$H$19,0),0)</f>
        <v>0</v>
      </c>
      <c r="G2045" s="1160"/>
      <c r="H2045" s="503" t="s">
        <v>1041</v>
      </c>
      <c r="I2045" s="1207"/>
      <c r="J2045" s="2" t="str">
        <f>IF(Table5[[#This Row],[Entered]]&lt;&gt;Table5[[#This Row],[Quantity]],"Check","")</f>
        <v/>
      </c>
    </row>
    <row r="2046" spans="1:10" ht="15" x14ac:dyDescent="0.2">
      <c r="A2046" s="342" t="s">
        <v>3423</v>
      </c>
      <c r="B2046" s="342" t="str">
        <f t="shared" si="118"/>
        <v>1240</v>
      </c>
      <c r="C2046" s="342" t="str">
        <f t="shared" si="119"/>
        <v>02004</v>
      </c>
      <c r="D2046" s="342" t="s">
        <v>664</v>
      </c>
      <c r="E2046" s="342">
        <v>0</v>
      </c>
      <c r="F2046" s="1185">
        <f>IF(F2045&gt;0,1,0)</f>
        <v>0</v>
      </c>
      <c r="G2046" s="1160"/>
      <c r="H2046" s="503" t="str">
        <f>IF(F2045&gt;0,'Grano  Paving'!$G$19&amp;" PACKS "&amp;UPPER('Grano  Paving'!$A$19),"")</f>
        <v/>
      </c>
      <c r="I2046" s="1207"/>
      <c r="J2046" s="2" t="str">
        <f>IF(Table5[[#This Row],[Entered]]&lt;&gt;Table5[[#This Row],[Quantity]],"Check","")</f>
        <v/>
      </c>
    </row>
    <row r="2047" spans="1:10" ht="15" x14ac:dyDescent="0.2">
      <c r="A2047" s="342" t="s">
        <v>3423</v>
      </c>
      <c r="B2047" s="342" t="str">
        <f t="shared" si="118"/>
        <v>1240</v>
      </c>
      <c r="C2047" s="342" t="str">
        <f t="shared" si="119"/>
        <v>02004</v>
      </c>
      <c r="D2047" s="342">
        <f>35</f>
        <v>35</v>
      </c>
      <c r="E2047" s="342">
        <v>4</v>
      </c>
      <c r="F2047" s="1185">
        <f>IF(AND(COUNTIF('Grano  Paving'!$A$16,"*Stonewash*")=0,COUNTIF('Grano  Paving'!$A$16,"*Granite*")=0,COUNTIF('Grano  Paving'!$A$16,"*Flagstone*")=1),IF('Grano  Paving'!$A$16='Grano  Paving'!$A$19,'Grano  Paving'!$H$16+'Grano  Paving'!$H$19,'Grano  Paving'!$H$16),0)</f>
        <v>0</v>
      </c>
      <c r="G2047" s="1160"/>
      <c r="H2047" s="503" t="s">
        <v>1642</v>
      </c>
      <c r="I2047" s="1207"/>
      <c r="J2047" s="2" t="str">
        <f>IF(Table5[[#This Row],[Entered]]&lt;&gt;Table5[[#This Row],[Quantity]],"Check","")</f>
        <v/>
      </c>
    </row>
    <row r="2048" spans="1:10" ht="15" x14ac:dyDescent="0.2">
      <c r="A2048" s="342" t="s">
        <v>3423</v>
      </c>
      <c r="B2048" s="342" t="str">
        <f t="shared" si="118"/>
        <v>1240</v>
      </c>
      <c r="C2048" s="342" t="str">
        <f t="shared" si="119"/>
        <v>02004</v>
      </c>
      <c r="D2048" s="342" t="s">
        <v>1062</v>
      </c>
      <c r="E2048" s="342">
        <v>0</v>
      </c>
      <c r="F2048" s="1185">
        <f>IF(F2047&gt;0,1,0)</f>
        <v>0</v>
      </c>
      <c r="G2048" s="1160"/>
      <c r="H2048" s="503" t="str">
        <f>IF('Grano  Paving'!$A$16='Grano  Paving'!$A$19,'Grano  Paving'!$G$16+'Grano  Paving'!$G$19&amp;" PACKS "&amp;UPPER('Grano  Paving'!$A$16),IF(F2047&gt;0,'Grano  Paving'!$G$16&amp;" PACKS "&amp;UPPER('Grano  Paving'!$A$16),""))</f>
        <v xml:space="preserve">0 PACKS </v>
      </c>
      <c r="I2048" s="1207"/>
      <c r="J2048" s="2" t="str">
        <f>IF(Table5[[#This Row],[Entered]]&lt;&gt;Table5[[#This Row],[Quantity]],"Check","")</f>
        <v/>
      </c>
    </row>
    <row r="2049" spans="1:10" ht="15" x14ac:dyDescent="0.2">
      <c r="A2049" s="342" t="s">
        <v>3423</v>
      </c>
      <c r="B2049" s="342" t="str">
        <f t="shared" si="118"/>
        <v>1240</v>
      </c>
      <c r="C2049" s="342" t="str">
        <f t="shared" si="119"/>
        <v>02004</v>
      </c>
      <c r="D2049" s="342">
        <f>35</f>
        <v>35</v>
      </c>
      <c r="E2049" s="342">
        <v>4</v>
      </c>
      <c r="F2049" s="1185">
        <f>IF('Grano  Paving'!$A$16&lt;&gt;'Grano  Paving'!$A$19,IF(AND(COUNTIF('Grano  Paving'!$A$19,"*Stonewash*")=0,COUNTIF('Grano  Paving'!$A$19,"*Granite*")=0,COUNTIF('Grano  Paving'!$A$19,"*Flagstone*")=1),'Grano  Paving'!$H$19,0),0)</f>
        <v>0</v>
      </c>
      <c r="G2049" s="1160"/>
      <c r="H2049" s="503" t="s">
        <v>1642</v>
      </c>
      <c r="I2049" s="1207"/>
      <c r="J2049" s="2" t="str">
        <f>IF(Table5[[#This Row],[Entered]]&lt;&gt;Table5[[#This Row],[Quantity]],"Check","")</f>
        <v/>
      </c>
    </row>
    <row r="2050" spans="1:10" ht="15" x14ac:dyDescent="0.2">
      <c r="A2050" s="342" t="s">
        <v>3423</v>
      </c>
      <c r="B2050" s="342" t="str">
        <f t="shared" si="118"/>
        <v>1240</v>
      </c>
      <c r="C2050" s="342" t="str">
        <f t="shared" si="119"/>
        <v>02004</v>
      </c>
      <c r="D2050" s="342" t="s">
        <v>1135</v>
      </c>
      <c r="E2050" s="342">
        <v>0</v>
      </c>
      <c r="F2050" s="1185">
        <f>IF(F2049&gt;0,1,0)</f>
        <v>0</v>
      </c>
      <c r="G2050" s="1160"/>
      <c r="H2050" s="503" t="str">
        <f>IF(F2049&gt;0,'Grano  Paving'!$G$19&amp;" PACKS "&amp;UPPER('Grano  Paving'!$A$19),"")</f>
        <v/>
      </c>
      <c r="I2050" s="1207"/>
      <c r="J2050" s="2" t="str">
        <f>IF(Table5[[#This Row],[Entered]]&lt;&gt;Table5[[#This Row],[Quantity]],"Check","")</f>
        <v/>
      </c>
    </row>
    <row r="2051" spans="1:10" ht="15" x14ac:dyDescent="0.2">
      <c r="A2051" s="342" t="s">
        <v>3423</v>
      </c>
      <c r="B2051" s="342" t="str">
        <f t="shared" si="118"/>
        <v>1240</v>
      </c>
      <c r="C2051" s="342" t="str">
        <f t="shared" si="119"/>
        <v>02004</v>
      </c>
      <c r="D2051" s="342">
        <f>40</f>
        <v>40</v>
      </c>
      <c r="E2051" s="342">
        <v>4</v>
      </c>
      <c r="F2051" s="1185">
        <f>IF(AND(COUNTIF('Grano  Paving'!$A$16,"*Stonewash*")=0,COUNTIF('Grano  Paving'!$A$16,"*Easipave*")=1),'Grano  Paving'!$H$16,0)</f>
        <v>0</v>
      </c>
      <c r="G2051" s="1160"/>
      <c r="H2051" s="503" t="s">
        <v>1042</v>
      </c>
      <c r="I2051" s="1207"/>
      <c r="J2051" s="2" t="str">
        <f>IF(Table5[[#This Row],[Entered]]&lt;&gt;Table5[[#This Row],[Quantity]],"Check","")</f>
        <v/>
      </c>
    </row>
    <row r="2052" spans="1:10" ht="15" x14ac:dyDescent="0.2">
      <c r="A2052" s="342" t="s">
        <v>3423</v>
      </c>
      <c r="B2052" s="342" t="str">
        <f t="shared" si="118"/>
        <v>1240</v>
      </c>
      <c r="C2052" s="342" t="str">
        <f t="shared" si="119"/>
        <v>02004</v>
      </c>
      <c r="D2052" s="342" t="s">
        <v>663</v>
      </c>
      <c r="E2052" s="342">
        <v>0</v>
      </c>
      <c r="F2052" s="1185">
        <f>IF(F2051&gt;0,1,0)</f>
        <v>0</v>
      </c>
      <c r="G2052" s="1160"/>
      <c r="H2052" s="503" t="str">
        <f>IF(F2051&gt;0,'Grano  Paving'!$G$16&amp;" PACKS "&amp;UPPER('Grano  Paving'!$A$16),"")</f>
        <v/>
      </c>
      <c r="I2052" s="1207"/>
      <c r="J2052" s="2" t="str">
        <f>IF(Table5[[#This Row],[Entered]]&lt;&gt;Table5[[#This Row],[Quantity]],"Check","")</f>
        <v/>
      </c>
    </row>
    <row r="2053" spans="1:10" ht="15" x14ac:dyDescent="0.2">
      <c r="A2053" s="342" t="s">
        <v>3423</v>
      </c>
      <c r="B2053" s="342" t="str">
        <f t="shared" si="118"/>
        <v>1240</v>
      </c>
      <c r="C2053" s="342" t="str">
        <f t="shared" si="119"/>
        <v>02004</v>
      </c>
      <c r="D2053" s="342">
        <f>40</f>
        <v>40</v>
      </c>
      <c r="E2053" s="342">
        <v>4</v>
      </c>
      <c r="F2053" s="1185">
        <f>IF('Grano  Paving'!$A$16&lt;&gt;'Grano  Paving'!$A$19,IF(AND(COUNTIF('Grano  Paving'!$A$19,"*Stonewash*")=0,COUNTIF('Grano  Paving'!$A$19,"*Granite*")=0,COUNTIF('Grano  Paving'!$A$19,"*Easipave*")=1),'Grano  Paving'!$H$19,0),0)</f>
        <v>0</v>
      </c>
      <c r="G2053" s="1160"/>
      <c r="H2053" s="503" t="s">
        <v>1042</v>
      </c>
      <c r="I2053" s="1207"/>
      <c r="J2053" s="2" t="str">
        <f>IF(Table5[[#This Row],[Entered]]&lt;&gt;Table5[[#This Row],[Quantity]],"Check","")</f>
        <v/>
      </c>
    </row>
    <row r="2054" spans="1:10" ht="15" x14ac:dyDescent="0.2">
      <c r="A2054" s="342" t="s">
        <v>3423</v>
      </c>
      <c r="B2054" s="342" t="str">
        <f t="shared" si="118"/>
        <v>1240</v>
      </c>
      <c r="C2054" s="342" t="str">
        <f t="shared" si="119"/>
        <v>02004</v>
      </c>
      <c r="D2054" s="342" t="s">
        <v>664</v>
      </c>
      <c r="E2054" s="342">
        <v>0</v>
      </c>
      <c r="F2054" s="1185">
        <f>IF(F2053&gt;0,1,0)</f>
        <v>0</v>
      </c>
      <c r="G2054" s="1160"/>
      <c r="H2054" s="503" t="str">
        <f>IF(F2053&gt;0,'Grano  Paving'!$G$19&amp;" PACKS "&amp;UPPER('Grano  Paving'!$A$19),"")</f>
        <v/>
      </c>
      <c r="I2054" s="1207"/>
      <c r="J2054" s="2" t="str">
        <f>IF(Table5[[#This Row],[Entered]]&lt;&gt;Table5[[#This Row],[Quantity]],"Check","")</f>
        <v/>
      </c>
    </row>
    <row r="2055" spans="1:10" ht="15" x14ac:dyDescent="0.2">
      <c r="A2055" s="342" t="s">
        <v>3423</v>
      </c>
      <c r="B2055" s="342" t="str">
        <f t="shared" si="118"/>
        <v>1240</v>
      </c>
      <c r="C2055" s="342" t="str">
        <f t="shared" si="119"/>
        <v>02004</v>
      </c>
      <c r="D2055" s="342">
        <f>45</f>
        <v>45</v>
      </c>
      <c r="E2055" s="342">
        <v>4</v>
      </c>
      <c r="F2055" s="1185">
        <f>IF(AND(COUNTIF('Grano  Paving'!$A$16,"*Stonewash*")=0,COUNTIF('Grano  Paving'!$A$16,"*NEWPAVE*")=1),'Grano  Paving'!$H$16,0)</f>
        <v>0</v>
      </c>
      <c r="G2055" s="1160"/>
      <c r="H2055" s="503" t="s">
        <v>1043</v>
      </c>
      <c r="I2055" s="1207"/>
      <c r="J2055" s="2" t="str">
        <f>IF(Table5[[#This Row],[Entered]]&lt;&gt;Table5[[#This Row],[Quantity]],"Check","")</f>
        <v/>
      </c>
    </row>
    <row r="2056" spans="1:10" ht="15" x14ac:dyDescent="0.2">
      <c r="A2056" s="342" t="s">
        <v>3423</v>
      </c>
      <c r="B2056" s="342" t="str">
        <f t="shared" si="118"/>
        <v>1240</v>
      </c>
      <c r="C2056" s="342" t="str">
        <f t="shared" si="119"/>
        <v>02004</v>
      </c>
      <c r="D2056" s="342" t="s">
        <v>663</v>
      </c>
      <c r="E2056" s="342">
        <v>0</v>
      </c>
      <c r="F2056" s="1185">
        <f>IF(F2055&gt;0,1,0)</f>
        <v>0</v>
      </c>
      <c r="G2056" s="1160"/>
      <c r="H2056" s="503" t="str">
        <f>IF(F2055&gt;0,'Grano  Paving'!$G$16&amp;" PACKS "&amp;UPPER('Grano  Paving'!$A$16),"")</f>
        <v/>
      </c>
      <c r="I2056" s="1207"/>
      <c r="J2056" s="2" t="str">
        <f>IF(Table5[[#This Row],[Entered]]&lt;&gt;Table5[[#This Row],[Quantity]],"Check","")</f>
        <v/>
      </c>
    </row>
    <row r="2057" spans="1:10" ht="15" x14ac:dyDescent="0.2">
      <c r="A2057" s="342" t="s">
        <v>3423</v>
      </c>
      <c r="B2057" s="342" t="str">
        <f t="shared" si="118"/>
        <v>1240</v>
      </c>
      <c r="C2057" s="342" t="str">
        <f t="shared" si="119"/>
        <v>02004</v>
      </c>
      <c r="D2057" s="342">
        <f>45</f>
        <v>45</v>
      </c>
      <c r="E2057" s="342">
        <v>4</v>
      </c>
      <c r="F2057" s="1185">
        <f>IF('Grano  Paving'!$A$16&lt;&gt;'Grano  Paving'!$A$19,IF(AND(COUNTIF('Grano  Paving'!$A$19,"*Stonewash*")=0,COUNTIF('Grano  Paving'!$A$19,"*NEWPAVE*")=1),'Grano  Paving'!$H$19,0),0)</f>
        <v>0</v>
      </c>
      <c r="G2057" s="1160"/>
      <c r="H2057" s="503" t="s">
        <v>1043</v>
      </c>
      <c r="I2057" s="1207"/>
      <c r="J2057" s="2" t="str">
        <f>IF(Table5[[#This Row],[Entered]]&lt;&gt;Table5[[#This Row],[Quantity]],"Check","")</f>
        <v/>
      </c>
    </row>
    <row r="2058" spans="1:10" ht="15" x14ac:dyDescent="0.2">
      <c r="A2058" s="342" t="s">
        <v>3423</v>
      </c>
      <c r="B2058" s="342" t="str">
        <f t="shared" si="118"/>
        <v>1240</v>
      </c>
      <c r="C2058" s="342" t="str">
        <f t="shared" si="119"/>
        <v>02004</v>
      </c>
      <c r="D2058" s="342" t="s">
        <v>664</v>
      </c>
      <c r="E2058" s="342">
        <v>0</v>
      </c>
      <c r="F2058" s="1185">
        <f>IF(F2057&gt;0,1,0)</f>
        <v>0</v>
      </c>
      <c r="G2058" s="1160"/>
      <c r="H2058" s="503" t="str">
        <f>IF(F2057&gt;0,'Grano  Paving'!$G$16&amp;" PACKS "&amp;UPPER('Grano  Paving'!$A$16),"")</f>
        <v/>
      </c>
      <c r="I2058" s="1207"/>
      <c r="J2058" s="2" t="str">
        <f>IF(Table5[[#This Row],[Entered]]&lt;&gt;Table5[[#This Row],[Quantity]],"Check","")</f>
        <v/>
      </c>
    </row>
    <row r="2059" spans="1:10" ht="15" x14ac:dyDescent="0.2">
      <c r="A2059" s="342" t="s">
        <v>3423</v>
      </c>
      <c r="B2059" s="342" t="str">
        <f t="shared" si="118"/>
        <v>1240</v>
      </c>
      <c r="C2059" s="342" t="str">
        <f t="shared" si="119"/>
        <v>02004</v>
      </c>
      <c r="D2059" s="342">
        <f>46</f>
        <v>46</v>
      </c>
      <c r="E2059" s="342">
        <v>4</v>
      </c>
      <c r="F2059" s="1185">
        <f>IF(AND(COUNTIF('Grano  Paving'!$A$16,"*Stonewash*")=0,COUNTIF('Grano  Paving'!$A$16,"*GRANDPAVE*")=1),'Grano  Paving'!$H$16,0)</f>
        <v>0</v>
      </c>
      <c r="G2059" s="1160"/>
      <c r="H2059" s="503" t="s">
        <v>1044</v>
      </c>
      <c r="I2059" s="1207"/>
      <c r="J2059" s="2" t="str">
        <f>IF(Table5[[#This Row],[Entered]]&lt;&gt;Table5[[#This Row],[Quantity]],"Check","")</f>
        <v/>
      </c>
    </row>
    <row r="2060" spans="1:10" ht="15" x14ac:dyDescent="0.2">
      <c r="A2060" s="342" t="s">
        <v>3423</v>
      </c>
      <c r="B2060" s="342" t="str">
        <f t="shared" si="118"/>
        <v>1240</v>
      </c>
      <c r="C2060" s="342" t="str">
        <f t="shared" si="119"/>
        <v>02004</v>
      </c>
      <c r="D2060" s="342" t="s">
        <v>663</v>
      </c>
      <c r="E2060" s="342">
        <v>0</v>
      </c>
      <c r="F2060" s="1185">
        <f>IF(F2059&gt;0,1,0)</f>
        <v>0</v>
      </c>
      <c r="G2060" s="1160"/>
      <c r="H2060" s="503" t="str">
        <f>IF(F2059&gt;0,'Grano  Paving'!$G$16&amp;" PACKS "&amp;UPPER('Grano  Paving'!$A$16),"")</f>
        <v/>
      </c>
      <c r="I2060" s="1207"/>
      <c r="J2060" s="2" t="str">
        <f>IF(Table5[[#This Row],[Entered]]&lt;&gt;Table5[[#This Row],[Quantity]],"Check","")</f>
        <v/>
      </c>
    </row>
    <row r="2061" spans="1:10" ht="15" x14ac:dyDescent="0.2">
      <c r="A2061" s="342" t="s">
        <v>3423</v>
      </c>
      <c r="B2061" s="342" t="str">
        <f t="shared" si="118"/>
        <v>1240</v>
      </c>
      <c r="C2061" s="342" t="str">
        <f t="shared" si="119"/>
        <v>02004</v>
      </c>
      <c r="D2061" s="342">
        <f>46</f>
        <v>46</v>
      </c>
      <c r="E2061" s="342">
        <v>4</v>
      </c>
      <c r="F2061" s="1185">
        <f>IF('Grano  Paving'!$A$16&lt;&gt;'Grano  Paving'!$A$19,IF(AND(COUNTIF('Grano  Paving'!$A$19,"*Stonewash*")=0,COUNTIF('Grano  Paving'!$A$19,"*GRANDPAVE*")=1),'Grano  Paving'!$H$19,0),0)</f>
        <v>0</v>
      </c>
      <c r="G2061" s="1160"/>
      <c r="H2061" s="503" t="s">
        <v>1044</v>
      </c>
      <c r="I2061" s="1207"/>
      <c r="J2061" s="2" t="str">
        <f>IF(Table5[[#This Row],[Entered]]&lt;&gt;Table5[[#This Row],[Quantity]],"Check","")</f>
        <v/>
      </c>
    </row>
    <row r="2062" spans="1:10" ht="15" x14ac:dyDescent="0.2">
      <c r="A2062" s="342" t="s">
        <v>3423</v>
      </c>
      <c r="B2062" s="342" t="str">
        <f t="shared" si="118"/>
        <v>1240</v>
      </c>
      <c r="C2062" s="342" t="str">
        <f t="shared" si="119"/>
        <v>02004</v>
      </c>
      <c r="D2062" s="342" t="s">
        <v>664</v>
      </c>
      <c r="E2062" s="342">
        <v>0</v>
      </c>
      <c r="F2062" s="1185">
        <f>IF(F2061&gt;0,1,0)</f>
        <v>0</v>
      </c>
      <c r="G2062" s="1160"/>
      <c r="H2062" s="503" t="str">
        <f>IF(F2061&gt;0,'Grano  Paving'!$G$16&amp;" PACKS "&amp;UPPER('Grano  Paving'!$A$16),"")</f>
        <v/>
      </c>
      <c r="I2062" s="1207"/>
      <c r="J2062" s="2" t="str">
        <f>IF(Table5[[#This Row],[Entered]]&lt;&gt;Table5[[#This Row],[Quantity]],"Check","")</f>
        <v/>
      </c>
    </row>
    <row r="2063" spans="1:10" ht="15" x14ac:dyDescent="0.2">
      <c r="A2063" s="342" t="s">
        <v>3423</v>
      </c>
      <c r="B2063" s="342" t="str">
        <f t="shared" si="118"/>
        <v>1240</v>
      </c>
      <c r="C2063" s="342" t="str">
        <f t="shared" si="119"/>
        <v>02004</v>
      </c>
      <c r="D2063" s="342">
        <f>47</f>
        <v>47</v>
      </c>
      <c r="E2063" s="342">
        <v>4</v>
      </c>
      <c r="F2063" s="1185">
        <v>0</v>
      </c>
      <c r="G2063" s="1160"/>
      <c r="H2063" s="503" t="s">
        <v>1124</v>
      </c>
      <c r="I2063" s="1207"/>
      <c r="J2063" s="2" t="str">
        <f>IF(Table5[[#This Row],[Entered]]&lt;&gt;Table5[[#This Row],[Quantity]],"Check","")</f>
        <v/>
      </c>
    </row>
    <row r="2064" spans="1:10" ht="15" x14ac:dyDescent="0.2">
      <c r="A2064" s="342" t="s">
        <v>3423</v>
      </c>
      <c r="B2064" s="342" t="str">
        <f t="shared" si="118"/>
        <v>1240</v>
      </c>
      <c r="C2064" s="342" t="str">
        <f t="shared" si="119"/>
        <v>02004</v>
      </c>
      <c r="D2064" s="342">
        <f>50</f>
        <v>50</v>
      </c>
      <c r="E2064" s="342">
        <v>4</v>
      </c>
      <c r="F2064" s="1185">
        <f>IF(AND(COUNTIF('Grano  Paving'!$A$16,"*Stonewash*")=1,COUNTIF('Grano  Paving'!$A$16,"*Vistapave*")=1),IF('Grano  Paving'!$A$16='Grano  Paving'!$A$19,'Grano  Paving'!$H$16+'Grano  Paving'!$H$19,'Grano  Paving'!$H$16),0)</f>
        <v>0</v>
      </c>
      <c r="G2064" s="1160"/>
      <c r="H2064" s="503" t="s">
        <v>2305</v>
      </c>
      <c r="I2064" s="1207"/>
      <c r="J2064" s="2" t="str">
        <f>IF(Table5[[#This Row],[Entered]]&lt;&gt;Table5[[#This Row],[Quantity]],"Check","")</f>
        <v/>
      </c>
    </row>
    <row r="2065" spans="1:10" ht="15" x14ac:dyDescent="0.2">
      <c r="A2065" s="342" t="s">
        <v>3423</v>
      </c>
      <c r="B2065" s="342" t="str">
        <f t="shared" si="118"/>
        <v>1240</v>
      </c>
      <c r="C2065" s="342" t="str">
        <f t="shared" si="119"/>
        <v>02004</v>
      </c>
      <c r="D2065" s="342" t="s">
        <v>664</v>
      </c>
      <c r="E2065" s="342">
        <v>0</v>
      </c>
      <c r="F2065" s="1185">
        <f>IF(F2064&gt;0,1,0)</f>
        <v>0</v>
      </c>
      <c r="G2065" s="1160"/>
      <c r="H2065" s="503" t="str">
        <f>IF('Grano  Paving'!$A$16='Grano  Paving'!$A$19,'Grano  Paving'!$G$16+'Grano  Paving'!$G$19&amp;" PACKS "&amp;UPPER('Grano  Paving'!$A$16),IF(F2064&gt;0,'Grano  Paving'!$G$16&amp;" PACKS "&amp;UPPER('Grano  Paving'!$A$16),""))</f>
        <v xml:space="preserve">0 PACKS </v>
      </c>
      <c r="I2065" s="1207"/>
      <c r="J2065" s="2" t="str">
        <f>IF(Table5[[#This Row],[Entered]]&lt;&gt;Table5[[#This Row],[Quantity]],"Check","")</f>
        <v/>
      </c>
    </row>
    <row r="2066" spans="1:10" ht="15" x14ac:dyDescent="0.2">
      <c r="A2066" s="342" t="s">
        <v>3423</v>
      </c>
      <c r="B2066" s="342" t="str">
        <f t="shared" si="118"/>
        <v>1240</v>
      </c>
      <c r="C2066" s="342" t="str">
        <f t="shared" si="119"/>
        <v>02004</v>
      </c>
      <c r="D2066" s="342">
        <f>50</f>
        <v>50</v>
      </c>
      <c r="E2066" s="342">
        <v>4</v>
      </c>
      <c r="F2066" s="1185">
        <f>IF('Grano  Paving'!$A$16&lt;&gt;'Grano  Paving'!$A$19,IF(AND(COUNTIF('Grano  Paving'!$A$19,"*Stonewash*")=1,COUNTIF('Grano  Paving'!$A$19,"*Vistapave*")=1),'Grano  Paving'!$H$19,0),0)</f>
        <v>0</v>
      </c>
      <c r="G2066" s="1160"/>
      <c r="H2066" s="503" t="s">
        <v>2305</v>
      </c>
      <c r="I2066" s="1207"/>
      <c r="J2066" s="2" t="str">
        <f>IF(Table5[[#This Row],[Entered]]&lt;&gt;Table5[[#This Row],[Quantity]],"Check","")</f>
        <v/>
      </c>
    </row>
    <row r="2067" spans="1:10" ht="15" x14ac:dyDescent="0.2">
      <c r="A2067" s="342" t="s">
        <v>3423</v>
      </c>
      <c r="B2067" s="342" t="str">
        <f t="shared" si="118"/>
        <v>1240</v>
      </c>
      <c r="C2067" s="342" t="str">
        <f t="shared" si="119"/>
        <v>02004</v>
      </c>
      <c r="D2067" s="342" t="s">
        <v>664</v>
      </c>
      <c r="E2067" s="342">
        <v>0</v>
      </c>
      <c r="F2067" s="1185">
        <f>IF(F2066&gt;0,1,0)</f>
        <v>0</v>
      </c>
      <c r="G2067" s="1160"/>
      <c r="H2067" s="503" t="str">
        <f>IF(F2066&gt;0,'Grano  Paving'!$G$19&amp;" PACKS "&amp;UPPER('Grano  Paving'!$A$19),"")</f>
        <v/>
      </c>
      <c r="I2067" s="1207"/>
      <c r="J2067" s="2" t="str">
        <f>IF(Table5[[#This Row],[Entered]]&lt;&gt;Table5[[#This Row],[Quantity]],"Check","")</f>
        <v/>
      </c>
    </row>
    <row r="2068" spans="1:10" ht="15" x14ac:dyDescent="0.2">
      <c r="A2068" s="342" t="s">
        <v>3423</v>
      </c>
      <c r="B2068" s="342" t="str">
        <f t="shared" si="118"/>
        <v>1240</v>
      </c>
      <c r="C2068" s="342" t="str">
        <f t="shared" si="119"/>
        <v>02004</v>
      </c>
      <c r="D2068" s="342">
        <f>51</f>
        <v>51</v>
      </c>
      <c r="E2068" s="342">
        <v>4</v>
      </c>
      <c r="F2068" s="1185">
        <f>IF(AND(COUNTIF('Grano  Paving'!$A$16,"*Stonewash*")=1,COUNTIF('Grano  Paving'!$A$16,"*GRANDPAVE*")=1),'Grano  Paving'!$H$16,0)</f>
        <v>0</v>
      </c>
      <c r="G2068" s="1160"/>
      <c r="H2068" s="503" t="s">
        <v>2306</v>
      </c>
      <c r="I2068" s="1207"/>
      <c r="J2068" s="2" t="str">
        <f>IF(Table5[[#This Row],[Entered]]&lt;&gt;Table5[[#This Row],[Quantity]],"Check","")</f>
        <v/>
      </c>
    </row>
    <row r="2069" spans="1:10" ht="15" x14ac:dyDescent="0.2">
      <c r="A2069" s="342" t="s">
        <v>3423</v>
      </c>
      <c r="B2069" s="342" t="str">
        <f t="shared" si="118"/>
        <v>1240</v>
      </c>
      <c r="C2069" s="342" t="str">
        <f t="shared" si="119"/>
        <v>02004</v>
      </c>
      <c r="D2069" s="342" t="s">
        <v>664</v>
      </c>
      <c r="E2069" s="342">
        <v>0</v>
      </c>
      <c r="F2069" s="1185">
        <f>IF(F2068&gt;0,1,0)</f>
        <v>0</v>
      </c>
      <c r="G2069" s="1160"/>
      <c r="H2069" s="503" t="str">
        <f>IF(F2068&gt;0,'Grano  Paving'!$G$16&amp;" PACKS "&amp;UPPER('Grano  Paving'!$A$16),"")</f>
        <v/>
      </c>
      <c r="I2069" s="1207"/>
      <c r="J2069" s="2" t="str">
        <f>IF(Table5[[#This Row],[Entered]]&lt;&gt;Table5[[#This Row],[Quantity]],"Check","")</f>
        <v/>
      </c>
    </row>
    <row r="2070" spans="1:10" ht="15" x14ac:dyDescent="0.2">
      <c r="A2070" s="342" t="s">
        <v>3423</v>
      </c>
      <c r="B2070" s="342" t="str">
        <f t="shared" si="118"/>
        <v>1240</v>
      </c>
      <c r="C2070" s="342" t="str">
        <f t="shared" si="119"/>
        <v>02004</v>
      </c>
      <c r="D2070" s="342">
        <f>51</f>
        <v>51</v>
      </c>
      <c r="E2070" s="342">
        <v>4</v>
      </c>
      <c r="F2070" s="1185">
        <f>IF('Grano  Paving'!$A$16&lt;&gt;'Grano  Paving'!$A$19,IF(AND(COUNTIF('Grano  Paving'!$A$19,"*Stonewash*")=1,COUNTIF('Grano  Paving'!$A$19,"*GRANDPAVE*")=1),'Grano  Paving'!$H$19,0),0)</f>
        <v>0</v>
      </c>
      <c r="G2070" s="1160"/>
      <c r="H2070" s="503" t="s">
        <v>2306</v>
      </c>
      <c r="I2070" s="1207"/>
      <c r="J2070" s="2" t="str">
        <f>IF(Table5[[#This Row],[Entered]]&lt;&gt;Table5[[#This Row],[Quantity]],"Check","")</f>
        <v/>
      </c>
    </row>
    <row r="2071" spans="1:10" ht="15" x14ac:dyDescent="0.2">
      <c r="A2071" s="342" t="s">
        <v>3423</v>
      </c>
      <c r="B2071" s="342" t="str">
        <f t="shared" si="118"/>
        <v>1240</v>
      </c>
      <c r="C2071" s="342" t="str">
        <f t="shared" si="119"/>
        <v>02004</v>
      </c>
      <c r="D2071" s="342" t="s">
        <v>664</v>
      </c>
      <c r="E2071" s="342">
        <v>0</v>
      </c>
      <c r="F2071" s="1185">
        <f>IF(F2070&gt;0,1,0)</f>
        <v>0</v>
      </c>
      <c r="G2071" s="1160"/>
      <c r="H2071" s="503" t="str">
        <f>IF(F2070&gt;0,'Grano  Paving'!$G$16&amp;" PACKS "&amp;UPPER('Grano  Paving'!$A$16),"")</f>
        <v/>
      </c>
      <c r="I2071" s="1207"/>
      <c r="J2071" s="2" t="str">
        <f>IF(Table5[[#This Row],[Entered]]&lt;&gt;Table5[[#This Row],[Quantity]],"Check","")</f>
        <v/>
      </c>
    </row>
    <row r="2072" spans="1:10" ht="15" x14ac:dyDescent="0.2">
      <c r="A2072" s="342" t="s">
        <v>3423</v>
      </c>
      <c r="B2072" s="342" t="str">
        <f t="shared" si="118"/>
        <v>1240</v>
      </c>
      <c r="C2072" s="342" t="str">
        <f t="shared" si="119"/>
        <v>02004</v>
      </c>
      <c r="D2072" s="342">
        <f>52</f>
        <v>52</v>
      </c>
      <c r="E2072" s="342">
        <v>4</v>
      </c>
      <c r="F2072" s="1185">
        <f>IF(AND(COUNTIF('Grano  Paving'!$A$16,"*STONEWASH*")=1,COUNTIF('Grano  Paving'!$A$16,"*FLAGSTONE*")=1),'Grano  Paving'!$H$16,0)</f>
        <v>0</v>
      </c>
      <c r="G2072" s="1160"/>
      <c r="H2072" s="503" t="s">
        <v>2307</v>
      </c>
      <c r="I2072" s="1207"/>
      <c r="J2072" s="2" t="str">
        <f>IF(Table5[[#This Row],[Entered]]&lt;&gt;Table5[[#This Row],[Quantity]],"Check","")</f>
        <v/>
      </c>
    </row>
    <row r="2073" spans="1:10" ht="15" x14ac:dyDescent="0.2">
      <c r="A2073" s="342" t="s">
        <v>3423</v>
      </c>
      <c r="B2073" s="342" t="str">
        <f t="shared" si="118"/>
        <v>1240</v>
      </c>
      <c r="C2073" s="342" t="str">
        <f t="shared" si="119"/>
        <v>02004</v>
      </c>
      <c r="D2073" s="342" t="s">
        <v>664</v>
      </c>
      <c r="E2073" s="342">
        <v>0</v>
      </c>
      <c r="F2073" s="1185">
        <f>IF(F2072&gt;0,1,0)</f>
        <v>0</v>
      </c>
      <c r="G2073" s="1160"/>
      <c r="H2073" s="503" t="str">
        <f>IF(F2072&gt;0,'Grano  Paving'!$G$16&amp;" PACKS "&amp;UPPER('Grano  Paving'!$A$16),"")</f>
        <v/>
      </c>
      <c r="I2073" s="1207"/>
      <c r="J2073" s="2" t="str">
        <f>IF(Table5[[#This Row],[Entered]]&lt;&gt;Table5[[#This Row],[Quantity]],"Check","")</f>
        <v/>
      </c>
    </row>
    <row r="2074" spans="1:10" ht="15" x14ac:dyDescent="0.2">
      <c r="A2074" s="342" t="s">
        <v>3423</v>
      </c>
      <c r="B2074" s="342" t="str">
        <f t="shared" si="118"/>
        <v>1240</v>
      </c>
      <c r="C2074" s="342" t="str">
        <f t="shared" si="119"/>
        <v>02004</v>
      </c>
      <c r="D2074" s="342">
        <f>65</f>
        <v>65</v>
      </c>
      <c r="E2074" s="342">
        <v>4</v>
      </c>
      <c r="F2074" s="1185">
        <f>IF(AND(COUNTIF('Grano  Paving'!$A$16,"*Granite*")=1,COUNTIF('Grano  Paving'!$A$16,"*Vistapave*")=1),IF('Grano  Paving'!$A$16='Grano  Paving'!$A$19,'Grano  Paving'!$H$16+'Grano  Paving'!$H$19,'Grano  Paving'!$H$16),0)</f>
        <v>0</v>
      </c>
      <c r="G2074" s="1160"/>
      <c r="H2074" s="503" t="s">
        <v>2308</v>
      </c>
      <c r="I2074" s="1207"/>
      <c r="J2074" s="2" t="str">
        <f>IF(Table5[[#This Row],[Entered]]&lt;&gt;Table5[[#This Row],[Quantity]],"Check","")</f>
        <v/>
      </c>
    </row>
    <row r="2075" spans="1:10" ht="15" x14ac:dyDescent="0.2">
      <c r="A2075" s="342" t="s">
        <v>3423</v>
      </c>
      <c r="B2075" s="342" t="str">
        <f t="shared" si="118"/>
        <v>1240</v>
      </c>
      <c r="C2075" s="342" t="str">
        <f t="shared" si="119"/>
        <v>02004</v>
      </c>
      <c r="D2075" s="342" t="s">
        <v>664</v>
      </c>
      <c r="E2075" s="342">
        <v>0</v>
      </c>
      <c r="F2075" s="1185">
        <f>IF(F2074&gt;0,1,0)</f>
        <v>0</v>
      </c>
      <c r="G2075" s="1160"/>
      <c r="H2075" s="503" t="str">
        <f>IF('Grano  Paving'!$A$16='Grano  Paving'!$A$19,'Grano  Paving'!$G$16+'Grano  Paving'!$G$19&amp;" PACKS "&amp;'Grano  Paving'!$A$16,IF(F2074&gt;0,'Grano  Paving'!$G$16&amp;" PACKS "&amp;UPPER('Grano  Paving'!$A$16),""))</f>
        <v xml:space="preserve">0 PACKS </v>
      </c>
      <c r="I2075" s="1207"/>
      <c r="J2075" s="2" t="str">
        <f>IF(Table5[[#This Row],[Entered]]&lt;&gt;Table5[[#This Row],[Quantity]],"Check","")</f>
        <v/>
      </c>
    </row>
    <row r="2076" spans="1:10" ht="15" x14ac:dyDescent="0.2">
      <c r="A2076" s="342" t="s">
        <v>3423</v>
      </c>
      <c r="B2076" s="342" t="str">
        <f t="shared" si="118"/>
        <v>1240</v>
      </c>
      <c r="C2076" s="342" t="str">
        <f t="shared" si="119"/>
        <v>02004</v>
      </c>
      <c r="D2076" s="342">
        <f>65</f>
        <v>65</v>
      </c>
      <c r="E2076" s="342">
        <v>4</v>
      </c>
      <c r="F2076" s="1185">
        <f>IF('Grano  Paving'!$A$16&lt;&gt;'Grano  Paving'!$A$19,IF(AND(COUNTIF('Grano  Paving'!$A$19,"*Granite*")=1,COUNTIF('Grano  Paving'!$A$19,"*Vistapave*")=1),'Grano  Paving'!$H$19,0),0)</f>
        <v>0</v>
      </c>
      <c r="G2076" s="1160"/>
      <c r="H2076" s="503" t="s">
        <v>2308</v>
      </c>
      <c r="I2076" s="1207"/>
      <c r="J2076" s="2" t="str">
        <f>IF(Table5[[#This Row],[Entered]]&lt;&gt;Table5[[#This Row],[Quantity]],"Check","")</f>
        <v/>
      </c>
    </row>
    <row r="2077" spans="1:10" ht="15" x14ac:dyDescent="0.2">
      <c r="A2077" s="342" t="s">
        <v>3423</v>
      </c>
      <c r="B2077" s="342" t="str">
        <f t="shared" si="118"/>
        <v>1240</v>
      </c>
      <c r="C2077" s="342" t="str">
        <f t="shared" si="119"/>
        <v>02004</v>
      </c>
      <c r="D2077" s="342" t="s">
        <v>664</v>
      </c>
      <c r="E2077" s="342">
        <v>0</v>
      </c>
      <c r="F2077" s="1185">
        <f>IF(F2076&gt;0,1,0)</f>
        <v>0</v>
      </c>
      <c r="G2077" s="1160"/>
      <c r="H2077" s="503" t="str">
        <f>IF(F2076&gt;0,'Grano  Paving'!$G$19&amp;" PACKS "&amp;UPPER('Grano  Paving'!$A$19),"")</f>
        <v/>
      </c>
      <c r="I2077" s="1207"/>
      <c r="J2077" s="2" t="str">
        <f>IF(Table5[[#This Row],[Entered]]&lt;&gt;Table5[[#This Row],[Quantity]],"Check","")</f>
        <v/>
      </c>
    </row>
    <row r="2078" spans="1:10" ht="15" x14ac:dyDescent="0.2">
      <c r="A2078" s="342" t="s">
        <v>3423</v>
      </c>
      <c r="B2078" s="342" t="str">
        <f t="shared" si="118"/>
        <v>1240</v>
      </c>
      <c r="C2078" s="342" t="str">
        <f t="shared" si="119"/>
        <v>02004</v>
      </c>
      <c r="D2078" s="342">
        <f>66</f>
        <v>66</v>
      </c>
      <c r="E2078" s="342">
        <v>4</v>
      </c>
      <c r="F2078" s="1185">
        <f>IF(AND(COUNTIF('Grano  Paving'!$A$16,"*GRANITE*")=1,COUNTIF('Grano  Paving'!$A$16,"*FLAGSTONE*")=1),'Grano  Paving'!$H$16,0)</f>
        <v>0</v>
      </c>
      <c r="G2078" s="1160"/>
      <c r="H2078" s="503" t="s">
        <v>2309</v>
      </c>
      <c r="I2078" s="1207"/>
      <c r="J2078" s="2" t="str">
        <f>IF(Table5[[#This Row],[Entered]]&lt;&gt;Table5[[#This Row],[Quantity]],"Check","")</f>
        <v/>
      </c>
    </row>
    <row r="2079" spans="1:10" ht="15" x14ac:dyDescent="0.2">
      <c r="A2079" s="342" t="s">
        <v>3423</v>
      </c>
      <c r="B2079" s="342" t="str">
        <f t="shared" si="118"/>
        <v>1240</v>
      </c>
      <c r="C2079" s="342" t="str">
        <f t="shared" si="119"/>
        <v>02004</v>
      </c>
      <c r="D2079" s="342" t="s">
        <v>663</v>
      </c>
      <c r="E2079" s="342">
        <v>0</v>
      </c>
      <c r="F2079" s="1185">
        <f>IF(F2078&gt;0,1,0)</f>
        <v>0</v>
      </c>
      <c r="G2079" s="1160"/>
      <c r="H2079" s="503" t="str">
        <f>IF(F2078&gt;0,'Grano  Paving'!$G$16&amp;" PACKS "&amp;UPPER('Grano  Paving'!$A$16),"")</f>
        <v/>
      </c>
      <c r="I2079" s="1207"/>
      <c r="J2079" s="2" t="str">
        <f>IF(Table5[[#This Row],[Entered]]&lt;&gt;Table5[[#This Row],[Quantity]],"Check","")</f>
        <v/>
      </c>
    </row>
    <row r="2080" spans="1:10" ht="15" x14ac:dyDescent="0.2">
      <c r="A2080" s="342" t="s">
        <v>3423</v>
      </c>
      <c r="B2080" s="342" t="str">
        <f t="shared" si="118"/>
        <v>1240</v>
      </c>
      <c r="C2080" s="342" t="str">
        <f t="shared" si="119"/>
        <v>02004</v>
      </c>
      <c r="D2080" s="342">
        <f>70</f>
        <v>70</v>
      </c>
      <c r="E2080" s="342">
        <v>4</v>
      </c>
      <c r="F2080" s="1185">
        <f>IF(AND(COUNTIF('Grano  Paving'!$A$16,"*GRANITE*")=1,COUNTIF('Grano  Paving'!$A$16,"*GRANDPAVE*")=1),'Grano  Paving'!$H$16,0)</f>
        <v>0</v>
      </c>
      <c r="G2080" s="1160"/>
      <c r="H2080" s="503" t="s">
        <v>2310</v>
      </c>
      <c r="I2080" s="1207"/>
      <c r="J2080" s="2" t="str">
        <f>IF(Table5[[#This Row],[Entered]]&lt;&gt;Table5[[#This Row],[Quantity]],"Check","")</f>
        <v/>
      </c>
    </row>
    <row r="2081" spans="1:10" ht="15" x14ac:dyDescent="0.2">
      <c r="A2081" s="342" t="s">
        <v>3423</v>
      </c>
      <c r="B2081" s="342" t="str">
        <f t="shared" si="118"/>
        <v>1240</v>
      </c>
      <c r="C2081" s="342" t="str">
        <f t="shared" si="119"/>
        <v>02004</v>
      </c>
      <c r="D2081" s="342" t="s">
        <v>663</v>
      </c>
      <c r="E2081" s="342">
        <v>0</v>
      </c>
      <c r="F2081" s="1185">
        <f>IF(F2080&gt;0,1,0)</f>
        <v>0</v>
      </c>
      <c r="G2081" s="1160"/>
      <c r="H2081" s="503" t="str">
        <f>IF(F2080&gt;0,'Grano  Paving'!$G$16&amp;" PACKS "&amp;UPPER('Grano  Paving'!$A$16),"")</f>
        <v/>
      </c>
      <c r="I2081" s="1207"/>
      <c r="J2081" s="2" t="str">
        <f>IF(Table5[[#This Row],[Entered]]&lt;&gt;Table5[[#This Row],[Quantity]],"Check","")</f>
        <v/>
      </c>
    </row>
    <row r="2082" spans="1:10" ht="15" x14ac:dyDescent="0.2">
      <c r="A2082" s="342" t="s">
        <v>3423</v>
      </c>
      <c r="B2082" s="342" t="str">
        <f t="shared" si="118"/>
        <v>1240</v>
      </c>
      <c r="C2082" s="342" t="str">
        <f t="shared" si="119"/>
        <v>02004</v>
      </c>
      <c r="D2082" s="342">
        <f>70</f>
        <v>70</v>
      </c>
      <c r="E2082" s="342">
        <v>4</v>
      </c>
      <c r="F2082" s="1185">
        <f>IF('Grano  Paving'!$A$16&lt;&gt;'Grano  Paving'!$A$19,IF(AND(COUNTIF('Grano  Paving'!$A$19,"*GRANITE*")=1,COUNTIF('Grano  Paving'!$A$19,"*GRANDPAVE*")=1),'Grano  Paving'!$H$19,0),0)</f>
        <v>0</v>
      </c>
      <c r="G2082" s="1160"/>
      <c r="H2082" s="503" t="s">
        <v>2310</v>
      </c>
      <c r="I2082" s="1207"/>
      <c r="J2082" s="2" t="str">
        <f>IF(Table5[[#This Row],[Entered]]&lt;&gt;Table5[[#This Row],[Quantity]],"Check","")</f>
        <v/>
      </c>
    </row>
    <row r="2083" spans="1:10" ht="15" x14ac:dyDescent="0.2">
      <c r="A2083" s="342" t="s">
        <v>3423</v>
      </c>
      <c r="B2083" s="342" t="str">
        <f t="shared" si="118"/>
        <v>1240</v>
      </c>
      <c r="C2083" s="342" t="str">
        <f t="shared" si="119"/>
        <v>02004</v>
      </c>
      <c r="D2083" s="342" t="s">
        <v>664</v>
      </c>
      <c r="E2083" s="342">
        <v>0</v>
      </c>
      <c r="F2083" s="1185">
        <f>IF(F2082&gt;0,1,0)</f>
        <v>0</v>
      </c>
      <c r="G2083" s="1160"/>
      <c r="H2083" s="503" t="str">
        <f>IF(F2082&gt;0,'Grano  Paving'!$G$16&amp;" PACKS "&amp;UPPER('Grano  Paving'!$A$16),"")</f>
        <v/>
      </c>
      <c r="I2083" s="1207"/>
      <c r="J2083" s="2" t="str">
        <f>IF(Table5[[#This Row],[Entered]]&lt;&gt;Table5[[#This Row],[Quantity]],"Check","")</f>
        <v/>
      </c>
    </row>
    <row r="2084" spans="1:10" ht="15" x14ac:dyDescent="0.2">
      <c r="A2084" s="342" t="s">
        <v>3423</v>
      </c>
      <c r="B2084" s="342" t="str">
        <f t="shared" si="118"/>
        <v>1240</v>
      </c>
      <c r="C2084" s="342" t="str">
        <f t="shared" si="119"/>
        <v>02004</v>
      </c>
      <c r="D2084" s="342">
        <f>95</f>
        <v>95</v>
      </c>
      <c r="E2084" s="342">
        <v>4</v>
      </c>
      <c r="F2084" s="1185">
        <f>IF(OR(COUNTIF('Grano  Paving'!$A$16,"*NATURAL*")=1,COUNTIF('Grano  Paving'!$A$16,"*AUTUMN*"=1),COUNTIF('Grano  Paving'!$A$16,"*ANTIQUE*")=1),'Grano  Paving'!$H$16,0)+IF(OR(COUNTIF('Grano  Paving'!$A$19,"*NATURAL*")=1,COUNTIF('Grano  Paving'!$A$19,"*AUTUMN*"=1),COUNTIF('Grano  Paving'!$A$19,"*ANTIQUE*")=1),'Grano  Paving'!$H$19,0)</f>
        <v>0</v>
      </c>
      <c r="G2084" s="1160"/>
      <c r="H2084" s="503" t="s">
        <v>1045</v>
      </c>
      <c r="I2084" s="1207"/>
      <c r="J2084" s="2" t="str">
        <f>IF(Table5[[#This Row],[Entered]]&lt;&gt;Table5[[#This Row],[Quantity]],"Check","")</f>
        <v/>
      </c>
    </row>
    <row r="2085" spans="1:10" ht="15" x14ac:dyDescent="0.2">
      <c r="A2085" s="324"/>
      <c r="B2085" s="324"/>
      <c r="C2085" s="324"/>
      <c r="D2085" s="324"/>
      <c r="E2085" s="324"/>
      <c r="F2085" s="973"/>
      <c r="G2085" s="829"/>
      <c r="H2085" s="412"/>
      <c r="I2085" s="1258"/>
      <c r="J2085" s="2" t="str">
        <f>IF(Table5[[#This Row],[Entered]]&lt;&gt;Table5[[#This Row],[Quantity]],"Check","")</f>
        <v/>
      </c>
    </row>
    <row r="2086" spans="1:10" ht="15" x14ac:dyDescent="0.2">
      <c r="A2086" s="324" t="s">
        <v>3423</v>
      </c>
      <c r="B2086" s="324" t="str">
        <f t="shared" ref="B2086:B2096" si="120">"1245"</f>
        <v>1245</v>
      </c>
      <c r="C2086" s="324">
        <v>52382</v>
      </c>
      <c r="D2086" s="324" t="str">
        <f>"4506"</f>
        <v>4506</v>
      </c>
      <c r="E2086" s="324">
        <v>8</v>
      </c>
      <c r="F2086" s="973" cm="1">
        <f t="array" ref="F2086">IF(SUMPRODUCT(--ISNUMBER(SEARCH(KDPowerBusseltonArea,Address)))&gt;0,'Grano  Paving'!$G$22,0)</f>
        <v>0</v>
      </c>
      <c r="G2086" s="829">
        <v>49.5</v>
      </c>
      <c r="H2086" s="412" t="s">
        <v>3425</v>
      </c>
      <c r="I2086" s="1258"/>
      <c r="J2086" s="2" t="str">
        <f>IF(Table5[[#This Row],[Entered]]&lt;&gt;Table5[[#This Row],[Quantity]],"Check","")</f>
        <v/>
      </c>
    </row>
    <row r="2087" spans="1:10" ht="15" x14ac:dyDescent="0.2">
      <c r="A2087" s="324" t="s">
        <v>3423</v>
      </c>
      <c r="B2087" s="324" t="str">
        <f t="shared" si="120"/>
        <v>1245</v>
      </c>
      <c r="C2087" s="324">
        <v>52382</v>
      </c>
      <c r="D2087" s="324" t="str">
        <f>"4508"</f>
        <v>4508</v>
      </c>
      <c r="E2087" s="324">
        <v>8</v>
      </c>
      <c r="F2087" s="973" cm="1">
        <f t="array" ref="F2087">IF(SUMPRODUCT(--ISNUMBER(SEARCH(KDPowerDunsboroughArea,Address)))&gt;0,'Grano  Paving'!$G$22,0)</f>
        <v>0</v>
      </c>
      <c r="G2087" s="829">
        <v>54.5</v>
      </c>
      <c r="H2087" s="412" t="s">
        <v>3808</v>
      </c>
      <c r="I2087" s="1258"/>
      <c r="J2087" s="2" t="str">
        <f>IF(Table5[[#This Row],[Entered]]&lt;&gt;Table5[[#This Row],[Quantity]],"Check","")</f>
        <v/>
      </c>
    </row>
    <row r="2088" spans="1:10" ht="15" x14ac:dyDescent="0.2">
      <c r="A2088" s="324" t="s">
        <v>3423</v>
      </c>
      <c r="B2088" s="324" t="str">
        <f t="shared" si="120"/>
        <v>1245</v>
      </c>
      <c r="C2088" s="324">
        <v>52382</v>
      </c>
      <c r="D2088" s="324" t="str">
        <f>"4509"</f>
        <v>4509</v>
      </c>
      <c r="E2088" s="324">
        <v>8</v>
      </c>
      <c r="F2088" s="973" cm="1">
        <f t="array" ref="F2088">IF(SUMPRODUCT(--ISNUMBER(SEARCH(KDPowerYallingupArea,Address)))&gt;0,'Grano  Paving'!$G$22,0)</f>
        <v>0</v>
      </c>
      <c r="G2088" s="829">
        <v>58.5</v>
      </c>
      <c r="H2088" s="412" t="s">
        <v>3807</v>
      </c>
      <c r="I2088" s="1258"/>
      <c r="J2088" s="2" t="str">
        <f>IF(Table5[[#This Row],[Entered]]&lt;&gt;Table5[[#This Row],[Quantity]],"Check","")</f>
        <v/>
      </c>
    </row>
    <row r="2089" spans="1:10" ht="15" x14ac:dyDescent="0.2">
      <c r="A2089" s="324" t="s">
        <v>3423</v>
      </c>
      <c r="B2089" s="324" t="str">
        <f t="shared" si="120"/>
        <v>1245</v>
      </c>
      <c r="C2089" s="324">
        <v>52382</v>
      </c>
      <c r="D2089" s="324">
        <v>4511</v>
      </c>
      <c r="E2089" s="324">
        <v>1</v>
      </c>
      <c r="F2089" s="973" cm="1">
        <f t="array" ref="F2089">IF(SUMPRODUCT(--ISNUMBER(SEARCH(KDPowerMargaretRiverCowaramup,Address)))&gt;0,TotalPavingPacks,0)</f>
        <v>0</v>
      </c>
      <c r="G2089" s="829">
        <v>58.5</v>
      </c>
      <c r="H2089" s="412" t="s">
        <v>3627</v>
      </c>
      <c r="I2089" s="1207"/>
      <c r="J2089" s="2" t="str">
        <f>IF(Table5[[#This Row],[Entered]]&lt;&gt;Table5[[#This Row],[Quantity]],"Check","")</f>
        <v/>
      </c>
    </row>
    <row r="2090" spans="1:10" ht="15" x14ac:dyDescent="0.2">
      <c r="A2090" s="324" t="s">
        <v>3423</v>
      </c>
      <c r="B2090" s="324" t="str">
        <f t="shared" si="120"/>
        <v>1245</v>
      </c>
      <c r="C2090" s="324">
        <v>52382</v>
      </c>
      <c r="D2090" s="342">
        <f>9365</f>
        <v>9365</v>
      </c>
      <c r="E2090" s="342">
        <v>8</v>
      </c>
      <c r="F2090" s="1185" cm="1">
        <f t="array" ref="F2090">IF(SUMPRODUCT(--ISNUMBER(SEARCH(KDPowerAugustaArea,Address)))&gt;0,TotalM2Paving,0)</f>
        <v>0</v>
      </c>
      <c r="G2090" s="1160"/>
      <c r="H2090" s="503" t="s">
        <v>2311</v>
      </c>
      <c r="I2090" s="1207"/>
      <c r="J2090" s="2" t="str">
        <f>IF(Table5[[#This Row],[Entered]]&lt;&gt;Table5[[#This Row],[Quantity]],"Check","")</f>
        <v/>
      </c>
    </row>
    <row r="2091" spans="1:10" ht="15" x14ac:dyDescent="0.2">
      <c r="A2091" s="324" t="s">
        <v>3423</v>
      </c>
      <c r="B2091" s="324" t="str">
        <f t="shared" si="120"/>
        <v>1245</v>
      </c>
      <c r="C2091" s="324">
        <v>52382</v>
      </c>
      <c r="D2091" s="342">
        <f>9370</f>
        <v>9370</v>
      </c>
      <c r="E2091" s="342">
        <v>1</v>
      </c>
      <c r="F2091" s="1185" cm="1">
        <f t="array" aca="1" ref="F2091" ca="1">IF(AND(TotalM2Paving&lt;35,TotalM2Paving&gt;0,SUMPRODUCT(--ISNUMBER(SEARCH(KDPowerAugustaArea,Address)))&gt;0),1,0)</f>
        <v>0</v>
      </c>
      <c r="G2091" s="1160"/>
      <c r="H2091" s="503" t="s">
        <v>2312</v>
      </c>
      <c r="I2091" s="1207"/>
      <c r="J2091" s="2" t="str">
        <f ca="1">IF(Table5[[#This Row],[Entered]]&lt;&gt;Table5[[#This Row],[Quantity]],"Check","")</f>
        <v/>
      </c>
    </row>
    <row r="2092" spans="1:10" ht="15" x14ac:dyDescent="0.2">
      <c r="A2092" s="324" t="s">
        <v>3423</v>
      </c>
      <c r="B2092" s="324" t="str">
        <f t="shared" si="120"/>
        <v>1245</v>
      </c>
      <c r="C2092" s="324">
        <v>52382</v>
      </c>
      <c r="D2092" s="342">
        <f>9470</f>
        <v>9470</v>
      </c>
      <c r="E2092" s="342">
        <v>1</v>
      </c>
      <c r="F2092" s="1185" cm="1">
        <f t="array" aca="1" ref="F2092" ca="1">IF(AND(TotalM2Paving&lt;35,TotalM2Paving&gt;0,SUMPRODUCT(--ISNUMBER(SEARCH(KDPowerMargaretRiverCowaramup,Address)))&gt;0),1,0)</f>
        <v>0</v>
      </c>
      <c r="G2092" s="1160"/>
      <c r="H2092" s="503" t="s">
        <v>2313</v>
      </c>
      <c r="I2092" s="1207"/>
      <c r="J2092" s="2" t="str">
        <f ca="1">IF(Table5[[#This Row],[Entered]]&lt;&gt;Table5[[#This Row],[Quantity]],"Check","")</f>
        <v/>
      </c>
    </row>
    <row r="2093" spans="1:10" ht="15" x14ac:dyDescent="0.2">
      <c r="A2093" s="324" t="s">
        <v>3423</v>
      </c>
      <c r="B2093" s="324" t="str">
        <f t="shared" si="120"/>
        <v>1245</v>
      </c>
      <c r="C2093" s="324">
        <v>52382</v>
      </c>
      <c r="D2093" s="324">
        <v>7000</v>
      </c>
      <c r="E2093" s="324">
        <v>1</v>
      </c>
      <c r="F2093" s="973">
        <f ca="1">IF(SUM(F2086:F2092)&gt;0,0.15,0)</f>
        <v>0</v>
      </c>
      <c r="G2093" s="829">
        <f>SUMPRODUCT(F2086:F2089,G2086:G2089)</f>
        <v>0</v>
      </c>
      <c r="H2093" s="412" t="s">
        <v>3426</v>
      </c>
      <c r="I2093" s="1258"/>
      <c r="J2093" s="2" t="str">
        <f ca="1">IF(Table5[[#This Row],[Entered]]&lt;&gt;Table5[[#This Row],[Quantity]],"Check","")</f>
        <v/>
      </c>
    </row>
    <row r="2094" spans="1:10" ht="15" x14ac:dyDescent="0.2">
      <c r="A2094" s="324" t="s">
        <v>3423</v>
      </c>
      <c r="B2094" s="324" t="str">
        <f t="shared" si="120"/>
        <v>1245</v>
      </c>
      <c r="C2094" s="324">
        <v>52382</v>
      </c>
      <c r="D2094" s="324">
        <v>7001</v>
      </c>
      <c r="E2094" s="324">
        <v>1</v>
      </c>
      <c r="F2094" s="973">
        <f>F2019</f>
        <v>0</v>
      </c>
      <c r="G2094" s="829">
        <v>0</v>
      </c>
      <c r="H2094" s="412" t="str">
        <f ca="1">H2019</f>
        <v xml:space="preserve">0 PACKS </v>
      </c>
      <c r="I2094" s="1258"/>
      <c r="J2094" s="73" t="str">
        <f>IF(Table5[[#This Row],[Entered]]&lt;&gt;Table5[[#This Row],[Quantity]],"Check","")</f>
        <v/>
      </c>
    </row>
    <row r="2095" spans="1:10" ht="15" x14ac:dyDescent="0.2">
      <c r="A2095" s="324" t="s">
        <v>3423</v>
      </c>
      <c r="B2095" s="324" t="str">
        <f t="shared" si="120"/>
        <v>1245</v>
      </c>
      <c r="C2095" s="324">
        <v>52382</v>
      </c>
      <c r="D2095" s="324">
        <v>7002</v>
      </c>
      <c r="E2095" s="324">
        <v>1</v>
      </c>
      <c r="F2095" s="973">
        <f ca="1">F2031</f>
        <v>0</v>
      </c>
      <c r="G2095" s="829">
        <v>0</v>
      </c>
      <c r="H2095" s="412" t="str">
        <f ca="1">H2031</f>
        <v/>
      </c>
      <c r="I2095" s="1258"/>
      <c r="J2095" s="73" t="str">
        <f ca="1">IF(Table5[[#This Row],[Entered]]&lt;&gt;Table5[[#This Row],[Quantity]],"Check","")</f>
        <v/>
      </c>
    </row>
    <row r="2096" spans="1:10" ht="15" x14ac:dyDescent="0.2">
      <c r="A2096" s="324" t="s">
        <v>3423</v>
      </c>
      <c r="B2096" s="324" t="str">
        <f t="shared" si="120"/>
        <v>1245</v>
      </c>
      <c r="C2096" s="324">
        <v>52382</v>
      </c>
      <c r="D2096" s="324">
        <v>7003</v>
      </c>
      <c r="E2096" s="324">
        <v>1</v>
      </c>
      <c r="F2096" s="973">
        <f>F2033</f>
        <v>0</v>
      </c>
      <c r="G2096" s="829">
        <v>0</v>
      </c>
      <c r="H2096" s="412" t="str">
        <f ca="1">H2033</f>
        <v xml:space="preserve">0 PACKS </v>
      </c>
      <c r="I2096" s="1207"/>
      <c r="J2096" s="73" t="str">
        <f>IF(Table5[[#This Row],[Entered]]&lt;&gt;Table5[[#This Row],[Quantity]],"Check","")</f>
        <v/>
      </c>
    </row>
    <row r="2097" spans="1:10" ht="15" x14ac:dyDescent="0.2">
      <c r="A2097" s="324"/>
      <c r="B2097" s="324"/>
      <c r="C2097" s="324"/>
      <c r="D2097" s="324"/>
      <c r="E2097" s="324"/>
      <c r="F2097" s="973"/>
      <c r="G2097" s="829"/>
      <c r="H2097" s="412"/>
      <c r="I2097" s="1258"/>
      <c r="J2097" s="2" t="str">
        <f>IF(Table5[[#This Row],[Entered]]&lt;&gt;Table5[[#This Row],[Quantity]],"Check","")</f>
        <v/>
      </c>
    </row>
    <row r="2098" spans="1:10" ht="15" x14ac:dyDescent="0.2">
      <c r="A2098" s="324" t="s">
        <v>393</v>
      </c>
      <c r="B2098" s="324" t="s">
        <v>1146</v>
      </c>
      <c r="C2098" s="324" t="s">
        <v>671</v>
      </c>
      <c r="D2098" s="324" t="s">
        <v>663</v>
      </c>
      <c r="E2098" s="324">
        <v>9</v>
      </c>
      <c r="F2098" s="973">
        <f>CEILING(ExposedAggArea*0.1*1.05,0.3)</f>
        <v>0</v>
      </c>
      <c r="G2098" s="829"/>
      <c r="H2098" s="412" t="str">
        <f>"EXPOSED AGGREGATE "&amp;UPPER(Addenda!C9)</f>
        <v xml:space="preserve">EXPOSED AGGREGATE </v>
      </c>
      <c r="I2098" s="1258"/>
      <c r="J2098" s="2" t="str">
        <f>IF(Table5[[#This Row],[Entered]]&lt;&gt;Table5[[#This Row],[Quantity]],"Check","")</f>
        <v/>
      </c>
    </row>
    <row r="2099" spans="1:10" ht="15" x14ac:dyDescent="0.2">
      <c r="A2099" s="324"/>
      <c r="B2099" s="324"/>
      <c r="C2099" s="324"/>
      <c r="D2099" s="324"/>
      <c r="E2099" s="324"/>
      <c r="F2099" s="827"/>
      <c r="G2099" s="829"/>
      <c r="H2099" s="412"/>
      <c r="I2099" s="1258"/>
      <c r="J2099" s="2" t="str">
        <f>IF(Table5[[#This Row],[Entered]]&lt;&gt;Table5[[#This Row],[Quantity]],"Check","")</f>
        <v/>
      </c>
    </row>
    <row r="2100" spans="1:10" ht="15" x14ac:dyDescent="0.2">
      <c r="A2100" s="324" t="s">
        <v>3423</v>
      </c>
      <c r="B2100" s="324" t="str">
        <f>"1250"</f>
        <v>1250</v>
      </c>
      <c r="C2100" s="324">
        <v>50062</v>
      </c>
      <c r="D2100" s="324" t="str">
        <f>"0060"</f>
        <v>0060</v>
      </c>
      <c r="E2100" s="324">
        <v>8</v>
      </c>
      <c r="F2100" s="973">
        <f>CEILING('Grano  Paving'!C10+'Grano  Paving'!C16,0.1)</f>
        <v>0</v>
      </c>
      <c r="G2100" s="829">
        <v>18</v>
      </c>
      <c r="H2100" s="412" t="s">
        <v>3427</v>
      </c>
      <c r="I2100" s="1258"/>
      <c r="J2100" s="2" t="str">
        <f>IF(Table5[[#This Row],[Entered]]&lt;&gt;Table5[[#This Row],[Quantity]],"Check","")</f>
        <v/>
      </c>
    </row>
    <row r="2101" spans="1:10" ht="15" x14ac:dyDescent="0.2">
      <c r="A2101" s="324" t="s">
        <v>3423</v>
      </c>
      <c r="B2101" s="324" t="str">
        <f>"1250"</f>
        <v>1250</v>
      </c>
      <c r="C2101" s="324">
        <v>50062</v>
      </c>
      <c r="D2101" s="324" t="str">
        <f>"0085"</f>
        <v>0085</v>
      </c>
      <c r="E2101" s="324">
        <v>7</v>
      </c>
      <c r="F2101" s="1162">
        <v>0</v>
      </c>
      <c r="G2101" s="829"/>
      <c r="H2101" s="412" t="s">
        <v>3428</v>
      </c>
      <c r="I2101" s="1258"/>
      <c r="J2101" s="2" t="str">
        <f>IF(Table5[[#This Row],[Entered]]&lt;&gt;Table5[[#This Row],[Quantity]],"Check","")</f>
        <v/>
      </c>
    </row>
    <row r="2102" spans="1:10" ht="15" x14ac:dyDescent="0.2">
      <c r="A2102" s="324" t="s">
        <v>3423</v>
      </c>
      <c r="B2102" s="324" t="str">
        <f>"1250"</f>
        <v>1250</v>
      </c>
      <c r="C2102" s="324">
        <v>50062</v>
      </c>
      <c r="D2102" s="324" t="str">
        <f>"0290"</f>
        <v>0290</v>
      </c>
      <c r="E2102" s="324">
        <v>8</v>
      </c>
      <c r="F2102" s="973">
        <f>CEILING(IF(COUNTIF('Grano  Paving'!A10,"*GRAND*")&gt;0,'Grano  Paving'!C10,0)+IF(COUNTIF('Grano  Paving'!A16,"*GRAND*")&gt;0,'Grano  Paving'!C16,0),0.1)</f>
        <v>0</v>
      </c>
      <c r="G2102" s="829"/>
      <c r="H2102" s="412" t="s">
        <v>3429</v>
      </c>
      <c r="I2102" s="1258"/>
      <c r="J2102" s="2" t="str">
        <f>IF(Table5[[#This Row],[Entered]]&lt;&gt;Table5[[#This Row],[Quantity]],"Check","")</f>
        <v/>
      </c>
    </row>
    <row r="2103" spans="1:10" ht="15" x14ac:dyDescent="0.2">
      <c r="A2103" s="324" t="s">
        <v>3423</v>
      </c>
      <c r="B2103" s="324" t="str">
        <f>"1250"</f>
        <v>1250</v>
      </c>
      <c r="C2103" s="324">
        <v>50062</v>
      </c>
      <c r="D2103" s="324" t="str">
        <f>"0292"</f>
        <v>0292</v>
      </c>
      <c r="E2103" s="324">
        <v>8</v>
      </c>
      <c r="F2103" s="973">
        <f>CEILING(IF(COUNTIF('Grano  Paving'!A10,"*FLAG*")&gt;0,'Grano  Paving'!C10,0)+IF(COUNTIF('Grano  Paving'!A16,"*FLAG*")&gt;0,'Grano  Paving'!C16,0),0.1)</f>
        <v>0</v>
      </c>
      <c r="G2103" s="829">
        <v>4</v>
      </c>
      <c r="H2103" s="412" t="s">
        <v>3430</v>
      </c>
      <c r="I2103" s="1258"/>
      <c r="J2103" s="2" t="str">
        <f>IF(Table5[[#This Row],[Entered]]&lt;&gt;Table5[[#This Row],[Quantity]],"Check","")</f>
        <v/>
      </c>
    </row>
    <row r="2104" spans="1:10" ht="15" x14ac:dyDescent="0.2">
      <c r="A2104" s="324" t="s">
        <v>3423</v>
      </c>
      <c r="B2104" s="324" t="str">
        <f>"1250"</f>
        <v>1250</v>
      </c>
      <c r="C2104" s="324">
        <v>50062</v>
      </c>
      <c r="D2104" s="324">
        <v>1000</v>
      </c>
      <c r="E2104" s="324">
        <v>8</v>
      </c>
      <c r="F2104" s="973">
        <f>CEILING(ExposedAggArea,0.1)</f>
        <v>0</v>
      </c>
      <c r="G2104" s="829"/>
      <c r="H2104" s="412" t="s">
        <v>3431</v>
      </c>
      <c r="I2104" s="1258"/>
      <c r="J2104" s="2" t="str">
        <f>IF(Table5[[#This Row],[Entered]]&lt;&gt;Table5[[#This Row],[Quantity]],"Check","")</f>
        <v/>
      </c>
    </row>
    <row r="2105" spans="1:10" ht="15" x14ac:dyDescent="0.2">
      <c r="A2105" s="324"/>
      <c r="B2105" s="324"/>
      <c r="C2105" s="324"/>
      <c r="D2105" s="324"/>
      <c r="E2105" s="324"/>
      <c r="F2105" s="973"/>
      <c r="G2105" s="829"/>
      <c r="H2105" s="412"/>
      <c r="I2105" s="1258"/>
      <c r="J2105" s="2" t="str">
        <f>IF(Table5[[#This Row],[Entered]]&lt;&gt;Table5[[#This Row],[Quantity]],"Check","")</f>
        <v/>
      </c>
    </row>
    <row r="2106" spans="1:10" ht="15" x14ac:dyDescent="0.2">
      <c r="A2106" s="324" t="s">
        <v>393</v>
      </c>
      <c r="B2106" s="324" t="s">
        <v>1164</v>
      </c>
      <c r="C2106" s="324" t="s">
        <v>1046</v>
      </c>
      <c r="D2106" s="324">
        <f>510</f>
        <v>510</v>
      </c>
      <c r="E2106" s="324">
        <v>7</v>
      </c>
      <c r="F2106" s="973">
        <f>ROUNDUP(CEILING(ExposedAggPerim,0.1),1)</f>
        <v>0</v>
      </c>
      <c r="G2106" s="829"/>
      <c r="H2106" s="412" t="s">
        <v>1165</v>
      </c>
      <c r="I2106" s="1258"/>
      <c r="J2106" s="2" t="str">
        <f>IF(Table5[[#This Row],[Entered]]&lt;&gt;Table5[[#This Row],[Quantity]],"Check","")</f>
        <v/>
      </c>
    </row>
    <row r="2107" spans="1:10" ht="15" x14ac:dyDescent="0.2">
      <c r="A2107" s="324" t="s">
        <v>393</v>
      </c>
      <c r="B2107" s="324" t="s">
        <v>1164</v>
      </c>
      <c r="C2107" s="324" t="s">
        <v>1046</v>
      </c>
      <c r="D2107" s="324">
        <f>1000</f>
        <v>1000</v>
      </c>
      <c r="E2107" s="324">
        <v>8</v>
      </c>
      <c r="F2107" s="973">
        <f>ExposedAggArea</f>
        <v>0</v>
      </c>
      <c r="G2107" s="829"/>
      <c r="H2107" s="412" t="s">
        <v>1334</v>
      </c>
      <c r="I2107" s="1258"/>
      <c r="J2107" s="2" t="str">
        <f>IF(Table5[[#This Row],[Entered]]&lt;&gt;Table5[[#This Row],[Quantity]],"Check","")</f>
        <v/>
      </c>
    </row>
    <row r="2108" spans="1:10" ht="15" x14ac:dyDescent="0.2">
      <c r="A2108" s="324" t="s">
        <v>393</v>
      </c>
      <c r="B2108" s="324" t="s">
        <v>1164</v>
      </c>
      <c r="C2108" s="324" t="s">
        <v>1046</v>
      </c>
      <c r="D2108" s="324">
        <f>9995</f>
        <v>9995</v>
      </c>
      <c r="E2108" s="324">
        <v>0</v>
      </c>
      <c r="F2108" s="973"/>
      <c r="G2108" s="829"/>
      <c r="H2108" s="412" t="s">
        <v>1029</v>
      </c>
      <c r="I2108" s="1258"/>
      <c r="J2108" s="2" t="str">
        <f>IF(Table5[[#This Row],[Entered]]&lt;&gt;Table5[[#This Row],[Quantity]],"Check","")</f>
        <v/>
      </c>
    </row>
    <row r="2109" spans="1:10" ht="15" x14ac:dyDescent="0.2">
      <c r="A2109" s="324" t="s">
        <v>393</v>
      </c>
      <c r="B2109" s="324" t="s">
        <v>1164</v>
      </c>
      <c r="C2109" s="324" t="s">
        <v>1046</v>
      </c>
      <c r="D2109" s="324">
        <f>9996</f>
        <v>9996</v>
      </c>
      <c r="E2109" s="324">
        <v>0</v>
      </c>
      <c r="F2109" s="973">
        <f>F2108</f>
        <v>0</v>
      </c>
      <c r="G2109" s="829"/>
      <c r="H2109" s="412" t="s">
        <v>1322</v>
      </c>
      <c r="I2109" s="1258"/>
      <c r="J2109" s="2" t="str">
        <f>IF(Table5[[#This Row],[Entered]]&lt;&gt;Table5[[#This Row],[Quantity]],"Check","")</f>
        <v/>
      </c>
    </row>
    <row r="2110" spans="1:10" ht="15" x14ac:dyDescent="0.2">
      <c r="A2110" s="324" t="s">
        <v>393</v>
      </c>
      <c r="B2110" s="324" t="s">
        <v>1164</v>
      </c>
      <c r="C2110" s="324" t="s">
        <v>1046</v>
      </c>
      <c r="D2110" s="324">
        <f>9999</f>
        <v>9999</v>
      </c>
      <c r="E2110" s="324">
        <v>0</v>
      </c>
      <c r="F2110" s="973">
        <f>F2109</f>
        <v>0</v>
      </c>
      <c r="G2110" s="829"/>
      <c r="H2110" s="412" t="s">
        <v>1166</v>
      </c>
      <c r="I2110" s="1258"/>
      <c r="J2110" s="2" t="str">
        <f>IF(Table5[[#This Row],[Entered]]&lt;&gt;Table5[[#This Row],[Quantity]],"Check","")</f>
        <v/>
      </c>
    </row>
    <row r="2111" spans="1:10" ht="15" x14ac:dyDescent="0.2">
      <c r="A2111" s="324"/>
      <c r="B2111" s="324"/>
      <c r="C2111" s="324"/>
      <c r="D2111" s="324"/>
      <c r="E2111" s="324"/>
      <c r="F2111" s="973"/>
      <c r="G2111" s="829"/>
      <c r="H2111" s="412"/>
      <c r="I2111" s="1258"/>
      <c r="J2111" s="2" t="str">
        <f>IF(Table5[[#This Row],[Entered]]&lt;&gt;Table5[[#This Row],[Quantity]],"Check","")</f>
        <v/>
      </c>
    </row>
    <row r="2112" spans="1:10" ht="15" x14ac:dyDescent="0.2">
      <c r="A2112" s="324" t="s">
        <v>393</v>
      </c>
      <c r="B2112" s="324" t="s">
        <v>401</v>
      </c>
      <c r="C2112" s="324" t="s">
        <v>665</v>
      </c>
      <c r="D2112" s="324">
        <f>100</f>
        <v>100</v>
      </c>
      <c r="E2112" s="324">
        <v>1</v>
      </c>
      <c r="F2112" s="973"/>
      <c r="G2112" s="829"/>
      <c r="H2112" s="412" t="s">
        <v>1047</v>
      </c>
      <c r="I2112" s="1258"/>
      <c r="J2112" s="2" t="str">
        <f>IF(Table5[[#This Row],[Entered]]&lt;&gt;Table5[[#This Row],[Quantity]],"Check","")</f>
        <v/>
      </c>
    </row>
    <row r="2113" spans="1:10" ht="15" x14ac:dyDescent="0.2">
      <c r="A2113" s="324"/>
      <c r="B2113" s="324"/>
      <c r="C2113" s="324"/>
      <c r="D2113" s="324"/>
      <c r="E2113" s="324"/>
      <c r="F2113" s="973"/>
      <c r="G2113" s="829"/>
      <c r="H2113" s="412"/>
      <c r="I2113" s="1258"/>
      <c r="J2113" s="2" t="str">
        <f>IF(Table5[[#This Row],[Entered]]&lt;&gt;Table5[[#This Row],[Quantity]],"Check","")</f>
        <v/>
      </c>
    </row>
    <row r="2114" spans="1:10" ht="15" x14ac:dyDescent="0.2">
      <c r="A2114" s="324" t="s">
        <v>393</v>
      </c>
      <c r="B2114" s="324" t="s">
        <v>1358</v>
      </c>
      <c r="C2114" s="324" t="s">
        <v>917</v>
      </c>
      <c r="D2114" s="324">
        <f>100</f>
        <v>100</v>
      </c>
      <c r="E2114" s="324">
        <v>7</v>
      </c>
      <c r="F2114" s="973">
        <f>IF(COUNTIF(Addenda!A:A,"*BALAU*"),ROUNDUP((ROUND(SUMIF(Name,"Decking",Area),0)/0.09)*1.2+(ROUND(SUMIF(Name,"Decking",Length),0)/1)*1.2,0),0)</f>
        <v>0</v>
      </c>
      <c r="G2114" s="829"/>
      <c r="H2114" s="412" t="s">
        <v>1359</v>
      </c>
      <c r="I2114" s="1258"/>
      <c r="J2114" s="2" t="str">
        <f>IF(Table5[[#This Row],[Entered]]&lt;&gt;Table5[[#This Row],[Quantity]],"Check","")</f>
        <v/>
      </c>
    </row>
    <row r="2115" spans="1:10" ht="15" x14ac:dyDescent="0.2">
      <c r="A2115" s="324" t="s">
        <v>393</v>
      </c>
      <c r="B2115" s="324" t="s">
        <v>1358</v>
      </c>
      <c r="C2115" s="324" t="s">
        <v>917</v>
      </c>
      <c r="D2115" s="324" t="s">
        <v>2300</v>
      </c>
      <c r="E2115" s="324">
        <v>1</v>
      </c>
      <c r="F2115" s="973">
        <f>IF(COUNTIF(Addenda!A:A,"*TREX*"),ROUNDUP((ROUNDUP(SUMIF(Name,"Decking",Area),0)/0.6832)*1.2,0),0)</f>
        <v>0</v>
      </c>
      <c r="G2115" s="829"/>
      <c r="H2115" s="412" t="str">
        <f>UPPER(IFERROR(MID(INDEX(Addenda!A:A,MATCH("*Trex*",Addenda!A:A,0),1),12,35),""))&amp;"140*25*4880 GROOVE BOARD"</f>
        <v>140*25*4880 GROOVE BOARD</v>
      </c>
      <c r="I2115" s="1258"/>
      <c r="J2115" s="2" t="str">
        <f>IF(Table5[[#This Row],[Entered]]&lt;&gt;Table5[[#This Row],[Quantity]],"Check","")</f>
        <v/>
      </c>
    </row>
    <row r="2116" spans="1:10" ht="15" x14ac:dyDescent="0.2">
      <c r="A2116" s="324" t="s">
        <v>393</v>
      </c>
      <c r="B2116" s="324" t="s">
        <v>1358</v>
      </c>
      <c r="C2116" s="324" t="s">
        <v>917</v>
      </c>
      <c r="D2116" s="324" t="s">
        <v>663</v>
      </c>
      <c r="E2116" s="324">
        <v>1</v>
      </c>
      <c r="F2116" s="973">
        <f>IF(COUNTIF(Addenda!A:A,"*TREX*"),ROUNDUP((ROUNDUP(SUMIF(Name,"Decking",Length),0)/4.88)*1.2,0),0)</f>
        <v>0</v>
      </c>
      <c r="G2116" s="829"/>
      <c r="H2116" s="412" t="str">
        <f>UPPER(IFERROR(MID(INDEX(Addenda!A:A,MATCH("*Trex*",Addenda!A:A,0),1),12,35),""))&amp;"140*25*4880 SQUARE EDGE BOARD"</f>
        <v>140*25*4880 SQUARE EDGE BOARD</v>
      </c>
      <c r="I2116" s="1258"/>
      <c r="J2116" s="2" t="str">
        <f>IF(Table5[[#This Row],[Entered]]&lt;&gt;Table5[[#This Row],[Quantity]],"Check","")</f>
        <v/>
      </c>
    </row>
    <row r="2117" spans="1:10" ht="15" x14ac:dyDescent="0.2">
      <c r="A2117" s="324" t="s">
        <v>393</v>
      </c>
      <c r="B2117" s="324" t="s">
        <v>1358</v>
      </c>
      <c r="C2117" s="324" t="s">
        <v>917</v>
      </c>
      <c r="D2117" s="324" t="s">
        <v>1232</v>
      </c>
      <c r="E2117" s="324">
        <v>1</v>
      </c>
      <c r="F2117" s="973">
        <f>ROUNDUP((F2115*24)/100,0)</f>
        <v>0</v>
      </c>
      <c r="G2117" s="829"/>
      <c r="H2117" s="412" t="s">
        <v>1360</v>
      </c>
      <c r="I2117" s="1258"/>
      <c r="J2117" s="2" t="str">
        <f>IF(Table5[[#This Row],[Entered]]&lt;&gt;Table5[[#This Row],[Quantity]],"Check","")</f>
        <v/>
      </c>
    </row>
    <row r="2118" spans="1:10" ht="15" x14ac:dyDescent="0.2">
      <c r="A2118" s="324" t="s">
        <v>393</v>
      </c>
      <c r="B2118" s="324" t="s">
        <v>1358</v>
      </c>
      <c r="C2118" s="324" t="s">
        <v>917</v>
      </c>
      <c r="D2118" s="324" t="s">
        <v>1361</v>
      </c>
      <c r="E2118" s="324">
        <v>1</v>
      </c>
      <c r="F2118" s="973">
        <f>ROUNDUP((F2122-(F2119*50))/5,0)</f>
        <v>0</v>
      </c>
      <c r="G2118" s="829">
        <v>0</v>
      </c>
      <c r="H2118" s="412" t="s">
        <v>1362</v>
      </c>
      <c r="I2118" s="1258"/>
      <c r="J2118" s="2" t="str">
        <f>IF(Table5[[#This Row],[Entered]]&lt;&gt;Table5[[#This Row],[Quantity]],"Check","")</f>
        <v/>
      </c>
    </row>
    <row r="2119" spans="1:10" ht="15" x14ac:dyDescent="0.2">
      <c r="A2119" s="324" t="s">
        <v>393</v>
      </c>
      <c r="B2119" s="324" t="s">
        <v>1358</v>
      </c>
      <c r="C2119" s="324" t="s">
        <v>917</v>
      </c>
      <c r="D2119" s="324" t="s">
        <v>1361</v>
      </c>
      <c r="E2119" s="324">
        <v>1</v>
      </c>
      <c r="F2119" s="973">
        <f>IF(F2122&gt;50,ROUNDUP(F2117/50,0),0)</f>
        <v>0</v>
      </c>
      <c r="G2119" s="829"/>
      <c r="H2119" s="412" t="s">
        <v>1363</v>
      </c>
      <c r="I2119" s="1258"/>
      <c r="J2119" s="2" t="str">
        <f>IF(Table5[[#This Row],[Entered]]&lt;&gt;Table5[[#This Row],[Quantity]],"Check","")</f>
        <v/>
      </c>
    </row>
    <row r="2120" spans="1:10" ht="15" x14ac:dyDescent="0.2">
      <c r="A2120" s="324"/>
      <c r="B2120" s="324"/>
      <c r="C2120" s="324"/>
      <c r="D2120" s="324"/>
      <c r="E2120" s="324"/>
      <c r="F2120" s="973"/>
      <c r="G2120" s="829"/>
      <c r="H2120" s="412"/>
      <c r="I2120" s="1258"/>
      <c r="J2120" s="2" t="str">
        <f>IF(Table5[[#This Row],[Entered]]&lt;&gt;Table5[[#This Row],[Quantity]],"Check","")</f>
        <v/>
      </c>
    </row>
    <row r="2121" spans="1:10" ht="15" x14ac:dyDescent="0.2">
      <c r="A2121" s="324" t="s">
        <v>393</v>
      </c>
      <c r="B2121" s="324" t="s">
        <v>1353</v>
      </c>
      <c r="C2121" s="324" t="s">
        <v>932</v>
      </c>
      <c r="D2121" s="324">
        <f>100</f>
        <v>100</v>
      </c>
      <c r="E2121" s="324">
        <v>7</v>
      </c>
      <c r="F2121" s="973">
        <f ca="1">IF(SUMIFS(Area,Name,"Decking",Material,"&lt;&gt;Post")&gt;0,(F2122*2.8),0)</f>
        <v>0</v>
      </c>
      <c r="G2121" s="829"/>
      <c r="H2121" s="412" t="s">
        <v>1364</v>
      </c>
      <c r="I2121" s="1258"/>
      <c r="J2121" s="2" t="str">
        <f ca="1">IF(Table5[[#This Row],[Entered]]&lt;&gt;Table5[[#This Row],[Quantity]],"Check","")</f>
        <v/>
      </c>
    </row>
    <row r="2122" spans="1:10" ht="15" x14ac:dyDescent="0.2">
      <c r="A2122" s="324" t="s">
        <v>393</v>
      </c>
      <c r="B2122" s="324" t="s">
        <v>1353</v>
      </c>
      <c r="C2122" s="324" t="s">
        <v>932</v>
      </c>
      <c r="D2122" s="324">
        <f>150</f>
        <v>150</v>
      </c>
      <c r="E2122" s="324">
        <v>8</v>
      </c>
      <c r="F2122" s="973">
        <f>ROUNDUP(SUMIF(Name,"Decking",Area),0)</f>
        <v>0</v>
      </c>
      <c r="G2122" s="829"/>
      <c r="H2122" s="412" t="s">
        <v>1354</v>
      </c>
      <c r="I2122" s="1258"/>
      <c r="J2122" s="2" t="str">
        <f>IF(Table5[[#This Row],[Entered]]&lt;&gt;Table5[[#This Row],[Quantity]],"Check","")</f>
        <v/>
      </c>
    </row>
    <row r="2123" spans="1:10" ht="15" x14ac:dyDescent="0.2">
      <c r="A2123" s="324" t="s">
        <v>393</v>
      </c>
      <c r="B2123" s="324" t="s">
        <v>1353</v>
      </c>
      <c r="C2123" s="324" t="s">
        <v>932</v>
      </c>
      <c r="D2123" s="324">
        <f>200</f>
        <v>200</v>
      </c>
      <c r="E2123" s="324">
        <v>1</v>
      </c>
      <c r="F2123" s="973">
        <f>ROUNDUP(SUMIF(Name,"Decking",Area)/30,0)</f>
        <v>0</v>
      </c>
      <c r="G2123" s="829"/>
      <c r="H2123" s="412" t="s">
        <v>3012</v>
      </c>
      <c r="I2123" s="1258"/>
      <c r="J2123" s="2" t="str">
        <f>IF(Table5[[#This Row],[Entered]]&lt;&gt;Table5[[#This Row],[Quantity]],"Check","")</f>
        <v/>
      </c>
    </row>
    <row r="2124" spans="1:10" ht="15" x14ac:dyDescent="0.2">
      <c r="A2124" s="324" t="s">
        <v>393</v>
      </c>
      <c r="B2124" s="324" t="s">
        <v>1353</v>
      </c>
      <c r="C2124" s="324" t="s">
        <v>665</v>
      </c>
      <c r="D2124" s="324">
        <f>610</f>
        <v>610</v>
      </c>
      <c r="E2124" s="324">
        <v>8</v>
      </c>
      <c r="F2124" s="973">
        <f>IF(F2115=0,ROUNDUP(SUMIF(Name,"Decking",Area),0),0)</f>
        <v>0</v>
      </c>
      <c r="G2124" s="829"/>
      <c r="H2124" s="412" t="s">
        <v>1365</v>
      </c>
      <c r="I2124" s="1258"/>
      <c r="J2124" s="2" t="str">
        <f>IF(Table5[[#This Row],[Entered]]&lt;&gt;Table5[[#This Row],[Quantity]],"Check","")</f>
        <v/>
      </c>
    </row>
    <row r="2125" spans="1:10" ht="15" x14ac:dyDescent="0.2">
      <c r="A2125" s="324" t="s">
        <v>393</v>
      </c>
      <c r="B2125" s="324" t="s">
        <v>1353</v>
      </c>
      <c r="C2125" s="324" t="s">
        <v>932</v>
      </c>
      <c r="D2125" s="324">
        <v>800</v>
      </c>
      <c r="E2125" s="324">
        <v>8</v>
      </c>
      <c r="F2125" s="973">
        <f ca="1">IF(AND(ROUNDUP(SUMIFS(Area,Name,"Decking",Material,"Post")&gt;0,0),ROUNDUP(SUMIFS(Area,Name,"Decking",Material,"Post"),0)&lt;15),ROUNDUP(SUMIFS(Area,Name,"Decking",Material,"Post"),0),0)</f>
        <v>0</v>
      </c>
      <c r="G2125" s="829"/>
      <c r="H2125" s="412" t="s">
        <v>2316</v>
      </c>
      <c r="I2125" s="1258"/>
      <c r="J2125" s="2" t="str">
        <f ca="1">IF(Table5[[#This Row],[Entered]]&lt;&gt;Table5[[#This Row],[Quantity]],"Check","")</f>
        <v/>
      </c>
    </row>
    <row r="2126" spans="1:10" ht="15" x14ac:dyDescent="0.2">
      <c r="A2126" s="324" t="s">
        <v>393</v>
      </c>
      <c r="B2126" s="324" t="s">
        <v>1353</v>
      </c>
      <c r="C2126" s="324" t="s">
        <v>932</v>
      </c>
      <c r="D2126" s="324">
        <v>810</v>
      </c>
      <c r="E2126" s="324">
        <v>8</v>
      </c>
      <c r="F2126" s="973">
        <f ca="1">IF(ROUNDUP(SUMIFS(Area,Name,"Decking",Material,"Post")&gt;15,0),ROUNDUP(SUMIFS(Area,Name,"Decking",Material,"Post"),0),0)</f>
        <v>0</v>
      </c>
      <c r="G2126" s="829"/>
      <c r="H2126" s="412" t="s">
        <v>2317</v>
      </c>
      <c r="I2126" s="1258"/>
      <c r="J2126" s="2" t="str">
        <f ca="1">IF(Table5[[#This Row],[Entered]]&lt;&gt;Table5[[#This Row],[Quantity]],"Check","")</f>
        <v/>
      </c>
    </row>
    <row r="2127" spans="1:10" ht="15" x14ac:dyDescent="0.2">
      <c r="A2127" s="324"/>
      <c r="B2127" s="324"/>
      <c r="C2127" s="324"/>
      <c r="D2127" s="324"/>
      <c r="E2127" s="324"/>
      <c r="F2127" s="973"/>
      <c r="G2127" s="829"/>
      <c r="H2127" s="412"/>
      <c r="I2127" s="1258"/>
      <c r="J2127" s="2" t="str">
        <f>IF(Table5[[#This Row],[Entered]]&lt;&gt;Table5[[#This Row],[Quantity]],"Check","")</f>
        <v/>
      </c>
    </row>
    <row r="2128" spans="1:10" ht="15" x14ac:dyDescent="0.2">
      <c r="A2128" s="324" t="s">
        <v>3432</v>
      </c>
      <c r="B2128" s="324">
        <v>1320</v>
      </c>
      <c r="C2128" s="324" t="str">
        <f t="shared" ref="C2128:C2152" si="121">"04285"</f>
        <v>04285</v>
      </c>
      <c r="D2128" s="324" t="str">
        <f>"0210"</f>
        <v>0210</v>
      </c>
      <c r="E2128" s="324">
        <v>8</v>
      </c>
      <c r="F2128" s="973">
        <f>CEILING(SUM(H_Area+Garage_Area),0.1)-F2130</f>
        <v>0</v>
      </c>
      <c r="G2128" s="829">
        <v>11.9</v>
      </c>
      <c r="H2128" s="412" t="s">
        <v>3433</v>
      </c>
      <c r="I2128" s="1258"/>
      <c r="J2128" s="2" t="str">
        <f>IF(Table5[[#This Row],[Entered]]&lt;&gt;Table5[[#This Row],[Quantity]],"Check","")</f>
        <v/>
      </c>
    </row>
    <row r="2129" spans="1:10" ht="15" x14ac:dyDescent="0.2">
      <c r="A2129" s="324" t="s">
        <v>3432</v>
      </c>
      <c r="B2129" s="324">
        <v>1320</v>
      </c>
      <c r="C2129" s="324" t="str">
        <f t="shared" si="121"/>
        <v>04285</v>
      </c>
      <c r="D2129" s="324" t="str">
        <f>"0211"</f>
        <v>0211</v>
      </c>
      <c r="E2129" s="324">
        <v>8</v>
      </c>
      <c r="F2129" s="973">
        <f>SUMIF(Name,"Raked Ceiling Int",Area)</f>
        <v>0</v>
      </c>
      <c r="G2129" s="829"/>
      <c r="H2129" s="412" t="s">
        <v>3438</v>
      </c>
      <c r="I2129" s="1258"/>
      <c r="J2129" s="2" t="str">
        <f>IF(Table5[[#This Row],[Entered]]&lt;&gt;Table5[[#This Row],[Quantity]],"Check","")</f>
        <v/>
      </c>
    </row>
    <row r="2130" spans="1:10" ht="15" x14ac:dyDescent="0.2">
      <c r="A2130" s="324" t="s">
        <v>3432</v>
      </c>
      <c r="B2130" s="324" t="str">
        <f>"1320"</f>
        <v>1320</v>
      </c>
      <c r="C2130" s="324" t="str">
        <f t="shared" si="121"/>
        <v>04285</v>
      </c>
      <c r="D2130" s="324" t="str">
        <f>"0213"</f>
        <v>0213</v>
      </c>
      <c r="E2130" s="324">
        <v>8</v>
      </c>
      <c r="F2130" s="973">
        <f>IF(COUNTIF(Addenda!A:A,"*R5*")&gt;0,CEILING(SUM(H_Area+Garage_Area),0.1),0)</f>
        <v>0</v>
      </c>
      <c r="G2130" s="829">
        <v>13.75</v>
      </c>
      <c r="H2130" s="412" t="s">
        <v>3434</v>
      </c>
      <c r="I2130" s="1258"/>
      <c r="J2130" s="2" t="str">
        <f>IF(Table5[[#This Row],[Entered]]&lt;&gt;Table5[[#This Row],[Quantity]],"Check","")</f>
        <v/>
      </c>
    </row>
    <row r="2131" spans="1:10" ht="15" x14ac:dyDescent="0.2">
      <c r="A2131" s="324" t="s">
        <v>3432</v>
      </c>
      <c r="B2131" s="324" t="str">
        <f>"1320"</f>
        <v>1320</v>
      </c>
      <c r="C2131" s="324" t="str">
        <f t="shared" si="121"/>
        <v>04285</v>
      </c>
      <c r="D2131" s="324" t="str">
        <f>"8001"</f>
        <v>8001</v>
      </c>
      <c r="E2131" s="324">
        <v>0</v>
      </c>
      <c r="F2131" s="973">
        <v>1</v>
      </c>
      <c r="G2131" s="829">
        <v>0</v>
      </c>
      <c r="H2131" s="412" t="s">
        <v>3435</v>
      </c>
      <c r="I2131" s="1258"/>
      <c r="J2131" s="2" t="str">
        <f>IF(Table5[[#This Row],[Entered]]&lt;&gt;Table5[[#This Row],[Quantity]],"Check","")</f>
        <v>Check</v>
      </c>
    </row>
    <row r="2132" spans="1:10" ht="15" x14ac:dyDescent="0.2">
      <c r="A2132" s="324" t="s">
        <v>3432</v>
      </c>
      <c r="B2132" s="324" t="str">
        <f>"1320"</f>
        <v>1320</v>
      </c>
      <c r="C2132" s="324" t="str">
        <f t="shared" si="121"/>
        <v>04285</v>
      </c>
      <c r="D2132" s="324">
        <v>8002</v>
      </c>
      <c r="E2132" s="324">
        <v>0</v>
      </c>
      <c r="F2132" s="973">
        <v>1</v>
      </c>
      <c r="G2132" s="829">
        <v>0</v>
      </c>
      <c r="H2132" s="412" t="s">
        <v>3436</v>
      </c>
      <c r="I2132" s="1258"/>
      <c r="J2132" s="2" t="str">
        <f>IF(Table5[[#This Row],[Entered]]&lt;&gt;Table5[[#This Row],[Quantity]],"Check","")</f>
        <v>Check</v>
      </c>
    </row>
    <row r="2133" spans="1:10" ht="15" x14ac:dyDescent="0.2">
      <c r="A2133" s="324" t="s">
        <v>3432</v>
      </c>
      <c r="B2133" s="324" t="str">
        <f>"1320"</f>
        <v>1320</v>
      </c>
      <c r="C2133" s="324" t="str">
        <f t="shared" si="121"/>
        <v>04285</v>
      </c>
      <c r="D2133" s="324">
        <v>8005</v>
      </c>
      <c r="E2133" s="324">
        <v>0</v>
      </c>
      <c r="F2133" s="973">
        <v>1</v>
      </c>
      <c r="G2133" s="829">
        <v>0</v>
      </c>
      <c r="H2133" s="412" t="s">
        <v>3437</v>
      </c>
      <c r="I2133" s="1258"/>
      <c r="J2133" s="2" t="str">
        <f>IF(Table5[[#This Row],[Entered]]&lt;&gt;Table5[[#This Row],[Quantity]],"Check","")</f>
        <v>Check</v>
      </c>
    </row>
    <row r="2134" spans="1:10" ht="15" x14ac:dyDescent="0.2">
      <c r="A2134" s="324" t="s">
        <v>3432</v>
      </c>
      <c r="B2134" s="324">
        <v>1320</v>
      </c>
      <c r="C2134" s="324" t="str">
        <f t="shared" si="121"/>
        <v>04285</v>
      </c>
      <c r="D2134" s="324" t="str">
        <f>"9014"</f>
        <v>9014</v>
      </c>
      <c r="E2134" s="324">
        <v>1</v>
      </c>
      <c r="F2134" s="1132" cm="1">
        <f t="array" ref="F2134">IF(SUM(COUNTIF(Address,{"*AUGUSTA*"}))&gt;0,1,0)</f>
        <v>0</v>
      </c>
      <c r="G2134" s="829"/>
      <c r="H2134" s="412" t="s">
        <v>3440</v>
      </c>
      <c r="I2134" s="1258"/>
      <c r="J2134" s="2" t="str">
        <f>IF(Table5[[#This Row],[Entered]]&lt;&gt;Table5[[#This Row],[Quantity]],"Check","")</f>
        <v/>
      </c>
    </row>
    <row r="2135" spans="1:10" ht="15" x14ac:dyDescent="0.2">
      <c r="A2135" s="324" t="s">
        <v>3432</v>
      </c>
      <c r="B2135" s="324">
        <v>1320</v>
      </c>
      <c r="C2135" s="324" t="str">
        <f t="shared" si="121"/>
        <v>04285</v>
      </c>
      <c r="D2135" s="324" t="str">
        <f>"9017"</f>
        <v>9017</v>
      </c>
      <c r="E2135" s="324">
        <v>1</v>
      </c>
      <c r="F2135" s="1132" cm="1">
        <f t="array" ref="F2135">IF(SUM(COUNTIF(Address,{"*BALINGUP*"}))&gt;0,1,0)</f>
        <v>0</v>
      </c>
      <c r="G2135" s="829"/>
      <c r="H2135" s="412" t="s">
        <v>3441</v>
      </c>
      <c r="I2135" s="1258"/>
      <c r="J2135" s="2" t="str">
        <f>IF(Table5[[#This Row],[Entered]]&lt;&gt;Table5[[#This Row],[Quantity]],"Check","")</f>
        <v/>
      </c>
    </row>
    <row r="2136" spans="1:10" ht="15" x14ac:dyDescent="0.2">
      <c r="A2136" s="324" t="s">
        <v>3432</v>
      </c>
      <c r="B2136" s="324">
        <v>1320</v>
      </c>
      <c r="C2136" s="324" t="str">
        <f t="shared" si="121"/>
        <v>04285</v>
      </c>
      <c r="D2136" s="324" t="str">
        <f>"9098"</f>
        <v>9098</v>
      </c>
      <c r="E2136" s="324">
        <v>1</v>
      </c>
      <c r="F2136" s="1132" cm="1">
        <f t="array" ref="F2136">IF(SUM(COUNTIF(Address,{"*AUGUSTA*"}))&gt;0,1,0)</f>
        <v>0</v>
      </c>
      <c r="G2136" s="829"/>
      <c r="H2136" s="412" t="s">
        <v>3442</v>
      </c>
      <c r="I2136" s="1258"/>
      <c r="J2136" s="2" t="str">
        <f>IF(Table5[[#This Row],[Entered]]&lt;&gt;Table5[[#This Row],[Quantity]],"Check","")</f>
        <v/>
      </c>
    </row>
    <row r="2137" spans="1:10" ht="15" x14ac:dyDescent="0.2">
      <c r="A2137" s="324" t="s">
        <v>3432</v>
      </c>
      <c r="B2137" s="324">
        <v>1320</v>
      </c>
      <c r="C2137" s="324" t="str">
        <f t="shared" si="121"/>
        <v>04285</v>
      </c>
      <c r="D2137" s="324" t="str">
        <f>"9029"</f>
        <v>9029</v>
      </c>
      <c r="E2137" s="324">
        <v>1</v>
      </c>
      <c r="F2137" s="1132" cm="1">
        <f t="array" ref="F2137">IF(SUM(COUNTIF(Address,{"*BUNBURY*","*ROELANDS*"}))&gt;0,1,0)</f>
        <v>0</v>
      </c>
      <c r="G2137" s="829"/>
      <c r="H2137" s="412" t="s">
        <v>3443</v>
      </c>
      <c r="I2137" s="1258"/>
      <c r="J2137" s="2" t="str">
        <f>IF(Table5[[#This Row],[Entered]]&lt;&gt;Table5[[#This Row],[Quantity]],"Check","")</f>
        <v/>
      </c>
    </row>
    <row r="2138" spans="1:10" ht="15" x14ac:dyDescent="0.2">
      <c r="A2138" s="324" t="s">
        <v>3432</v>
      </c>
      <c r="B2138" s="324">
        <v>1320</v>
      </c>
      <c r="C2138" s="324" t="str">
        <f t="shared" si="121"/>
        <v>04285</v>
      </c>
      <c r="D2138" s="324" t="str">
        <f>"9031"</f>
        <v>9031</v>
      </c>
      <c r="E2138" s="324">
        <v>1</v>
      </c>
      <c r="F2138" s="1132" cm="1">
        <f t="array" ref="F2138">IF(SUM(COUNTIF(Address,{"*BUSSELTON*","*VASSE*"}))&gt;0,1,0)</f>
        <v>0</v>
      </c>
      <c r="G2138" s="829">
        <v>0</v>
      </c>
      <c r="H2138" s="412" t="s">
        <v>3444</v>
      </c>
      <c r="I2138" s="1258"/>
      <c r="J2138" s="2" t="str">
        <f>IF(Table5[[#This Row],[Entered]]&lt;&gt;Table5[[#This Row],[Quantity]],"Check","")</f>
        <v/>
      </c>
    </row>
    <row r="2139" spans="1:10" ht="15" x14ac:dyDescent="0.2">
      <c r="A2139" s="324" t="s">
        <v>3432</v>
      </c>
      <c r="B2139" s="324">
        <v>1320</v>
      </c>
      <c r="C2139" s="324" t="str">
        <f t="shared" si="121"/>
        <v>04285</v>
      </c>
      <c r="D2139" s="324" t="str">
        <f>"9035"</f>
        <v>9035</v>
      </c>
      <c r="E2139" s="324">
        <v>1</v>
      </c>
      <c r="F2139" s="1132" cm="1">
        <f t="array" ref="F2139">IF(SUM(COUNTIF(Address,{"*COWARAMUP*"}))&gt;0,1,0)</f>
        <v>0</v>
      </c>
      <c r="G2139" s="829"/>
      <c r="H2139" s="412" t="s">
        <v>3445</v>
      </c>
      <c r="I2139" s="1258"/>
      <c r="J2139" s="2" t="str">
        <f>IF(Table5[[#This Row],[Entered]]&lt;&gt;Table5[[#This Row],[Quantity]],"Check","")</f>
        <v/>
      </c>
    </row>
    <row r="2140" spans="1:10" ht="15" x14ac:dyDescent="0.2">
      <c r="A2140" s="324" t="s">
        <v>3432</v>
      </c>
      <c r="B2140" s="324">
        <v>1320</v>
      </c>
      <c r="C2140" s="324" t="str">
        <f t="shared" si="121"/>
        <v>04285</v>
      </c>
      <c r="D2140" s="324" t="str">
        <f>"9039"</f>
        <v>9039</v>
      </c>
      <c r="E2140" s="324">
        <v>1</v>
      </c>
      <c r="F2140" s="1132" cm="1">
        <f t="array" ref="F2140">IF(SUM(COUNTIF(Address,{"*DARDANUP*"}))&gt;0,1,0)</f>
        <v>0</v>
      </c>
      <c r="G2140" s="829"/>
      <c r="H2140" s="412" t="s">
        <v>3439</v>
      </c>
      <c r="I2140" s="1258"/>
      <c r="J2140" s="2" t="str">
        <f>IF(Table5[[#This Row],[Entered]]&lt;&gt;Table5[[#This Row],[Quantity]],"Check","")</f>
        <v/>
      </c>
    </row>
    <row r="2141" spans="1:10" ht="15" x14ac:dyDescent="0.2">
      <c r="A2141" s="324" t="s">
        <v>3432</v>
      </c>
      <c r="B2141" s="324">
        <v>1320</v>
      </c>
      <c r="C2141" s="324" t="str">
        <f t="shared" si="121"/>
        <v>04285</v>
      </c>
      <c r="D2141" s="324" t="str">
        <f>"9044"</f>
        <v>9044</v>
      </c>
      <c r="E2141" s="324">
        <v>1</v>
      </c>
      <c r="F2141" s="1132" cm="1">
        <f t="array" ref="F2141">IF(SUM(COUNTIF(Address,{"*DUNSBOROUGH*"}))&gt;0,1,0)</f>
        <v>0</v>
      </c>
      <c r="G2141" s="829">
        <v>75</v>
      </c>
      <c r="H2141" s="412" t="s">
        <v>3809</v>
      </c>
      <c r="I2141" s="1258"/>
      <c r="J2141" s="73" t="str">
        <f>IF(Table5[[#This Row],[Entered]]&lt;&gt;Table5[[#This Row],[Quantity]],"Check","")</f>
        <v/>
      </c>
    </row>
    <row r="2142" spans="1:10" ht="15" x14ac:dyDescent="0.2">
      <c r="A2142" s="324" t="s">
        <v>3432</v>
      </c>
      <c r="B2142" s="324">
        <v>1320</v>
      </c>
      <c r="C2142" s="324" t="str">
        <f t="shared" si="121"/>
        <v>04285</v>
      </c>
      <c r="D2142" s="324" t="str">
        <f>"9097"</f>
        <v>9097</v>
      </c>
      <c r="E2142" s="324">
        <v>1</v>
      </c>
      <c r="F2142" s="1132" cm="1">
        <f t="array" ref="F2142">IF(SUM(COUNTIF(Address,{"*WAROONA*"}))&gt;0,1,0)</f>
        <v>0</v>
      </c>
      <c r="G2142" s="829"/>
      <c r="H2142" s="412" t="s">
        <v>3810</v>
      </c>
      <c r="I2142" s="1207"/>
      <c r="J2142" s="73" t="str">
        <f>IF(Table5[[#This Row],[Entered]]&lt;&gt;Table5[[#This Row],[Quantity]],"Check","")</f>
        <v/>
      </c>
    </row>
    <row r="2143" spans="1:10" ht="15" x14ac:dyDescent="0.2">
      <c r="A2143" s="324" t="s">
        <v>3432</v>
      </c>
      <c r="B2143" s="324">
        <v>1320</v>
      </c>
      <c r="C2143" s="324" t="str">
        <f t="shared" si="121"/>
        <v>04285</v>
      </c>
      <c r="D2143" s="324" t="str">
        <f>"9094"</f>
        <v>9094</v>
      </c>
      <c r="E2143" s="324">
        <v>1</v>
      </c>
      <c r="F2143" s="1132" cm="1">
        <f t="array" ref="F2143">IF(SUM(COUNTIF(Address,{"*YALLINGUP*"}))&gt;0,1,0)</f>
        <v>0</v>
      </c>
      <c r="G2143" s="829"/>
      <c r="H2143" s="412" t="s">
        <v>3811</v>
      </c>
      <c r="I2143" s="1207"/>
      <c r="J2143" s="73" t="str">
        <f>IF(Table5[[#This Row],[Entered]]&lt;&gt;Table5[[#This Row],[Quantity]],"Check","")</f>
        <v/>
      </c>
    </row>
    <row r="2144" spans="1:10" ht="15" x14ac:dyDescent="0.2">
      <c r="A2144" s="324" t="s">
        <v>3432</v>
      </c>
      <c r="B2144" s="324">
        <v>1320</v>
      </c>
      <c r="C2144" s="324" t="str">
        <f t="shared" si="121"/>
        <v>04285</v>
      </c>
      <c r="D2144" s="324" t="str">
        <f>"9023"</f>
        <v>9023</v>
      </c>
      <c r="E2144" s="324">
        <v>1</v>
      </c>
      <c r="F2144" s="1132" cm="1">
        <f t="array" ref="F2144">IF(SUM(COUNTIF(Address,{"*BOYUP BROOK*"}))&gt;0,1,0)</f>
        <v>0</v>
      </c>
      <c r="G2144" s="829"/>
      <c r="H2144" s="412" t="s">
        <v>3812</v>
      </c>
      <c r="I2144" s="1207"/>
      <c r="J2144" s="73" t="str">
        <f>IF(Table5[[#This Row],[Entered]]&lt;&gt;Table5[[#This Row],[Quantity]],"Check","")</f>
        <v/>
      </c>
    </row>
    <row r="2145" spans="1:10" ht="15" x14ac:dyDescent="0.2">
      <c r="A2145" s="324" t="s">
        <v>3432</v>
      </c>
      <c r="B2145" s="324">
        <v>1320</v>
      </c>
      <c r="C2145" s="324" t="str">
        <f t="shared" si="121"/>
        <v>04285</v>
      </c>
      <c r="D2145" s="324" t="str">
        <f>"9024"</f>
        <v>9024</v>
      </c>
      <c r="E2145" s="324">
        <v>1</v>
      </c>
      <c r="F2145" s="1132" cm="1">
        <f t="array" ref="F2145">IF(SUM(COUNTIF(Address,{"*BRIDGETOWN*"}))&gt;0,1,0)</f>
        <v>0</v>
      </c>
      <c r="G2145" s="829"/>
      <c r="H2145" s="412" t="s">
        <v>3813</v>
      </c>
      <c r="I2145" s="1207"/>
      <c r="J2145" s="73" t="str">
        <f>IF(Table5[[#This Row],[Entered]]&lt;&gt;Table5[[#This Row],[Quantity]],"Check","")</f>
        <v/>
      </c>
    </row>
    <row r="2146" spans="1:10" ht="15" x14ac:dyDescent="0.2">
      <c r="A2146" s="324" t="s">
        <v>3432</v>
      </c>
      <c r="B2146" s="324">
        <v>1320</v>
      </c>
      <c r="C2146" s="324" t="str">
        <f t="shared" si="121"/>
        <v>04285</v>
      </c>
      <c r="D2146" s="324" t="str">
        <f>"9043"</f>
        <v>9043</v>
      </c>
      <c r="E2146" s="324">
        <v>1</v>
      </c>
      <c r="F2146" s="1132" cm="1">
        <f t="array" ref="F2146">IF(SUM(COUNTIF(Address,{"*DONNYBROOK*"}))&gt;0,1,0)</f>
        <v>0</v>
      </c>
      <c r="G2146" s="829"/>
      <c r="H2146" s="412" t="s">
        <v>3814</v>
      </c>
      <c r="I2146" s="1207"/>
      <c r="J2146" s="73" t="str">
        <f>IF(Table5[[#This Row],[Entered]]&lt;&gt;Table5[[#This Row],[Quantity]],"Check","")</f>
        <v/>
      </c>
    </row>
    <row r="2147" spans="1:10" ht="15" x14ac:dyDescent="0.2">
      <c r="A2147" s="324" t="s">
        <v>3432</v>
      </c>
      <c r="B2147" s="324">
        <v>1320</v>
      </c>
      <c r="C2147" s="324" t="str">
        <f t="shared" si="121"/>
        <v>04285</v>
      </c>
      <c r="D2147" s="324" t="str">
        <f>"9055"</f>
        <v>9055</v>
      </c>
      <c r="E2147" s="324">
        <v>1</v>
      </c>
      <c r="F2147" s="1132" cm="1">
        <f t="array" ref="F2147">IF(SUM(COUNTIF(Address,{"*GREENBUSHES*"}))&gt;0,1,0)</f>
        <v>0</v>
      </c>
      <c r="G2147" s="829"/>
      <c r="H2147" s="412" t="s">
        <v>3815</v>
      </c>
      <c r="I2147" s="1207"/>
      <c r="J2147" s="73" t="str">
        <f>IF(Table5[[#This Row],[Entered]]&lt;&gt;Table5[[#This Row],[Quantity]],"Check","")</f>
        <v/>
      </c>
    </row>
    <row r="2148" spans="1:10" ht="15" x14ac:dyDescent="0.2">
      <c r="A2148" s="324" t="s">
        <v>3432</v>
      </c>
      <c r="B2148" s="324">
        <v>1320</v>
      </c>
      <c r="C2148" s="324" t="str">
        <f t="shared" si="121"/>
        <v>04285</v>
      </c>
      <c r="D2148" s="324" t="str">
        <f>"9058"</f>
        <v>9058</v>
      </c>
      <c r="E2148" s="324">
        <v>1</v>
      </c>
      <c r="F2148" s="1132" cm="1">
        <f t="array" ref="F2148">IF(SUM(COUNTIF(Address,{"*HARVEY*","*COLLIE*"}))&gt;0,1,0)</f>
        <v>0</v>
      </c>
      <c r="G2148" s="829"/>
      <c r="H2148" s="412" t="s">
        <v>3816</v>
      </c>
      <c r="I2148" s="1207"/>
      <c r="J2148" s="73" t="str">
        <f>IF(Table5[[#This Row],[Entered]]&lt;&gt;Table5[[#This Row],[Quantity]],"Check","")</f>
        <v/>
      </c>
    </row>
    <row r="2149" spans="1:10" ht="15" x14ac:dyDescent="0.2">
      <c r="A2149" s="324" t="s">
        <v>3432</v>
      </c>
      <c r="B2149" s="324">
        <v>1320</v>
      </c>
      <c r="C2149" s="324" t="str">
        <f t="shared" si="121"/>
        <v>04285</v>
      </c>
      <c r="D2149" s="324" t="str">
        <f>"9067"</f>
        <v>9067</v>
      </c>
      <c r="E2149" s="324">
        <v>1</v>
      </c>
      <c r="F2149" s="1132" cm="1">
        <f t="array" ref="F2149">IF(SUM(COUNTIF(Address,{"*MANJIMUP*"}))&gt;0,1,0)</f>
        <v>0</v>
      </c>
      <c r="G2149" s="829"/>
      <c r="H2149" s="412" t="s">
        <v>3817</v>
      </c>
      <c r="I2149" s="1207"/>
      <c r="J2149" s="73" t="str">
        <f>IF(Table5[[#This Row],[Entered]]&lt;&gt;Table5[[#This Row],[Quantity]],"Check","")</f>
        <v/>
      </c>
    </row>
    <row r="2150" spans="1:10" ht="15" x14ac:dyDescent="0.2">
      <c r="A2150" s="324" t="s">
        <v>3432</v>
      </c>
      <c r="B2150" s="324">
        <v>1320</v>
      </c>
      <c r="C2150" s="324" t="str">
        <f t="shared" si="121"/>
        <v>04285</v>
      </c>
      <c r="D2150" s="324" t="str">
        <f>"9068"</f>
        <v>9068</v>
      </c>
      <c r="E2150" s="324">
        <v>1</v>
      </c>
      <c r="F2150" s="1132" cm="1">
        <f t="array" ref="F2150">IF(SUM(COUNTIF(Address,{"*MARGARET RIVER*"}))&gt;0,1,0)</f>
        <v>0</v>
      </c>
      <c r="G2150" s="829"/>
      <c r="H2150" s="412" t="s">
        <v>2892</v>
      </c>
      <c r="I2150" s="1207"/>
      <c r="J2150" s="73" t="str">
        <f>IF(Table5[[#This Row],[Entered]]&lt;&gt;Table5[[#This Row],[Quantity]],"Check","")</f>
        <v/>
      </c>
    </row>
    <row r="2151" spans="1:10" ht="15" x14ac:dyDescent="0.2">
      <c r="A2151" s="324" t="s">
        <v>3432</v>
      </c>
      <c r="B2151" s="324">
        <v>1320</v>
      </c>
      <c r="C2151" s="324" t="str">
        <f t="shared" si="121"/>
        <v>04285</v>
      </c>
      <c r="D2151" s="324" t="str">
        <f>"9073"</f>
        <v>9073</v>
      </c>
      <c r="E2151" s="324">
        <v>1</v>
      </c>
      <c r="F2151" s="1132" cm="1">
        <f t="array" ref="F2151">IF(SUM(COUNTIF(Address,{"*NANNUP*"}))&gt;0,1,0)</f>
        <v>0</v>
      </c>
      <c r="G2151" s="829"/>
      <c r="H2151" s="412" t="s">
        <v>3818</v>
      </c>
      <c r="I2151" s="1207"/>
      <c r="J2151" s="73" t="str">
        <f>IF(Table5[[#This Row],[Entered]]&lt;&gt;Table5[[#This Row],[Quantity]],"Check","")</f>
        <v/>
      </c>
    </row>
    <row r="2152" spans="1:10" ht="15" x14ac:dyDescent="0.2">
      <c r="A2152" s="324" t="s">
        <v>3432</v>
      </c>
      <c r="B2152" s="324">
        <v>1320</v>
      </c>
      <c r="C2152" s="324" t="str">
        <f t="shared" si="121"/>
        <v>04285</v>
      </c>
      <c r="D2152" s="324" t="str">
        <f>"9078"</f>
        <v>9078</v>
      </c>
      <c r="E2152" s="324">
        <v>1</v>
      </c>
      <c r="F2152" s="1132" cm="1">
        <f t="array" ref="F2152">IF(SUM(COUNTIF(Address,{"*PEMBERTON*"}))&gt;0,1,0)</f>
        <v>0</v>
      </c>
      <c r="G2152" s="829"/>
      <c r="H2152" s="412" t="s">
        <v>3819</v>
      </c>
      <c r="I2152" s="1207"/>
      <c r="J2152" s="73" t="str">
        <f>IF(Table5[[#This Row],[Entered]]&lt;&gt;Table5[[#This Row],[Quantity]],"Check","")</f>
        <v/>
      </c>
    </row>
    <row r="2153" spans="1:10" ht="15" x14ac:dyDescent="0.2">
      <c r="A2153" s="324"/>
      <c r="B2153" s="324"/>
      <c r="C2153" s="324"/>
      <c r="D2153" s="324"/>
      <c r="E2153" s="324"/>
      <c r="F2153" s="827"/>
      <c r="G2153" s="829"/>
      <c r="H2153" s="412"/>
      <c r="I2153" s="1258"/>
      <c r="J2153" s="2" t="str">
        <f>IF(Table5[[#This Row],[Entered]]&lt;&gt;Table5[[#This Row],[Quantity]],"Check","")</f>
        <v/>
      </c>
    </row>
    <row r="2154" spans="1:10" ht="15" x14ac:dyDescent="0.2">
      <c r="A2154" s="324" t="s">
        <v>3097</v>
      </c>
      <c r="B2154" s="324" t="str">
        <f>"0560"</f>
        <v>0560</v>
      </c>
      <c r="C2154" s="324" t="str">
        <f>IF(Quotes!C23="Hearth House Busselton","11091500","04099")</f>
        <v>11091500</v>
      </c>
      <c r="D2154" s="324">
        <v>7000</v>
      </c>
      <c r="E2154" s="324">
        <v>1</v>
      </c>
      <c r="F2154" s="827">
        <f>IF(Quotes!B23&gt;0,1,0)</f>
        <v>0</v>
      </c>
      <c r="G2154" s="829">
        <f>Quotes!B23</f>
        <v>0</v>
      </c>
      <c r="H2154" s="412" t="s">
        <v>3560</v>
      </c>
      <c r="I2154" s="1207"/>
      <c r="J2154" s="73" t="str">
        <f>IF(Table5[[#This Row],[Entered]]&lt;&gt;Table5[[#This Row],[Quantity]],"Check","")</f>
        <v/>
      </c>
    </row>
    <row r="2155" spans="1:10" ht="15" x14ac:dyDescent="0.2">
      <c r="A2155" s="324"/>
      <c r="B2155" s="324"/>
      <c r="C2155" s="324"/>
      <c r="D2155" s="324"/>
      <c r="E2155" s="324"/>
      <c r="F2155" s="827"/>
      <c r="G2155" s="829"/>
      <c r="H2155" s="412"/>
      <c r="I2155" s="1207"/>
      <c r="J2155" s="73" t="str">
        <f>IF(Table5[[#This Row],[Entered]]&lt;&gt;Table5[[#This Row],[Quantity]],"Check","")</f>
        <v/>
      </c>
    </row>
    <row r="2156" spans="1:10" ht="15" x14ac:dyDescent="0.2">
      <c r="A2156" s="324" t="s">
        <v>3097</v>
      </c>
      <c r="B2156" s="324">
        <v>1020</v>
      </c>
      <c r="C2156" s="324">
        <v>50062</v>
      </c>
      <c r="D2156" s="324" t="str">
        <f>"0670"</f>
        <v>0670</v>
      </c>
      <c r="E2156" s="324">
        <v>1</v>
      </c>
      <c r="F2156" s="827">
        <v>1</v>
      </c>
      <c r="G2156" s="829">
        <v>100</v>
      </c>
      <c r="H2156" s="412" t="s">
        <v>3224</v>
      </c>
      <c r="I2156" s="1258"/>
      <c r="J2156" s="2" t="str">
        <f>IF(Table5[[#This Row],[Entered]]&lt;&gt;Table5[[#This Row],[Quantity]],"Check","")</f>
        <v>Check</v>
      </c>
    </row>
    <row r="2157" spans="1:10" ht="15" x14ac:dyDescent="0.2">
      <c r="A2157" s="324"/>
      <c r="B2157" s="324"/>
      <c r="C2157" s="324"/>
      <c r="D2157" s="324"/>
      <c r="E2157" s="324"/>
      <c r="F2157" s="827"/>
      <c r="G2157" s="829"/>
      <c r="H2157" s="412"/>
      <c r="I2157" s="1258"/>
      <c r="J2157" s="2" t="str">
        <f>IF(Table5[[#This Row],[Entered]]&lt;&gt;Table5[[#This Row],[Quantity]],"Check","")</f>
        <v/>
      </c>
    </row>
    <row r="2158" spans="1:10" ht="15" x14ac:dyDescent="0.2">
      <c r="A2158" s="324" t="s">
        <v>3097</v>
      </c>
      <c r="B2158" s="324">
        <v>1030</v>
      </c>
      <c r="C2158" s="1144">
        <f>IF(COUNTIF(Addenda!A:A,"*PLUNKETT*")&gt;0,"",IF(COUNTIF(Address,"*Bridgetown*")&gt;0,11164600,IF(Locality="Bunbury","04423",10339)))</f>
        <v>10339</v>
      </c>
      <c r="D2158" s="324">
        <v>7000</v>
      </c>
      <c r="E2158" s="324">
        <v>1</v>
      </c>
      <c r="F2158" s="827">
        <f>IF(Quotes!$D$2&gt;0,1,0)</f>
        <v>0</v>
      </c>
      <c r="G2158" s="829">
        <f>IF(Table5[[#This Row],[Supplier]]="10339",IF(Table5[[#This Row],[Quantity]]&gt;0,Quotes!$B$2,0)*0.5,IF(Table5[[#This Row],[Quantity]]&gt;0,Quotes!$B$2*0.4,0))</f>
        <v>0</v>
      </c>
      <c r="H2158" s="412" t="s">
        <v>3045</v>
      </c>
      <c r="I2158" s="1258"/>
      <c r="J2158" s="2" t="str">
        <f>IF(Table5[[#This Row],[Entered]]&lt;&gt;Table5[[#This Row],[Quantity]],"Check","")</f>
        <v/>
      </c>
    </row>
    <row r="2159" spans="1:10" ht="15" x14ac:dyDescent="0.2">
      <c r="A2159" s="324"/>
      <c r="B2159" s="324"/>
      <c r="C2159" s="324"/>
      <c r="D2159" s="324"/>
      <c r="E2159" s="324"/>
      <c r="F2159" s="827"/>
      <c r="G2159" s="829"/>
      <c r="H2159" s="412"/>
      <c r="I2159" s="1258"/>
      <c r="J2159" s="2" t="str">
        <f>IF(Table5[[#This Row],[Entered]]&lt;&gt;Table5[[#This Row],[Quantity]],"Check","")</f>
        <v/>
      </c>
    </row>
    <row r="2160" spans="1:10" ht="15" x14ac:dyDescent="0.2">
      <c r="A2160" s="324" t="s">
        <v>3097</v>
      </c>
      <c r="B2160" s="324" t="str">
        <f>"1040"</f>
        <v>1040</v>
      </c>
      <c r="C2160" s="324">
        <v>52024</v>
      </c>
      <c r="D2160" s="324">
        <v>6850</v>
      </c>
      <c r="E2160" s="324">
        <v>1</v>
      </c>
      <c r="F2160" s="827">
        <f>Quotes!B8</f>
        <v>0</v>
      </c>
      <c r="G2160" s="829">
        <v>1</v>
      </c>
      <c r="H2160" s="412" t="s">
        <v>3098</v>
      </c>
      <c r="I2160" s="1258"/>
      <c r="J2160" s="2" t="str">
        <f>IF(Table5[[#This Row],[Entered]]&lt;&gt;Table5[[#This Row],[Quantity]],"Check","")</f>
        <v/>
      </c>
    </row>
    <row r="2161" spans="1:10" ht="15" x14ac:dyDescent="0.2">
      <c r="A2161" s="324"/>
      <c r="B2161" s="324"/>
      <c r="C2161" s="324"/>
      <c r="D2161" s="324"/>
      <c r="E2161" s="324"/>
      <c r="F2161" s="973"/>
      <c r="G2161" s="829"/>
      <c r="H2161" s="412"/>
      <c r="I2161" s="1258"/>
      <c r="J2161" s="2" t="str">
        <f>IF(Table5[[#This Row],[Entered]]&lt;&gt;Table5[[#This Row],[Quantity]],"Check","")</f>
        <v/>
      </c>
    </row>
    <row r="2162" spans="1:10" ht="15" x14ac:dyDescent="0.2">
      <c r="A2162" s="324" t="s">
        <v>3097</v>
      </c>
      <c r="B2162" s="324">
        <v>1170</v>
      </c>
      <c r="C2162" s="324">
        <v>50061</v>
      </c>
      <c r="D2162" s="324" t="str">
        <f>"0019"</f>
        <v>0019</v>
      </c>
      <c r="E2162" s="324">
        <v>1</v>
      </c>
      <c r="F2162" s="827">
        <v>1</v>
      </c>
      <c r="G2162" s="829">
        <v>250</v>
      </c>
      <c r="H2162" s="412" t="s">
        <v>3446</v>
      </c>
      <c r="I2162" s="1258"/>
      <c r="J2162" s="2" t="str">
        <f>IF(Table5[[#This Row],[Entered]]&lt;&gt;Table5[[#This Row],[Quantity]],"Check","")</f>
        <v>Check</v>
      </c>
    </row>
    <row r="2163" spans="1:10" ht="15" x14ac:dyDescent="0.2">
      <c r="A2163" s="324"/>
      <c r="B2163" s="324"/>
      <c r="C2163" s="324"/>
      <c r="D2163" s="324"/>
      <c r="E2163" s="324"/>
      <c r="F2163" s="973"/>
      <c r="G2163" s="829"/>
      <c r="H2163" s="412"/>
      <c r="I2163" s="1258"/>
      <c r="J2163" s="2" t="str">
        <f>IF(Table5[[#This Row],[Entered]]&lt;&gt;Table5[[#This Row],[Quantity]],"Check","")</f>
        <v/>
      </c>
    </row>
    <row r="2164" spans="1:10" ht="15" x14ac:dyDescent="0.2">
      <c r="A2164" s="324" t="s">
        <v>3097</v>
      </c>
      <c r="B2164" s="324" t="str">
        <f>"1420"</f>
        <v>1420</v>
      </c>
      <c r="C2164" s="324">
        <v>50061</v>
      </c>
      <c r="D2164" s="324" t="str">
        <f>"0005"</f>
        <v>0005</v>
      </c>
      <c r="E2164" s="324">
        <v>8</v>
      </c>
      <c r="F2164" s="973">
        <f ca="1">CEILING(SUM('Plaster Ceilings Insulation'!J29:J30),0.1)</f>
        <v>0</v>
      </c>
      <c r="G2164" s="829">
        <v>2.76</v>
      </c>
      <c r="H2164" s="412" t="s">
        <v>3447</v>
      </c>
      <c r="I2164" s="1258"/>
      <c r="J2164" s="2" t="str">
        <f ca="1">IF(Table5[[#This Row],[Entered]]&lt;&gt;Table5[[#This Row],[Quantity]],"Check","")</f>
        <v/>
      </c>
    </row>
    <row r="2165" spans="1:10" ht="15" x14ac:dyDescent="0.2">
      <c r="A2165" s="324" t="s">
        <v>3097</v>
      </c>
      <c r="B2165" s="324">
        <v>1420</v>
      </c>
      <c r="C2165" s="324">
        <v>50061</v>
      </c>
      <c r="D2165" s="324" t="str">
        <f>"0120"</f>
        <v>0120</v>
      </c>
      <c r="E2165" s="324">
        <v>1</v>
      </c>
      <c r="F2165" s="973">
        <f>COUNTIF(NameFF,"*OPENING*")</f>
        <v>0</v>
      </c>
      <c r="G2165" s="829"/>
      <c r="H2165" s="412" t="s">
        <v>3451</v>
      </c>
      <c r="I2165" s="1258"/>
      <c r="J2165" s="2" t="str">
        <f>IF(Table5[[#This Row],[Entered]]&lt;&gt;Table5[[#This Row],[Quantity]],"Check","")</f>
        <v/>
      </c>
    </row>
    <row r="2166" spans="1:10" ht="15" x14ac:dyDescent="0.2">
      <c r="A2166" s="324" t="s">
        <v>3097</v>
      </c>
      <c r="B2166" s="324">
        <v>1420</v>
      </c>
      <c r="C2166" s="324">
        <v>50061</v>
      </c>
      <c r="D2166" s="324" t="str">
        <f>"0130"</f>
        <v>0130</v>
      </c>
      <c r="E2166" s="324">
        <v>1</v>
      </c>
      <c r="F2166" s="973">
        <f>IF(Brick_type="Full Render",1,0)</f>
        <v>0</v>
      </c>
      <c r="G2166" s="829">
        <v>100</v>
      </c>
      <c r="H2166" s="412" t="s">
        <v>3449</v>
      </c>
      <c r="I2166" s="1258"/>
      <c r="J2166" s="2" t="str">
        <f>IF(Table5[[#This Row],[Entered]]&lt;&gt;Table5[[#This Row],[Quantity]],"Check","")</f>
        <v/>
      </c>
    </row>
    <row r="2167" spans="1:10" ht="15" x14ac:dyDescent="0.2">
      <c r="A2167" s="324" t="s">
        <v>3097</v>
      </c>
      <c r="B2167" s="324" t="str">
        <f>"1420"</f>
        <v>1420</v>
      </c>
      <c r="C2167" s="324">
        <v>50061</v>
      </c>
      <c r="D2167" s="324" t="str">
        <f>"0140"</f>
        <v>0140</v>
      </c>
      <c r="E2167" s="324">
        <v>1</v>
      </c>
      <c r="F2167" s="973">
        <f>COUNTIFS(Name,"Door*",Material,"*Glazed*")</f>
        <v>0</v>
      </c>
      <c r="G2167" s="829">
        <v>9.6</v>
      </c>
      <c r="H2167" s="412" t="s">
        <v>3448</v>
      </c>
      <c r="I2167" s="1258"/>
      <c r="J2167" s="2" t="str">
        <f>IF(Table5[[#This Row],[Entered]]&lt;&gt;Table5[[#This Row],[Quantity]],"Check","")</f>
        <v/>
      </c>
    </row>
    <row r="2168" spans="1:10" ht="15" x14ac:dyDescent="0.2">
      <c r="A2168" s="324" t="s">
        <v>3097</v>
      </c>
      <c r="B2168" s="324" t="str">
        <f>"1420"</f>
        <v>1420</v>
      </c>
      <c r="C2168" s="324">
        <v>50061</v>
      </c>
      <c r="D2168" s="324" t="str">
        <f>"0155"</f>
        <v>0155</v>
      </c>
      <c r="E2168" s="324">
        <v>1</v>
      </c>
      <c r="F2168" s="973">
        <f>IF(AND(Brick_type&lt;&gt;"Full Render",SUMIF(Name,"Render",Length)&gt;0),1,0)</f>
        <v>0</v>
      </c>
      <c r="G2168" s="829">
        <v>50</v>
      </c>
      <c r="H2168" s="412" t="s">
        <v>3450</v>
      </c>
      <c r="I2168" s="1258"/>
      <c r="J2168" s="2" t="str">
        <f>IF(Table5[[#This Row],[Entered]]&lt;&gt;Table5[[#This Row],[Quantity]],"Check","")</f>
        <v/>
      </c>
    </row>
    <row r="2169" spans="1:10" ht="15" x14ac:dyDescent="0.2">
      <c r="A2169" s="324"/>
      <c r="B2169" s="324"/>
      <c r="C2169" s="324"/>
      <c r="D2169" s="324"/>
      <c r="E2169" s="324"/>
      <c r="F2169" s="827"/>
      <c r="G2169" s="829"/>
      <c r="H2169" s="412"/>
      <c r="I2169" s="1258"/>
      <c r="J2169" s="2" t="str">
        <f>IF(Table5[[#This Row],[Entered]]&lt;&gt;Table5[[#This Row],[Quantity]],"Check","")</f>
        <v/>
      </c>
    </row>
    <row r="2170" spans="1:10" ht="15" x14ac:dyDescent="0.2">
      <c r="A2170" s="324" t="s">
        <v>3457</v>
      </c>
      <c r="B2170" s="830" t="str">
        <f t="shared" ref="B2170:B2179" si="122">"1310"</f>
        <v>1310</v>
      </c>
      <c r="C2170" s="830">
        <v>10003700</v>
      </c>
      <c r="D2170" s="830" t="str">
        <f>"3300"</f>
        <v>3300</v>
      </c>
      <c r="E2170" s="830">
        <v>1</v>
      </c>
      <c r="F2170" s="973">
        <f>COUNTIFS(Name,"Garage Door Main",Length,"&lt;=3.0",Height,"&lt;=26")</f>
        <v>0</v>
      </c>
      <c r="G2170" s="829">
        <v>1344</v>
      </c>
      <c r="H2170" s="1110" t="s">
        <v>3735</v>
      </c>
      <c r="I2170" s="1207"/>
      <c r="J2170" s="73" t="str">
        <f>IF(Table5[[#This Row],[Entered]]&lt;&gt;Table5[[#This Row],[Quantity]],"Check","")</f>
        <v/>
      </c>
    </row>
    <row r="2171" spans="1:10" ht="15" x14ac:dyDescent="0.2">
      <c r="A2171" s="324" t="s">
        <v>3457</v>
      </c>
      <c r="B2171" s="830" t="str">
        <f t="shared" si="122"/>
        <v>1310</v>
      </c>
      <c r="C2171" s="830">
        <v>10003700</v>
      </c>
      <c r="D2171" s="830" t="str">
        <f>"3304"</f>
        <v>3304</v>
      </c>
      <c r="E2171" s="830">
        <v>1</v>
      </c>
      <c r="F2171" s="973">
        <f>COUNTIFS(Name,"Garage Door Main",Length,"&gt;3.0",Length,"&lt;=3.500",Height,"&lt;=26")</f>
        <v>0</v>
      </c>
      <c r="G2171" s="829">
        <v>1330</v>
      </c>
      <c r="H2171" s="1110" t="s">
        <v>3736</v>
      </c>
      <c r="I2171" s="1207"/>
      <c r="J2171" s="73" t="str">
        <f>IF(Table5[[#This Row],[Entered]]&lt;&gt;Table5[[#This Row],[Quantity]],"Check","")</f>
        <v/>
      </c>
    </row>
    <row r="2172" spans="1:10" ht="15" x14ac:dyDescent="0.2">
      <c r="A2172" s="324" t="s">
        <v>3457</v>
      </c>
      <c r="B2172" s="830" t="str">
        <f t="shared" si="122"/>
        <v>1310</v>
      </c>
      <c r="C2172" s="830">
        <v>10003700</v>
      </c>
      <c r="D2172" s="830" t="str">
        <f>"3308"</f>
        <v>3308</v>
      </c>
      <c r="E2172" s="830">
        <v>1</v>
      </c>
      <c r="F2172" s="973">
        <f>COUNTIFS(Name,"Garage Door Main",Length,"&gt;3.50",Length,"&lt;=4.500",Height,"&lt;=26")</f>
        <v>0</v>
      </c>
      <c r="G2172" s="829">
        <v>1330</v>
      </c>
      <c r="H2172" s="1110" t="s">
        <v>3737</v>
      </c>
      <c r="I2172" s="1207"/>
      <c r="J2172" s="73" t="str">
        <f>IF(Table5[[#This Row],[Entered]]&lt;&gt;Table5[[#This Row],[Quantity]],"Check","")</f>
        <v/>
      </c>
    </row>
    <row r="2173" spans="1:10" ht="15" x14ac:dyDescent="0.2">
      <c r="A2173" s="324" t="s">
        <v>3457</v>
      </c>
      <c r="B2173" s="830" t="str">
        <f t="shared" si="122"/>
        <v>1310</v>
      </c>
      <c r="C2173" s="830">
        <v>10003700</v>
      </c>
      <c r="D2173" s="830" t="str">
        <f>"3312"</f>
        <v>3312</v>
      </c>
      <c r="E2173" s="830">
        <v>1</v>
      </c>
      <c r="F2173" s="973">
        <f>COUNTIFS(Name,"Garage Door Main",Length,"&gt;4.50",Length,"&lt;=5.000",Height,"&lt;=26")</f>
        <v>0</v>
      </c>
      <c r="G2173" s="829">
        <v>1344</v>
      </c>
      <c r="H2173" s="1110" t="s">
        <v>3734</v>
      </c>
      <c r="I2173" s="1258"/>
      <c r="J2173" s="73" t="str">
        <f>IF(Table5[[#This Row],[Entered]]&lt;&gt;Table5[[#This Row],[Quantity]],"Check","")</f>
        <v/>
      </c>
    </row>
    <row r="2174" spans="1:10" ht="15" x14ac:dyDescent="0.2">
      <c r="A2174" s="324" t="s">
        <v>3457</v>
      </c>
      <c r="B2174" s="830" t="str">
        <f t="shared" si="122"/>
        <v>1310</v>
      </c>
      <c r="C2174" s="830">
        <v>10003700</v>
      </c>
      <c r="D2174" s="830" t="str">
        <f>"3316"</f>
        <v>3316</v>
      </c>
      <c r="E2174" s="830">
        <v>1</v>
      </c>
      <c r="F2174" s="973">
        <f>COUNTIFS(Name,"Garage Door Main",Length,"&gt;5.000",Length,"&lt;=5.300",Height,"&lt;=26")</f>
        <v>0</v>
      </c>
      <c r="G2174" s="829">
        <v>1344</v>
      </c>
      <c r="H2174" s="1110" t="s">
        <v>3452</v>
      </c>
      <c r="I2174" s="1133"/>
      <c r="J2174" s="2" t="str">
        <f>IF(Table5[[#This Row],[Entered]]&lt;&gt;Table5[[#This Row],[Quantity]],"Check","")</f>
        <v/>
      </c>
    </row>
    <row r="2175" spans="1:10" ht="15" x14ac:dyDescent="0.2">
      <c r="A2175" s="324" t="s">
        <v>3457</v>
      </c>
      <c r="B2175" s="830" t="str">
        <f t="shared" si="122"/>
        <v>1310</v>
      </c>
      <c r="C2175" s="830">
        <v>10003700</v>
      </c>
      <c r="D2175" s="830" t="str">
        <f>"3320"</f>
        <v>3320</v>
      </c>
      <c r="E2175" s="830">
        <v>1</v>
      </c>
      <c r="F2175" s="973">
        <f>COUNTIFS(Name,"Garage Door Main",Length,"&gt;5.300",Length,"&lt;=5.650",Height,"&lt;=26")</f>
        <v>0</v>
      </c>
      <c r="G2175" s="829">
        <v>1391</v>
      </c>
      <c r="H2175" s="1110" t="s">
        <v>3738</v>
      </c>
      <c r="I2175" s="1207"/>
      <c r="J2175" s="73" t="str">
        <f>IF(Table5[[#This Row],[Entered]]&lt;&gt;Table5[[#This Row],[Quantity]],"Check","")</f>
        <v/>
      </c>
    </row>
    <row r="2176" spans="1:10" ht="15" x14ac:dyDescent="0.2">
      <c r="A2176" s="324" t="s">
        <v>3457</v>
      </c>
      <c r="B2176" s="830" t="str">
        <f t="shared" si="122"/>
        <v>1310</v>
      </c>
      <c r="C2176" s="830">
        <v>10003700</v>
      </c>
      <c r="D2176" s="830" t="str">
        <f>"3324"</f>
        <v>3324</v>
      </c>
      <c r="E2176" s="830">
        <v>1</v>
      </c>
      <c r="F2176" s="973">
        <f>COUNTIFS(Name,"Garage Door Main",Length,"&gt;5.600",Length,"&lt;=6.200",Height,"&lt;=26")</f>
        <v>0</v>
      </c>
      <c r="G2176" s="829">
        <v>2048</v>
      </c>
      <c r="H2176" s="1110" t="s">
        <v>3739</v>
      </c>
      <c r="I2176" s="1207"/>
      <c r="J2176" s="73" t="str">
        <f>IF(Table5[[#This Row],[Entered]]&lt;&gt;Table5[[#This Row],[Quantity]],"Check","")</f>
        <v/>
      </c>
    </row>
    <row r="2177" spans="1:10" ht="15" x14ac:dyDescent="0.2">
      <c r="A2177" s="324" t="s">
        <v>3457</v>
      </c>
      <c r="B2177" s="830" t="str">
        <f t="shared" si="122"/>
        <v>1310</v>
      </c>
      <c r="C2177" s="830">
        <v>10003700</v>
      </c>
      <c r="D2177" s="830" t="str">
        <f>"3328"</f>
        <v>3328</v>
      </c>
      <c r="E2177" s="830">
        <v>1</v>
      </c>
      <c r="F2177" s="973">
        <f>COUNTIFS(Name,"Garage Door Main",Length,"&lt;=3.0",Height,"&gt;27",Height,"&lt;=29")</f>
        <v>0</v>
      </c>
      <c r="G2177" s="829">
        <v>1140</v>
      </c>
      <c r="H2177" s="1110" t="s">
        <v>3740</v>
      </c>
      <c r="I2177" s="1207"/>
      <c r="J2177" s="73" t="str">
        <f>IF(Table5[[#This Row],[Entered]]&lt;&gt;Table5[[#This Row],[Quantity]],"Check","")</f>
        <v/>
      </c>
    </row>
    <row r="2178" spans="1:10" ht="15" x14ac:dyDescent="0.2">
      <c r="A2178" s="324" t="s">
        <v>3457</v>
      </c>
      <c r="B2178" s="830" t="str">
        <f t="shared" si="122"/>
        <v>1310</v>
      </c>
      <c r="C2178" s="830">
        <v>10003700</v>
      </c>
      <c r="D2178" s="830" t="str">
        <f>"3332"</f>
        <v>3332</v>
      </c>
      <c r="E2178" s="830">
        <v>1</v>
      </c>
      <c r="F2178" s="973">
        <f>COUNTIFS(Name,"Garage Door Main",Length,"&gt;3.0",Length,"&lt;=3.500",Height,"&gt;27",Height,"&lt;=29")</f>
        <v>0</v>
      </c>
      <c r="G2178" s="829">
        <v>1330</v>
      </c>
      <c r="H2178" s="1110" t="s">
        <v>3741</v>
      </c>
      <c r="I2178" s="1207"/>
      <c r="J2178" s="73" t="str">
        <f>IF(Table5[[#This Row],[Entered]]&lt;&gt;Table5[[#This Row],[Quantity]],"Check","")</f>
        <v/>
      </c>
    </row>
    <row r="2179" spans="1:10" ht="15" x14ac:dyDescent="0.2">
      <c r="A2179" s="324" t="s">
        <v>3457</v>
      </c>
      <c r="B2179" s="830" t="str">
        <f t="shared" si="122"/>
        <v>1310</v>
      </c>
      <c r="C2179" s="830">
        <v>10003700</v>
      </c>
      <c r="D2179" s="830" t="str">
        <f>"3336"</f>
        <v>3336</v>
      </c>
      <c r="E2179" s="830">
        <v>1</v>
      </c>
      <c r="F2179" s="973">
        <f>COUNTIFS(Name,"Garage Door Main",Length,"&gt;3.5",Length,"&lt;=4.500",Height,"&gt;27",Height,"&lt;=29")</f>
        <v>0</v>
      </c>
      <c r="G2179" s="829">
        <v>1344</v>
      </c>
      <c r="H2179" s="1110" t="s">
        <v>3742</v>
      </c>
      <c r="I2179" s="1207"/>
      <c r="J2179" s="73" t="str">
        <f>IF(Table5[[#This Row],[Entered]]&lt;&gt;Table5[[#This Row],[Quantity]],"Check","")</f>
        <v/>
      </c>
    </row>
    <row r="2180" spans="1:10" ht="15" x14ac:dyDescent="0.2">
      <c r="A2180" s="324" t="s">
        <v>3457</v>
      </c>
      <c r="B2180" s="830">
        <v>1310</v>
      </c>
      <c r="C2180" s="830">
        <v>10003700</v>
      </c>
      <c r="D2180" s="830">
        <v>3340</v>
      </c>
      <c r="E2180" s="830">
        <v>1</v>
      </c>
      <c r="F2180" s="973">
        <f>COUNTIFS(Name,"Garage Door Main",Length,"&gt;4.500",Length,"&lt;=5.000",Height,"&gt;27",Height,"&lt;=29")</f>
        <v>0</v>
      </c>
      <c r="G2180" s="829">
        <v>1344</v>
      </c>
      <c r="H2180" s="1110" t="s">
        <v>3542</v>
      </c>
      <c r="I2180" s="1133"/>
      <c r="J2180" s="2" t="str">
        <f>IF(Table5[[#This Row],[Entered]]&lt;&gt;Table5[[#This Row],[Quantity]],"Check","")</f>
        <v/>
      </c>
    </row>
    <row r="2181" spans="1:10" ht="15" x14ac:dyDescent="0.2">
      <c r="A2181" s="324" t="s">
        <v>3457</v>
      </c>
      <c r="B2181" s="830">
        <v>1310</v>
      </c>
      <c r="C2181" s="830">
        <v>10003700</v>
      </c>
      <c r="D2181" s="830" t="str">
        <f>"3344"</f>
        <v>3344</v>
      </c>
      <c r="E2181" s="830">
        <v>1</v>
      </c>
      <c r="F2181" s="973">
        <f>COUNTIFS(Name,"Garage Door Main",Length,"&gt;5.000",Length,"&lt;=5.300",Height,"&gt;27",Height,"&lt;=29")</f>
        <v>0</v>
      </c>
      <c r="G2181" s="829">
        <v>1344</v>
      </c>
      <c r="H2181" s="1110" t="s">
        <v>3743</v>
      </c>
      <c r="I2181" s="1207"/>
      <c r="J2181" s="73" t="str">
        <f>IF(Table5[[#This Row],[Entered]]&lt;&gt;Table5[[#This Row],[Quantity]],"Check","")</f>
        <v/>
      </c>
    </row>
    <row r="2182" spans="1:10" ht="15" x14ac:dyDescent="0.2">
      <c r="A2182" s="324" t="s">
        <v>3457</v>
      </c>
      <c r="B2182" s="830">
        <v>1310</v>
      </c>
      <c r="C2182" s="830">
        <v>10003700</v>
      </c>
      <c r="D2182" s="830" t="str">
        <f>"3348"</f>
        <v>3348</v>
      </c>
      <c r="E2182" s="830">
        <v>1</v>
      </c>
      <c r="F2182" s="973">
        <f>COUNTIFS(Name,"Garage Door Main",Length,"&gt;5.300",Length,"&lt;=5.650",Height,"&gt;27",Height,"&lt;=29")</f>
        <v>0</v>
      </c>
      <c r="G2182" s="829">
        <v>1391</v>
      </c>
      <c r="H2182" s="1110" t="s">
        <v>3744</v>
      </c>
      <c r="I2182" s="1207"/>
      <c r="J2182" s="73" t="str">
        <f>IF(Table5[[#This Row],[Entered]]&lt;&gt;Table5[[#This Row],[Quantity]],"Check","")</f>
        <v/>
      </c>
    </row>
    <row r="2183" spans="1:10" ht="15" x14ac:dyDescent="0.2">
      <c r="A2183" s="324" t="s">
        <v>3457</v>
      </c>
      <c r="B2183" s="830">
        <v>1310</v>
      </c>
      <c r="C2183" s="830">
        <v>10003700</v>
      </c>
      <c r="D2183" s="830" t="str">
        <f>"3352"</f>
        <v>3352</v>
      </c>
      <c r="E2183" s="830">
        <v>1</v>
      </c>
      <c r="F2183" s="973">
        <f>COUNTIFS(Name,"Garage Door Main",Length,"&gt;5.650",Length,"&lt;=6.200",Height,"&gt;27",Height,"&lt;=29")</f>
        <v>0</v>
      </c>
      <c r="G2183" s="829">
        <v>2048</v>
      </c>
      <c r="H2183" s="1110" t="s">
        <v>3745</v>
      </c>
      <c r="I2183" s="1207"/>
      <c r="J2183" s="73" t="str">
        <f>IF(Table5[[#This Row],[Entered]]&lt;&gt;Table5[[#This Row],[Quantity]],"Check","")</f>
        <v/>
      </c>
    </row>
    <row r="2184" spans="1:10" ht="15" x14ac:dyDescent="0.2">
      <c r="A2184" s="324" t="s">
        <v>3457</v>
      </c>
      <c r="B2184" s="830" t="str">
        <f t="shared" ref="B2184:B2193" si="123">"1310"</f>
        <v>1310</v>
      </c>
      <c r="C2184" s="830">
        <v>10003700</v>
      </c>
      <c r="D2184" s="830" t="str">
        <f>"3356"</f>
        <v>3356</v>
      </c>
      <c r="E2184" s="830">
        <v>1</v>
      </c>
      <c r="F2184" s="973">
        <f>COUNTIFS(Name,"Garage Door Main",Length,"&lt;=3.0",Height,"&gt;29",Height,"&lt;=31")</f>
        <v>0</v>
      </c>
      <c r="G2184" s="829">
        <v>1388</v>
      </c>
      <c r="H2184" s="1110" t="s">
        <v>3746</v>
      </c>
      <c r="I2184" s="1207"/>
      <c r="J2184" s="73" t="str">
        <f>IF(Table5[[#This Row],[Entered]]&lt;&gt;Table5[[#This Row],[Quantity]],"Check","")</f>
        <v/>
      </c>
    </row>
    <row r="2185" spans="1:10" ht="15" x14ac:dyDescent="0.2">
      <c r="A2185" s="324" t="s">
        <v>3457</v>
      </c>
      <c r="B2185" s="830" t="str">
        <f t="shared" si="123"/>
        <v>1310</v>
      </c>
      <c r="C2185" s="830">
        <v>10003700</v>
      </c>
      <c r="D2185" s="830" t="str">
        <f>"3360"</f>
        <v>3360</v>
      </c>
      <c r="E2185" s="830">
        <v>1</v>
      </c>
      <c r="F2185" s="973">
        <f>COUNTIFS(Name,"Garage Door Main",Length,"&gt;3.0",Length,"&lt;=3.500",Height,"&gt;29",Height,"&lt;=31")</f>
        <v>0</v>
      </c>
      <c r="G2185" s="829">
        <v>1582</v>
      </c>
      <c r="H2185" s="1110" t="s">
        <v>3747</v>
      </c>
      <c r="I2185" s="1207"/>
      <c r="J2185" s="73" t="str">
        <f>IF(Table5[[#This Row],[Entered]]&lt;&gt;Table5[[#This Row],[Quantity]],"Check","")</f>
        <v/>
      </c>
    </row>
    <row r="2186" spans="1:10" ht="15" x14ac:dyDescent="0.2">
      <c r="A2186" s="324" t="s">
        <v>3457</v>
      </c>
      <c r="B2186" s="830" t="str">
        <f t="shared" si="123"/>
        <v>1310</v>
      </c>
      <c r="C2186" s="830">
        <v>10003700</v>
      </c>
      <c r="D2186" s="830" t="str">
        <f>"3364"</f>
        <v>3364</v>
      </c>
      <c r="E2186" s="830">
        <v>1</v>
      </c>
      <c r="F2186" s="973">
        <f>COUNTIFS(Name,"Garage Door Main",Length,"&gt;3.5",Length,"&lt;=4.500",Height,"&gt;29",Height,"&lt;=31")</f>
        <v>0</v>
      </c>
      <c r="G2186" s="829">
        <v>1700</v>
      </c>
      <c r="H2186" s="1110" t="s">
        <v>3748</v>
      </c>
      <c r="I2186" s="1207"/>
      <c r="J2186" s="73" t="str">
        <f>IF(Table5[[#This Row],[Entered]]&lt;&gt;Table5[[#This Row],[Quantity]],"Check","")</f>
        <v/>
      </c>
    </row>
    <row r="2187" spans="1:10" ht="15" x14ac:dyDescent="0.2">
      <c r="A2187" s="324" t="s">
        <v>3457</v>
      </c>
      <c r="B2187" s="830">
        <v>1310</v>
      </c>
      <c r="C2187" s="830">
        <v>10003700</v>
      </c>
      <c r="D2187" s="830">
        <v>3368</v>
      </c>
      <c r="E2187" s="830">
        <v>1</v>
      </c>
      <c r="F2187" s="973">
        <f>COUNTIFS(Name,"Garage Door Main",Length,"&gt;4.500",Length,"&lt;=5.000",Height,"&gt;29",Height,"&lt;=31")</f>
        <v>0</v>
      </c>
      <c r="G2187" s="829">
        <v>1771</v>
      </c>
      <c r="H2187" s="1110" t="s">
        <v>3749</v>
      </c>
      <c r="I2187" s="1207"/>
      <c r="J2187" s="73" t="str">
        <f>IF(Table5[[#This Row],[Entered]]&lt;&gt;Table5[[#This Row],[Quantity]],"Check","")</f>
        <v/>
      </c>
    </row>
    <row r="2188" spans="1:10" ht="15" x14ac:dyDescent="0.2">
      <c r="A2188" s="324" t="s">
        <v>3457</v>
      </c>
      <c r="B2188" s="830">
        <v>1310</v>
      </c>
      <c r="C2188" s="830">
        <v>10003700</v>
      </c>
      <c r="D2188" s="830" t="str">
        <f>"3372"</f>
        <v>3372</v>
      </c>
      <c r="E2188" s="830">
        <v>1</v>
      </c>
      <c r="F2188" s="973">
        <f>COUNTIFS(Name,"Garage Door Main",Length,"&gt;5.000",Length,"&lt;=5.300",Height,"&gt;29",Height,"&lt;=31")</f>
        <v>0</v>
      </c>
      <c r="G2188" s="829">
        <v>1772</v>
      </c>
      <c r="H2188" s="1110" t="s">
        <v>3750</v>
      </c>
      <c r="I2188" s="1207"/>
      <c r="J2188" s="73" t="str">
        <f>IF(Table5[[#This Row],[Entered]]&lt;&gt;Table5[[#This Row],[Quantity]],"Check","")</f>
        <v/>
      </c>
    </row>
    <row r="2189" spans="1:10" ht="15" x14ac:dyDescent="0.2">
      <c r="A2189" s="324" t="s">
        <v>3457</v>
      </c>
      <c r="B2189" s="830">
        <v>1310</v>
      </c>
      <c r="C2189" s="830">
        <v>10003700</v>
      </c>
      <c r="D2189" s="830" t="str">
        <f>"3376"</f>
        <v>3376</v>
      </c>
      <c r="E2189" s="830">
        <v>1</v>
      </c>
      <c r="F2189" s="973">
        <f>COUNTIFS(Name,"Garage Door Main",Length,"&gt;5.300",Length,"&lt;=5.650",Height,"&gt;29",Height,"&lt;=31")</f>
        <v>0</v>
      </c>
      <c r="G2189" s="829">
        <v>1893</v>
      </c>
      <c r="H2189" s="1110" t="s">
        <v>3751</v>
      </c>
      <c r="I2189" s="1207"/>
      <c r="J2189" s="73" t="str">
        <f>IF(Table5[[#This Row],[Entered]]&lt;&gt;Table5[[#This Row],[Quantity]],"Check","")</f>
        <v/>
      </c>
    </row>
    <row r="2190" spans="1:10" ht="15" x14ac:dyDescent="0.2">
      <c r="A2190" s="324" t="s">
        <v>3457</v>
      </c>
      <c r="B2190" s="830">
        <v>1310</v>
      </c>
      <c r="C2190" s="830">
        <v>10003700</v>
      </c>
      <c r="D2190" s="830" t="str">
        <f>"3380"</f>
        <v>3380</v>
      </c>
      <c r="E2190" s="830">
        <v>1</v>
      </c>
      <c r="F2190" s="973">
        <f>COUNTIFS(Name,"Garage Door Main",Length,"&gt;5.650",Length,"&lt;=6.200",Height,"&gt;29",Height,"&lt;=31")</f>
        <v>0</v>
      </c>
      <c r="G2190" s="829">
        <v>2691</v>
      </c>
      <c r="H2190" s="1110" t="s">
        <v>3752</v>
      </c>
      <c r="I2190" s="1207"/>
      <c r="J2190" s="73" t="str">
        <f>IF(Table5[[#This Row],[Entered]]&lt;&gt;Table5[[#This Row],[Quantity]],"Check","")</f>
        <v/>
      </c>
    </row>
    <row r="2191" spans="1:10" ht="15" x14ac:dyDescent="0.2">
      <c r="A2191" s="324" t="s">
        <v>3457</v>
      </c>
      <c r="B2191" s="830" t="str">
        <f t="shared" si="123"/>
        <v>1310</v>
      </c>
      <c r="C2191" s="830">
        <v>10003700</v>
      </c>
      <c r="D2191" s="830" t="str">
        <f>"3356"</f>
        <v>3356</v>
      </c>
      <c r="E2191" s="830">
        <v>1</v>
      </c>
      <c r="F2191" s="973">
        <f>COUNTIFS(Name,"Garage Door Main",Length,"&lt;=3.0",Height,"&gt;31",Height,"&lt;=39")</f>
        <v>0</v>
      </c>
      <c r="G2191" s="829">
        <v>1775</v>
      </c>
      <c r="H2191" s="1110" t="s">
        <v>3753</v>
      </c>
      <c r="I2191" s="1207"/>
      <c r="J2191" s="73" t="str">
        <f>IF(Table5[[#This Row],[Entered]]&lt;&gt;Table5[[#This Row],[Quantity]],"Check","")</f>
        <v/>
      </c>
    </row>
    <row r="2192" spans="1:10" ht="15" x14ac:dyDescent="0.2">
      <c r="A2192" s="324" t="s">
        <v>3457</v>
      </c>
      <c r="B2192" s="830" t="str">
        <f t="shared" si="123"/>
        <v>1310</v>
      </c>
      <c r="C2192" s="830">
        <v>10003700</v>
      </c>
      <c r="D2192" s="830" t="str">
        <f>"3360"</f>
        <v>3360</v>
      </c>
      <c r="E2192" s="830">
        <v>1</v>
      </c>
      <c r="F2192" s="973">
        <f>COUNTIFS(Name,"Garage Door Main",Length,"&gt;3.0",Length,"&lt;=3.500",Height,"&gt;31",Height,"&lt;=39")</f>
        <v>0</v>
      </c>
      <c r="G2192" s="829">
        <v>2022</v>
      </c>
      <c r="H2192" s="1110" t="s">
        <v>3754</v>
      </c>
      <c r="I2192" s="1207"/>
      <c r="J2192" s="73" t="str">
        <f>IF(Table5[[#This Row],[Entered]]&lt;&gt;Table5[[#This Row],[Quantity]],"Check","")</f>
        <v/>
      </c>
    </row>
    <row r="2193" spans="1:10" ht="15" x14ac:dyDescent="0.2">
      <c r="A2193" s="324" t="s">
        <v>3457</v>
      </c>
      <c r="B2193" s="830" t="str">
        <f t="shared" si="123"/>
        <v>1310</v>
      </c>
      <c r="C2193" s="830">
        <v>10003700</v>
      </c>
      <c r="D2193" s="830" t="str">
        <f>"3364"</f>
        <v>3364</v>
      </c>
      <c r="E2193" s="830">
        <v>1</v>
      </c>
      <c r="F2193" s="973">
        <f>COUNTIFS(Name,"Garage Door Main",Length,"&gt;3.5",Length,"&lt;=4.500",Height,"&gt;31",Height,"&lt;=39")</f>
        <v>0</v>
      </c>
      <c r="G2193" s="829">
        <v>2173</v>
      </c>
      <c r="H2193" s="1110" t="s">
        <v>3755</v>
      </c>
      <c r="I2193" s="1207"/>
      <c r="J2193" s="73" t="str">
        <f>IF(Table5[[#This Row],[Entered]]&lt;&gt;Table5[[#This Row],[Quantity]],"Check","")</f>
        <v/>
      </c>
    </row>
    <row r="2194" spans="1:10" ht="15" x14ac:dyDescent="0.2">
      <c r="A2194" s="324" t="s">
        <v>3457</v>
      </c>
      <c r="B2194" s="830">
        <v>1310</v>
      </c>
      <c r="C2194" s="830">
        <v>10003700</v>
      </c>
      <c r="D2194" s="830">
        <v>3368</v>
      </c>
      <c r="E2194" s="830">
        <v>1</v>
      </c>
      <c r="F2194" s="973">
        <f>COUNTIFS(Name,"Garage Door Main",Length,"&gt;4.500",Length,"&lt;=5.000",Height,"&gt;31",Height,"&lt;=39")</f>
        <v>0</v>
      </c>
      <c r="G2194" s="829">
        <v>2264</v>
      </c>
      <c r="H2194" s="1110" t="s">
        <v>3756</v>
      </c>
      <c r="I2194" s="1207"/>
      <c r="J2194" s="73" t="str">
        <f>IF(Table5[[#This Row],[Entered]]&lt;&gt;Table5[[#This Row],[Quantity]],"Check","")</f>
        <v/>
      </c>
    </row>
    <row r="2195" spans="1:10" ht="15" x14ac:dyDescent="0.2">
      <c r="A2195" s="324" t="s">
        <v>3457</v>
      </c>
      <c r="B2195" s="830">
        <v>1310</v>
      </c>
      <c r="C2195" s="830">
        <v>10003700</v>
      </c>
      <c r="D2195" s="830" t="str">
        <f>"3372"</f>
        <v>3372</v>
      </c>
      <c r="E2195" s="830">
        <v>1</v>
      </c>
      <c r="F2195" s="973">
        <f>COUNTIFS(Name,"Garage Door Main",Length,"&gt;5.000",Length,"&lt;=5.300",Height,"&gt;31",Height,"&lt;=39")</f>
        <v>0</v>
      </c>
      <c r="G2195" s="829">
        <v>2265</v>
      </c>
      <c r="H2195" s="1110" t="s">
        <v>3757</v>
      </c>
      <c r="I2195" s="1207"/>
      <c r="J2195" s="73" t="str">
        <f>IF(Table5[[#This Row],[Entered]]&lt;&gt;Table5[[#This Row],[Quantity]],"Check","")</f>
        <v/>
      </c>
    </row>
    <row r="2196" spans="1:10" ht="15" x14ac:dyDescent="0.2">
      <c r="A2196" s="324" t="s">
        <v>3457</v>
      </c>
      <c r="B2196" s="830">
        <v>1310</v>
      </c>
      <c r="C2196" s="830">
        <v>10003700</v>
      </c>
      <c r="D2196" s="830" t="str">
        <f>"3376"</f>
        <v>3376</v>
      </c>
      <c r="E2196" s="830">
        <v>1</v>
      </c>
      <c r="F2196" s="973">
        <f>COUNTIFS(Name,"Garage Door Main",Length,"&gt;5.300",Length,"&lt;=5.650",Height,"&gt;31",Height,"&lt;=39")</f>
        <v>0</v>
      </c>
      <c r="G2196" s="829">
        <v>2421</v>
      </c>
      <c r="H2196" s="1110" t="s">
        <v>3758</v>
      </c>
      <c r="I2196" s="1207"/>
      <c r="J2196" s="73" t="str">
        <f>IF(Table5[[#This Row],[Entered]]&lt;&gt;Table5[[#This Row],[Quantity]],"Check","")</f>
        <v/>
      </c>
    </row>
    <row r="2197" spans="1:10" ht="15" x14ac:dyDescent="0.2">
      <c r="A2197" s="324" t="s">
        <v>3457</v>
      </c>
      <c r="B2197" s="830">
        <v>1310</v>
      </c>
      <c r="C2197" s="830">
        <v>10003700</v>
      </c>
      <c r="D2197" s="830" t="str">
        <f>"3380"</f>
        <v>3380</v>
      </c>
      <c r="E2197" s="830">
        <v>1</v>
      </c>
      <c r="F2197" s="973">
        <f>COUNTIFS(Name,"Garage Door Main",Length,"&gt;5.650",Length,"&lt;=6.200",Height,"&gt;31",Height,"&lt;=39")</f>
        <v>0</v>
      </c>
      <c r="G2197" s="829">
        <v>3440</v>
      </c>
      <c r="H2197" s="1110" t="s">
        <v>3759</v>
      </c>
      <c r="I2197" s="1207"/>
      <c r="J2197" s="73" t="str">
        <f>IF(Table5[[#This Row],[Entered]]&lt;&gt;Table5[[#This Row],[Quantity]],"Check","")</f>
        <v/>
      </c>
    </row>
    <row r="2198" spans="1:10" ht="15" x14ac:dyDescent="0.2">
      <c r="A2198" s="324" t="s">
        <v>3457</v>
      </c>
      <c r="B2198" s="830" t="str">
        <f>"1310"</f>
        <v>1310</v>
      </c>
      <c r="C2198" s="830">
        <v>10003700</v>
      </c>
      <c r="D2198" s="830" t="str">
        <f>"3400"</f>
        <v>3400</v>
      </c>
      <c r="E2198" s="830">
        <v>1</v>
      </c>
      <c r="F2198" s="973">
        <f>COUNTIFS(Name,"Pelmet")</f>
        <v>0</v>
      </c>
      <c r="G2198" s="829">
        <v>121</v>
      </c>
      <c r="H2198" s="1110" t="s">
        <v>3453</v>
      </c>
      <c r="I2198" s="1133"/>
      <c r="J2198" s="2" t="str">
        <f>IF(Table5[[#This Row],[Entered]]&lt;&gt;Table5[[#This Row],[Quantity]],"Check","")</f>
        <v/>
      </c>
    </row>
    <row r="2199" spans="1:10" ht="15" x14ac:dyDescent="0.2">
      <c r="A2199" s="324" t="s">
        <v>3457</v>
      </c>
      <c r="B2199" s="830">
        <v>1310</v>
      </c>
      <c r="C2199" s="830">
        <v>10003700</v>
      </c>
      <c r="D2199" s="830" t="str">
        <f>"3413"</f>
        <v>3413</v>
      </c>
      <c r="E2199" s="830">
        <v>1</v>
      </c>
      <c r="F2199" s="973">
        <f>IF(COUNTIF(H2201,"*WOOD*")+COUNTIF(H2201,"*CEDAR*")&gt;0,1,0)</f>
        <v>0</v>
      </c>
      <c r="G2199" s="829">
        <v>336</v>
      </c>
      <c r="H2199" s="1110" t="s">
        <v>3455</v>
      </c>
      <c r="I2199" s="1133"/>
      <c r="J2199" s="2" t="str">
        <f>IF(Table5[[#This Row],[Entered]]&lt;&gt;Table5[[#This Row],[Quantity]],"Check","")</f>
        <v/>
      </c>
    </row>
    <row r="2200" spans="1:10" ht="15" x14ac:dyDescent="0.2">
      <c r="A2200" s="324" t="s">
        <v>3457</v>
      </c>
      <c r="B2200" s="830">
        <v>1310</v>
      </c>
      <c r="C2200" s="830">
        <v>10003700</v>
      </c>
      <c r="D2200" s="830" t="str">
        <f>"3448"</f>
        <v>3448</v>
      </c>
      <c r="E2200" s="830">
        <v>1</v>
      </c>
      <c r="F2200" s="973">
        <f>IF(BAL&gt;0,COUNTIFS(Name,"Garage Door Main"),0)</f>
        <v>0</v>
      </c>
      <c r="G2200" s="829">
        <v>470</v>
      </c>
      <c r="H2200" s="1110" t="s">
        <v>3454</v>
      </c>
      <c r="I2200" s="1133"/>
      <c r="J2200" s="2" t="str">
        <f>IF(Table5[[#This Row],[Entered]]&lt;&gt;Table5[[#This Row],[Quantity]],"Check","")</f>
        <v/>
      </c>
    </row>
    <row r="2201" spans="1:10" ht="15" x14ac:dyDescent="0.2">
      <c r="A2201" s="324" t="s">
        <v>3457</v>
      </c>
      <c r="B2201" s="830" t="str">
        <f>"1310"</f>
        <v>1310</v>
      </c>
      <c r="C2201" s="830">
        <v>10003700</v>
      </c>
      <c r="D2201" s="830">
        <v>7000</v>
      </c>
      <c r="E2201" s="830">
        <v>1</v>
      </c>
      <c r="F2201" s="973">
        <f>IF(COUNTIF(Name,"Garage Door Main")&gt;0,1,0)</f>
        <v>0</v>
      </c>
      <c r="G2201" s="829">
        <v>0</v>
      </c>
      <c r="H2201" s="1110" t="e">
        <f>VLOOKUP("garage door main",'CSV GF'!A:E,5,FALSE)</f>
        <v>#N/A</v>
      </c>
      <c r="I2201" s="1133"/>
      <c r="J2201" s="2" t="str">
        <f>IF(Table5[[#This Row],[Entered]]&lt;&gt;Table5[[#This Row],[Quantity]],"Check","")</f>
        <v/>
      </c>
    </row>
    <row r="2202" spans="1:10" ht="15" x14ac:dyDescent="0.2">
      <c r="A2202" s="324" t="s">
        <v>3457</v>
      </c>
      <c r="B2202" s="830">
        <v>1310</v>
      </c>
      <c r="C2202" s="830">
        <v>10003700</v>
      </c>
      <c r="D2202" s="830">
        <v>9014</v>
      </c>
      <c r="E2202" s="830">
        <v>1</v>
      </c>
      <c r="F2202" s="1132" cm="1">
        <f t="array" ref="F2202">IF(SUM(COUNTIF(Address,{"*AUGUSTA*"}))&gt;0,1,0)</f>
        <v>0</v>
      </c>
      <c r="G2202" s="829">
        <v>170</v>
      </c>
      <c r="H2202" s="1110" t="s">
        <v>3760</v>
      </c>
      <c r="I2202" s="1203"/>
      <c r="J2202" s="2" t="str">
        <f>IF(Table5[[#This Row],[Entered]]&lt;&gt;Table5[[#This Row],[Quantity]],"Check","")</f>
        <v/>
      </c>
    </row>
    <row r="2203" spans="1:10" ht="15" x14ac:dyDescent="0.2">
      <c r="A2203" s="324" t="s">
        <v>3457</v>
      </c>
      <c r="B2203" s="830">
        <v>1310</v>
      </c>
      <c r="C2203" s="830">
        <v>10003700</v>
      </c>
      <c r="D2203" s="830" t="str">
        <f>"9020"</f>
        <v>9020</v>
      </c>
      <c r="E2203" s="830">
        <v>1</v>
      </c>
      <c r="F2203" s="1132" cm="1">
        <f t="array" ref="F2203">IF(SUM(COUNTIF(Address,{"*BUNBURY*"}))&gt;0,COUNTIF(Name,"Garage Door Main"),0)</f>
        <v>0</v>
      </c>
      <c r="G2203" s="829">
        <v>0</v>
      </c>
      <c r="H2203" s="1110" t="s">
        <v>3771</v>
      </c>
      <c r="I2203" s="1207"/>
      <c r="J2203" s="73" t="str">
        <f>IF(Table5[[#This Row],[Entered]]&lt;&gt;Table5[[#This Row],[Quantity]],"Check","")</f>
        <v/>
      </c>
    </row>
    <row r="2204" spans="1:10" ht="15" x14ac:dyDescent="0.2">
      <c r="A2204" s="324" t="s">
        <v>3457</v>
      </c>
      <c r="B2204" s="830">
        <v>1310</v>
      </c>
      <c r="C2204" s="830">
        <v>10003700</v>
      </c>
      <c r="D2204" s="830" t="str">
        <f>"9024"</f>
        <v>9024</v>
      </c>
      <c r="E2204" s="830">
        <v>1</v>
      </c>
      <c r="F2204" s="1132" cm="1">
        <f t="array" ref="F2204">IF(SUM(COUNTIF(Address,{"*BRIDGETOWN*"}))&gt;0,1,0)</f>
        <v>0</v>
      </c>
      <c r="G2204" s="829">
        <v>90</v>
      </c>
      <c r="H2204" s="1110" t="s">
        <v>3762</v>
      </c>
      <c r="I2204" s="1207"/>
      <c r="J2204" s="73" t="str">
        <f>IF(Table5[[#This Row],[Entered]]&lt;&gt;Table5[[#This Row],[Quantity]],"Check","")</f>
        <v/>
      </c>
    </row>
    <row r="2205" spans="1:10" ht="15" x14ac:dyDescent="0.2">
      <c r="A2205" s="324" t="s">
        <v>3457</v>
      </c>
      <c r="B2205" s="830">
        <v>1310</v>
      </c>
      <c r="C2205" s="830">
        <v>10003700</v>
      </c>
      <c r="D2205" s="830" t="str">
        <f>"9031"</f>
        <v>9031</v>
      </c>
      <c r="E2205" s="830">
        <v>1</v>
      </c>
      <c r="F2205" s="1132" cm="1">
        <f t="array" ref="F2205">IF(SUM(COUNTIF(Address,{"*BUSSELTON*","*VASSE*"}))&gt;0,1,0)</f>
        <v>0</v>
      </c>
      <c r="G2205" s="829">
        <v>0</v>
      </c>
      <c r="H2205" s="1110" t="s">
        <v>3456</v>
      </c>
      <c r="I2205" s="1133"/>
      <c r="J2205" s="2" t="str">
        <f>IF(Table5[[#This Row],[Entered]]&lt;&gt;Table5[[#This Row],[Quantity]],"Check","")</f>
        <v/>
      </c>
    </row>
    <row r="2206" spans="1:10" ht="15" x14ac:dyDescent="0.2">
      <c r="A2206" s="324" t="s">
        <v>3457</v>
      </c>
      <c r="B2206" s="830">
        <v>1310</v>
      </c>
      <c r="C2206" s="830">
        <v>10003700</v>
      </c>
      <c r="D2206" s="830" t="str">
        <f>"9035"</f>
        <v>9035</v>
      </c>
      <c r="E2206" s="830">
        <v>1</v>
      </c>
      <c r="F2206" s="1132" cm="1">
        <f t="array" ref="F2206">IF(SUM(COUNTIF(Address,{"*COWARAMUP*"}))&gt;0,1,0)</f>
        <v>0</v>
      </c>
      <c r="G2206" s="829">
        <v>60</v>
      </c>
      <c r="H2206" s="1110" t="s">
        <v>3763</v>
      </c>
      <c r="I2206" s="1207"/>
      <c r="J2206" s="73" t="str">
        <f>IF(Table5[[#This Row],[Entered]]&lt;&gt;Table5[[#This Row],[Quantity]],"Check","")</f>
        <v/>
      </c>
    </row>
    <row r="2207" spans="1:10" ht="15" x14ac:dyDescent="0.2">
      <c r="A2207" s="324" t="s">
        <v>3457</v>
      </c>
      <c r="B2207" s="830">
        <v>1310</v>
      </c>
      <c r="C2207" s="830">
        <v>10003700</v>
      </c>
      <c r="D2207" s="830" t="str">
        <f>"9038"</f>
        <v>9038</v>
      </c>
      <c r="E2207" s="830">
        <v>1</v>
      </c>
      <c r="F2207" s="1132" cm="1">
        <f t="array" ref="F2207">IF(SUM(COUNTIF(Address,{"*WITCHCLIFFE*"}))&gt;0,1,0)</f>
        <v>0</v>
      </c>
      <c r="G2207" s="829">
        <v>110</v>
      </c>
      <c r="H2207" s="1110" t="s">
        <v>3773</v>
      </c>
      <c r="I2207" s="1207"/>
      <c r="J2207" s="73" t="str">
        <f>IF(Table5[[#This Row],[Entered]]&lt;&gt;Table5[[#This Row],[Quantity]],"Check","")</f>
        <v/>
      </c>
    </row>
    <row r="2208" spans="1:10" ht="15" x14ac:dyDescent="0.2">
      <c r="A2208" s="324" t="s">
        <v>3457</v>
      </c>
      <c r="B2208" s="830">
        <v>1310</v>
      </c>
      <c r="C2208" s="830">
        <v>10003700</v>
      </c>
      <c r="D2208" s="830" t="str">
        <f>"9044"</f>
        <v>9044</v>
      </c>
      <c r="E2208" s="830">
        <v>1</v>
      </c>
      <c r="F2208" s="1132" cm="1">
        <f t="array" ref="F2208">IF(SUM(COUNTIF(Address,{"*DUNSBOROUGH*"}))&gt;0,1,0)</f>
        <v>0</v>
      </c>
      <c r="G2208" s="829">
        <v>0</v>
      </c>
      <c r="H2208" s="1110" t="s">
        <v>3764</v>
      </c>
      <c r="I2208" s="1258"/>
      <c r="J2208" s="73" t="str">
        <f>IF(Table5[[#This Row],[Entered]]&lt;&gt;Table5[[#This Row],[Quantity]],"Check","")</f>
        <v/>
      </c>
    </row>
    <row r="2209" spans="1:10" ht="15" x14ac:dyDescent="0.2">
      <c r="A2209" s="324" t="s">
        <v>3457</v>
      </c>
      <c r="B2209" s="830">
        <v>1310</v>
      </c>
      <c r="C2209" s="830">
        <v>10003700</v>
      </c>
      <c r="D2209" s="830" t="str">
        <f>"9055"</f>
        <v>9055</v>
      </c>
      <c r="E2209" s="830">
        <v>1</v>
      </c>
      <c r="F2209" s="1132" cm="1">
        <f t="array" ref="F2209">IF(SUM(COUNTIF(Address,{"*GREENBUSHES*"}))&gt;0,1,0)</f>
        <v>0</v>
      </c>
      <c r="G2209" s="829">
        <v>60</v>
      </c>
      <c r="H2209" s="1110" t="s">
        <v>3765</v>
      </c>
      <c r="I2209" s="1207"/>
      <c r="J2209" s="73" t="str">
        <f>IF(Table5[[#This Row],[Entered]]&lt;&gt;Table5[[#This Row],[Quantity]],"Check","")</f>
        <v/>
      </c>
    </row>
    <row r="2210" spans="1:10" ht="15" x14ac:dyDescent="0.2">
      <c r="A2210" s="324" t="s">
        <v>3457</v>
      </c>
      <c r="B2210" s="830">
        <v>1310</v>
      </c>
      <c r="C2210" s="830">
        <v>10003700</v>
      </c>
      <c r="D2210" s="830" t="str">
        <f>"9058"</f>
        <v>9058</v>
      </c>
      <c r="E2210" s="830">
        <v>1</v>
      </c>
      <c r="F2210" s="1132" cm="1">
        <f t="array" ref="F2210">IF(SUM(COUNTIF(Address,{"*HARVEY*"}))&gt;0,1,0)</f>
        <v>0</v>
      </c>
      <c r="G2210" s="829">
        <v>0</v>
      </c>
      <c r="H2210" s="1110" t="s">
        <v>3766</v>
      </c>
      <c r="I2210" s="1207"/>
      <c r="J2210" s="73" t="str">
        <f>IF(Table5[[#This Row],[Entered]]&lt;&gt;Table5[[#This Row],[Quantity]],"Check","")</f>
        <v/>
      </c>
    </row>
    <row r="2211" spans="1:10" ht="15" x14ac:dyDescent="0.2">
      <c r="A2211" s="324" t="s">
        <v>3457</v>
      </c>
      <c r="B2211" s="830">
        <v>1310</v>
      </c>
      <c r="C2211" s="830">
        <v>10003700</v>
      </c>
      <c r="D2211" s="830" t="str">
        <f>"9067"</f>
        <v>9067</v>
      </c>
      <c r="E2211" s="830">
        <v>1</v>
      </c>
      <c r="F2211" s="1132" cm="1">
        <f t="array" ref="F2211">IF(SUM(COUNTIF(Address,{"*MANJIMUP*"}))&gt;0,1,0)</f>
        <v>0</v>
      </c>
      <c r="G2211" s="829">
        <v>165</v>
      </c>
      <c r="H2211" s="1110" t="s">
        <v>3767</v>
      </c>
      <c r="I2211" s="1207"/>
      <c r="J2211" s="73" t="str">
        <f>IF(Table5[[#This Row],[Entered]]&lt;&gt;Table5[[#This Row],[Quantity]],"Check","")</f>
        <v/>
      </c>
    </row>
    <row r="2212" spans="1:10" ht="15" x14ac:dyDescent="0.2">
      <c r="A2212" s="324" t="s">
        <v>3457</v>
      </c>
      <c r="B2212" s="830">
        <v>1310</v>
      </c>
      <c r="C2212" s="830">
        <v>10003700</v>
      </c>
      <c r="D2212" s="830" t="str">
        <f>"9072"</f>
        <v>9072</v>
      </c>
      <c r="E2212" s="830">
        <v>1</v>
      </c>
      <c r="F2212" s="1132" cm="1">
        <f t="array" ref="F2212">IF(SUM(COUNTIF(Address,{"*MYALUP*"}))&gt;0,1,0)</f>
        <v>0</v>
      </c>
      <c r="G2212" s="829">
        <v>0</v>
      </c>
      <c r="H2212" s="1110" t="s">
        <v>3768</v>
      </c>
      <c r="I2212" s="1207"/>
      <c r="J2212" s="73" t="str">
        <f>IF(Table5[[#This Row],[Entered]]&lt;&gt;Table5[[#This Row],[Quantity]],"Check","")</f>
        <v/>
      </c>
    </row>
    <row r="2213" spans="1:10" ht="15" x14ac:dyDescent="0.2">
      <c r="A2213" s="324" t="s">
        <v>3457</v>
      </c>
      <c r="B2213" s="830">
        <v>1310</v>
      </c>
      <c r="C2213" s="830">
        <v>10003700</v>
      </c>
      <c r="D2213" s="830" t="str">
        <f>"9073"</f>
        <v>9073</v>
      </c>
      <c r="E2213" s="830">
        <v>1</v>
      </c>
      <c r="F2213" s="1132" cm="1">
        <f t="array" ref="F2213">IF(SUM(COUNTIF(Address,{"*NANNUP*"}))&gt;0,1,0)</f>
        <v>0</v>
      </c>
      <c r="G2213" s="829">
        <v>95</v>
      </c>
      <c r="H2213" s="1110" t="s">
        <v>3769</v>
      </c>
      <c r="I2213" s="1207"/>
      <c r="J2213" s="73" t="str">
        <f>IF(Table5[[#This Row],[Entered]]&lt;&gt;Table5[[#This Row],[Quantity]],"Check","")</f>
        <v/>
      </c>
    </row>
    <row r="2214" spans="1:10" ht="15" x14ac:dyDescent="0.2">
      <c r="A2214" s="324" t="s">
        <v>3457</v>
      </c>
      <c r="B2214" s="830">
        <v>1310</v>
      </c>
      <c r="C2214" s="830">
        <v>10003700</v>
      </c>
      <c r="D2214" s="830" t="str">
        <f>"9078"</f>
        <v>9078</v>
      </c>
      <c r="E2214" s="830">
        <v>1</v>
      </c>
      <c r="F2214" s="1132" cm="1">
        <f t="array" ref="F2214">IF(SUM(COUNTIF(Address,{"*PEMBERTON*"}))&gt;0,1,0)</f>
        <v>0</v>
      </c>
      <c r="G2214" s="829">
        <v>220</v>
      </c>
      <c r="H2214" s="1110" t="s">
        <v>3770</v>
      </c>
      <c r="I2214" s="1207"/>
      <c r="J2214" s="73" t="str">
        <f>IF(Table5[[#This Row],[Entered]]&lt;&gt;Table5[[#This Row],[Quantity]],"Check","")</f>
        <v/>
      </c>
    </row>
    <row r="2215" spans="1:10" ht="15" x14ac:dyDescent="0.2">
      <c r="A2215" s="324" t="s">
        <v>3457</v>
      </c>
      <c r="B2215" s="830">
        <v>1310</v>
      </c>
      <c r="C2215" s="830">
        <v>10003700</v>
      </c>
      <c r="D2215" s="830" t="str">
        <f>"9102"</f>
        <v>9102</v>
      </c>
      <c r="E2215" s="830">
        <v>1</v>
      </c>
      <c r="F2215" s="1132" cm="1">
        <f t="array" ref="F2215">IF(SUM(COUNTIF(Address,{"*YARLOOP*"}))&gt;0,1,0)</f>
        <v>0</v>
      </c>
      <c r="G2215" s="829">
        <v>0</v>
      </c>
      <c r="H2215" s="1110" t="s">
        <v>3774</v>
      </c>
      <c r="I2215" s="1207"/>
      <c r="J2215" s="73" t="str">
        <f>IF(Table5[[#This Row],[Entered]]&lt;&gt;Table5[[#This Row],[Quantity]],"Check","")</f>
        <v/>
      </c>
    </row>
    <row r="2216" spans="1:10" ht="15" x14ac:dyDescent="0.2">
      <c r="A2216" s="324" t="s">
        <v>3457</v>
      </c>
      <c r="B2216" s="830">
        <v>1310</v>
      </c>
      <c r="C2216" s="830">
        <v>10003700</v>
      </c>
      <c r="D2216" s="830" t="str">
        <f>"9097"</f>
        <v>9097</v>
      </c>
      <c r="E2216" s="830">
        <v>1</v>
      </c>
      <c r="F2216" s="1132" cm="1">
        <f t="array" ref="F2216">IF(SUM(COUNTIF(Address,{"*WAROONA*"}))&gt;0,1,0)</f>
        <v>0</v>
      </c>
      <c r="G2216" s="829">
        <v>0</v>
      </c>
      <c r="H2216" s="1110" t="s">
        <v>3772</v>
      </c>
      <c r="I2216" s="1207"/>
      <c r="J2216" s="73" t="str">
        <f>IF(Table5[[#This Row],[Entered]]&lt;&gt;Table5[[#This Row],[Quantity]],"Check","")</f>
        <v/>
      </c>
    </row>
    <row r="2217" spans="1:10" ht="15" x14ac:dyDescent="0.2">
      <c r="A2217" s="324" t="s">
        <v>3457</v>
      </c>
      <c r="B2217" s="830">
        <v>1310</v>
      </c>
      <c r="C2217" s="830">
        <v>10003700</v>
      </c>
      <c r="D2217" s="830" t="str">
        <f>"9098"</f>
        <v>9098</v>
      </c>
      <c r="E2217" s="830">
        <v>1</v>
      </c>
      <c r="F2217" s="1132" cm="1">
        <f t="array" ref="F2217">IF(SUM(COUNTIF(Address,{"*BINNINGUP*"}))&gt;0,1,0)</f>
        <v>0</v>
      </c>
      <c r="G2217" s="829">
        <v>0</v>
      </c>
      <c r="H2217" s="1110" t="s">
        <v>3761</v>
      </c>
    </row>
    <row r="2218" spans="1:10" ht="15" x14ac:dyDescent="0.2">
      <c r="A2218" s="324"/>
      <c r="B2218" s="324"/>
      <c r="C2218" s="324"/>
      <c r="D2218" s="324"/>
      <c r="E2218" s="324"/>
      <c r="F2218" s="973"/>
      <c r="G2218" s="829"/>
      <c r="H2218" s="412"/>
      <c r="I2218" s="1258"/>
      <c r="J2218" s="2" t="str">
        <f>IF(Table5[[#This Row],[Entered]]&lt;&gt;Table5[[#This Row],[Quantity]],"Check","")</f>
        <v/>
      </c>
    </row>
    <row r="2219" spans="1:10" ht="15" x14ac:dyDescent="0.2">
      <c r="A2219" s="324" t="s">
        <v>3396</v>
      </c>
      <c r="B2219" s="324" t="str">
        <f>"1340"</f>
        <v>1340</v>
      </c>
      <c r="C2219" s="324">
        <v>52537</v>
      </c>
      <c r="D2219" s="324">
        <v>7000</v>
      </c>
      <c r="E2219" s="324">
        <v>1</v>
      </c>
      <c r="F2219" s="973">
        <f>IF(COUNTIF(Addenda!A:A,"*carpet*")&gt;0,1,0)</f>
        <v>0</v>
      </c>
      <c r="G2219" s="829">
        <f>Quotes!B19</f>
        <v>0</v>
      </c>
      <c r="H2219" s="412" t="s">
        <v>1048</v>
      </c>
      <c r="I2219" s="1258"/>
      <c r="J2219" s="2" t="str">
        <f>IF(Table5[[#This Row],[Entered]]&lt;&gt;Table5[[#This Row],[Quantity]],"Check","")</f>
        <v/>
      </c>
    </row>
    <row r="2220" spans="1:10" ht="15" x14ac:dyDescent="0.2">
      <c r="A2220" s="324"/>
      <c r="B2220" s="324"/>
      <c r="C2220" s="324"/>
      <c r="D2220" s="324"/>
      <c r="E2220" s="324"/>
      <c r="F2220" s="973"/>
      <c r="G2220" s="829"/>
      <c r="H2220" s="412"/>
      <c r="I2220" s="1258"/>
      <c r="J2220" s="2" t="str">
        <f>IF(Table5[[#This Row],[Entered]]&lt;&gt;Table5[[#This Row],[Quantity]],"Check","")</f>
        <v/>
      </c>
    </row>
    <row r="2221" spans="1:10" s="1198" customFormat="1" ht="15" x14ac:dyDescent="0.2">
      <c r="A2221" s="324" t="s">
        <v>3461</v>
      </c>
      <c r="B2221" s="324" t="str">
        <f>"1390"</f>
        <v>1390</v>
      </c>
      <c r="C2221" s="324">
        <v>52537</v>
      </c>
      <c r="D2221" s="324">
        <v>7000</v>
      </c>
      <c r="E2221" s="324">
        <v>1</v>
      </c>
      <c r="F2221" s="973">
        <f>IF(COUNTIF(Addenda!A:A,"*blinds*")&gt;0,1,0)</f>
        <v>0</v>
      </c>
      <c r="G2221" s="829">
        <f>Quotes!B20</f>
        <v>0</v>
      </c>
      <c r="H2221" s="412" t="s">
        <v>1049</v>
      </c>
      <c r="I2221" s="1258"/>
      <c r="J2221" s="2" t="str">
        <f>IF(Table5[[#This Row],[Entered]]&lt;&gt;Table5[[#This Row],[Quantity]],"Check","")</f>
        <v/>
      </c>
    </row>
    <row r="2222" spans="1:10" s="1198" customFormat="1" ht="15" x14ac:dyDescent="0.2">
      <c r="A2222" s="324"/>
      <c r="B2222" s="830"/>
      <c r="C2222" s="830"/>
      <c r="D2222" s="830"/>
      <c r="E2222" s="830"/>
      <c r="F2222" s="973"/>
      <c r="G2222" s="829"/>
      <c r="H2222" s="1110"/>
      <c r="I2222" s="1133"/>
      <c r="J2222" s="2" t="str">
        <f>IF(Table5[[#This Row],[Entered]]&lt;&gt;Table5[[#This Row],[Quantity]],"Check","")</f>
        <v/>
      </c>
    </row>
    <row r="2223" spans="1:10" s="1198" customFormat="1" ht="15" x14ac:dyDescent="0.2">
      <c r="A2223" s="324" t="s">
        <v>3616</v>
      </c>
      <c r="B2223" s="324" t="str">
        <f>"0320"</f>
        <v>0320</v>
      </c>
      <c r="C2223" s="324">
        <v>50062</v>
      </c>
      <c r="D2223" s="324" t="str">
        <f>"0020"</f>
        <v>0020</v>
      </c>
      <c r="E2223" s="324">
        <v>1</v>
      </c>
      <c r="F2223" s="827">
        <v>1</v>
      </c>
      <c r="G2223" s="829">
        <v>80</v>
      </c>
      <c r="H2223" s="412" t="s">
        <v>2472</v>
      </c>
      <c r="I2223" s="1258"/>
      <c r="J2223" s="2" t="str">
        <f>IF(Table5[[#This Row],[Entered]]&lt;&gt;Table5[[#This Row],[Quantity]],"Check","")</f>
        <v>Check</v>
      </c>
    </row>
    <row r="2224" spans="1:10" s="1198" customFormat="1" ht="15" x14ac:dyDescent="0.2">
      <c r="A2224" s="1190"/>
      <c r="B2224" s="1190"/>
      <c r="C2224" s="1190"/>
      <c r="D2224" s="1190"/>
      <c r="E2224" s="1190"/>
      <c r="F2224" s="1191"/>
      <c r="G2224" s="1192"/>
      <c r="H2224" s="1193"/>
      <c r="I2224" s="1207"/>
      <c r="J2224" s="1194" t="str">
        <f>IF(Table5[[#This Row],[Entered]]&lt;&gt;Table5[[#This Row],[Quantity]],"Check","")</f>
        <v/>
      </c>
    </row>
    <row r="2225" spans="1:10" s="1198" customFormat="1" ht="15" x14ac:dyDescent="0.2">
      <c r="A2225" s="1190" t="s">
        <v>1381</v>
      </c>
      <c r="B2225" s="1190" t="s">
        <v>394</v>
      </c>
      <c r="C2225" s="1190" t="s">
        <v>673</v>
      </c>
      <c r="D2225" s="1190">
        <f>1</f>
        <v>1</v>
      </c>
      <c r="E2225" s="1190">
        <v>4</v>
      </c>
      <c r="F2225" s="1191">
        <f>IF(F2229=0,'Brickwork FF'!$I$31,0)</f>
        <v>0</v>
      </c>
      <c r="G2225" s="1192"/>
      <c r="H2225" s="1193" t="s">
        <v>1898</v>
      </c>
      <c r="I2225" s="1207"/>
      <c r="J2225" s="1194" t="str">
        <f>IF(Table5[[#This Row],[Entered]]&lt;&gt;Table5[[#This Row],[Quantity]],"Check","")</f>
        <v/>
      </c>
    </row>
    <row r="2226" spans="1:10" s="1198" customFormat="1" ht="15" x14ac:dyDescent="0.2">
      <c r="A2226" s="1190" t="s">
        <v>1381</v>
      </c>
      <c r="B2226" s="1190" t="s">
        <v>394</v>
      </c>
      <c r="C2226" s="1190" t="s">
        <v>673</v>
      </c>
      <c r="D2226" s="1190" t="s">
        <v>663</v>
      </c>
      <c r="E2226" s="1190">
        <v>0</v>
      </c>
      <c r="F2226" s="1191">
        <f>IF('Brickwork FF'!$H$31&gt;0,1,0)</f>
        <v>0</v>
      </c>
      <c r="G2226" s="1192"/>
      <c r="H2226" s="1193" t="str">
        <f>ROUND('Brickwork FF'!H31,2)&amp;" PACKS "&amp;UPPER(Addenda!$C$4)&amp;"CORED"</f>
        <v>0 PACKS CORED</v>
      </c>
      <c r="I2226" s="1207"/>
      <c r="J2226" s="1194" t="str">
        <f>IF(Table5[[#This Row],[Entered]]&lt;&gt;Table5[[#This Row],[Quantity]],"Check","")</f>
        <v/>
      </c>
    </row>
    <row r="2227" spans="1:10" s="1198" customFormat="1" ht="15" x14ac:dyDescent="0.2">
      <c r="A2227" s="1190" t="s">
        <v>1381</v>
      </c>
      <c r="B2227" s="1190" t="s">
        <v>394</v>
      </c>
      <c r="C2227" s="1190" t="s">
        <v>673</v>
      </c>
      <c r="D2227" s="1190">
        <f>2</f>
        <v>2</v>
      </c>
      <c r="E2227" s="1190">
        <v>4</v>
      </c>
      <c r="F2227" s="1191">
        <f>IF(F2231=0,'Brickwork FF'!$I$32,0)</f>
        <v>0</v>
      </c>
      <c r="G2227" s="1192"/>
      <c r="H2227" s="1193" t="s">
        <v>1899</v>
      </c>
      <c r="I2227" s="1207"/>
      <c r="J2227" s="1194" t="str">
        <f>IF(Table5[[#This Row],[Entered]]&lt;&gt;Table5[[#This Row],[Quantity]],"Check","")</f>
        <v/>
      </c>
    </row>
    <row r="2228" spans="1:10" s="1198" customFormat="1" ht="15" x14ac:dyDescent="0.2">
      <c r="A2228" s="1190" t="s">
        <v>1381</v>
      </c>
      <c r="B2228" s="1190" t="s">
        <v>394</v>
      </c>
      <c r="C2228" s="1190" t="s">
        <v>673</v>
      </c>
      <c r="D2228" s="1190" t="s">
        <v>664</v>
      </c>
      <c r="E2228" s="1190">
        <v>0</v>
      </c>
      <c r="F2228" s="1191">
        <f>IF('Brickwork FF'!$H$32&gt;0,1,0)</f>
        <v>0</v>
      </c>
      <c r="G2228" s="1192"/>
      <c r="H2228" s="1193" t="str">
        <f>ROUND('Brickwork FF'!H32,2)&amp;" PACKS "&amp;UPPER(Addenda!$C$4)&amp;"SOLID"</f>
        <v>0 PACKS SOLID</v>
      </c>
      <c r="I2228" s="1207"/>
      <c r="J2228" s="1194" t="str">
        <f>IF(Table5[[#This Row],[Entered]]&lt;&gt;Table5[[#This Row],[Quantity]],"Check","")</f>
        <v/>
      </c>
    </row>
    <row r="2229" spans="1:10" s="1198" customFormat="1" ht="15" x14ac:dyDescent="0.2">
      <c r="A2229" s="1190" t="s">
        <v>1381</v>
      </c>
      <c r="B2229" s="1190" t="s">
        <v>394</v>
      </c>
      <c r="C2229" s="1190" t="s">
        <v>673</v>
      </c>
      <c r="D2229" s="1190">
        <v>10</v>
      </c>
      <c r="E2229" s="1190">
        <v>4</v>
      </c>
      <c r="F2229" s="1191">
        <f>IF(COUNTIF(Addenda!$C$4,"*Tumbled*")&gt;0,'Brickwork FF'!$I$31,0)</f>
        <v>0</v>
      </c>
      <c r="G2229" s="1192"/>
      <c r="H2229" s="1193" t="s">
        <v>1900</v>
      </c>
      <c r="I2229" s="1207"/>
      <c r="J2229" s="1194" t="str">
        <f>IF(Table5[[#This Row],[Entered]]&lt;&gt;Table5[[#This Row],[Quantity]],"Check","")</f>
        <v/>
      </c>
    </row>
    <row r="2230" spans="1:10" s="1198" customFormat="1" ht="15" x14ac:dyDescent="0.2">
      <c r="A2230" s="1190" t="s">
        <v>1381</v>
      </c>
      <c r="B2230" s="1190" t="s">
        <v>394</v>
      </c>
      <c r="C2230" s="1190" t="s">
        <v>673</v>
      </c>
      <c r="D2230" s="1190" t="s">
        <v>1062</v>
      </c>
      <c r="E2230" s="1190">
        <v>0</v>
      </c>
      <c r="F2230" s="1191">
        <f>IF(IF(COUNTIF(Addenda!$C$4,"*Tumbled*")&gt;0,'Brickwork FF'!$H$31,0)&gt;0,1,0)</f>
        <v>0</v>
      </c>
      <c r="G2230" s="1192"/>
      <c r="H2230" s="1193" t="str">
        <f>IF(COUNTIF(Addenda!$C$4,"*Tumbled*")&gt;0,'Brickwork FF'!$F$31,"")&amp;" PACKS "&amp;UPPER(Addenda!$C$4)&amp;"CORED TUMBLED"</f>
        <v xml:space="preserve"> PACKS CORED TUMBLED</v>
      </c>
      <c r="I2230" s="1207"/>
      <c r="J2230" s="1194" t="str">
        <f>IF(Table5[[#This Row],[Entered]]&lt;&gt;Table5[[#This Row],[Quantity]],"Check","")</f>
        <v/>
      </c>
    </row>
    <row r="2231" spans="1:10" s="1198" customFormat="1" ht="15" x14ac:dyDescent="0.2">
      <c r="A2231" s="1190" t="s">
        <v>1381</v>
      </c>
      <c r="B2231" s="1190" t="s">
        <v>394</v>
      </c>
      <c r="C2231" s="1190" t="s">
        <v>673</v>
      </c>
      <c r="D2231" s="1190">
        <v>11</v>
      </c>
      <c r="E2231" s="1190">
        <v>4</v>
      </c>
      <c r="F2231" s="1191">
        <f>IF(COUNTIF(Addenda!$C$4,"*Tumbled*")&gt;0,'Brickwork FF'!$I$32,0)</f>
        <v>0</v>
      </c>
      <c r="G2231" s="1192"/>
      <c r="H2231" s="1193" t="s">
        <v>1901</v>
      </c>
      <c r="I2231" s="1207"/>
      <c r="J2231" s="1194" t="str">
        <f>IF(Table5[[#This Row],[Entered]]&lt;&gt;Table5[[#This Row],[Quantity]],"Check","")</f>
        <v/>
      </c>
    </row>
    <row r="2232" spans="1:10" s="1198" customFormat="1" ht="15" x14ac:dyDescent="0.2">
      <c r="A2232" s="1190" t="s">
        <v>1381</v>
      </c>
      <c r="B2232" s="1190" t="s">
        <v>394</v>
      </c>
      <c r="C2232" s="1190" t="s">
        <v>673</v>
      </c>
      <c r="D2232" s="1190" t="s">
        <v>1135</v>
      </c>
      <c r="E2232" s="1190">
        <v>0</v>
      </c>
      <c r="F2232" s="1191">
        <f>IF(IF(COUNTIF(Addenda!$C$4,"*Tumbled*")&gt;0,'Brickwork FF'!$H$32,0)&gt;0,1,0)</f>
        <v>0</v>
      </c>
      <c r="G2232" s="1192"/>
      <c r="H2232" s="1193" t="str">
        <f>IF(COUNTIF(Addenda!$C$4,"*Tumbled*")&gt;0,'Brickwork FF'!H32,"")&amp;" PACKS "&amp;UPPER(Addenda!$C$4)&amp;"SOLID TUMBLED"</f>
        <v xml:space="preserve"> PACKS SOLID TUMBLED</v>
      </c>
      <c r="I2232" s="1207"/>
      <c r="J2232" s="1194" t="str">
        <f>IF(Table5[[#This Row],[Entered]]&lt;&gt;Table5[[#This Row],[Quantity]],"Check","")</f>
        <v/>
      </c>
    </row>
    <row r="2233" spans="1:10" s="1198" customFormat="1" ht="15" x14ac:dyDescent="0.2">
      <c r="A2233" s="1190" t="s">
        <v>1381</v>
      </c>
      <c r="B2233" s="1190" t="s">
        <v>394</v>
      </c>
      <c r="C2233" s="1190" t="s">
        <v>673</v>
      </c>
      <c r="D2233" s="1190">
        <f>20</f>
        <v>20</v>
      </c>
      <c r="E2233" s="1190">
        <v>4</v>
      </c>
      <c r="F2233" s="1191">
        <f>'Brickwork FF'!$S$31</f>
        <v>0</v>
      </c>
      <c r="G2233" s="1192"/>
      <c r="H2233" s="1193" t="s">
        <v>1902</v>
      </c>
      <c r="I2233" s="1207"/>
      <c r="J2233" s="1194" t="str">
        <f>IF(Table5[[#This Row],[Entered]]&lt;&gt;Table5[[#This Row],[Quantity]],"Check","")</f>
        <v/>
      </c>
    </row>
    <row r="2234" spans="1:10" s="1198" customFormat="1" ht="15" x14ac:dyDescent="0.2">
      <c r="A2234" s="1190" t="s">
        <v>1381</v>
      </c>
      <c r="B2234" s="1190" t="s">
        <v>394</v>
      </c>
      <c r="C2234" s="1190" t="s">
        <v>673</v>
      </c>
      <c r="D2234" s="1190" t="s">
        <v>1136</v>
      </c>
      <c r="E2234" s="1190">
        <v>0</v>
      </c>
      <c r="F2234" s="1191">
        <f>IF(F2233&gt;0,1,0)</f>
        <v>0</v>
      </c>
      <c r="G2234" s="1192"/>
      <c r="H2234" s="1193" t="str">
        <f>ROUND('Brickwork FF'!R31,2)&amp;" PACKS "&amp;UPPER(Addenda!$C$4)&amp;"FACE BLOCKS"</f>
        <v>0 PACKS FACE BLOCKS</v>
      </c>
      <c r="I2234" s="1207"/>
      <c r="J2234" s="1194" t="str">
        <f>IF(Table5[[#This Row],[Entered]]&lt;&gt;Table5[[#This Row],[Quantity]],"Check","")</f>
        <v/>
      </c>
    </row>
    <row r="2235" spans="1:10" s="1198" customFormat="1" ht="15" x14ac:dyDescent="0.2">
      <c r="A2235" s="1190" t="s">
        <v>1381</v>
      </c>
      <c r="B2235" s="1190" t="s">
        <v>394</v>
      </c>
      <c r="C2235" s="1190" t="s">
        <v>673</v>
      </c>
      <c r="D2235" s="1190">
        <f>21</f>
        <v>21</v>
      </c>
      <c r="E2235" s="1190">
        <v>4</v>
      </c>
      <c r="F2235" s="1191">
        <f>'Brickwork FF'!$S$35</f>
        <v>0</v>
      </c>
      <c r="G2235" s="1192"/>
      <c r="H2235" s="1193" t="s">
        <v>1903</v>
      </c>
      <c r="I2235" s="1207"/>
      <c r="J2235" s="1194" t="str">
        <f>IF(Table5[[#This Row],[Entered]]&lt;&gt;Table5[[#This Row],[Quantity]],"Check","")</f>
        <v/>
      </c>
    </row>
    <row r="2236" spans="1:10" s="1198" customFormat="1" ht="15" x14ac:dyDescent="0.2">
      <c r="A2236" s="1190" t="s">
        <v>1381</v>
      </c>
      <c r="B2236" s="1190" t="s">
        <v>394</v>
      </c>
      <c r="C2236" s="1190" t="s">
        <v>673</v>
      </c>
      <c r="D2236" s="1190" t="s">
        <v>1137</v>
      </c>
      <c r="E2236" s="1190">
        <v>0</v>
      </c>
      <c r="F2236" s="1191">
        <f>IF(F2235&gt;0,1,0)</f>
        <v>0</v>
      </c>
      <c r="G2236" s="1192"/>
      <c r="H2236" s="1193" t="str">
        <f>ROUND('Brickwork GF'!$R$42,2)&amp;" PACKS "&amp;UPPER(Addenda!$C$4)&amp;"FINISHING BLOCKS"</f>
        <v>0 PACKS FINISHING BLOCKS</v>
      </c>
      <c r="I2236" s="1207"/>
      <c r="J2236" s="1194" t="str">
        <f>IF(Table5[[#This Row],[Entered]]&lt;&gt;Table5[[#This Row],[Quantity]],"Check","")</f>
        <v/>
      </c>
    </row>
    <row r="2237" spans="1:10" s="1198" customFormat="1" ht="15" x14ac:dyDescent="0.2">
      <c r="A2237" s="1190" t="s">
        <v>1381</v>
      </c>
      <c r="B2237" s="1190" t="s">
        <v>394</v>
      </c>
      <c r="C2237" s="1190" t="s">
        <v>673</v>
      </c>
      <c r="D2237" s="1190">
        <f>22</f>
        <v>22</v>
      </c>
      <c r="E2237" s="1190">
        <v>4</v>
      </c>
      <c r="F2237" s="1191">
        <f>'Brickwork FF'!$S$32</f>
        <v>0</v>
      </c>
      <c r="G2237" s="1192"/>
      <c r="H2237" s="1193" t="s">
        <v>1904</v>
      </c>
      <c r="I2237" s="1207"/>
      <c r="J2237" s="1194" t="str">
        <f>IF(Table5[[#This Row],[Entered]]&lt;&gt;Table5[[#This Row],[Quantity]],"Check","")</f>
        <v/>
      </c>
    </row>
    <row r="2238" spans="1:10" s="1198" customFormat="1" ht="15" x14ac:dyDescent="0.2">
      <c r="A2238" s="1190" t="s">
        <v>1381</v>
      </c>
      <c r="B2238" s="1190" t="s">
        <v>394</v>
      </c>
      <c r="C2238" s="1190" t="s">
        <v>673</v>
      </c>
      <c r="D2238" s="1190" t="s">
        <v>1138</v>
      </c>
      <c r="E2238" s="1190">
        <v>0</v>
      </c>
      <c r="F2238" s="1191">
        <f>IF(F2237&gt;0,1,0)</f>
        <v>0</v>
      </c>
      <c r="G2238" s="1192"/>
      <c r="H2238" s="1193" t="str">
        <f>ROUND('Brickwork GF'!$R$39,2)&amp;" PACKS "&amp;UPPER(Addenda!$C$4)&amp;"190 SNAPS"</f>
        <v>0 PACKS 190 SNAPS</v>
      </c>
      <c r="I2238" s="1207"/>
      <c r="J2238" s="1194" t="str">
        <f>IF(Table5[[#This Row],[Entered]]&lt;&gt;Table5[[#This Row],[Quantity]],"Check","")</f>
        <v/>
      </c>
    </row>
    <row r="2239" spans="1:10" s="1198" customFormat="1" ht="15" x14ac:dyDescent="0.2">
      <c r="A2239" s="1190" t="s">
        <v>1381</v>
      </c>
      <c r="B2239" s="1190" t="s">
        <v>394</v>
      </c>
      <c r="C2239" s="1190" t="s">
        <v>673</v>
      </c>
      <c r="D2239" s="1190">
        <f>30</f>
        <v>30</v>
      </c>
      <c r="E2239" s="1190">
        <v>4</v>
      </c>
      <c r="F2239" s="1199">
        <f>'Brickwork FF'!$S$33</f>
        <v>0</v>
      </c>
      <c r="G2239" s="1192"/>
      <c r="H2239" s="1193" t="s">
        <v>1905</v>
      </c>
      <c r="I2239" s="1207"/>
      <c r="J2239" s="1194" t="str">
        <f>IF(Table5[[#This Row],[Entered]]&lt;&gt;Table5[[#This Row],[Quantity]],"Check","")</f>
        <v/>
      </c>
    </row>
    <row r="2240" spans="1:10" s="1198" customFormat="1" ht="15" x14ac:dyDescent="0.2">
      <c r="A2240" s="1190" t="s">
        <v>1381</v>
      </c>
      <c r="B2240" s="1190" t="s">
        <v>394</v>
      </c>
      <c r="C2240" s="1190" t="s">
        <v>673</v>
      </c>
      <c r="D2240" s="1190" t="s">
        <v>1139</v>
      </c>
      <c r="E2240" s="1190">
        <v>0</v>
      </c>
      <c r="F2240" s="1191">
        <f>IF(F2239&gt;0,1,0)</f>
        <v>0</v>
      </c>
      <c r="G2240" s="1192"/>
      <c r="H2240" s="1193" t="str">
        <f>ROUND('Brickwork GF'!R41,2)&amp;" PACKS "&amp;UPPER(Addenda!$C$4)&amp;"LONGREACH SOLID"</f>
        <v>0 PACKS LONGREACH SOLID</v>
      </c>
      <c r="I2240" s="1207"/>
      <c r="J2240" s="1194" t="str">
        <f>IF(Table5[[#This Row],[Entered]]&lt;&gt;Table5[[#This Row],[Quantity]],"Check","")</f>
        <v/>
      </c>
    </row>
    <row r="2241" spans="1:10" s="1198" customFormat="1" ht="15" x14ac:dyDescent="0.2">
      <c r="A2241" s="1190" t="s">
        <v>1381</v>
      </c>
      <c r="B2241" s="1190" t="s">
        <v>394</v>
      </c>
      <c r="C2241" s="1190" t="s">
        <v>673</v>
      </c>
      <c r="D2241" s="1190">
        <f>31</f>
        <v>31</v>
      </c>
      <c r="E2241" s="1190">
        <v>4</v>
      </c>
      <c r="F2241" s="1199">
        <f>'Brickwork FF'!$S$34</f>
        <v>0</v>
      </c>
      <c r="G2241" s="1192"/>
      <c r="H2241" s="1193" t="s">
        <v>1906</v>
      </c>
      <c r="I2241" s="1207"/>
      <c r="J2241" s="1194" t="str">
        <f>IF(Table5[[#This Row],[Entered]]&lt;&gt;Table5[[#This Row],[Quantity]],"Check","")</f>
        <v/>
      </c>
    </row>
    <row r="2242" spans="1:10" s="1198" customFormat="1" ht="15" x14ac:dyDescent="0.2">
      <c r="A2242" s="1190" t="s">
        <v>1381</v>
      </c>
      <c r="B2242" s="1190" t="s">
        <v>394</v>
      </c>
      <c r="C2242" s="1190" t="s">
        <v>673</v>
      </c>
      <c r="D2242" s="1190" t="s">
        <v>1140</v>
      </c>
      <c r="E2242" s="1190">
        <v>0</v>
      </c>
      <c r="F2242" s="1191">
        <f>IF(F2241&gt;0,1,0)</f>
        <v>0</v>
      </c>
      <c r="G2242" s="1192"/>
      <c r="H2242" s="1193" t="str">
        <f>ROUND('Brickwork GF'!R40,2)&amp;" PACKS "&amp;UPPER(Addenda!$C$4)&amp;"LONGREACH CORED"</f>
        <v>0 PACKS LONGREACH CORED</v>
      </c>
      <c r="I2242" s="1207"/>
      <c r="J2242" s="1194" t="str">
        <f>IF(Table5[[#This Row],[Entered]]&lt;&gt;Table5[[#This Row],[Quantity]],"Check","")</f>
        <v/>
      </c>
    </row>
    <row r="2243" spans="1:10" s="1198" customFormat="1" ht="15" x14ac:dyDescent="0.2">
      <c r="A2243" s="1190" t="s">
        <v>1381</v>
      </c>
      <c r="B2243" s="1190" t="s">
        <v>394</v>
      </c>
      <c r="C2243" s="1190" t="s">
        <v>673</v>
      </c>
      <c r="D2243" s="1190">
        <v>40</v>
      </c>
      <c r="E2243" s="1190">
        <v>4</v>
      </c>
      <c r="F2243" s="1191">
        <f>'Brickwork FF'!$I$33</f>
        <v>0</v>
      </c>
      <c r="G2243" s="1192"/>
      <c r="H2243" s="1193" t="s">
        <v>1907</v>
      </c>
      <c r="I2243" s="1207"/>
      <c r="J2243" s="1194" t="str">
        <f>IF(Table5[[#This Row],[Entered]]&lt;&gt;Table5[[#This Row],[Quantity]],"Check","")</f>
        <v/>
      </c>
    </row>
    <row r="2244" spans="1:10" s="1198" customFormat="1" ht="15" x14ac:dyDescent="0.2">
      <c r="A2244" s="1190" t="s">
        <v>1381</v>
      </c>
      <c r="B2244" s="1190" t="s">
        <v>394</v>
      </c>
      <c r="C2244" s="1190" t="s">
        <v>673</v>
      </c>
      <c r="D2244" s="1190" t="s">
        <v>1141</v>
      </c>
      <c r="E2244" s="1190">
        <v>0</v>
      </c>
      <c r="F2244" s="1191">
        <f>'Brickwork FF'!$H$33</f>
        <v>0</v>
      </c>
      <c r="G2244" s="1192"/>
      <c r="H2244" s="1193" t="str">
        <f>F2244&amp;" PACKS "&amp;UPPER(Addenda!$C$4)&amp;"2C SOLDIERS"</f>
        <v>0 PACKS 2C SOLDIERS</v>
      </c>
      <c r="I2244" s="1207"/>
      <c r="J2244" s="1194" t="str">
        <f>IF(Table5[[#This Row],[Entered]]&lt;&gt;Table5[[#This Row],[Quantity]],"Check","")</f>
        <v/>
      </c>
    </row>
    <row r="2245" spans="1:10" s="1198" customFormat="1" ht="15" x14ac:dyDescent="0.2">
      <c r="A2245" s="1190" t="s">
        <v>1381</v>
      </c>
      <c r="B2245" s="1190" t="s">
        <v>394</v>
      </c>
      <c r="C2245" s="1190" t="s">
        <v>673</v>
      </c>
      <c r="D2245" s="1190">
        <f>100</f>
        <v>100</v>
      </c>
      <c r="E2245" s="1190">
        <v>4</v>
      </c>
      <c r="F2245" s="1199">
        <f>'Brickwork FF'!$I$64</f>
        <v>0</v>
      </c>
      <c r="G2245" s="1192"/>
      <c r="H2245" s="1193" t="s">
        <v>970</v>
      </c>
      <c r="I2245" s="1207"/>
      <c r="J2245" s="1194" t="str">
        <f>IF(Table5[[#This Row],[Entered]]&lt;&gt;Table5[[#This Row],[Quantity]],"Check","")</f>
        <v/>
      </c>
    </row>
    <row r="2246" spans="1:10" s="1198" customFormat="1" ht="15" x14ac:dyDescent="0.2">
      <c r="A2246" s="1190" t="s">
        <v>1381</v>
      </c>
      <c r="B2246" s="1190" t="s">
        <v>394</v>
      </c>
      <c r="C2246" s="1190" t="s">
        <v>673</v>
      </c>
      <c r="D2246" s="1190" t="s">
        <v>1135</v>
      </c>
      <c r="E2246" s="1190">
        <v>0</v>
      </c>
      <c r="F2246" s="1191">
        <f>IF(F2245&gt;0,1,0)</f>
        <v>0</v>
      </c>
      <c r="G2246" s="1192"/>
      <c r="H2246" s="1193" t="str">
        <f>'Brickwork FF'!$H$64&amp;" PACKS COMMON"</f>
        <v>0 PACKS COMMON</v>
      </c>
      <c r="I2246" s="1207"/>
      <c r="J2246" s="1194" t="str">
        <f>IF(Table5[[#This Row],[Entered]]&lt;&gt;Table5[[#This Row],[Quantity]],"Check","")</f>
        <v/>
      </c>
    </row>
    <row r="2247" spans="1:10" s="1198" customFormat="1" ht="15" x14ac:dyDescent="0.2">
      <c r="A2247" s="1190" t="s">
        <v>1381</v>
      </c>
      <c r="B2247" s="1190" t="s">
        <v>394</v>
      </c>
      <c r="C2247" s="1190" t="s">
        <v>673</v>
      </c>
      <c r="D2247" s="1190">
        <f>2000</f>
        <v>2000</v>
      </c>
      <c r="E2247" s="1190">
        <v>4</v>
      </c>
      <c r="F2247" s="1191">
        <f>F2225+F2227+F2229+F2231+F2239+F2241</f>
        <v>0</v>
      </c>
      <c r="G2247" s="1192"/>
      <c r="H2247" s="1193" t="s">
        <v>1820</v>
      </c>
      <c r="I2247" s="1207"/>
      <c r="J2247" s="1194" t="str">
        <f>IF(Table5[[#This Row],[Entered]]&lt;&gt;Table5[[#This Row],[Quantity]],"Check","")</f>
        <v/>
      </c>
    </row>
    <row r="2248" spans="1:10" s="1198" customFormat="1" ht="15" x14ac:dyDescent="0.2">
      <c r="A2248" s="1190" t="s">
        <v>1381</v>
      </c>
      <c r="B2248" s="1190" t="s">
        <v>394</v>
      </c>
      <c r="C2248" s="1190" t="s">
        <v>673</v>
      </c>
      <c r="D2248" s="1190">
        <f>2001</f>
        <v>2001</v>
      </c>
      <c r="E2248" s="1190">
        <v>4</v>
      </c>
      <c r="F2248" s="1191">
        <f>F2233+F2235+F2237+F2243</f>
        <v>0</v>
      </c>
      <c r="G2248" s="1192"/>
      <c r="H2248" s="1193" t="s">
        <v>1821</v>
      </c>
      <c r="I2248" s="1207"/>
      <c r="J2248" s="1194" t="str">
        <f>IF(Table5[[#This Row],[Entered]]&lt;&gt;Table5[[#This Row],[Quantity]],"Check","")</f>
        <v/>
      </c>
    </row>
    <row r="2249" spans="1:10" s="1198" customFormat="1" ht="15" x14ac:dyDescent="0.2">
      <c r="A2249" s="1190" t="s">
        <v>1381</v>
      </c>
      <c r="B2249" s="1190" t="s">
        <v>394</v>
      </c>
      <c r="C2249" s="1190" t="s">
        <v>673</v>
      </c>
      <c r="D2249" s="1190">
        <f>2002</f>
        <v>2002</v>
      </c>
      <c r="E2249" s="1190">
        <v>4</v>
      </c>
      <c r="F2249" s="1199">
        <f>F2245</f>
        <v>0</v>
      </c>
      <c r="G2249" s="1192"/>
      <c r="H2249" s="1193" t="s">
        <v>1824</v>
      </c>
      <c r="I2249" s="1207"/>
      <c r="J2249" s="1194" t="str">
        <f>IF(Table5[[#This Row],[Entered]]&lt;&gt;Table5[[#This Row],[Quantity]],"Check","")</f>
        <v/>
      </c>
    </row>
    <row r="2250" spans="1:10" s="1198" customFormat="1" ht="15" x14ac:dyDescent="0.2">
      <c r="A2250" s="1190" t="s">
        <v>1381</v>
      </c>
      <c r="B2250" s="1190" t="s">
        <v>394</v>
      </c>
      <c r="C2250" s="1190" t="s">
        <v>673</v>
      </c>
      <c r="D2250" s="1190">
        <f>9115</f>
        <v>9115</v>
      </c>
      <c r="E2250" s="1190">
        <v>4</v>
      </c>
      <c r="F2250" s="1191" cm="1">
        <f t="array" ref="F2250">IF(SUMPRODUCT(--ISNUMBER(SEARCH(BrikmakersZone5,Address)))&gt;0,F2225,0)</f>
        <v>0</v>
      </c>
      <c r="G2250" s="1192"/>
      <c r="H2250" s="1193" t="s">
        <v>1915</v>
      </c>
      <c r="I2250" s="1207"/>
      <c r="J2250" s="1194" t="str">
        <f>IF(Table5[[#This Row],[Entered]]&lt;&gt;Table5[[#This Row],[Quantity]],"Check","")</f>
        <v/>
      </c>
    </row>
    <row r="2251" spans="1:10" s="1198" customFormat="1" ht="15" x14ac:dyDescent="0.2">
      <c r="A2251" s="1190" t="s">
        <v>1381</v>
      </c>
      <c r="B2251" s="1190" t="s">
        <v>394</v>
      </c>
      <c r="C2251" s="1190" t="s">
        <v>673</v>
      </c>
      <c r="D2251" s="1190">
        <f>9116</f>
        <v>9116</v>
      </c>
      <c r="E2251" s="1190">
        <v>4</v>
      </c>
      <c r="F2251" s="1191" cm="1">
        <f t="array" ref="F2251">IF(SUMPRODUCT(--ISNUMBER(SEARCH(BrikmakersZone5,Address)))&gt;0,F2227,0)</f>
        <v>0</v>
      </c>
      <c r="G2251" s="1192"/>
      <c r="H2251" s="1193" t="s">
        <v>1916</v>
      </c>
      <c r="I2251" s="1207"/>
      <c r="J2251" s="1194" t="str">
        <f>IF(Table5[[#This Row],[Entered]]&lt;&gt;Table5[[#This Row],[Quantity]],"Check","")</f>
        <v/>
      </c>
    </row>
    <row r="2252" spans="1:10" s="1198" customFormat="1" ht="15" x14ac:dyDescent="0.2">
      <c r="A2252" s="1190" t="s">
        <v>1381</v>
      </c>
      <c r="B2252" s="1190" t="s">
        <v>394</v>
      </c>
      <c r="C2252" s="1190" t="s">
        <v>673</v>
      </c>
      <c r="D2252" s="1190">
        <f>9125</f>
        <v>9125</v>
      </c>
      <c r="E2252" s="1190">
        <v>4</v>
      </c>
      <c r="F2252" s="1191" cm="1">
        <f t="array" ref="F2252">IF(SUMPRODUCT(--ISNUMBER(SEARCH(BrikmakersZone5,Address)))&gt;0,SUM(F2243+F2233+F2235+F2237),0)</f>
        <v>0</v>
      </c>
      <c r="G2252" s="1192"/>
      <c r="H2252" s="1193" t="s">
        <v>1932</v>
      </c>
      <c r="I2252" s="1207"/>
      <c r="J2252" s="1194" t="str">
        <f>IF(Table5[[#This Row],[Entered]]&lt;&gt;Table5[[#This Row],[Quantity]],"Check","")</f>
        <v/>
      </c>
    </row>
    <row r="2253" spans="1:10" s="1198" customFormat="1" ht="15" x14ac:dyDescent="0.2">
      <c r="A2253" s="1190" t="s">
        <v>1381</v>
      </c>
      <c r="B2253" s="1190" t="s">
        <v>394</v>
      </c>
      <c r="C2253" s="1190" t="s">
        <v>673</v>
      </c>
      <c r="D2253" s="1190">
        <f>9130</f>
        <v>9130</v>
      </c>
      <c r="E2253" s="1190">
        <v>4</v>
      </c>
      <c r="F2253" s="1191" cm="1">
        <f t="array" ref="F2253">IF(SUMPRODUCT(--ISNUMBER(SEARCH(BrikmakersZone5,Address)))&gt;0,SUM(F2239+F2241),0)</f>
        <v>0</v>
      </c>
      <c r="G2253" s="1192"/>
      <c r="H2253" s="1193" t="s">
        <v>1933</v>
      </c>
      <c r="I2253" s="1207"/>
      <c r="J2253" s="1194" t="str">
        <f>IF(Table5[[#This Row],[Entered]]&lt;&gt;Table5[[#This Row],[Quantity]],"Check","")</f>
        <v/>
      </c>
    </row>
    <row r="2254" spans="1:10" s="1198" customFormat="1" ht="15" x14ac:dyDescent="0.2">
      <c r="A2254" s="1190" t="s">
        <v>1381</v>
      </c>
      <c r="B2254" s="1190" t="s">
        <v>394</v>
      </c>
      <c r="C2254" s="1190" t="s">
        <v>673</v>
      </c>
      <c r="D2254" s="1190">
        <v>9135</v>
      </c>
      <c r="E2254" s="1190">
        <v>4</v>
      </c>
      <c r="F2254" s="1191" cm="1">
        <f t="array" ref="F2254">IF(SUMPRODUCT(--ISNUMBER(SEARCH(BrikmakersZone5,Address)))&gt;0,SUM('Brickwork FF'!$H$34+'Brickwork FF'!$I$64),0)</f>
        <v>0</v>
      </c>
      <c r="G2254" s="1192"/>
      <c r="H2254" s="1193" t="s">
        <v>1946</v>
      </c>
      <c r="I2254" s="1207"/>
      <c r="J2254" s="1194" t="str">
        <f>IF(Table5[[#This Row],[Entered]]&lt;&gt;Table5[[#This Row],[Quantity]],"Check","")</f>
        <v/>
      </c>
    </row>
    <row r="2255" spans="1:10" s="1198" customFormat="1" ht="15" x14ac:dyDescent="0.2">
      <c r="A2255" s="1190" t="s">
        <v>1381</v>
      </c>
      <c r="B2255" s="1190" t="s">
        <v>394</v>
      </c>
      <c r="C2255" s="1190" t="s">
        <v>673</v>
      </c>
      <c r="D2255" s="1190">
        <f>9215</f>
        <v>9215</v>
      </c>
      <c r="E2255" s="1190">
        <v>4</v>
      </c>
      <c r="F2255" s="1191" cm="1">
        <f t="array" ref="F2255">IF(SUMPRODUCT(--ISNUMBER(SEARCH(KDPowerBusseltonArea,Address)))&gt;0,F2225,0)</f>
        <v>0</v>
      </c>
      <c r="G2255" s="1192"/>
      <c r="H2255" s="1193" t="s">
        <v>1934</v>
      </c>
      <c r="I2255" s="1207"/>
      <c r="J2255" s="1194" t="str">
        <f>IF(Table5[[#This Row],[Entered]]&lt;&gt;Table5[[#This Row],[Quantity]],"Check","")</f>
        <v/>
      </c>
    </row>
    <row r="2256" spans="1:10" s="1198" customFormat="1" ht="15" x14ac:dyDescent="0.2">
      <c r="A2256" s="1190" t="s">
        <v>1381</v>
      </c>
      <c r="B2256" s="1190" t="s">
        <v>394</v>
      </c>
      <c r="C2256" s="1190" t="s">
        <v>673</v>
      </c>
      <c r="D2256" s="1190">
        <f>9216</f>
        <v>9216</v>
      </c>
      <c r="E2256" s="1190">
        <v>4</v>
      </c>
      <c r="F2256" s="1191" cm="1">
        <f t="array" ref="F2256">IF(SUMPRODUCT(--ISNUMBER(SEARCH(KDPowerBusseltonArea,Address)))&gt;0,F2227,0)</f>
        <v>0</v>
      </c>
      <c r="G2256" s="1192"/>
      <c r="H2256" s="1193" t="s">
        <v>1935</v>
      </c>
      <c r="I2256" s="1207"/>
      <c r="J2256" s="1194" t="str">
        <f>IF(Table5[[#This Row],[Entered]]&lt;&gt;Table5[[#This Row],[Quantity]],"Check","")</f>
        <v/>
      </c>
    </row>
    <row r="2257" spans="1:10" s="1198" customFormat="1" ht="15" x14ac:dyDescent="0.2">
      <c r="A2257" s="1190" t="s">
        <v>1381</v>
      </c>
      <c r="B2257" s="1190" t="s">
        <v>394</v>
      </c>
      <c r="C2257" s="1190" t="s">
        <v>673</v>
      </c>
      <c r="D2257" s="1190">
        <f>9225</f>
        <v>9225</v>
      </c>
      <c r="E2257" s="1190">
        <v>4</v>
      </c>
      <c r="F2257" s="1191" cm="1">
        <f t="array" ref="F2257">IF(SUMPRODUCT(--ISNUMBER(SEARCH(KDPowerBusseltonArea,Address)))&gt;0,SUM(F2243+F2233+F2235+F2237),0)</f>
        <v>0</v>
      </c>
      <c r="G2257" s="1192"/>
      <c r="H2257" s="1193" t="s">
        <v>1936</v>
      </c>
      <c r="I2257" s="1207"/>
      <c r="J2257" s="1194" t="str">
        <f>IF(Table5[[#This Row],[Entered]]&lt;&gt;Table5[[#This Row],[Quantity]],"Check","")</f>
        <v/>
      </c>
    </row>
    <row r="2258" spans="1:10" s="1198" customFormat="1" ht="15" x14ac:dyDescent="0.2">
      <c r="A2258" s="1190" t="s">
        <v>1381</v>
      </c>
      <c r="B2258" s="1190" t="s">
        <v>394</v>
      </c>
      <c r="C2258" s="1190" t="s">
        <v>673</v>
      </c>
      <c r="D2258" s="1190">
        <f>9230</f>
        <v>9230</v>
      </c>
      <c r="E2258" s="1190">
        <v>4</v>
      </c>
      <c r="F2258" s="1191" cm="1">
        <f t="array" ref="F2258">IF(SUMPRODUCT(--ISNUMBER(SEARCH(KDPowerBusseltonArea,Address)))&gt;0,SUM(F2239+F2241),0)</f>
        <v>0</v>
      </c>
      <c r="G2258" s="1192"/>
      <c r="H2258" s="1193" t="s">
        <v>1937</v>
      </c>
      <c r="I2258" s="1207"/>
      <c r="J2258" s="1194" t="str">
        <f>IF(Table5[[#This Row],[Entered]]&lt;&gt;Table5[[#This Row],[Quantity]],"Check","")</f>
        <v/>
      </c>
    </row>
    <row r="2259" spans="1:10" s="1198" customFormat="1" ht="15" x14ac:dyDescent="0.2">
      <c r="A2259" s="1190" t="s">
        <v>1381</v>
      </c>
      <c r="B2259" s="1190" t="s">
        <v>394</v>
      </c>
      <c r="C2259" s="1190" t="s">
        <v>673</v>
      </c>
      <c r="D2259" s="1190">
        <v>9235</v>
      </c>
      <c r="E2259" s="1190">
        <v>4</v>
      </c>
      <c r="F2259" s="1191" cm="1">
        <f t="array" ref="F2259">IF(SUMPRODUCT(--ISNUMBER(SEARCH(KDPowerBusseltonArea,Address)))&gt;0,SUM('Brickwork FF'!$H$34+'Brickwork FF'!$I$64),0)</f>
        <v>0</v>
      </c>
      <c r="G2259" s="1192"/>
      <c r="H2259" s="1193" t="s">
        <v>1949</v>
      </c>
      <c r="I2259" s="1207"/>
      <c r="J2259" s="1194" t="str">
        <f>IF(Table5[[#This Row],[Entered]]&lt;&gt;Table5[[#This Row],[Quantity]],"Check","")</f>
        <v/>
      </c>
    </row>
    <row r="2260" spans="1:10" s="1198" customFormat="1" ht="15" x14ac:dyDescent="0.2">
      <c r="A2260" s="1190" t="s">
        <v>1381</v>
      </c>
      <c r="B2260" s="1190" t="s">
        <v>394</v>
      </c>
      <c r="C2260" s="1190" t="s">
        <v>673</v>
      </c>
      <c r="D2260" s="1190">
        <f>9315</f>
        <v>9315</v>
      </c>
      <c r="E2260" s="1190">
        <v>4</v>
      </c>
      <c r="F2260" s="1191" cm="1">
        <f t="array" ref="F2260">IF(SUMPRODUCT(--ISNUMBER(SEARCH(KDPowerAugustaArea,Address)))&gt;0,F2225,0)</f>
        <v>0</v>
      </c>
      <c r="G2260" s="1192"/>
      <c r="H2260" s="1193" t="s">
        <v>1938</v>
      </c>
      <c r="I2260" s="1207"/>
      <c r="J2260" s="1194" t="str">
        <f>IF(Table5[[#This Row],[Entered]]&lt;&gt;Table5[[#This Row],[Quantity]],"Check","")</f>
        <v/>
      </c>
    </row>
    <row r="2261" spans="1:10" s="1198" customFormat="1" ht="15" x14ac:dyDescent="0.2">
      <c r="A2261" s="1190" t="s">
        <v>1381</v>
      </c>
      <c r="B2261" s="1190" t="s">
        <v>394</v>
      </c>
      <c r="C2261" s="1190" t="s">
        <v>673</v>
      </c>
      <c r="D2261" s="1190">
        <f>9316</f>
        <v>9316</v>
      </c>
      <c r="E2261" s="1190">
        <v>4</v>
      </c>
      <c r="F2261" s="1191" cm="1">
        <f t="array" ref="F2261">IF(SUMPRODUCT(--ISNUMBER(SEARCH(KDPowerAugustaArea,Address)))&gt;0,F2227,0)</f>
        <v>0</v>
      </c>
      <c r="G2261" s="1192"/>
      <c r="H2261" s="1193" t="s">
        <v>1939</v>
      </c>
      <c r="I2261" s="1207"/>
      <c r="J2261" s="1194" t="str">
        <f>IF(Table5[[#This Row],[Entered]]&lt;&gt;Table5[[#This Row],[Quantity]],"Check","")</f>
        <v/>
      </c>
    </row>
    <row r="2262" spans="1:10" s="1198" customFormat="1" ht="15" x14ac:dyDescent="0.2">
      <c r="A2262" s="1190" t="s">
        <v>1381</v>
      </c>
      <c r="B2262" s="1190" t="s">
        <v>394</v>
      </c>
      <c r="C2262" s="1190" t="s">
        <v>673</v>
      </c>
      <c r="D2262" s="1190">
        <f>9325</f>
        <v>9325</v>
      </c>
      <c r="E2262" s="1190">
        <v>4</v>
      </c>
      <c r="F2262" s="1191" cm="1">
        <f t="array" ref="F2262">IF(SUMPRODUCT(--ISNUMBER(SEARCH(KDPowerAugustaArea,Address)))&gt;0,SUM(F2243+F2233+F2235+F2237),0)</f>
        <v>0</v>
      </c>
      <c r="G2262" s="1192"/>
      <c r="H2262" s="1193" t="s">
        <v>1940</v>
      </c>
      <c r="I2262" s="1207"/>
      <c r="J2262" s="1194" t="str">
        <f>IF(Table5[[#This Row],[Entered]]&lt;&gt;Table5[[#This Row],[Quantity]],"Check","")</f>
        <v/>
      </c>
    </row>
    <row r="2263" spans="1:10" s="1198" customFormat="1" ht="15" x14ac:dyDescent="0.2">
      <c r="A2263" s="1190" t="s">
        <v>1381</v>
      </c>
      <c r="B2263" s="1190" t="s">
        <v>394</v>
      </c>
      <c r="C2263" s="1190" t="s">
        <v>673</v>
      </c>
      <c r="D2263" s="1190">
        <f>9330</f>
        <v>9330</v>
      </c>
      <c r="E2263" s="1190">
        <v>4</v>
      </c>
      <c r="F2263" s="1191" cm="1">
        <f t="array" ref="F2263">IF(SUMPRODUCT(--ISNUMBER(SEARCH(KDPowerAugustaArea,Address)))&gt;0,SUM(F2239+F2241),0)</f>
        <v>0</v>
      </c>
      <c r="G2263" s="1192"/>
      <c r="H2263" s="1193" t="s">
        <v>1941</v>
      </c>
      <c r="I2263" s="1207"/>
      <c r="J2263" s="1194" t="str">
        <f>IF(Table5[[#This Row],[Entered]]&lt;&gt;Table5[[#This Row],[Quantity]],"Check","")</f>
        <v/>
      </c>
    </row>
    <row r="2264" spans="1:10" s="1198" customFormat="1" ht="15" x14ac:dyDescent="0.2">
      <c r="A2264" s="1190" t="s">
        <v>1381</v>
      </c>
      <c r="B2264" s="1190" t="s">
        <v>394</v>
      </c>
      <c r="C2264" s="1190" t="s">
        <v>673</v>
      </c>
      <c r="D2264" s="1190">
        <v>9335</v>
      </c>
      <c r="E2264" s="1190">
        <v>4</v>
      </c>
      <c r="F2264" s="1191" cm="1">
        <f t="array" ref="F2264">IF(SUMPRODUCT(--ISNUMBER(SEARCH(KDPowerAugustaArea,Address)))&gt;0,SUM('Brickwork FF'!$H$34+'Brickwork FF'!$I$64),0)</f>
        <v>0</v>
      </c>
      <c r="G2264" s="1192"/>
      <c r="H2264" s="1193" t="s">
        <v>1948</v>
      </c>
      <c r="I2264" s="1207"/>
      <c r="J2264" s="1194" t="str">
        <f>IF(Table5[[#This Row],[Entered]]&lt;&gt;Table5[[#This Row],[Quantity]],"Check","")</f>
        <v/>
      </c>
    </row>
    <row r="2265" spans="1:10" s="1198" customFormat="1" ht="15" x14ac:dyDescent="0.2">
      <c r="A2265" s="1190" t="s">
        <v>1381</v>
      </c>
      <c r="B2265" s="1190" t="s">
        <v>394</v>
      </c>
      <c r="C2265" s="1190" t="s">
        <v>673</v>
      </c>
      <c r="D2265" s="1190">
        <f>9415</f>
        <v>9415</v>
      </c>
      <c r="E2265" s="1190">
        <v>4</v>
      </c>
      <c r="F2265" s="1191" cm="1">
        <f t="array" ref="F2265">IF(SUMPRODUCT(--ISNUMBER(SEARCH(KDPowerMargaretRiverCowaramup,Address)))&gt;0,F2225,0)</f>
        <v>0</v>
      </c>
      <c r="G2265" s="1192"/>
      <c r="H2265" s="1193" t="s">
        <v>1942</v>
      </c>
      <c r="I2265" s="1207"/>
      <c r="J2265" s="1194" t="str">
        <f>IF(Table5[[#This Row],[Entered]]&lt;&gt;Table5[[#This Row],[Quantity]],"Check","")</f>
        <v/>
      </c>
    </row>
    <row r="2266" spans="1:10" s="1198" customFormat="1" ht="15" x14ac:dyDescent="0.2">
      <c r="A2266" s="1190" t="s">
        <v>1381</v>
      </c>
      <c r="B2266" s="1190" t="s">
        <v>394</v>
      </c>
      <c r="C2266" s="1190" t="s">
        <v>673</v>
      </c>
      <c r="D2266" s="1190">
        <f>9416</f>
        <v>9416</v>
      </c>
      <c r="E2266" s="1190">
        <v>4</v>
      </c>
      <c r="F2266" s="1191" cm="1">
        <f t="array" ref="F2266">IF(SUMPRODUCT(--ISNUMBER(SEARCH(KDPowerMargaretRiverCowaramup,Address)))&gt;0,F2227,0)</f>
        <v>0</v>
      </c>
      <c r="G2266" s="1192"/>
      <c r="H2266" s="1193" t="s">
        <v>1943</v>
      </c>
      <c r="I2266" s="1207"/>
      <c r="J2266" s="1194" t="str">
        <f>IF(Table5[[#This Row],[Entered]]&lt;&gt;Table5[[#This Row],[Quantity]],"Check","")</f>
        <v/>
      </c>
    </row>
    <row r="2267" spans="1:10" s="1198" customFormat="1" ht="15" x14ac:dyDescent="0.2">
      <c r="A2267" s="1190" t="s">
        <v>1381</v>
      </c>
      <c r="B2267" s="1190" t="s">
        <v>394</v>
      </c>
      <c r="C2267" s="1190" t="s">
        <v>673</v>
      </c>
      <c r="D2267" s="1190">
        <f>9425</f>
        <v>9425</v>
      </c>
      <c r="E2267" s="1190">
        <v>4</v>
      </c>
      <c r="F2267" s="1191" cm="1">
        <f t="array" ref="F2267">IF(SUMPRODUCT(--ISNUMBER(SEARCH(KDPowerMargaretRiverCowaramup,Address)))&gt;0,SUM(F2243+F2233+F2235+F2237),0)</f>
        <v>0</v>
      </c>
      <c r="G2267" s="1192"/>
      <c r="H2267" s="1193" t="s">
        <v>1945</v>
      </c>
      <c r="I2267" s="1207"/>
      <c r="J2267" s="1194" t="str">
        <f>IF(Table5[[#This Row],[Entered]]&lt;&gt;Table5[[#This Row],[Quantity]],"Check","")</f>
        <v/>
      </c>
    </row>
    <row r="2268" spans="1:10" s="1198" customFormat="1" ht="15" x14ac:dyDescent="0.2">
      <c r="A2268" s="1190" t="s">
        <v>1381</v>
      </c>
      <c r="B2268" s="1190" t="s">
        <v>394</v>
      </c>
      <c r="C2268" s="1190" t="s">
        <v>673</v>
      </c>
      <c r="D2268" s="1190">
        <f>9430</f>
        <v>9430</v>
      </c>
      <c r="E2268" s="1190">
        <v>4</v>
      </c>
      <c r="F2268" s="1191" cm="1">
        <f t="array" ref="F2268">IF(SUMPRODUCT(--ISNUMBER(SEARCH(KDPowerMargaretRiverCowaramup,Address)))&gt;0,SUM(F2239+F2241),0)</f>
        <v>0</v>
      </c>
      <c r="G2268" s="1192"/>
      <c r="H2268" s="1193" t="s">
        <v>1944</v>
      </c>
      <c r="I2268" s="1207"/>
      <c r="J2268" s="1194" t="str">
        <f>IF(Table5[[#This Row],[Entered]]&lt;&gt;Table5[[#This Row],[Quantity]],"Check","")</f>
        <v/>
      </c>
    </row>
    <row r="2269" spans="1:10" s="1198" customFormat="1" ht="15" x14ac:dyDescent="0.2">
      <c r="A2269" s="1190" t="s">
        <v>1381</v>
      </c>
      <c r="B2269" s="1190" t="s">
        <v>394</v>
      </c>
      <c r="C2269" s="1190" t="s">
        <v>673</v>
      </c>
      <c r="D2269" s="1190">
        <v>9435</v>
      </c>
      <c r="E2269" s="1190">
        <v>4</v>
      </c>
      <c r="F2269" s="1191" cm="1">
        <f t="array" ref="F2269">IF(SUMPRODUCT(--ISNUMBER(SEARCH(KDPowerMargaretRiverCowaramup,Address)))&gt;0,SUM('Brickwork FF'!$H$34+'Brickwork FF'!$I$64),0)</f>
        <v>0</v>
      </c>
      <c r="G2269" s="1192"/>
      <c r="H2269" s="1193" t="s">
        <v>1947</v>
      </c>
      <c r="I2269" s="1207"/>
      <c r="J2269" s="1194" t="str">
        <f>IF(Table5[[#This Row],[Entered]]&lt;&gt;Table5[[#This Row],[Quantity]],"Check","")</f>
        <v/>
      </c>
    </row>
    <row r="2270" spans="1:10" s="1198" customFormat="1" ht="15" x14ac:dyDescent="0.2">
      <c r="A2270" s="1190" t="s">
        <v>1381</v>
      </c>
      <c r="B2270" s="1190" t="s">
        <v>394</v>
      </c>
      <c r="C2270" s="1190" t="s">
        <v>673</v>
      </c>
      <c r="D2270" s="1190">
        <f>9515</f>
        <v>9515</v>
      </c>
      <c r="E2270" s="1190">
        <v>4</v>
      </c>
      <c r="F2270" s="1191">
        <f>IF(OR(ISNUMBER(SEARCH("Collie",Address)),ISNUMBER(SEARCH("Capel",Address)),ISNUMBER(SEARCH("Peppermint Grove Beach",Address)),ISNUMBER(SEARCH("Donnybrook",Address))),F2225,0)</f>
        <v>0</v>
      </c>
      <c r="G2270" s="1192"/>
      <c r="H2270" s="1193" t="s">
        <v>1743</v>
      </c>
      <c r="I2270" s="1207"/>
      <c r="J2270" s="1194" t="str">
        <f>IF(Table5[[#This Row],[Entered]]&lt;&gt;Table5[[#This Row],[Quantity]],"Check","")</f>
        <v/>
      </c>
    </row>
    <row r="2271" spans="1:10" s="1198" customFormat="1" ht="15" x14ac:dyDescent="0.2">
      <c r="A2271" s="1190"/>
      <c r="B2271" s="1190"/>
      <c r="C2271" s="1190"/>
      <c r="D2271" s="1190"/>
      <c r="E2271" s="1190"/>
      <c r="F2271" s="1191"/>
      <c r="G2271" s="1192"/>
      <c r="H2271" s="1193"/>
      <c r="I2271" s="1207"/>
      <c r="J2271" s="1194" t="str">
        <f>IF(Table5[[#This Row],[Entered]]&lt;&gt;Table5[[#This Row],[Quantity]],"Check","")</f>
        <v/>
      </c>
    </row>
    <row r="2272" spans="1:10" s="1198" customFormat="1" ht="15" x14ac:dyDescent="0.2">
      <c r="A2272" s="1190" t="s">
        <v>1381</v>
      </c>
      <c r="B2272" s="1190" t="s">
        <v>395</v>
      </c>
      <c r="C2272" s="1190" t="s">
        <v>673</v>
      </c>
      <c r="D2272" s="1190">
        <f>2</f>
        <v>2</v>
      </c>
      <c r="E2272" s="1190">
        <v>4</v>
      </c>
      <c r="F2272" s="1191">
        <f>'Brickwork FF'!I62+'Brickwork FF'!I88</f>
        <v>0</v>
      </c>
      <c r="G2272" s="1192"/>
      <c r="H2272" s="1193" t="s">
        <v>1248</v>
      </c>
      <c r="I2272" s="1207"/>
      <c r="J2272" s="1194" t="str">
        <f>IF(Table5[[#This Row],[Entered]]&lt;&gt;Table5[[#This Row],[Quantity]],"Check","")</f>
        <v/>
      </c>
    </row>
    <row r="2273" spans="1:10" s="1198" customFormat="1" ht="15" x14ac:dyDescent="0.2">
      <c r="A2273" s="1190" t="s">
        <v>1381</v>
      </c>
      <c r="B2273" s="1190" t="s">
        <v>395</v>
      </c>
      <c r="C2273" s="1190" t="s">
        <v>673</v>
      </c>
      <c r="D2273" s="1190" t="s">
        <v>663</v>
      </c>
      <c r="E2273" s="1190">
        <v>0</v>
      </c>
      <c r="F2273" s="1191">
        <f>IF(F2272&gt;0,1,0)</f>
        <v>0</v>
      </c>
      <c r="G2273" s="1192"/>
      <c r="H2273" s="1193" t="str">
        <f>"EXT "&amp;ROUND('Brickwork FF'!H62,2)&amp;" PACKS "&amp;"INT "&amp;ROUND('Brickwork FF'!H88,2)&amp;" PACKS DURACLAY VC"</f>
        <v>EXT 0 PACKS INT 0 PACKS DURACLAY VC</v>
      </c>
      <c r="I2273" s="1207"/>
      <c r="J2273" s="1194" t="str">
        <f>IF(Table5[[#This Row],[Entered]]&lt;&gt;Table5[[#This Row],[Quantity]],"Check","")</f>
        <v/>
      </c>
    </row>
    <row r="2274" spans="1:10" s="1198" customFormat="1" ht="15" x14ac:dyDescent="0.2">
      <c r="A2274" s="1190" t="s">
        <v>1381</v>
      </c>
      <c r="B2274" s="1190" t="s">
        <v>395</v>
      </c>
      <c r="C2274" s="1190" t="s">
        <v>673</v>
      </c>
      <c r="D2274" s="1190">
        <f>3</f>
        <v>3</v>
      </c>
      <c r="E2274" s="1190">
        <v>4</v>
      </c>
      <c r="F2274" s="1191">
        <f>'Brickwork FF'!I63+'Brickwork FF'!I90</f>
        <v>0</v>
      </c>
      <c r="G2274" s="1192"/>
      <c r="H2274" s="1193" t="s">
        <v>674</v>
      </c>
      <c r="I2274" s="1207"/>
      <c r="J2274" s="1194" t="str">
        <f>IF(Table5[[#This Row],[Entered]]&lt;&gt;Table5[[#This Row],[Quantity]],"Check","")</f>
        <v/>
      </c>
    </row>
    <row r="2275" spans="1:10" s="1198" customFormat="1" ht="15" x14ac:dyDescent="0.2">
      <c r="A2275" s="1190" t="s">
        <v>1381</v>
      </c>
      <c r="B2275" s="1190" t="s">
        <v>395</v>
      </c>
      <c r="C2275" s="1190" t="s">
        <v>673</v>
      </c>
      <c r="D2275" s="1190" t="s">
        <v>664</v>
      </c>
      <c r="E2275" s="1190">
        <v>0</v>
      </c>
      <c r="F2275" s="1191">
        <f>IF(F2274&gt;0,1,0)</f>
        <v>0</v>
      </c>
      <c r="G2275" s="1192"/>
      <c r="H2275" s="1193" t="str">
        <f>ROUND('Brickwork FF'!$H$63+'Brickwork FF'!$H$90,2)&amp;" PACKS LONGREACH CORED"</f>
        <v>0 PACKS LONGREACH CORED</v>
      </c>
      <c r="I2275" s="1207"/>
      <c r="J2275" s="1194" t="str">
        <f>IF(Table5[[#This Row],[Entered]]&lt;&gt;Table5[[#This Row],[Quantity]],"Check","")</f>
        <v/>
      </c>
    </row>
    <row r="2276" spans="1:10" s="1198" customFormat="1" ht="15" x14ac:dyDescent="0.2">
      <c r="A2276" s="1190" t="s">
        <v>1381</v>
      </c>
      <c r="B2276" s="1190" t="s">
        <v>395</v>
      </c>
      <c r="C2276" s="1190" t="s">
        <v>673</v>
      </c>
      <c r="D2276" s="1190">
        <f>5</f>
        <v>5</v>
      </c>
      <c r="E2276" s="1190">
        <v>4</v>
      </c>
      <c r="F2276" s="1191">
        <f>'Brickwork FF'!I89</f>
        <v>0</v>
      </c>
      <c r="G2276" s="1192"/>
      <c r="H2276" s="1193" t="s">
        <v>878</v>
      </c>
      <c r="I2276" s="1207"/>
      <c r="J2276" s="1194" t="str">
        <f>IF(Table5[[#This Row],[Entered]]&lt;&gt;Table5[[#This Row],[Quantity]],"Check","")</f>
        <v/>
      </c>
    </row>
    <row r="2277" spans="1:10" s="1198" customFormat="1" ht="15" x14ac:dyDescent="0.2">
      <c r="A2277" s="1190" t="s">
        <v>1381</v>
      </c>
      <c r="B2277" s="1190" t="s">
        <v>395</v>
      </c>
      <c r="C2277" s="1190" t="s">
        <v>673</v>
      </c>
      <c r="D2277" s="1190" t="s">
        <v>1062</v>
      </c>
      <c r="E2277" s="1190">
        <v>0</v>
      </c>
      <c r="F2277" s="1191">
        <f>IF(F2276&gt;0,1,0)</f>
        <v>0</v>
      </c>
      <c r="G2277" s="1192"/>
      <c r="H2277" s="1193" t="str">
        <f>'Brickwork FF'!$H$89&amp;" "&amp;"PACKS"&amp;" VERTICLAY"</f>
        <v>0 PACKS VERTICLAY</v>
      </c>
      <c r="I2277" s="1207"/>
      <c r="J2277" s="1194" t="str">
        <f>IF(Table5[[#This Row],[Entered]]&lt;&gt;Table5[[#This Row],[Quantity]],"Check","")</f>
        <v/>
      </c>
    </row>
    <row r="2278" spans="1:10" s="1198" customFormat="1" ht="15" x14ac:dyDescent="0.2">
      <c r="A2278" s="1190" t="s">
        <v>1381</v>
      </c>
      <c r="B2278" s="1190" t="s">
        <v>395</v>
      </c>
      <c r="C2278" s="1190" t="s">
        <v>673</v>
      </c>
      <c r="D2278" s="1190">
        <f>8</f>
        <v>8</v>
      </c>
      <c r="E2278" s="1190">
        <v>7</v>
      </c>
      <c r="F2278" s="1191">
        <f>COUNTIFS('CSV FF'!A:A,"Brick Lintel",'CSV FF'!C:C,"&gt;0",'CSV FF'!C:C,"&lt;=.71")*0.94+COUNTIFS('CSV FF'!A:A,"Brick Lintel",'CSV FF'!C:C,"&gt;0.71",'CSV FF'!C:C,"&lt;=1.02")*1.25+COUNTIFS('CSV FF'!A:A,"Brick Lintel",'CSV FF'!C:C,"&gt;1.02",'CSV FF'!C:C,"&lt;=1.34")*1.57+COUNTIFS('CSV FF'!A:A,"Brick Lintel",'CSV FF'!C:C,"&gt;1.34",'CSV FF'!C:C,"&lt;=1.64")*1.89+COUNTIFS('CSV FF'!A:A,"Brick Lintel",'CSV FF'!C:C,"&gt;1.64",'CSV FF'!C:C,"&lt;=1.97")*2.2+COUNTIFS('CSV FF'!A:A,"Brick Lintel",'CSV FF'!C:C,"&gt;1.97",'CSV FF'!C:C,"&lt;=2.27")*2.5+COUNTIFS('CSV FF'!A:A,"Brick Lintel",'CSV FF'!C:C,"&gt;2.27",'CSV FF'!C:C,"&lt;=2.6")*2.83+COUNTIFS('CSV FF'!A:A,"Brick Lintel",'CSV FF'!C:C,"&gt;2.6",'CSV FF'!C:C,"&lt;=2.91")*3.14</f>
        <v>0</v>
      </c>
      <c r="G2278" s="1192"/>
      <c r="H2278" s="1193" t="s">
        <v>879</v>
      </c>
      <c r="I2278" s="1207"/>
      <c r="J2278" s="1194" t="str">
        <f>IF(Table5[[#This Row],[Entered]]&lt;&gt;Table5[[#This Row],[Quantity]],"Check","")</f>
        <v/>
      </c>
    </row>
    <row r="2279" spans="1:10" s="1198" customFormat="1" ht="15" x14ac:dyDescent="0.2">
      <c r="A2279" s="1190" t="s">
        <v>1381</v>
      </c>
      <c r="B2279" s="1190" t="s">
        <v>395</v>
      </c>
      <c r="C2279" s="1190" t="s">
        <v>673</v>
      </c>
      <c r="D2279" s="1190" t="s">
        <v>1065</v>
      </c>
      <c r="E2279" s="1190">
        <v>0</v>
      </c>
      <c r="F2279" s="1191">
        <f>IF(F2278&gt;0,1,0)</f>
        <v>0</v>
      </c>
      <c r="G2279" s="1192"/>
      <c r="H2279" s="1193" t="str">
        <f>IF(F2278&gt;0,"BRICK LINTELS "&amp;IF(COUNTIFS('CSV FF'!A:A,"Brick Lintel",'CSV FF'!C:C,"&gt;0",'CSV FF'!C:C,"&lt;=.71")&gt;0,COUNTIFS('CSV FF'!A:A,"Brick Lintel",'CSV FF'!C:C,"&gt;0",'CSV FF'!C:C,"&lt;=.71")&amp;"/.94 ",""))&amp;IF(COUNTIFS('CSV FF'!A:A,"Brick Lintel",'CSV FF'!C:C,"&gt;.71",'CSV FF'!C:C,"&lt;=1.02")&gt;0,COUNTIFS('CSV FF'!A:A,"Brick Lintel",'CSV FF'!C:C,"&gt;.71",'CSV FF'!C:C,"&lt;=1.02")&amp;"/1.25 ","")&amp;IF(COUNTIFS('CSV FF'!A:A,"Brick Lintel",'CSV FF'!C:C,"&gt;1.02",'CSV FF'!C:C,"&lt;=1.34")&gt;0,COUNTIFS('CSV FF'!A:A,"Brick Lintel",'CSV FF'!C:C,"&gt;1.02",'CSV FF'!C:C,"&lt;=1.34")&amp;"/1.57 ","")&amp;IF(COUNTIFS('CSV FF'!A:A,"Brick Lintel",'CSV FF'!C:C,"&gt;1.34",'CSV FF'!C:C,"&lt;=1.64")&gt;0,COUNTIFS('CSV FF'!A:A,"Brick Lintel",'CSV FF'!C:C,"&gt;1.34",'CSV FF'!C:C,"&lt;=1.64")&amp;"/1.89 ","")&amp;IF(COUNTIFS('CSV FF'!A:A,"Brick Lintel",'CSV FF'!C:C,"&gt;1.64",'CSV FF'!C:C,"&lt;=1.97")&gt;0,COUNTIFS('CSV FF'!A:A,"Brick Lintel",'CSV FF'!C:C,"&gt;1.64",'CSV FF'!C:C,"&lt;=1.97")&amp;"/2.20 ","")&amp;IF(COUNTIFS('CSV FF'!A:A,"Brick Lintel",'CSV FF'!C:C,"&gt;1.97",'CSV FF'!C:C,"&lt;=2.27")&gt;0,COUNTIFS('CSV FF'!A:A,"Brick Lintel",'CSV FF'!C:C,"&gt;1.97",'CSV FF'!C:C,"&lt;=2.27")&amp;"/2.50 ","")&amp;IF(COUNTIFS('CSV FF'!A:A,"Brick Lintel",'CSV FF'!C:C,"&gt;2.27",'CSV FF'!C:C,"&lt;=2.6")&gt;0,COUNTIFS('CSV FF'!A:A,"Brick Lintel",'CSV FF'!C:C,"&gt;2.27",'CSV FF'!C:C,"&lt;=2.6")&amp;"/2.83 ","")&amp;IF(COUNTIFS('CSV FF'!A:A,"Brick Lintel",'CSV FF'!C:C,"&gt;2.6",'CSV FF'!C:C,"&lt;=2.91")&gt;0,COUNTIFS('CSV FF'!A:A,"Brick Lintel",'CSV FF'!C:C,"&gt;2.6",'CSV FF'!C:C,"&lt;=2.91")&amp;"/3.14","")</f>
        <v>FALSE</v>
      </c>
      <c r="I2279" s="1207"/>
      <c r="J2279" s="1194" t="str">
        <f>IF(Table5[[#This Row],[Entered]]&lt;&gt;Table5[[#This Row],[Quantity]],"Check","")</f>
        <v/>
      </c>
    </row>
    <row r="2280" spans="1:10" s="1198" customFormat="1" ht="15" x14ac:dyDescent="0.2">
      <c r="A2280" s="1190" t="s">
        <v>1381</v>
      </c>
      <c r="B2280" s="1190" t="s">
        <v>395</v>
      </c>
      <c r="C2280" s="1190" t="s">
        <v>673</v>
      </c>
      <c r="D2280" s="1190" t="s">
        <v>663</v>
      </c>
      <c r="E2280" s="1190">
        <v>0</v>
      </c>
      <c r="F2280" s="1191">
        <f>IF(COUNTIFS('CSV FF'!A:A,"Brick Lintel",'CSV FF'!C:C,"&gt;2.91")&gt;0,1,0)</f>
        <v>0</v>
      </c>
      <c r="G2280" s="1192"/>
      <c r="H2280" s="1193" t="str">
        <f>IF(F2279&gt;0,IF(COUNTIFS('CSV FF'!A:A,"Brick Lintel",'CSV FF'!C:C,"&gt;2.91")&gt;0,COUNTIFS('CSV FF'!A:A,"Brick Lintel",'CSV FF'!C:C,"&gt;2.91")&amp;" BRICK LINTEL TAKEN OFF IS TOO LONG AND N/A TO ORDER",""),"")</f>
        <v/>
      </c>
      <c r="I2280" s="1207"/>
      <c r="J2280" s="1194" t="str">
        <f>IF(Table5[[#This Row],[Entered]]&lt;&gt;Table5[[#This Row],[Quantity]],"Check","")</f>
        <v/>
      </c>
    </row>
    <row r="2281" spans="1:10" s="1198" customFormat="1" ht="15" x14ac:dyDescent="0.2">
      <c r="A2281" s="1190" t="s">
        <v>1381</v>
      </c>
      <c r="B2281" s="1190" t="s">
        <v>395</v>
      </c>
      <c r="C2281" s="1190" t="s">
        <v>673</v>
      </c>
      <c r="D2281" s="1190">
        <f>2002</f>
        <v>2002</v>
      </c>
      <c r="E2281" s="1190">
        <v>4</v>
      </c>
      <c r="F2281" s="1191">
        <f>F2272+F2276</f>
        <v>0</v>
      </c>
      <c r="G2281" s="1192"/>
      <c r="H2281" s="1193" t="s">
        <v>1822</v>
      </c>
      <c r="I2281" s="1207"/>
      <c r="J2281" s="1194" t="str">
        <f>IF(Table5[[#This Row],[Entered]]&lt;&gt;Table5[[#This Row],[Quantity]],"Check","")</f>
        <v/>
      </c>
    </row>
    <row r="2282" spans="1:10" s="1198" customFormat="1" ht="15" x14ac:dyDescent="0.2">
      <c r="A2282" s="1190" t="s">
        <v>1381</v>
      </c>
      <c r="B2282" s="1190" t="s">
        <v>395</v>
      </c>
      <c r="C2282" s="1190" t="s">
        <v>673</v>
      </c>
      <c r="D2282" s="1190">
        <f>2003</f>
        <v>2003</v>
      </c>
      <c r="E2282" s="1190">
        <v>4</v>
      </c>
      <c r="F2282" s="1191">
        <f>F2274</f>
        <v>0</v>
      </c>
      <c r="G2282" s="1192"/>
      <c r="H2282" s="1193" t="s">
        <v>1823</v>
      </c>
      <c r="I2282" s="1207"/>
      <c r="J2282" s="1194" t="str">
        <f>IF(Table5[[#This Row],[Entered]]&lt;&gt;Table5[[#This Row],[Quantity]],"Check","")</f>
        <v/>
      </c>
    </row>
    <row r="2283" spans="1:10" s="1198" customFormat="1" ht="15" x14ac:dyDescent="0.2">
      <c r="A2283" s="1190" t="s">
        <v>1381</v>
      </c>
      <c r="B2283" s="1190" t="s">
        <v>395</v>
      </c>
      <c r="C2283" s="1190" t="s">
        <v>673</v>
      </c>
      <c r="D2283" s="1190">
        <v>9115</v>
      </c>
      <c r="E2283" s="1190">
        <v>4</v>
      </c>
      <c r="F2283" s="1191" cm="1">
        <f t="array" ref="F2283">IF(SUMPRODUCT(--ISNUMBER(SEARCH(BrikmakersZone5,Address)))&gt;0,'Brickwork FF'!$I$34+'Brickwork FF'!$I$64,0)</f>
        <v>0</v>
      </c>
      <c r="G2283" s="1192"/>
      <c r="H2283" s="1193" t="s">
        <v>1950</v>
      </c>
      <c r="I2283" s="1207"/>
      <c r="J2283" s="1194" t="str">
        <f>IF(Table5[[#This Row],[Entered]]&lt;&gt;Table5[[#This Row],[Quantity]],"Check","")</f>
        <v/>
      </c>
    </row>
    <row r="2284" spans="1:10" s="1198" customFormat="1" ht="15" x14ac:dyDescent="0.2">
      <c r="A2284" s="1190" t="s">
        <v>1381</v>
      </c>
      <c r="B2284" s="1190" t="s">
        <v>395</v>
      </c>
      <c r="C2284" s="1190" t="s">
        <v>673</v>
      </c>
      <c r="D2284" s="1190">
        <v>9155</v>
      </c>
      <c r="E2284" s="1190">
        <v>4</v>
      </c>
      <c r="F2284" s="1191" cm="1">
        <f t="array" ref="F2284">IF(SUMPRODUCT(--ISNUMBER(SEARCH(BrikmakersZone5,Address)))&gt;0,F2272,0)</f>
        <v>0</v>
      </c>
      <c r="G2284" s="1192"/>
      <c r="H2284" s="1193" t="s">
        <v>1951</v>
      </c>
      <c r="I2284" s="1207"/>
      <c r="J2284" s="1194" t="str">
        <f>IF(Table5[[#This Row],[Entered]]&lt;&gt;Table5[[#This Row],[Quantity]],"Check","")</f>
        <v/>
      </c>
    </row>
    <row r="2285" spans="1:10" s="1198" customFormat="1" ht="15" x14ac:dyDescent="0.2">
      <c r="A2285" s="1190" t="s">
        <v>1381</v>
      </c>
      <c r="B2285" s="1190" t="s">
        <v>395</v>
      </c>
      <c r="C2285" s="1190" t="s">
        <v>673</v>
      </c>
      <c r="D2285" s="1190">
        <v>9175</v>
      </c>
      <c r="E2285" s="1190">
        <v>4</v>
      </c>
      <c r="F2285" s="1191" cm="1">
        <f t="array" ref="F2285">IF(SUMPRODUCT(--ISNUMBER(SEARCH(BrikmakersZone5,Address)))&gt;0,F2276,0)</f>
        <v>0</v>
      </c>
      <c r="G2285" s="1192"/>
      <c r="H2285" s="1193" t="s">
        <v>1952</v>
      </c>
      <c r="I2285" s="1207"/>
      <c r="J2285" s="1194" t="str">
        <f>IF(Table5[[#This Row],[Entered]]&lt;&gt;Table5[[#This Row],[Quantity]],"Check","")</f>
        <v/>
      </c>
    </row>
    <row r="2286" spans="1:10" s="1198" customFormat="1" ht="15" x14ac:dyDescent="0.2">
      <c r="A2286" s="1190" t="s">
        <v>1381</v>
      </c>
      <c r="B2286" s="1190" t="s">
        <v>395</v>
      </c>
      <c r="C2286" s="1190" t="s">
        <v>673</v>
      </c>
      <c r="D2286" s="1190">
        <v>9185</v>
      </c>
      <c r="E2286" s="1190">
        <v>4</v>
      </c>
      <c r="F2286" s="1191" cm="1">
        <f t="array" ref="F2286">IF(SUMPRODUCT(--ISNUMBER(SEARCH(BrikmakersZone5,Address)))&gt;0,F2274,0)</f>
        <v>0</v>
      </c>
      <c r="G2286" s="1192"/>
      <c r="H2286" s="1193" t="s">
        <v>1953</v>
      </c>
      <c r="I2286" s="1207"/>
      <c r="J2286" s="1194" t="str">
        <f>IF(Table5[[#This Row],[Entered]]&lt;&gt;Table5[[#This Row],[Quantity]],"Check","")</f>
        <v/>
      </c>
    </row>
    <row r="2287" spans="1:10" s="1198" customFormat="1" ht="15" x14ac:dyDescent="0.2">
      <c r="A2287" s="1190" t="s">
        <v>1381</v>
      </c>
      <c r="B2287" s="1190" t="s">
        <v>395</v>
      </c>
      <c r="C2287" s="1190" t="s">
        <v>673</v>
      </c>
      <c r="D2287" s="1190">
        <v>9196</v>
      </c>
      <c r="E2287" s="1190">
        <v>1</v>
      </c>
      <c r="F2287" s="1191" cm="1">
        <f t="array" ref="F2287">IF(SUMPRODUCT(--ISNUMBER(SEARCH(BrikmakersZone5,Address)))&gt;0,COUNTIF('CSV FF'!A:A,"Brick Lintel"),0)</f>
        <v>0</v>
      </c>
      <c r="G2287" s="1192"/>
      <c r="H2287" s="1193" t="s">
        <v>1954</v>
      </c>
      <c r="I2287" s="1207"/>
      <c r="J2287" s="1194" t="str">
        <f>IF(Table5[[#This Row],[Entered]]&lt;&gt;Table5[[#This Row],[Quantity]],"Check","")</f>
        <v/>
      </c>
    </row>
    <row r="2288" spans="1:10" s="1198" customFormat="1" ht="15" x14ac:dyDescent="0.2">
      <c r="A2288" s="1190" t="s">
        <v>1381</v>
      </c>
      <c r="B2288" s="1190" t="s">
        <v>395</v>
      </c>
      <c r="C2288" s="1190" t="s">
        <v>673</v>
      </c>
      <c r="D2288" s="1190">
        <v>9215</v>
      </c>
      <c r="E2288" s="1190">
        <v>4</v>
      </c>
      <c r="F2288" s="1191" cm="1">
        <f t="array" ref="F2288">IF(SUMPRODUCT(--ISNUMBER(SEARCH(KDPowerBusseltonArea,Address)))&gt;0,'Brickwork FF'!$I$34+'Brickwork FF'!$I$64,0)</f>
        <v>0</v>
      </c>
      <c r="G2288" s="1192"/>
      <c r="H2288" s="1193" t="s">
        <v>1955</v>
      </c>
      <c r="I2288" s="1207"/>
      <c r="J2288" s="1194" t="str">
        <f>IF(Table5[[#This Row],[Entered]]&lt;&gt;Table5[[#This Row],[Quantity]],"Check","")</f>
        <v/>
      </c>
    </row>
    <row r="2289" spans="1:10" s="1198" customFormat="1" ht="15" x14ac:dyDescent="0.2">
      <c r="A2289" s="1190" t="s">
        <v>1381</v>
      </c>
      <c r="B2289" s="1190" t="s">
        <v>395</v>
      </c>
      <c r="C2289" s="1190" t="s">
        <v>673</v>
      </c>
      <c r="D2289" s="1190">
        <v>9255</v>
      </c>
      <c r="E2289" s="1190">
        <v>4</v>
      </c>
      <c r="F2289" s="1191" cm="1">
        <f t="array" ref="F2289">IF(SUMPRODUCT(--ISNUMBER(SEARCH(KDPowerBusseltonArea,Address)))&gt;0,F2272,0)</f>
        <v>0</v>
      </c>
      <c r="G2289" s="1192"/>
      <c r="H2289" s="1193" t="s">
        <v>1956</v>
      </c>
      <c r="I2289" s="1207"/>
      <c r="J2289" s="1194" t="str">
        <f>IF(Table5[[#This Row],[Entered]]&lt;&gt;Table5[[#This Row],[Quantity]],"Check","")</f>
        <v/>
      </c>
    </row>
    <row r="2290" spans="1:10" s="1198" customFormat="1" ht="15" x14ac:dyDescent="0.2">
      <c r="A2290" s="1190" t="s">
        <v>1381</v>
      </c>
      <c r="B2290" s="1190" t="s">
        <v>395</v>
      </c>
      <c r="C2290" s="1190" t="s">
        <v>673</v>
      </c>
      <c r="D2290" s="1190">
        <v>9275</v>
      </c>
      <c r="E2290" s="1190">
        <v>4</v>
      </c>
      <c r="F2290" s="1191" cm="1">
        <f t="array" ref="F2290">IF(SUMPRODUCT(--ISNUMBER(SEARCH(KDPowerBusseltonArea,Address)))&gt;0,F2276,0)</f>
        <v>0</v>
      </c>
      <c r="G2290" s="1192"/>
      <c r="H2290" s="1193" t="s">
        <v>1957</v>
      </c>
      <c r="I2290" s="1207"/>
      <c r="J2290" s="1194" t="str">
        <f>IF(Table5[[#This Row],[Entered]]&lt;&gt;Table5[[#This Row],[Quantity]],"Check","")</f>
        <v/>
      </c>
    </row>
    <row r="2291" spans="1:10" s="1198" customFormat="1" ht="15" x14ac:dyDescent="0.2">
      <c r="A2291" s="1190" t="s">
        <v>1381</v>
      </c>
      <c r="B2291" s="1190" t="s">
        <v>395</v>
      </c>
      <c r="C2291" s="1190" t="s">
        <v>673</v>
      </c>
      <c r="D2291" s="1190">
        <v>9285</v>
      </c>
      <c r="E2291" s="1190">
        <v>4</v>
      </c>
      <c r="F2291" s="1191" cm="1">
        <f t="array" ref="F2291">IF(SUMPRODUCT(--ISNUMBER(SEARCH(KDPowerBusseltonArea,Address)))&gt;0,F2274,0)</f>
        <v>0</v>
      </c>
      <c r="G2291" s="1192"/>
      <c r="H2291" s="1193" t="s">
        <v>1958</v>
      </c>
      <c r="I2291" s="1207"/>
      <c r="J2291" s="1194" t="str">
        <f>IF(Table5[[#This Row],[Entered]]&lt;&gt;Table5[[#This Row],[Quantity]],"Check","")</f>
        <v/>
      </c>
    </row>
    <row r="2292" spans="1:10" s="1198" customFormat="1" ht="15" x14ac:dyDescent="0.2">
      <c r="A2292" s="1190" t="s">
        <v>1381</v>
      </c>
      <c r="B2292" s="1190" t="s">
        <v>395</v>
      </c>
      <c r="C2292" s="1190" t="s">
        <v>673</v>
      </c>
      <c r="D2292" s="1190">
        <v>9296</v>
      </c>
      <c r="E2292" s="1190">
        <v>1</v>
      </c>
      <c r="F2292" s="1191" cm="1">
        <f t="array" ref="F2292">IF(SUMPRODUCT(--ISNUMBER(SEARCH(KDPowerBusseltonArea,Address)))&gt;0,COUNTIF('CSV FF'!A:A,"Brick Lintel"),0)</f>
        <v>0</v>
      </c>
      <c r="G2292" s="1192"/>
      <c r="H2292" s="1193" t="s">
        <v>1959</v>
      </c>
      <c r="I2292" s="1207"/>
      <c r="J2292" s="1194" t="str">
        <f>IF(Table5[[#This Row],[Entered]]&lt;&gt;Table5[[#This Row],[Quantity]],"Check","")</f>
        <v/>
      </c>
    </row>
    <row r="2293" spans="1:10" s="1198" customFormat="1" ht="15" x14ac:dyDescent="0.2">
      <c r="A2293" s="1190" t="s">
        <v>1381</v>
      </c>
      <c r="B2293" s="1190" t="s">
        <v>395</v>
      </c>
      <c r="C2293" s="1190" t="s">
        <v>673</v>
      </c>
      <c r="D2293" s="1190">
        <v>9315</v>
      </c>
      <c r="E2293" s="1190">
        <v>4</v>
      </c>
      <c r="F2293" s="1191" cm="1">
        <f t="array" ref="F2293">IF(SUMPRODUCT(--ISNUMBER(SEARCH(KDPowerAugustaArea,Address)))&gt;0,'Brickwork FF'!$I$34+'Brickwork FF'!$I$64,0)</f>
        <v>0</v>
      </c>
      <c r="G2293" s="1192"/>
      <c r="H2293" s="1193" t="s">
        <v>1960</v>
      </c>
      <c r="I2293" s="1207"/>
      <c r="J2293" s="1194" t="str">
        <f>IF(Table5[[#This Row],[Entered]]&lt;&gt;Table5[[#This Row],[Quantity]],"Check","")</f>
        <v/>
      </c>
    </row>
    <row r="2294" spans="1:10" s="1198" customFormat="1" ht="15" x14ac:dyDescent="0.2">
      <c r="A2294" s="1190" t="s">
        <v>1381</v>
      </c>
      <c r="B2294" s="1190" t="s">
        <v>395</v>
      </c>
      <c r="C2294" s="1190" t="s">
        <v>673</v>
      </c>
      <c r="D2294" s="1190">
        <v>9355</v>
      </c>
      <c r="E2294" s="1190">
        <v>4</v>
      </c>
      <c r="F2294" s="1191" cm="1">
        <f t="array" ref="F2294">IF(SUMPRODUCT(--ISNUMBER(SEARCH(KDPowerAugustaArea,Address)))&gt;0,F2272,0)</f>
        <v>0</v>
      </c>
      <c r="G2294" s="1192"/>
      <c r="H2294" s="1193" t="s">
        <v>1961</v>
      </c>
      <c r="I2294" s="1207"/>
      <c r="J2294" s="1194" t="str">
        <f>IF(Table5[[#This Row],[Entered]]&lt;&gt;Table5[[#This Row],[Quantity]],"Check","")</f>
        <v/>
      </c>
    </row>
    <row r="2295" spans="1:10" s="1198" customFormat="1" ht="15" x14ac:dyDescent="0.2">
      <c r="A2295" s="1190" t="s">
        <v>1381</v>
      </c>
      <c r="B2295" s="1190" t="s">
        <v>395</v>
      </c>
      <c r="C2295" s="1190" t="s">
        <v>673</v>
      </c>
      <c r="D2295" s="1190">
        <v>9375</v>
      </c>
      <c r="E2295" s="1190">
        <v>4</v>
      </c>
      <c r="F2295" s="1191" cm="1">
        <f t="array" ref="F2295">IF(SUMPRODUCT(--ISNUMBER(SEARCH(KDPowerAugustaArea,Address)))&gt;0,F2276,0)</f>
        <v>0</v>
      </c>
      <c r="G2295" s="1192"/>
      <c r="H2295" s="1193" t="s">
        <v>1962</v>
      </c>
      <c r="I2295" s="1207"/>
      <c r="J2295" s="1194" t="str">
        <f>IF(Table5[[#This Row],[Entered]]&lt;&gt;Table5[[#This Row],[Quantity]],"Check","")</f>
        <v/>
      </c>
    </row>
    <row r="2296" spans="1:10" s="1198" customFormat="1" ht="15" x14ac:dyDescent="0.2">
      <c r="A2296" s="1190" t="s">
        <v>1381</v>
      </c>
      <c r="B2296" s="1190" t="s">
        <v>395</v>
      </c>
      <c r="C2296" s="1190" t="s">
        <v>673</v>
      </c>
      <c r="D2296" s="1190">
        <v>9385</v>
      </c>
      <c r="E2296" s="1190">
        <v>4</v>
      </c>
      <c r="F2296" s="1191" cm="1">
        <f t="array" ref="F2296">IF(SUMPRODUCT(--ISNUMBER(SEARCH(KDPowerAugustaArea,Address)))&gt;0,F2274,0)</f>
        <v>0</v>
      </c>
      <c r="G2296" s="1192"/>
      <c r="H2296" s="1193" t="s">
        <v>1963</v>
      </c>
      <c r="I2296" s="1207"/>
      <c r="J2296" s="1194" t="str">
        <f>IF(Table5[[#This Row],[Entered]]&lt;&gt;Table5[[#This Row],[Quantity]],"Check","")</f>
        <v/>
      </c>
    </row>
    <row r="2297" spans="1:10" s="1198" customFormat="1" ht="15" x14ac:dyDescent="0.2">
      <c r="A2297" s="1190" t="s">
        <v>1381</v>
      </c>
      <c r="B2297" s="1190" t="s">
        <v>395</v>
      </c>
      <c r="C2297" s="1190" t="s">
        <v>673</v>
      </c>
      <c r="D2297" s="1190">
        <v>9396</v>
      </c>
      <c r="E2297" s="1190">
        <v>1</v>
      </c>
      <c r="F2297" s="1191" cm="1">
        <f t="array" ref="F2297">IF(SUMPRODUCT(--ISNUMBER(SEARCH(KDPowerAugustaArea,Address)))&gt;0,COUNTIF('CSV FF'!A:A,"Brick Lintel"),0)</f>
        <v>0</v>
      </c>
      <c r="G2297" s="1192"/>
      <c r="H2297" s="1193" t="s">
        <v>1964</v>
      </c>
      <c r="I2297" s="1207"/>
      <c r="J2297" s="1194" t="str">
        <f>IF(Table5[[#This Row],[Entered]]&lt;&gt;Table5[[#This Row],[Quantity]],"Check","")</f>
        <v/>
      </c>
    </row>
    <row r="2298" spans="1:10" s="1198" customFormat="1" ht="15" x14ac:dyDescent="0.2">
      <c r="A2298" s="1190" t="s">
        <v>1381</v>
      </c>
      <c r="B2298" s="1190" t="s">
        <v>395</v>
      </c>
      <c r="C2298" s="1190" t="s">
        <v>673</v>
      </c>
      <c r="D2298" s="1190">
        <v>9415</v>
      </c>
      <c r="E2298" s="1190">
        <v>4</v>
      </c>
      <c r="F2298" s="1191" cm="1">
        <f t="array" ref="F2298">IF(SUMPRODUCT(--ISNUMBER(SEARCH(KDPowerMargaretRiverCowaramup,Address)))&gt;0,'Brickwork FF'!$I$34+'Brickwork FF'!$I$64,0)</f>
        <v>0</v>
      </c>
      <c r="G2298" s="1192"/>
      <c r="H2298" s="1193" t="s">
        <v>1965</v>
      </c>
      <c r="I2298" s="1207"/>
      <c r="J2298" s="1194" t="str">
        <f>IF(Table5[[#This Row],[Entered]]&lt;&gt;Table5[[#This Row],[Quantity]],"Check","")</f>
        <v/>
      </c>
    </row>
    <row r="2299" spans="1:10" s="1198" customFormat="1" ht="15" x14ac:dyDescent="0.2">
      <c r="A2299" s="1190" t="s">
        <v>1381</v>
      </c>
      <c r="B2299" s="1190" t="s">
        <v>395</v>
      </c>
      <c r="C2299" s="1190" t="s">
        <v>673</v>
      </c>
      <c r="D2299" s="1190">
        <v>9455</v>
      </c>
      <c r="E2299" s="1190">
        <v>4</v>
      </c>
      <c r="F2299" s="1191" cm="1">
        <f t="array" ref="F2299">IF(SUMPRODUCT(--ISNUMBER(SEARCH(KDPowerMargaretRiverCowaramup,Address)))&gt;0,F2272,0)</f>
        <v>0</v>
      </c>
      <c r="G2299" s="1192"/>
      <c r="H2299" s="1193" t="s">
        <v>1966</v>
      </c>
      <c r="I2299" s="1207"/>
      <c r="J2299" s="1194" t="str">
        <f>IF(Table5[[#This Row],[Entered]]&lt;&gt;Table5[[#This Row],[Quantity]],"Check","")</f>
        <v/>
      </c>
    </row>
    <row r="2300" spans="1:10" s="1198" customFormat="1" ht="15" x14ac:dyDescent="0.2">
      <c r="A2300" s="1190" t="s">
        <v>1381</v>
      </c>
      <c r="B2300" s="1190" t="s">
        <v>395</v>
      </c>
      <c r="C2300" s="1190" t="s">
        <v>673</v>
      </c>
      <c r="D2300" s="1190">
        <v>9475</v>
      </c>
      <c r="E2300" s="1190">
        <v>4</v>
      </c>
      <c r="F2300" s="1191" cm="1">
        <f t="array" ref="F2300">IF(SUMPRODUCT(--ISNUMBER(SEARCH(KDPowerMargaretRiverCowaramup,Address)))&gt;0,F2276,0)</f>
        <v>0</v>
      </c>
      <c r="G2300" s="1192"/>
      <c r="H2300" s="1193" t="s">
        <v>1967</v>
      </c>
      <c r="I2300" s="1207"/>
      <c r="J2300" s="1194" t="str">
        <f>IF(Table5[[#This Row],[Entered]]&lt;&gt;Table5[[#This Row],[Quantity]],"Check","")</f>
        <v/>
      </c>
    </row>
    <row r="2301" spans="1:10" s="1198" customFormat="1" ht="15" x14ac:dyDescent="0.2">
      <c r="A2301" s="1190" t="s">
        <v>1381</v>
      </c>
      <c r="B2301" s="1190" t="s">
        <v>395</v>
      </c>
      <c r="C2301" s="1190" t="s">
        <v>673</v>
      </c>
      <c r="D2301" s="1190">
        <v>9485</v>
      </c>
      <c r="E2301" s="1190">
        <v>4</v>
      </c>
      <c r="F2301" s="1191" cm="1">
        <f t="array" ref="F2301">IF(SUMPRODUCT(--ISNUMBER(SEARCH(KDPowerMargaretRiverCowaramup,Address)))&gt;0,F2274,0)</f>
        <v>0</v>
      </c>
      <c r="G2301" s="1192"/>
      <c r="H2301" s="1193" t="s">
        <v>1968</v>
      </c>
      <c r="I2301" s="1207"/>
      <c r="J2301" s="1194" t="str">
        <f>IF(Table5[[#This Row],[Entered]]&lt;&gt;Table5[[#This Row],[Quantity]],"Check","")</f>
        <v/>
      </c>
    </row>
    <row r="2302" spans="1:10" s="1198" customFormat="1" ht="15" x14ac:dyDescent="0.2">
      <c r="A2302" s="1190" t="s">
        <v>1381</v>
      </c>
      <c r="B2302" s="1190" t="s">
        <v>395</v>
      </c>
      <c r="C2302" s="1190" t="s">
        <v>673</v>
      </c>
      <c r="D2302" s="1190">
        <v>9496</v>
      </c>
      <c r="E2302" s="1190">
        <v>1</v>
      </c>
      <c r="F2302" s="1191" cm="1">
        <f t="array" ref="F2302">IF(SUMPRODUCT(--ISNUMBER(SEARCH(KDPowerMargaretRiverCowaramup,Address)))&gt;0,COUNTIF('CSV FF'!A:A,"Brick Lintel"),0)</f>
        <v>0</v>
      </c>
      <c r="G2302" s="1192"/>
      <c r="H2302" s="1193" t="s">
        <v>1969</v>
      </c>
      <c r="I2302" s="1207"/>
      <c r="J2302" s="1194" t="str">
        <f>IF(Table5[[#This Row],[Entered]]&lt;&gt;Table5[[#This Row],[Quantity]],"Check","")</f>
        <v/>
      </c>
    </row>
    <row r="2303" spans="1:10" s="1198" customFormat="1" ht="15" x14ac:dyDescent="0.2">
      <c r="A2303" s="1190" t="s">
        <v>1381</v>
      </c>
      <c r="B2303" s="1190" t="s">
        <v>395</v>
      </c>
      <c r="C2303" s="1190" t="s">
        <v>673</v>
      </c>
      <c r="D2303" s="1190">
        <f>9900</f>
        <v>9900</v>
      </c>
      <c r="E2303" s="1190">
        <v>1</v>
      </c>
      <c r="F2303" s="1191">
        <f>IF(OR(Brick_typeFF="Timber Frame",Brick_typeFF=""),0,IF(OR(ISNUMBER(SEARCH("MARGARET RIVER",Address)),ISNUMBER(SEARCH("Augusta",Address)),ISNUMBER(SEARCH("Bridgetown",Address)),ISNUMBER(SEARCH("COWARAMUP",Address))),1,0))</f>
        <v>0</v>
      </c>
      <c r="G2303" s="1192"/>
      <c r="H2303" s="1193" t="s">
        <v>1743</v>
      </c>
      <c r="I2303" s="1207"/>
      <c r="J2303" s="1194" t="str">
        <f>IF(Table5[[#This Row],[Entered]]&lt;&gt;Table5[[#This Row],[Quantity]],"Check","")</f>
        <v/>
      </c>
    </row>
    <row r="2304" spans="1:10" s="1198" customFormat="1" ht="15" x14ac:dyDescent="0.2">
      <c r="A2304" s="1190"/>
      <c r="B2304" s="1190"/>
      <c r="C2304" s="1190"/>
      <c r="D2304" s="1190"/>
      <c r="E2304" s="1190"/>
      <c r="F2304" s="1191"/>
      <c r="G2304" s="1192"/>
      <c r="H2304" s="1193"/>
      <c r="I2304" s="1207"/>
      <c r="J2304" s="1194" t="str">
        <f>IF(Table5[[#This Row],[Entered]]&lt;&gt;Table5[[#This Row],[Quantity]],"Check","")</f>
        <v/>
      </c>
    </row>
    <row r="2305" spans="1:10" s="1198" customFormat="1" ht="15" x14ac:dyDescent="0.2">
      <c r="A2305" s="1200" t="s">
        <v>1381</v>
      </c>
      <c r="B2305" s="1190" t="str">
        <f t="shared" ref="B2305:B2325" si="124">"0460"</f>
        <v>0460</v>
      </c>
      <c r="C2305" s="1190">
        <f>52048</f>
        <v>52048</v>
      </c>
      <c r="D2305" s="1190" t="str">
        <f>"0313"</f>
        <v>0313</v>
      </c>
      <c r="E2305" s="1190">
        <v>9</v>
      </c>
      <c r="F2305" s="1191">
        <f>IF(AND(Brick_type&lt;&gt;"Timber Frame",Plasterboard?&lt;&gt;"Yes"),IF(COUNTIFS(Address,"*AUSTRALIND*",Address,"*KINGSTON*",Address,"*TREENDALE*")&gt;0,Sand_Brickies_FF,0),0)</f>
        <v>0</v>
      </c>
      <c r="G2305" s="1192"/>
      <c r="H2305" s="1193" t="s">
        <v>2529</v>
      </c>
      <c r="I2305" s="1207"/>
      <c r="J2305" s="1194" t="str">
        <f>IF(Table5[[#This Row],[Entered]]&lt;&gt;Table5[[#This Row],[Quantity]],"Check","")</f>
        <v/>
      </c>
    </row>
    <row r="2306" spans="1:10" s="1198" customFormat="1" ht="15" x14ac:dyDescent="0.2">
      <c r="A2306" s="1200" t="s">
        <v>1381</v>
      </c>
      <c r="B2306" s="1190" t="str">
        <f t="shared" si="124"/>
        <v>0460</v>
      </c>
      <c r="C2306" s="1190">
        <f>52048</f>
        <v>52048</v>
      </c>
      <c r="D2306" s="1190" t="str">
        <f>"0321"</f>
        <v>0321</v>
      </c>
      <c r="E2306" s="1190">
        <v>9</v>
      </c>
      <c r="F2306" s="1191">
        <f>IF(AND(Brick_type&lt;&gt;"Timber Frame",Plasterboard?&lt;&gt;"Yes"),IF(COUNTIFS(Address,"*BINNINGUP*")&gt;0,Sand_Brickies_FF,0),0)</f>
        <v>0</v>
      </c>
      <c r="G2306" s="1192"/>
      <c r="H2306" s="1193" t="s">
        <v>2530</v>
      </c>
      <c r="I2306" s="1207"/>
      <c r="J2306" s="1194" t="str">
        <f>IF(Table5[[#This Row],[Entered]]&lt;&gt;Table5[[#This Row],[Quantity]],"Check","")</f>
        <v/>
      </c>
    </row>
    <row r="2307" spans="1:10" s="1198" customFormat="1" ht="15" x14ac:dyDescent="0.2">
      <c r="A2307" s="1200" t="s">
        <v>1381</v>
      </c>
      <c r="B2307" s="1190" t="str">
        <f t="shared" si="124"/>
        <v>0460</v>
      </c>
      <c r="C2307" s="1190">
        <f>52048</f>
        <v>52048</v>
      </c>
      <c r="D2307" s="1190" t="str">
        <f>"0320"</f>
        <v>0320</v>
      </c>
      <c r="E2307" s="1190">
        <v>9</v>
      </c>
      <c r="F2307" s="1191">
        <f>IF(AND(Brick_type&lt;&gt;"Timber Frame",Plasterboard?&lt;&gt;"Yes"),IF(COUNTIFS(Address,"*BRUNSWICK*")&gt;0,Sand_Brickies_FF,0),0)</f>
        <v>0</v>
      </c>
      <c r="G2307" s="1192"/>
      <c r="H2307" s="1193" t="s">
        <v>2541</v>
      </c>
      <c r="I2307" s="1207"/>
      <c r="J2307" s="1194" t="str">
        <f>IF(Table5[[#This Row],[Entered]]&lt;&gt;Table5[[#This Row],[Quantity]],"Check","")</f>
        <v/>
      </c>
    </row>
    <row r="2308" spans="1:10" s="1198" customFormat="1" ht="15" x14ac:dyDescent="0.2">
      <c r="A2308" s="1200" t="s">
        <v>1381</v>
      </c>
      <c r="B2308" s="1190" t="str">
        <f t="shared" si="124"/>
        <v>0460</v>
      </c>
      <c r="C2308" s="1190">
        <f>52048</f>
        <v>52048</v>
      </c>
      <c r="D2308" s="1190" t="str">
        <f>"0301"</f>
        <v>0301</v>
      </c>
      <c r="E2308" s="1190">
        <v>9</v>
      </c>
      <c r="F2308" s="1191">
        <f>IF(AND(Brick_type&lt;&gt;"Timber Frame",Plasterboard?&lt;&gt;"Yes"),IF(COUNTIFS(Address,"*BUNBURY*",Address,"*GLEN IRIS*",Address,"*DALYELLUP*")&gt;0,Sand_Brickies_FF,0),0)</f>
        <v>0</v>
      </c>
      <c r="G2308" s="1192"/>
      <c r="H2308" s="1193" t="s">
        <v>2531</v>
      </c>
      <c r="I2308" s="1207"/>
      <c r="J2308" s="1194" t="str">
        <f>IF(Table5[[#This Row],[Entered]]&lt;&gt;Table5[[#This Row],[Quantity]],"Check","")</f>
        <v/>
      </c>
    </row>
    <row r="2309" spans="1:10" s="1198" customFormat="1" ht="15" x14ac:dyDescent="0.2">
      <c r="A2309" s="1200" t="s">
        <v>1381</v>
      </c>
      <c r="B2309" s="1190" t="str">
        <f t="shared" si="124"/>
        <v>0460</v>
      </c>
      <c r="C2309" s="1190">
        <f>52048</f>
        <v>52048</v>
      </c>
      <c r="D2309" s="1190" t="str">
        <f>"0306"</f>
        <v>0306</v>
      </c>
      <c r="E2309" s="1190">
        <v>9</v>
      </c>
      <c r="F2309" s="1191">
        <f>IF(AND(Brick_type&lt;&gt;"Timber Frame",Plasterboard?&lt;&gt;"Yes"),IF(COUNTIFS(Address,"*BUSSELTON*",Address,"*KEALY*",Address,"*GEOGRAPHE*",Address,"*YALYALUP*",Address,"*PROVENCE*",Address,"*VASSE*")&gt;0,Sand_Brickies_FF,0),0)</f>
        <v>0</v>
      </c>
      <c r="G2309" s="1192"/>
      <c r="H2309" s="1193" t="s">
        <v>2527</v>
      </c>
      <c r="I2309" s="1207"/>
      <c r="J2309" s="1194" t="str">
        <f>IF(Table5[[#This Row],[Entered]]&lt;&gt;Table5[[#This Row],[Quantity]],"Check","")</f>
        <v/>
      </c>
    </row>
    <row r="2310" spans="1:10" s="1198" customFormat="1" ht="15" x14ac:dyDescent="0.2">
      <c r="A2310" s="1200" t="s">
        <v>1381</v>
      </c>
      <c r="B2310" s="1190" t="str">
        <f t="shared" si="124"/>
        <v>0460</v>
      </c>
      <c r="C2310" s="1190">
        <f>52048</f>
        <v>52048</v>
      </c>
      <c r="D2310" s="1190" t="str">
        <f>"0300"</f>
        <v>0300</v>
      </c>
      <c r="E2310" s="1190">
        <v>9</v>
      </c>
      <c r="F2310" s="1191">
        <f>IF(AND(Brick_type&lt;&gt;"Timber Frame",Plasterboard?&lt;&gt;"Yes"),IF(COUNTIFS(Address,"*CAPEL*")&gt;0,Sand_Brickies_FF,0),0)</f>
        <v>0</v>
      </c>
      <c r="G2310" s="1192"/>
      <c r="H2310" s="1193" t="s">
        <v>2533</v>
      </c>
      <c r="I2310" s="1207"/>
      <c r="J2310" s="1194" t="str">
        <f>IF(Table5[[#This Row],[Entered]]&lt;&gt;Table5[[#This Row],[Quantity]],"Check","")</f>
        <v/>
      </c>
    </row>
    <row r="2311" spans="1:10" s="1198" customFormat="1" ht="15" x14ac:dyDescent="0.2">
      <c r="A2311" s="1200" t="s">
        <v>1381</v>
      </c>
      <c r="B2311" s="1190" t="str">
        <f t="shared" si="124"/>
        <v>0460</v>
      </c>
      <c r="C2311" s="1190">
        <f>52048</f>
        <v>52048</v>
      </c>
      <c r="D2311" s="1190" t="str">
        <f>"0308"</f>
        <v>0308</v>
      </c>
      <c r="E2311" s="1190">
        <v>9</v>
      </c>
      <c r="F2311" s="1191">
        <f>IF(AND(Brick_type&lt;&gt;"Timber Frame",Plasterboard?&lt;&gt;"Yes"),IF(COUNTIFS(Address,"*COLLIE*")&gt;0,Sand_Brickies_FF,0),0)</f>
        <v>0</v>
      </c>
      <c r="G2311" s="1192"/>
      <c r="H2311" s="1193" t="s">
        <v>2537</v>
      </c>
      <c r="I2311" s="1207"/>
      <c r="J2311" s="1194" t="str">
        <f>IF(Table5[[#This Row],[Entered]]&lt;&gt;Table5[[#This Row],[Quantity]],"Check","")</f>
        <v/>
      </c>
    </row>
    <row r="2312" spans="1:10" s="1198" customFormat="1" ht="15" x14ac:dyDescent="0.2">
      <c r="A2312" s="1200" t="s">
        <v>1381</v>
      </c>
      <c r="B2312" s="1190" t="str">
        <f t="shared" si="124"/>
        <v>0460</v>
      </c>
      <c r="C2312" s="1190">
        <f>52048</f>
        <v>52048</v>
      </c>
      <c r="D2312" s="1190" t="str">
        <f>"0304"</f>
        <v>0304</v>
      </c>
      <c r="E2312" s="1190">
        <v>9</v>
      </c>
      <c r="F2312" s="1191">
        <f>IF(AND(Brick_type&lt;&gt;"Timber Frame",Plasterboard?&lt;&gt;"Yes"),IF(COUNTIFS(Address,"*DARDANUP*")&gt;0,Sand_Brickies_FF,0),0)</f>
        <v>0</v>
      </c>
      <c r="G2312" s="1192"/>
      <c r="H2312" s="1193" t="s">
        <v>2540</v>
      </c>
      <c r="I2312" s="1207"/>
      <c r="J2312" s="1194" t="str">
        <f>IF(Table5[[#This Row],[Entered]]&lt;&gt;Table5[[#This Row],[Quantity]],"Check","")</f>
        <v/>
      </c>
    </row>
    <row r="2313" spans="1:10" s="1198" customFormat="1" ht="15" x14ac:dyDescent="0.2">
      <c r="A2313" s="1200" t="s">
        <v>1381</v>
      </c>
      <c r="B2313" s="1190" t="str">
        <f t="shared" si="124"/>
        <v>0460</v>
      </c>
      <c r="C2313" s="1190">
        <f>52048</f>
        <v>52048</v>
      </c>
      <c r="D2313" s="1190" t="str">
        <f>"0307"</f>
        <v>0307</v>
      </c>
      <c r="E2313" s="1190">
        <v>9</v>
      </c>
      <c r="F2313" s="1191">
        <f>IF(AND(Brick_type&lt;&gt;"Timber Frame",Plasterboard?&lt;&gt;"Yes"),IF(COUNTIFS(Address,"*DONNYBROOK*")&gt;0,Sand_Brickies_FF,0),0)</f>
        <v>0</v>
      </c>
      <c r="G2313" s="1192"/>
      <c r="H2313" s="1193" t="s">
        <v>2535</v>
      </c>
      <c r="I2313" s="1207"/>
      <c r="J2313" s="1194" t="str">
        <f>IF(Table5[[#This Row],[Entered]]&lt;&gt;Table5[[#This Row],[Quantity]],"Check","")</f>
        <v/>
      </c>
    </row>
    <row r="2314" spans="1:10" s="1198" customFormat="1" ht="15" x14ac:dyDescent="0.2">
      <c r="A2314" s="1200" t="s">
        <v>1381</v>
      </c>
      <c r="B2314" s="1190" t="str">
        <f t="shared" si="124"/>
        <v>0460</v>
      </c>
      <c r="C2314" s="1190">
        <f>52048</f>
        <v>52048</v>
      </c>
      <c r="D2314" s="1190" t="str">
        <f>"0307"</f>
        <v>0307</v>
      </c>
      <c r="E2314" s="1190">
        <v>9</v>
      </c>
      <c r="F2314" s="1191">
        <f>IF(AND(Brick_type&lt;&gt;"Timber Frame",Plasterboard?&lt;&gt;"Yes"),IF(COUNTIFS(Address,"*DUNSBOROUGH*")&gt;0,Sand_Brickies_FF,0),0)</f>
        <v>0</v>
      </c>
      <c r="G2314" s="1192"/>
      <c r="H2314" s="1193" t="s">
        <v>2534</v>
      </c>
      <c r="I2314" s="1207"/>
      <c r="J2314" s="1194" t="str">
        <f>IF(Table5[[#This Row],[Entered]]&lt;&gt;Table5[[#This Row],[Quantity]],"Check","")</f>
        <v/>
      </c>
    </row>
    <row r="2315" spans="1:10" s="1198" customFormat="1" ht="15" x14ac:dyDescent="0.2">
      <c r="A2315" s="1200" t="s">
        <v>1381</v>
      </c>
      <c r="B2315" s="1190" t="str">
        <f t="shared" si="124"/>
        <v>0460</v>
      </c>
      <c r="C2315" s="1190">
        <f>52048</f>
        <v>52048</v>
      </c>
      <c r="D2315" s="1190" t="str">
        <f>"0303"</f>
        <v>0303</v>
      </c>
      <c r="E2315" s="1190">
        <v>9</v>
      </c>
      <c r="F2315" s="1191">
        <f>IF(AND(Brick_type&lt;&gt;"Timber Frame",Plasterboard?&lt;&gt;"Yes"),IF(COUNTIFS(Address,"*EATON*",Address,"*MILLBRIDGE*")&gt;0,Sand_Brickies_FF,0),0)</f>
        <v>0</v>
      </c>
      <c r="G2315" s="1192"/>
      <c r="H2315" s="1193" t="s">
        <v>2532</v>
      </c>
      <c r="I2315" s="1207"/>
      <c r="J2315" s="1194" t="str">
        <f>IF(Table5[[#This Row],[Entered]]&lt;&gt;Table5[[#This Row],[Quantity]],"Check","")</f>
        <v/>
      </c>
    </row>
    <row r="2316" spans="1:10" s="1198" customFormat="1" ht="15" x14ac:dyDescent="0.2">
      <c r="A2316" s="1200" t="s">
        <v>1381</v>
      </c>
      <c r="B2316" s="1190" t="str">
        <f t="shared" si="124"/>
        <v>0460</v>
      </c>
      <c r="C2316" s="1190">
        <f>52048</f>
        <v>52048</v>
      </c>
      <c r="D2316" s="1190" t="str">
        <f>"0302"</f>
        <v>0302</v>
      </c>
      <c r="E2316" s="1190">
        <v>9</v>
      </c>
      <c r="F2316" s="1191">
        <f>IF(AND(Brick_type&lt;&gt;"Timber Frame",Plasterboard?&lt;&gt;"Yes"),IF(COUNTIFS(Address,"*GELORUP*",Address,"*DALYELLUP*")&gt;0,Sand_Brickies_FF,0),0)</f>
        <v>0</v>
      </c>
      <c r="G2316" s="1192"/>
      <c r="H2316" s="1193" t="s">
        <v>2542</v>
      </c>
      <c r="I2316" s="1207"/>
      <c r="J2316" s="1194" t="str">
        <f>IF(Table5[[#This Row],[Entered]]&lt;&gt;Table5[[#This Row],[Quantity]],"Check","")</f>
        <v/>
      </c>
    </row>
    <row r="2317" spans="1:10" s="1198" customFormat="1" ht="15" x14ac:dyDescent="0.2">
      <c r="A2317" s="1200" t="s">
        <v>1381</v>
      </c>
      <c r="B2317" s="1190" t="str">
        <f t="shared" si="124"/>
        <v>0460</v>
      </c>
      <c r="C2317" s="1190">
        <f>52048</f>
        <v>52048</v>
      </c>
      <c r="D2317" s="1190" t="str">
        <f>"0323"</f>
        <v>0323</v>
      </c>
      <c r="E2317" s="1190">
        <v>9</v>
      </c>
      <c r="F2317" s="1191">
        <f>IF(AND(Brick_type&lt;&gt;"Timber Frame",Plasterboard?&lt;&gt;"Yes"),IF(COUNTIFS(Address,"*HARVEY*")&gt;0,Sand_Brickies_FF,0),0)</f>
        <v>0</v>
      </c>
      <c r="G2317" s="1192"/>
      <c r="H2317" s="1193" t="s">
        <v>2536</v>
      </c>
      <c r="I2317" s="1207"/>
      <c r="J2317" s="1194" t="str">
        <f>IF(Table5[[#This Row],[Entered]]&lt;&gt;Table5[[#This Row],[Quantity]],"Check","")</f>
        <v/>
      </c>
    </row>
    <row r="2318" spans="1:10" s="1198" customFormat="1" ht="15" x14ac:dyDescent="0.2">
      <c r="A2318" s="1200" t="s">
        <v>1381</v>
      </c>
      <c r="B2318" s="1190" t="str">
        <f t="shared" si="124"/>
        <v>0460</v>
      </c>
      <c r="C2318" s="1190">
        <f>52048</f>
        <v>52048</v>
      </c>
      <c r="D2318" s="1190" t="str">
        <f>"0322"</f>
        <v>0322</v>
      </c>
      <c r="E2318" s="1190">
        <v>9</v>
      </c>
      <c r="F2318" s="1191">
        <f>IF(AND(Brick_type&lt;&gt;"Timber Frame",Plasterboard?&lt;&gt;"Yes"),IF(COUNTIFS(Address,"*MYALUP*")&gt;0,Sand_Brickies_FF,0),0)</f>
        <v>0</v>
      </c>
      <c r="G2318" s="1192"/>
      <c r="H2318" s="1193" t="s">
        <v>2543</v>
      </c>
      <c r="I2318" s="1207"/>
      <c r="J2318" s="1194" t="str">
        <f>IF(Table5[[#This Row],[Entered]]&lt;&gt;Table5[[#This Row],[Quantity]],"Check","")</f>
        <v/>
      </c>
    </row>
    <row r="2319" spans="1:10" s="1198" customFormat="1" ht="15" x14ac:dyDescent="0.2">
      <c r="A2319" s="1200" t="s">
        <v>1381</v>
      </c>
      <c r="B2319" s="1190" t="str">
        <f t="shared" si="124"/>
        <v>0460</v>
      </c>
      <c r="C2319" s="1190">
        <f>52048</f>
        <v>52048</v>
      </c>
      <c r="D2319" s="1190" t="str">
        <f>"0305"</f>
        <v>0305</v>
      </c>
      <c r="E2319" s="1190">
        <v>9</v>
      </c>
      <c r="F2319" s="1191">
        <f>IF(AND(Brick_type&lt;&gt;"Timber Frame",Plasterboard?&lt;&gt;"Yes"),IF(COUNTIFS(Address,"*PEPPERMINT BEACH*")&gt;0,Sand_Brickies_FF,0),0)</f>
        <v>0</v>
      </c>
      <c r="G2319" s="1192"/>
      <c r="H2319" s="1193" t="s">
        <v>2544</v>
      </c>
      <c r="I2319" s="1207"/>
      <c r="J2319" s="1194" t="str">
        <f>IF(Table5[[#This Row],[Entered]]&lt;&gt;Table5[[#This Row],[Quantity]],"Check","")</f>
        <v/>
      </c>
    </row>
    <row r="2320" spans="1:10" s="1198" customFormat="1" ht="15" x14ac:dyDescent="0.2">
      <c r="A2320" s="1200" t="s">
        <v>1381</v>
      </c>
      <c r="B2320" s="1190" t="str">
        <f t="shared" si="124"/>
        <v>0460</v>
      </c>
      <c r="C2320" s="1190">
        <f>52048</f>
        <v>52048</v>
      </c>
      <c r="D2320" s="1190" t="str">
        <f>"0327"</f>
        <v>0327</v>
      </c>
      <c r="E2320" s="1190">
        <v>9</v>
      </c>
      <c r="F2320" s="1191">
        <f>IF(AND(Brick_type&lt;&gt;"Timber Frame",Plasterboard?&lt;&gt;"Yes"),IF(COUNTIFS(Address,"*WAROONA*")&gt;0,Sand_Brickies_FF_FF,0),0)</f>
        <v>0</v>
      </c>
      <c r="G2320" s="1201"/>
      <c r="H2320" s="1193" t="s">
        <v>2539</v>
      </c>
      <c r="I2320" s="1207"/>
      <c r="J2320" s="1194" t="str">
        <f>IF(Table5[[#This Row],[Entered]]&lt;&gt;Table5[[#This Row],[Quantity]],"Check","")</f>
        <v/>
      </c>
    </row>
    <row r="2321" spans="1:10" s="1198" customFormat="1" ht="15" x14ac:dyDescent="0.2">
      <c r="A2321" s="1200" t="s">
        <v>1381</v>
      </c>
      <c r="B2321" s="1190" t="str">
        <f t="shared" si="124"/>
        <v>0460</v>
      </c>
      <c r="C2321" s="1190">
        <f>52048</f>
        <v>52048</v>
      </c>
      <c r="D2321" s="1190" t="str">
        <f>"0604"</f>
        <v>0604</v>
      </c>
      <c r="E2321" s="1190">
        <v>9</v>
      </c>
      <c r="F2321" s="1191">
        <f>IF(AND(Brick_type&lt;&gt;"Timber Frame",Plasterboard?&lt;&gt;"Yes"),IF(COUNTIFS(Address,"*AUGUSTA*")&gt;0,Sand_Brickies_FF,0),0)</f>
        <v>0</v>
      </c>
      <c r="G2321" s="1192"/>
      <c r="H2321" s="1193" t="s">
        <v>2538</v>
      </c>
      <c r="I2321" s="1207"/>
      <c r="J2321" s="1194" t="str">
        <f>IF(Table5[[#This Row],[Entered]]&lt;&gt;Table5[[#This Row],[Quantity]],"Check","")</f>
        <v/>
      </c>
    </row>
    <row r="2322" spans="1:10" s="1198" customFormat="1" ht="15" x14ac:dyDescent="0.2">
      <c r="A2322" s="1200" t="s">
        <v>1381</v>
      </c>
      <c r="B2322" s="1190" t="str">
        <f t="shared" si="124"/>
        <v>0460</v>
      </c>
      <c r="C2322" s="1190">
        <f>52048</f>
        <v>52048</v>
      </c>
      <c r="D2322" s="1190" t="str">
        <f>"0603"</f>
        <v>0603</v>
      </c>
      <c r="E2322" s="1190">
        <v>9</v>
      </c>
      <c r="F2322" s="1191">
        <f>IF(AND(Brick_type&lt;&gt;"Timber Frame",Plasterboard?&lt;&gt;"Yes"),IF(COUNTIFS(Address,"*MARGARET RIVER*")&gt;0,Sand_Brickies_FF,0),0)</f>
        <v>0</v>
      </c>
      <c r="G2322" s="1192"/>
      <c r="H2322" s="1193" t="s">
        <v>2545</v>
      </c>
      <c r="I2322" s="1207"/>
      <c r="J2322" s="1194" t="str">
        <f>IF(Table5[[#This Row],[Entered]]&lt;&gt;Table5[[#This Row],[Quantity]],"Check","")</f>
        <v/>
      </c>
    </row>
    <row r="2323" spans="1:10" s="1198" customFormat="1" ht="15" x14ac:dyDescent="0.2">
      <c r="A2323" s="1200" t="s">
        <v>1381</v>
      </c>
      <c r="B2323" s="1190" t="str">
        <f t="shared" si="124"/>
        <v>0460</v>
      </c>
      <c r="C2323" s="1190">
        <f>52048</f>
        <v>52048</v>
      </c>
      <c r="D2323" s="1190" t="str">
        <f>"0326"</f>
        <v>0326</v>
      </c>
      <c r="E2323" s="1190">
        <v>9</v>
      </c>
      <c r="F2323" s="1191">
        <f>IF(AND(Brick_type&lt;&gt;"Timber Frame",Plasterboard?&lt;&gt;"Yes"),IF(COUNTIFS(Address,"*YALLINGUP*")&gt;0,Sand_Brickies_FF,0),0)</f>
        <v>0</v>
      </c>
      <c r="G2323" s="1192"/>
      <c r="H2323" s="1193" t="s">
        <v>2546</v>
      </c>
      <c r="I2323" s="1207"/>
      <c r="J2323" s="1194" t="str">
        <f>IF(Table5[[#This Row],[Entered]]&lt;&gt;Table5[[#This Row],[Quantity]],"Check","")</f>
        <v/>
      </c>
    </row>
    <row r="2324" spans="1:10" s="1198" customFormat="1" ht="15" x14ac:dyDescent="0.2">
      <c r="A2324" s="1200" t="s">
        <v>1381</v>
      </c>
      <c r="B2324" s="1190" t="str">
        <f t="shared" si="124"/>
        <v>0460</v>
      </c>
      <c r="C2324" s="1190">
        <f>52048</f>
        <v>52048</v>
      </c>
      <c r="D2324" s="1190" t="str">
        <f>"0605"</f>
        <v>0605</v>
      </c>
      <c r="E2324" s="1190">
        <v>9</v>
      </c>
      <c r="F2324" s="1191">
        <f>IF(AND(Brick_type&lt;&gt;"Timber Frame",Plasterboard?&lt;&gt;"Yes"),IF(COUNTIFS(Address,"*COWARAMUP*")&gt;0,Sand_Brickies_FF,0),0)</f>
        <v>0</v>
      </c>
      <c r="G2324" s="1192"/>
      <c r="H2324" s="1193" t="s">
        <v>2547</v>
      </c>
      <c r="I2324" s="1207"/>
      <c r="J2324" s="1194" t="str">
        <f>IF(Table5[[#This Row],[Entered]]&lt;&gt;Table5[[#This Row],[Quantity]],"Check","")</f>
        <v/>
      </c>
    </row>
    <row r="2325" spans="1:10" s="1198" customFormat="1" ht="15" x14ac:dyDescent="0.2">
      <c r="A2325" s="1200" t="s">
        <v>1381</v>
      </c>
      <c r="B2325" s="1190" t="str">
        <f t="shared" si="124"/>
        <v>0460</v>
      </c>
      <c r="C2325" s="1190">
        <f>52048</f>
        <v>52048</v>
      </c>
      <c r="D2325" s="1200">
        <v>7000</v>
      </c>
      <c r="E2325" s="1190">
        <v>9</v>
      </c>
      <c r="F2325" s="1191">
        <f>IF(AND(Brick_type&lt;&gt;"Timber Frame",Plasterboard?&lt;&gt;"Yes"),IF(COUNTIFS(Address,"*MANJIMUP*")&gt;0,Sand_Brickies_FF_FF,0),0)</f>
        <v>0</v>
      </c>
      <c r="G2325" s="1201">
        <v>0</v>
      </c>
      <c r="H2325" s="1202" t="s">
        <v>1714</v>
      </c>
      <c r="I2325" s="1205"/>
      <c r="J2325" s="1194" t="str">
        <f>IF(Table5[[#This Row],[Entered]]&lt;&gt;Table5[[#This Row],[Quantity]],"Check","")</f>
        <v/>
      </c>
    </row>
    <row r="2326" spans="1:10" s="1198" customFormat="1" ht="15" x14ac:dyDescent="0.2">
      <c r="A2326" s="1190"/>
      <c r="B2326" s="1190"/>
      <c r="C2326" s="1190"/>
      <c r="D2326" s="1190"/>
      <c r="E2326" s="1190"/>
      <c r="F2326" s="1191"/>
      <c r="G2326" s="1192"/>
      <c r="H2326" s="1193"/>
      <c r="I2326" s="1207"/>
      <c r="J2326" s="1194" t="str">
        <f>IF(Table5[[#This Row],[Entered]]&lt;&gt;Table5[[#This Row],[Quantity]],"Check","")</f>
        <v/>
      </c>
    </row>
    <row r="2327" spans="1:10" s="1198" customFormat="1" ht="15" x14ac:dyDescent="0.2">
      <c r="A2327" s="1190" t="s">
        <v>1381</v>
      </c>
      <c r="B2327" s="1190" t="s">
        <v>578</v>
      </c>
      <c r="C2327" s="1190">
        <v>12717</v>
      </c>
      <c r="D2327" s="1190" t="s">
        <v>663</v>
      </c>
      <c r="E2327" s="1190">
        <v>1</v>
      </c>
      <c r="F2327" s="1191">
        <f>IF(COUNTIFS(Addenda!A:A,"Mortar*",Addenda!A:A,"*White*")&gt;0,IF((ISNUMBER(SEARCH("Busselton",Locality))),CEILING((SUM('Brickwork FF'!$I$31:$I$35,'Brickwork FF'!$S$31:$S$35)/1000)*10,5),0),0)</f>
        <v>0</v>
      </c>
      <c r="G2327" s="1192"/>
      <c r="H2327" s="1193" t="s">
        <v>1031</v>
      </c>
      <c r="I2327" s="1207"/>
      <c r="J2327" s="1194" t="str">
        <f>IF(Table5[[#This Row],[Entered]]&lt;&gt;Table5[[#This Row],[Quantity]],"Check","")</f>
        <v/>
      </c>
    </row>
    <row r="2328" spans="1:10" s="1198" customFormat="1" ht="15" x14ac:dyDescent="0.2">
      <c r="A2328" s="1190" t="s">
        <v>1381</v>
      </c>
      <c r="B2328" s="1190" t="s">
        <v>578</v>
      </c>
      <c r="C2328" s="1190">
        <v>12717</v>
      </c>
      <c r="D2328" s="1190" t="s">
        <v>664</v>
      </c>
      <c r="E2328" s="1190">
        <v>1</v>
      </c>
      <c r="F2328" s="1191">
        <f>IF(COUNTIFS(Addenda!A:A,"Mortar*",Addenda!A:A,"*White*")&gt;0,IF((ISNUMBER(SEARCH("Busselton",Locality))),CEILING((SUM('Brickwork FF'!$I$31:$I$35,'Brickwork FF'!$S$31:$S$35)/1000)*3,5),0),0)</f>
        <v>0</v>
      </c>
      <c r="G2328" s="1192"/>
      <c r="H2328" s="1193" t="s">
        <v>1032</v>
      </c>
      <c r="I2328" s="1207"/>
      <c r="J2328" s="1194" t="str">
        <f>IF(Table5[[#This Row],[Entered]]&lt;&gt;Table5[[#This Row],[Quantity]],"Check","")</f>
        <v/>
      </c>
    </row>
    <row r="2329" spans="1:10" s="1198" customFormat="1" ht="15" x14ac:dyDescent="0.2">
      <c r="A2329" s="1190" t="s">
        <v>1381</v>
      </c>
      <c r="B2329" s="1190" t="s">
        <v>578</v>
      </c>
      <c r="C2329" s="1190">
        <v>12717</v>
      </c>
      <c r="D2329" s="1190">
        <f>30</f>
        <v>30</v>
      </c>
      <c r="E2329" s="1190">
        <v>1</v>
      </c>
      <c r="F2329" s="1191">
        <f>IF(AND(F2327=0,((ISNUMBER(SEARCH("Busselton",Locality)))),(Corrosion_Classification="R4")),CEILING((SUM('Brickwork FF'!$I$31:$I$35,'Brickwork FF'!$S$31:$S$35)/1000)*14,5),0)</f>
        <v>0</v>
      </c>
      <c r="G2329" s="1192"/>
      <c r="H2329" s="1193" t="s">
        <v>1249</v>
      </c>
      <c r="I2329" s="1207"/>
      <c r="J2329" s="1194" t="str">
        <f>IF(Table5[[#This Row],[Entered]]&lt;&gt;Table5[[#This Row],[Quantity]],"Check","")</f>
        <v/>
      </c>
    </row>
    <row r="2330" spans="1:10" s="1198" customFormat="1" ht="15" x14ac:dyDescent="0.2">
      <c r="A2330" s="1190" t="s">
        <v>1381</v>
      </c>
      <c r="B2330" s="1190" t="s">
        <v>578</v>
      </c>
      <c r="C2330" s="1190">
        <v>12717</v>
      </c>
      <c r="D2330" s="1190">
        <f>50</f>
        <v>50</v>
      </c>
      <c r="E2330" s="1190">
        <v>1</v>
      </c>
      <c r="F2330" s="1191">
        <f>IF((ISNUMBER(SEARCH("Busselton",Locality))),CEILING((SUM('Brickwork FF'!I62:I64,'Brickwork FF'!I88:I90)/1000)*14,5),0)</f>
        <v>0</v>
      </c>
      <c r="G2330" s="1192"/>
      <c r="H2330" s="1193" t="s">
        <v>945</v>
      </c>
      <c r="I2330" s="1207"/>
      <c r="J2330" s="1194" t="str">
        <f>IF(Table5[[#This Row],[Entered]]&lt;&gt;Table5[[#This Row],[Quantity]],"Check","")</f>
        <v/>
      </c>
    </row>
    <row r="2331" spans="1:10" s="1198" customFormat="1" ht="15" x14ac:dyDescent="0.2">
      <c r="A2331" s="1190" t="s">
        <v>1381</v>
      </c>
      <c r="B2331" s="1190" t="s">
        <v>578</v>
      </c>
      <c r="C2331" s="1190">
        <v>12717</v>
      </c>
      <c r="D2331" s="1190">
        <f>60</f>
        <v>60</v>
      </c>
      <c r="E2331" s="1190">
        <v>1</v>
      </c>
      <c r="F2331" s="1191">
        <f>IF(AND(F2327=0,(ISNUMBER(SEARCH("Busselton",Locality))),Corrosion_Classification&lt;&gt;"R4"),CEILING((SUM('Brickwork FF'!$I$31:$I$35,'Brickwork FF'!$S$31:$S$35)/1000)*14,5),0)</f>
        <v>0</v>
      </c>
      <c r="G2331" s="1192"/>
      <c r="H2331" s="1193" t="s">
        <v>946</v>
      </c>
      <c r="I2331" s="1207"/>
      <c r="J2331" s="1194" t="str">
        <f>IF(Table5[[#This Row],[Entered]]&lt;&gt;Table5[[#This Row],[Quantity]],"Check","")</f>
        <v/>
      </c>
    </row>
    <row r="2332" spans="1:10" s="1198" customFormat="1" ht="15" x14ac:dyDescent="0.2">
      <c r="A2332" s="1190" t="s">
        <v>1381</v>
      </c>
      <c r="B2332" s="1190" t="s">
        <v>578</v>
      </c>
      <c r="C2332" s="1190">
        <v>12717</v>
      </c>
      <c r="D2332" s="1190">
        <f>125</f>
        <v>125</v>
      </c>
      <c r="E2332" s="1190" t="s">
        <v>1239</v>
      </c>
      <c r="F2332" s="1191">
        <f>IF(AND(Locality="Busselton",'Brickwork FF'!H95="Yes",FF_Area&gt;0,Brick_typeFF&lt;&gt;"Timber Frame",Brick_typeFF&lt;&gt;"Brick Veneer"),'Brickwork FF'!I103,0)+IF(AND(Locality="Busselton",FF_Area&gt;0,Brick_typeFF&lt;&gt;"Timber Frame",Brick_typeFF&lt;&gt;"Brick Veneer"),(COUNTIF(Lintel_Length,"&gt;4.8")*8),0)</f>
        <v>0</v>
      </c>
      <c r="G2332" s="1192"/>
      <c r="H2332" s="1193" t="s">
        <v>947</v>
      </c>
      <c r="I2332" s="1207"/>
      <c r="J2332" s="1194" t="str">
        <f>IF(Table5[[#This Row],[Entered]]&lt;&gt;Table5[[#This Row],[Quantity]],"Check","")</f>
        <v/>
      </c>
    </row>
    <row r="2333" spans="1:10" s="1198" customFormat="1" ht="15" x14ac:dyDescent="0.2">
      <c r="A2333" s="1190" t="s">
        <v>1381</v>
      </c>
      <c r="B2333" s="1190" t="s">
        <v>578</v>
      </c>
      <c r="C2333" s="1190">
        <v>12717</v>
      </c>
      <c r="D2333" s="1190">
        <f>127</f>
        <v>127</v>
      </c>
      <c r="E2333" s="1190">
        <v>1</v>
      </c>
      <c r="F2333" s="1191">
        <f>F2332*2</f>
        <v>0</v>
      </c>
      <c r="G2333" s="1192"/>
      <c r="H2333" s="1193" t="s">
        <v>675</v>
      </c>
      <c r="I2333" s="1207"/>
      <c r="J2333" s="1194" t="str">
        <f>IF(Table5[[#This Row],[Entered]]&lt;&gt;Table5[[#This Row],[Quantity]],"Check","")</f>
        <v/>
      </c>
    </row>
    <row r="2334" spans="1:10" s="1198" customFormat="1" ht="15" x14ac:dyDescent="0.2">
      <c r="A2334" s="1190" t="s">
        <v>1381</v>
      </c>
      <c r="B2334" s="1190" t="s">
        <v>578</v>
      </c>
      <c r="C2334" s="1190">
        <v>12717</v>
      </c>
      <c r="D2334" s="1190">
        <f>128</f>
        <v>128</v>
      </c>
      <c r="E2334" s="1190">
        <v>1</v>
      </c>
      <c r="F2334" s="1191">
        <f>IF(Eng_Footing="B1",CEILING(('Brickwork FF'!F4+'Brickwork FF'!F68+'Brickwork FF'!F69)/3000,5),0)</f>
        <v>0</v>
      </c>
      <c r="G2334" s="1192"/>
      <c r="H2334" s="1193" t="s">
        <v>1250</v>
      </c>
      <c r="I2334" s="1207"/>
      <c r="J2334" s="1194" t="str">
        <f>IF(Table5[[#This Row],[Entered]]&lt;&gt;Table5[[#This Row],[Quantity]],"Check","")</f>
        <v/>
      </c>
    </row>
    <row r="2335" spans="1:10" s="1198" customFormat="1" ht="15" x14ac:dyDescent="0.2">
      <c r="A2335" s="1190" t="s">
        <v>1381</v>
      </c>
      <c r="B2335" s="1190" t="s">
        <v>578</v>
      </c>
      <c r="C2335" s="1190">
        <v>12717</v>
      </c>
      <c r="D2335" s="1190">
        <f>135</f>
        <v>135</v>
      </c>
      <c r="E2335" s="1190">
        <v>1</v>
      </c>
      <c r="F2335" s="1191">
        <f>IF((ISNUMBER(SEARCH("Busselton",Locality))),(COUNTIF('CSV FF'!A:A,"Column 50*50*4")*2)+(COUNTIF('CSV FF'!A:A,"Column 42OD")*2)+(ROUNDUP(SUMIFS('Lintel Sheet'!I:I,'Lintel Sheet'!D:D,"Recessed Sill",'Lintel Sheet'!B:B,"First")/0.6,0)),0)</f>
        <v>0</v>
      </c>
      <c r="G2335" s="1192"/>
      <c r="H2335" s="1193" t="s">
        <v>1251</v>
      </c>
      <c r="I2335" s="1207"/>
      <c r="J2335" s="1194" t="str">
        <f>IF(Table5[[#This Row],[Entered]]&lt;&gt;Table5[[#This Row],[Quantity]],"Check","")</f>
        <v/>
      </c>
    </row>
    <row r="2336" spans="1:10" s="1198" customFormat="1" ht="15" x14ac:dyDescent="0.2">
      <c r="A2336" s="1190" t="s">
        <v>1381</v>
      </c>
      <c r="B2336" s="1190" t="s">
        <v>578</v>
      </c>
      <c r="C2336" s="1190">
        <v>12717</v>
      </c>
      <c r="D2336" s="1190">
        <f>1139</f>
        <v>1139</v>
      </c>
      <c r="E2336" s="1190">
        <v>1</v>
      </c>
      <c r="F2336" s="1191">
        <f>IF(AND(OR(Brick_typeFF="Timber Frame",Brick_typeFF="Brick Veneer"),Locality="Busselton"),CEILING(('Brickwork FF'!$F$4+'Brickwork FF'!$F$69)/1200,50)+100,0)+IF(AND(Brick_typeFF="Reverse Brick Veneer",Locality="Busselton"),CEILING(('Brickwork FF'!$F$4)/1200,50)+100,0)</f>
        <v>0</v>
      </c>
      <c r="G2336" s="1192"/>
      <c r="H2336" s="1193" t="s">
        <v>1549</v>
      </c>
      <c r="I2336" s="1207"/>
      <c r="J2336" s="1194" t="str">
        <f>IF(Table5[[#This Row],[Entered]]&lt;&gt;Table5[[#This Row],[Quantity]],"Check","")</f>
        <v/>
      </c>
    </row>
    <row r="2337" spans="1:10" s="1198" customFormat="1" ht="15" x14ac:dyDescent="0.2">
      <c r="A2337" s="1190" t="s">
        <v>1381</v>
      </c>
      <c r="B2337" s="1190" t="s">
        <v>578</v>
      </c>
      <c r="C2337" s="1190">
        <v>12717</v>
      </c>
      <c r="D2337" s="1190">
        <f>1138</f>
        <v>1138</v>
      </c>
      <c r="E2337" s="1190">
        <v>1</v>
      </c>
      <c r="F2337" s="1191">
        <f>ROUNDUP(F2336/200,0)</f>
        <v>0</v>
      </c>
      <c r="G2337" s="1192"/>
      <c r="H2337" s="1193" t="s">
        <v>1376</v>
      </c>
      <c r="I2337" s="1207"/>
      <c r="J2337" s="1194" t="str">
        <f>IF(Table5[[#This Row],[Entered]]&lt;&gt;Table5[[#This Row],[Quantity]],"Check","")</f>
        <v/>
      </c>
    </row>
    <row r="2338" spans="1:10" s="1198" customFormat="1" ht="15" x14ac:dyDescent="0.2">
      <c r="A2338" s="1190" t="s">
        <v>1381</v>
      </c>
      <c r="B2338" s="1190" t="s">
        <v>578</v>
      </c>
      <c r="C2338" s="1190">
        <v>12717</v>
      </c>
      <c r="D2338" s="1190">
        <f>140</f>
        <v>140</v>
      </c>
      <c r="E2338" s="1190">
        <v>1</v>
      </c>
      <c r="F2338" s="1191">
        <f>IF(FF_Area&gt;0,IF(Brick_typeFF="Timber Frame",0,IF((ISNUMBER(SEARCH("Busselton",Locality))),1,0)),0)</f>
        <v>0</v>
      </c>
      <c r="G2338" s="1192"/>
      <c r="H2338" s="1193" t="s">
        <v>676</v>
      </c>
      <c r="I2338" s="1207"/>
      <c r="J2338" s="1194" t="str">
        <f>IF(Table5[[#This Row],[Entered]]&lt;&gt;Table5[[#This Row],[Quantity]],"Check","")</f>
        <v/>
      </c>
    </row>
    <row r="2339" spans="1:10" s="1198" customFormat="1" ht="15" x14ac:dyDescent="0.2">
      <c r="A2339" s="1190" t="s">
        <v>1381</v>
      </c>
      <c r="B2339" s="1190" t="s">
        <v>578</v>
      </c>
      <c r="C2339" s="1190">
        <v>12717</v>
      </c>
      <c r="D2339" s="1190">
        <f>150</f>
        <v>150</v>
      </c>
      <c r="E2339" s="1190">
        <v>1</v>
      </c>
      <c r="F2339" s="1191">
        <f>IF(FF_Area&gt;0,IF(Brick_typeFF="Timber Frame",0,IF((ISNUMBER(SEARCH("Busselton",Locality))),1,0)),0)</f>
        <v>0</v>
      </c>
      <c r="G2339" s="1192"/>
      <c r="H2339" s="1193" t="s">
        <v>677</v>
      </c>
      <c r="I2339" s="1207"/>
      <c r="J2339" s="1194" t="str">
        <f>IF(Table5[[#This Row],[Entered]]&lt;&gt;Table5[[#This Row],[Quantity]],"Check","")</f>
        <v/>
      </c>
    </row>
    <row r="2340" spans="1:10" s="1198" customFormat="1" ht="15" x14ac:dyDescent="0.2">
      <c r="A2340" s="1190" t="s">
        <v>1381</v>
      </c>
      <c r="B2340" s="1190" t="s">
        <v>578</v>
      </c>
      <c r="C2340" s="1190">
        <v>12717</v>
      </c>
      <c r="D2340" s="1190">
        <v>160</v>
      </c>
      <c r="E2340" s="1190">
        <v>1</v>
      </c>
      <c r="F2340" s="1191">
        <f>IF(OR(Brick_typeFF="Timber Frame",Brick_typeFF="Brick Veneer",FF_Area=""),0,IF(AND((ISNUMBER(SEARCH("Busselton",Locality))),(Coastal="No")),CEILING((((FF_Perim)/0.45)*(IF('Brickwork FF'!H4&lt;=27,4,5))),100)+100,0))</f>
        <v>0</v>
      </c>
      <c r="G2340" s="1192"/>
      <c r="H2340" s="1193" t="s">
        <v>1908</v>
      </c>
      <c r="I2340" s="1207"/>
      <c r="J2340" s="1194" t="str">
        <f>IF(Table5[[#This Row],[Entered]]&lt;&gt;Table5[[#This Row],[Quantity]],"Check","")</f>
        <v/>
      </c>
    </row>
    <row r="2341" spans="1:10" s="1198" customFormat="1" ht="15" x14ac:dyDescent="0.2">
      <c r="A2341" s="1190" t="s">
        <v>1381</v>
      </c>
      <c r="B2341" s="1190" t="s">
        <v>578</v>
      </c>
      <c r="C2341" s="1190">
        <v>12717</v>
      </c>
      <c r="D2341" s="1190">
        <v>161</v>
      </c>
      <c r="E2341" s="1190">
        <v>100</v>
      </c>
      <c r="F2341" s="1191">
        <f>IF(OR(FF_Area="",Brick_typeFF="Timber Frame",Brick_typeFF="Brick Veneer",Brick_typeFF="Reverse Brick Veneer"),0,IF(AND((ISNUMBER(SEARCH("Busselton",Locality))),(Coastal="Yes")),CEILING((((FF_Perim)/0.45)*4),100)+100,0))/100</f>
        <v>0</v>
      </c>
      <c r="G2341" s="1192"/>
      <c r="H2341" s="1193" t="s">
        <v>2462</v>
      </c>
      <c r="I2341" s="1207"/>
      <c r="J2341" s="1194" t="str">
        <f>IF(Table5[[#This Row],[Entered]]&lt;&gt;Table5[[#This Row],[Quantity]],"Check","")</f>
        <v/>
      </c>
    </row>
    <row r="2342" spans="1:10" s="1198" customFormat="1" ht="15" x14ac:dyDescent="0.2">
      <c r="A2342" s="1190" t="s">
        <v>1381</v>
      </c>
      <c r="B2342" s="1190" t="s">
        <v>578</v>
      </c>
      <c r="C2342" s="1190">
        <v>12717</v>
      </c>
      <c r="D2342" s="1190">
        <f>180</f>
        <v>180</v>
      </c>
      <c r="E2342" s="1190">
        <v>100</v>
      </c>
      <c r="F2342" s="1191">
        <f>IF(OR(Coastal="Yes",(Brick_typeFF="Timber Frame")),0,IF(Locality="Busselton",COUNTIF('CSV FF'!A:A,"Door Entry*")*10,0))</f>
        <v>0</v>
      </c>
      <c r="G2342" s="1192"/>
      <c r="H2342" s="1193" t="s">
        <v>1252</v>
      </c>
      <c r="I2342" s="1207"/>
      <c r="J2342" s="1194" t="str">
        <f>IF(Table5[[#This Row],[Entered]]&lt;&gt;Table5[[#This Row],[Quantity]],"Check","")</f>
        <v/>
      </c>
    </row>
    <row r="2343" spans="1:10" s="1198" customFormat="1" ht="15" x14ac:dyDescent="0.2">
      <c r="A2343" s="1190" t="s">
        <v>1381</v>
      </c>
      <c r="B2343" s="1190" t="s">
        <v>578</v>
      </c>
      <c r="C2343" s="1190">
        <v>12717</v>
      </c>
      <c r="D2343" s="1190">
        <f>185</f>
        <v>185</v>
      </c>
      <c r="E2343" s="1190">
        <v>1</v>
      </c>
      <c r="F2343" s="1191">
        <f>IF(OR(Coastal="No",(Brick_typeFF="Timber Frame")),0,IF(Locality="Busselton",COUNTIF('CSV FF'!A:A,"Door Entry*")*10,0))</f>
        <v>0</v>
      </c>
      <c r="G2343" s="1192"/>
      <c r="H2343" s="1193" t="s">
        <v>1335</v>
      </c>
      <c r="I2343" s="1207"/>
      <c r="J2343" s="1194" t="str">
        <f>IF(Table5[[#This Row],[Entered]]&lt;&gt;Table5[[#This Row],[Quantity]],"Check","")</f>
        <v/>
      </c>
    </row>
    <row r="2344" spans="1:10" s="1198" customFormat="1" ht="15" x14ac:dyDescent="0.2">
      <c r="A2344" s="1190" t="s">
        <v>1381</v>
      </c>
      <c r="B2344" s="1190" t="s">
        <v>578</v>
      </c>
      <c r="C2344" s="1190">
        <v>12717</v>
      </c>
      <c r="D2344" s="1190">
        <f>210</f>
        <v>210</v>
      </c>
      <c r="E2344" s="1190">
        <v>1</v>
      </c>
      <c r="F2344" s="1191">
        <v>0</v>
      </c>
      <c r="G2344" s="1192"/>
      <c r="H2344" s="1193" t="s">
        <v>678</v>
      </c>
      <c r="I2344" s="1207"/>
      <c r="J2344" s="1194" t="str">
        <f>IF(Table5[[#This Row],[Entered]]&lt;&gt;Table5[[#This Row],[Quantity]],"Check","")</f>
        <v/>
      </c>
    </row>
    <row r="2345" spans="1:10" s="1198" customFormat="1" ht="15" x14ac:dyDescent="0.2">
      <c r="A2345" s="1190" t="s">
        <v>1381</v>
      </c>
      <c r="B2345" s="1190" t="s">
        <v>578</v>
      </c>
      <c r="C2345" s="1190">
        <v>12717</v>
      </c>
      <c r="D2345" s="1190">
        <v>242</v>
      </c>
      <c r="E2345" s="1190">
        <v>1</v>
      </c>
      <c r="F2345" s="1191">
        <f>IF(Locality="Busselton",IF(OR(Brick_type="Timber Frame",Brick_type="Brick Veneer"),0,IF(OR(Wind_Rating="N3",Wind_Rating="N4"),CEILING(FF_Perim/IF(Roof_Type="Steel Roof",0.9,0.6),5),IF(Roof_Type="Steel Roof",CEILING(FF_Perim/0.9,5),0))),0)</f>
        <v>0</v>
      </c>
      <c r="G2345" s="1192"/>
      <c r="H2345" s="1193" t="s">
        <v>2333</v>
      </c>
      <c r="I2345" s="1207"/>
      <c r="J2345" s="1194" t="str">
        <f>IF(Table5[[#This Row],[Entered]]&lt;&gt;Table5[[#This Row],[Quantity]],"Check","")</f>
        <v/>
      </c>
    </row>
    <row r="2346" spans="1:10" s="1198" customFormat="1" ht="15" x14ac:dyDescent="0.2">
      <c r="A2346" s="1190" t="s">
        <v>1381</v>
      </c>
      <c r="B2346" s="1190" t="s">
        <v>578</v>
      </c>
      <c r="C2346" s="1190">
        <v>12717</v>
      </c>
      <c r="D2346" s="1190">
        <v>244</v>
      </c>
      <c r="E2346" s="1190">
        <v>1</v>
      </c>
      <c r="F2346" s="1191">
        <f>IF(Locality="Busselton",IF(OR(Brick_type="Timber Frame",Brick_type="Brick Veneer"),0,IF(OR(Wind_Rating="N3",Wind_Rating="N4"),ROUNDUP((COUNTIFS('Lintel Sheet'!B:B,"First",'Lintel Sheet'!I:I,"&gt;2490")*2*3.6)/3+ROUNDUP(((SUMIF('Steel Beams and Columns'!F5:F17,"First",'Steel Beams and Columns'!C5:C17)/2+(SUM('Roof Timber FF'!C435:AO440)/2))*7.5)/3,0),0),IF(Roof_Type="Steel Roof",ROUNDUP((COUNTIFS('Lintel Sheet'!B:B,"First",'Lintel Sheet'!I:I,"&gt;2490")*2*3.6)/3+ROUNDUP(((SUMIF('Steel Beams and Columns'!F5:F17,"First",'Steel Beams and Columns'!C5:C17)/2+(SUM('Roof Timber FF'!C435:AO440)/2))*7.5)/3,0),0),0))),0)</f>
        <v>0</v>
      </c>
      <c r="G2346" s="1192"/>
      <c r="H2346" s="1193" t="s">
        <v>2334</v>
      </c>
      <c r="I2346" s="1207"/>
      <c r="J2346" s="1194" t="str">
        <f>IF(Table5[[#This Row],[Entered]]&lt;&gt;Table5[[#This Row],[Quantity]],"Check","")</f>
        <v/>
      </c>
    </row>
    <row r="2347" spans="1:10" s="1198" customFormat="1" ht="15" x14ac:dyDescent="0.2">
      <c r="A2347" s="1190" t="s">
        <v>1381</v>
      </c>
      <c r="B2347" s="1190" t="s">
        <v>578</v>
      </c>
      <c r="C2347" s="1190">
        <v>12717</v>
      </c>
      <c r="D2347" s="1190">
        <f>300</f>
        <v>300</v>
      </c>
      <c r="E2347" s="1190">
        <v>1</v>
      </c>
      <c r="F2347" s="1191">
        <f>IF(Brick_typeFF="Timber Frame",0,IF(AND((ISNUMBER(SEARCH("Busselton",Locality))),'Steel Beams and Columns'!H46&gt;0),1,0))</f>
        <v>0</v>
      </c>
      <c r="G2347" s="1192"/>
      <c r="H2347" s="1193" t="s">
        <v>1253</v>
      </c>
      <c r="I2347" s="1207"/>
      <c r="J2347" s="1194" t="str">
        <f>IF(Table5[[#This Row],[Entered]]&lt;&gt;Table5[[#This Row],[Quantity]],"Check","")</f>
        <v/>
      </c>
    </row>
    <row r="2348" spans="1:10" s="1198" customFormat="1" ht="15" x14ac:dyDescent="0.2">
      <c r="A2348" s="1190" t="s">
        <v>1381</v>
      </c>
      <c r="B2348" s="1190" t="s">
        <v>578</v>
      </c>
      <c r="C2348" s="1190">
        <v>12717</v>
      </c>
      <c r="D2348" s="1190">
        <f>320</f>
        <v>320</v>
      </c>
      <c r="E2348" s="1190">
        <v>1</v>
      </c>
      <c r="F2348" s="1191">
        <f>IF(AND(OR(Brick_typeFF="Timber Frame",Brick_typeFF="Brick Veneer",Brick_typeFF="Reverse Brick Veneer"),ISNUMBER(SEARCH("Busselton",Locality))),ROUNDUP(FF_Perim/10,0),0)</f>
        <v>0</v>
      </c>
      <c r="G2348" s="1192"/>
      <c r="H2348" s="1193" t="s">
        <v>1242</v>
      </c>
      <c r="I2348" s="1207"/>
      <c r="J2348" s="1194" t="str">
        <f>IF(Table5[[#This Row],[Entered]]&lt;&gt;Table5[[#This Row],[Quantity]],"Check","")</f>
        <v/>
      </c>
    </row>
    <row r="2349" spans="1:10" s="1198" customFormat="1" ht="15" x14ac:dyDescent="0.2">
      <c r="A2349" s="1190" t="s">
        <v>1381</v>
      </c>
      <c r="B2349" s="1190" t="s">
        <v>578</v>
      </c>
      <c r="C2349" s="1190">
        <v>12717</v>
      </c>
      <c r="D2349" s="1190">
        <f>330</f>
        <v>330</v>
      </c>
      <c r="E2349" s="1190">
        <v>1</v>
      </c>
      <c r="F2349" s="1191">
        <f>IF(AND(OR(Brick_typeFF="Timber Frame",Brick_typeFF="Brick Veneer",Brick_typeFF="Reverse Brick Veneer"),ISNUMBER(SEARCH("Busselton",Locality))),4,0)</f>
        <v>0</v>
      </c>
      <c r="G2349" s="1192"/>
      <c r="H2349" s="1193" t="s">
        <v>1243</v>
      </c>
      <c r="I2349" s="1207"/>
      <c r="J2349" s="1194" t="str">
        <f>IF(Table5[[#This Row],[Entered]]&lt;&gt;Table5[[#This Row],[Quantity]],"Check","")</f>
        <v/>
      </c>
    </row>
    <row r="2350" spans="1:10" s="1198" customFormat="1" ht="15" x14ac:dyDescent="0.2">
      <c r="A2350" s="1190" t="s">
        <v>1381</v>
      </c>
      <c r="B2350" s="1190" t="s">
        <v>578</v>
      </c>
      <c r="C2350" s="1190">
        <v>12717</v>
      </c>
      <c r="D2350" s="1190">
        <f>350</f>
        <v>350</v>
      </c>
      <c r="E2350" s="1190">
        <v>1</v>
      </c>
      <c r="F2350" s="1191">
        <f>IF(AND(Locality="Busselton",Brick_typeFF&lt;&gt;"Timber Frame"),CEILING(FF_Perim/3*1.2,1),0)</f>
        <v>0</v>
      </c>
      <c r="G2350" s="1192"/>
      <c r="H2350" s="1193" t="s">
        <v>1461</v>
      </c>
      <c r="I2350" s="1207"/>
      <c r="J2350" s="1194" t="str">
        <f>IF(Table5[[#This Row],[Entered]]&lt;&gt;Table5[[#This Row],[Quantity]],"Check","")</f>
        <v/>
      </c>
    </row>
    <row r="2351" spans="1:10" s="1198" customFormat="1" ht="15" x14ac:dyDescent="0.2">
      <c r="A2351" s="1190" t="s">
        <v>1381</v>
      </c>
      <c r="B2351" s="1190" t="s">
        <v>578</v>
      </c>
      <c r="C2351" s="1190">
        <v>12717</v>
      </c>
      <c r="D2351" s="1190">
        <f>351</f>
        <v>351</v>
      </c>
      <c r="E2351" s="1190">
        <v>1</v>
      </c>
      <c r="F2351" s="1191">
        <f>IF(Locality="Busselton",COUNTIF('CSV FF'!A:A,"Cavi Dry Int Cnr"),0)+IF(Locality="Busselton",COUNTIF('CSV FF'!A:A,"Cavi Dry Ext Cnr"),0)</f>
        <v>0</v>
      </c>
      <c r="G2351" s="1192"/>
      <c r="H2351" s="1193" t="s">
        <v>1462</v>
      </c>
      <c r="I2351" s="1207"/>
      <c r="J2351" s="1194" t="str">
        <f>IF(Table5[[#This Row],[Entered]]&lt;&gt;Table5[[#This Row],[Quantity]],"Check","")</f>
        <v/>
      </c>
    </row>
    <row r="2352" spans="1:10" s="1198" customFormat="1" ht="15" x14ac:dyDescent="0.2">
      <c r="A2352" s="1190" t="s">
        <v>1381</v>
      </c>
      <c r="B2352" s="1190" t="s">
        <v>578</v>
      </c>
      <c r="C2352" s="1190">
        <v>12717</v>
      </c>
      <c r="D2352" s="1190">
        <f>353</f>
        <v>353</v>
      </c>
      <c r="E2352" s="1190">
        <v>1</v>
      </c>
      <c r="F2352" s="1191">
        <f>IF(Locality="Busselton",(COUNTIF('CSV FF'!A:A,"LVL BEAM")+COUNTIF('CSV FF'!A:A,"STEEL BEAM")+COUNTIF('CSV FF'!A:A,"PWP"))*2,0)</f>
        <v>0</v>
      </c>
      <c r="G2352" s="1192"/>
      <c r="H2352" s="1193" t="s">
        <v>1463</v>
      </c>
      <c r="I2352" s="1207"/>
      <c r="J2352" s="1194" t="str">
        <f>IF(Table5[[#This Row],[Entered]]&lt;&gt;Table5[[#This Row],[Quantity]],"Check","")</f>
        <v/>
      </c>
    </row>
    <row r="2353" spans="1:10" s="1198" customFormat="1" ht="15" x14ac:dyDescent="0.2">
      <c r="A2353" s="1190" t="s">
        <v>1381</v>
      </c>
      <c r="B2353" s="1190" t="s">
        <v>578</v>
      </c>
      <c r="C2353" s="1190">
        <v>12717</v>
      </c>
      <c r="D2353" s="1190">
        <f>354</f>
        <v>354</v>
      </c>
      <c r="E2353" s="1190">
        <v>1</v>
      </c>
      <c r="F2353" s="1191">
        <f>IF(Locality="Busselton",COUNTIF('CSV FF'!A:A,"Cavi Dry Ext Cnr"),0)</f>
        <v>0</v>
      </c>
      <c r="G2353" s="1192"/>
      <c r="H2353" s="1193" t="s">
        <v>1464</v>
      </c>
      <c r="I2353" s="1207"/>
      <c r="J2353" s="1194" t="str">
        <f>IF(Table5[[#This Row],[Entered]]&lt;&gt;Table5[[#This Row],[Quantity]],"Check","")</f>
        <v/>
      </c>
    </row>
    <row r="2354" spans="1:10" s="1198" customFormat="1" ht="15" x14ac:dyDescent="0.2">
      <c r="A2354" s="1190" t="s">
        <v>1381</v>
      </c>
      <c r="B2354" s="1190" t="s">
        <v>578</v>
      </c>
      <c r="C2354" s="1190">
        <v>12717</v>
      </c>
      <c r="D2354" s="1190">
        <f>355</f>
        <v>355</v>
      </c>
      <c r="E2354" s="1190">
        <v>1</v>
      </c>
      <c r="F2354" s="1191">
        <f>IF(Locality="Busselton",CEILING(SUM('Brickwork FF'!F13,'Brickwork FF'!F42)/1000/2.4*1.1,10),0)</f>
        <v>0</v>
      </c>
      <c r="G2354" s="1192"/>
      <c r="H2354" s="1193" t="s">
        <v>1476</v>
      </c>
      <c r="I2354" s="1207"/>
      <c r="J2354" s="1194" t="str">
        <f>IF(Table5[[#This Row],[Entered]]&lt;&gt;Table5[[#This Row],[Quantity]],"Check","")</f>
        <v/>
      </c>
    </row>
    <row r="2355" spans="1:10" s="1198" customFormat="1" ht="15" x14ac:dyDescent="0.2">
      <c r="A2355" s="1190" t="s">
        <v>1381</v>
      </c>
      <c r="B2355" s="1190" t="s">
        <v>578</v>
      </c>
      <c r="C2355" s="1190">
        <v>12717</v>
      </c>
      <c r="D2355" s="1190">
        <f>365</f>
        <v>365</v>
      </c>
      <c r="E2355" s="1190">
        <v>1</v>
      </c>
      <c r="F2355" s="1191">
        <f>IF(F2357&gt;0,0,IF('Brickwork FF'!H3&lt;=32,IF(AND(OR(Brick_typeFF="Brick Veneer",Brick_typeFF="Reverse Brick Veneer",Brick_typeFF="Timber Frame")),CEILING(FF_Perim/30,1),0),IF(AND(OR(Brick_typeFF="Brick Veneer",Brick_typeFF="Reverse Brick Veneer",Brick_typeFF="Timber Frame")),CEILING(FF_Perim/30*2,1),0)))+ROUNDUP(SUMIF('CSV FF'!A:A,"Reverse Brick Veneer",'CSV FF'!C:C)/30,0)</f>
        <v>0</v>
      </c>
      <c r="G2355" s="1192"/>
      <c r="H2355" s="1193" t="s">
        <v>1566</v>
      </c>
      <c r="I2355" s="1207"/>
      <c r="J2355" s="1194" t="str">
        <f>IF(Table5[[#This Row],[Entered]]&lt;&gt;Table5[[#This Row],[Quantity]],"Check","")</f>
        <v/>
      </c>
    </row>
    <row r="2356" spans="1:10" s="1198" customFormat="1" ht="15" x14ac:dyDescent="0.2">
      <c r="A2356" s="1190" t="s">
        <v>1381</v>
      </c>
      <c r="B2356" s="1190" t="s">
        <v>578</v>
      </c>
      <c r="C2356" s="1190">
        <v>12717</v>
      </c>
      <c r="D2356" s="1190">
        <f>366</f>
        <v>366</v>
      </c>
      <c r="E2356" s="1190">
        <v>1</v>
      </c>
      <c r="F2356" s="1191">
        <f>(F2355)*5</f>
        <v>0</v>
      </c>
      <c r="G2356" s="1192"/>
      <c r="H2356" s="1193" t="s">
        <v>1567</v>
      </c>
      <c r="I2356" s="1207"/>
      <c r="J2356" s="1194" t="str">
        <f>IF(Table5[[#This Row],[Entered]]&lt;&gt;Table5[[#This Row],[Quantity]],"Check","")</f>
        <v/>
      </c>
    </row>
    <row r="2357" spans="1:10" s="1198" customFormat="1" ht="15" x14ac:dyDescent="0.2">
      <c r="A2357" s="1190" t="s">
        <v>1381</v>
      </c>
      <c r="B2357" s="1190" t="s">
        <v>578</v>
      </c>
      <c r="C2357" s="1190">
        <v>12717</v>
      </c>
      <c r="D2357" s="1190">
        <f>511</f>
        <v>511</v>
      </c>
      <c r="E2357" s="1190">
        <v>1</v>
      </c>
      <c r="F2357" s="1191">
        <f>IF(Locality="Busselton",IF(SUMIF('CSV FF'!A:A,"Wall Insulation",'CSV FF'!C:C)&gt;11.25,ROUNDUP(SUMIF('CSV FF'!A:A,"Wall Insulation",'CSV FF'!C:C)/22.5,0)*2,IF(SUMIF('CSV FF'!A:A,"Wall Insulation",'CSV FF'!C:C)&gt;0,ROUNDUP(SUMIF('CSV FF'!A:A,"Wall Insulation",'CSV FF'!C:C)/22.5,0),0)),0)</f>
        <v>0</v>
      </c>
      <c r="G2357" s="1192"/>
      <c r="H2357" s="1193" t="s">
        <v>1254</v>
      </c>
      <c r="I2357" s="1207"/>
      <c r="J2357" s="1194" t="str">
        <f>IF(Table5[[#This Row],[Entered]]&lt;&gt;Table5[[#This Row],[Quantity]],"Check","")</f>
        <v/>
      </c>
    </row>
    <row r="2358" spans="1:10" s="1198" customFormat="1" ht="15" x14ac:dyDescent="0.2">
      <c r="A2358" s="1190" t="s">
        <v>1381</v>
      </c>
      <c r="B2358" s="1190" t="s">
        <v>578</v>
      </c>
      <c r="C2358" s="1190">
        <v>12717</v>
      </c>
      <c r="D2358" s="1190">
        <f>515</f>
        <v>515</v>
      </c>
      <c r="E2358" s="1190">
        <v>1</v>
      </c>
      <c r="F2358" s="1191">
        <f>F2357</f>
        <v>0</v>
      </c>
      <c r="G2358" s="1192"/>
      <c r="H2358" s="1193" t="s">
        <v>1255</v>
      </c>
      <c r="I2358" s="1207"/>
      <c r="J2358" s="1194" t="str">
        <f>IF(Table5[[#This Row],[Entered]]&lt;&gt;Table5[[#This Row],[Quantity]],"Check","")</f>
        <v/>
      </c>
    </row>
    <row r="2359" spans="1:10" s="1198" customFormat="1" ht="15" x14ac:dyDescent="0.2">
      <c r="A2359" s="1190" t="s">
        <v>1381</v>
      </c>
      <c r="B2359" s="1190" t="s">
        <v>578</v>
      </c>
      <c r="C2359" s="1190">
        <v>12717</v>
      </c>
      <c r="D2359" s="1190">
        <f>516</f>
        <v>516</v>
      </c>
      <c r="E2359" s="1190">
        <v>1</v>
      </c>
      <c r="F2359" s="1191">
        <f>F2357</f>
        <v>0</v>
      </c>
      <c r="G2359" s="1192"/>
      <c r="H2359" s="1193" t="s">
        <v>1256</v>
      </c>
      <c r="I2359" s="1207"/>
      <c r="J2359" s="1194" t="str">
        <f>IF(Table5[[#This Row],[Entered]]&lt;&gt;Table5[[#This Row],[Quantity]],"Check","")</f>
        <v/>
      </c>
    </row>
    <row r="2360" spans="1:10" s="1198" customFormat="1" ht="15" x14ac:dyDescent="0.2">
      <c r="A2360" s="1190" t="s">
        <v>1381</v>
      </c>
      <c r="B2360" s="1190" t="s">
        <v>578</v>
      </c>
      <c r="C2360" s="1190">
        <v>12717</v>
      </c>
      <c r="D2360" s="1190">
        <f>630</f>
        <v>630</v>
      </c>
      <c r="E2360" s="1190">
        <v>1</v>
      </c>
      <c r="F2360" s="1191">
        <f>IF(FF_Area&gt;0,IF(AND(OR(Brick_typeFF="Brick Veneer",Brick_typeFF="Reverse Brick Veneer"),Locality="Busselton",(Coastal="Yes")),CEILING(((H_Perim-Com_Wall)/0.45)*4/150,1)+1,0),0)</f>
        <v>0</v>
      </c>
      <c r="G2360" s="1192"/>
      <c r="H2360" s="1193" t="s">
        <v>1257</v>
      </c>
      <c r="I2360" s="1207"/>
      <c r="J2360" s="1194" t="str">
        <f>IF(Table5[[#This Row],[Entered]]&lt;&gt;Table5[[#This Row],[Quantity]],"Check","")</f>
        <v/>
      </c>
    </row>
    <row r="2361" spans="1:10" s="1198" customFormat="1" ht="15" x14ac:dyDescent="0.2">
      <c r="A2361" s="1190" t="s">
        <v>1381</v>
      </c>
      <c r="B2361" s="1190" t="s">
        <v>578</v>
      </c>
      <c r="C2361" s="1190">
        <v>12717</v>
      </c>
      <c r="D2361" s="1190">
        <f>640</f>
        <v>640</v>
      </c>
      <c r="E2361" s="1190">
        <v>1</v>
      </c>
      <c r="F2361" s="1191">
        <f>IF(FF_Area&gt;0,IF(AND(OR(Brick_typeFF="Brick Veneer",Brick_typeFF="Reverse Brick Veneer"),Locality="Busselton",(Coastal="No")),CEILING(((H_Perim-Com_Wall)/0.45)*4/150,1)+1,0),0)</f>
        <v>0</v>
      </c>
      <c r="G2361" s="1192"/>
      <c r="H2361" s="1193" t="s">
        <v>1258</v>
      </c>
      <c r="I2361" s="1207"/>
      <c r="J2361" s="1194" t="str">
        <f>IF(Table5[[#This Row],[Entered]]&lt;&gt;Table5[[#This Row],[Quantity]],"Check","")</f>
        <v/>
      </c>
    </row>
    <row r="2362" spans="1:10" s="1198" customFormat="1" ht="15" x14ac:dyDescent="0.2">
      <c r="A2362" s="1190" t="s">
        <v>1381</v>
      </c>
      <c r="B2362" s="1190" t="s">
        <v>578</v>
      </c>
      <c r="C2362" s="1190">
        <v>12717</v>
      </c>
      <c r="D2362" s="1190">
        <f>710</f>
        <v>710</v>
      </c>
      <c r="E2362" s="1190">
        <v>1</v>
      </c>
      <c r="F2362" s="1191">
        <f>IF(Locality="Busselton",IF(Coastal="No",COUNTIFS('CSV FF'!A:A,"PWP",'CSV FF'!E:E,"&lt;=29"),0),0)</f>
        <v>0</v>
      </c>
      <c r="G2362" s="1192"/>
      <c r="H2362" s="1193" t="s">
        <v>1378</v>
      </c>
      <c r="I2362" s="1207"/>
      <c r="J2362" s="1194" t="str">
        <f>IF(Table5[[#This Row],[Entered]]&lt;&gt;Table5[[#This Row],[Quantity]],"Check","")</f>
        <v/>
      </c>
    </row>
    <row r="2363" spans="1:10" s="1198" customFormat="1" ht="15" x14ac:dyDescent="0.2">
      <c r="A2363" s="1190" t="s">
        <v>1381</v>
      </c>
      <c r="B2363" s="1190" t="s">
        <v>578</v>
      </c>
      <c r="C2363" s="1190">
        <v>12717</v>
      </c>
      <c r="D2363" s="1190">
        <f>711</f>
        <v>711</v>
      </c>
      <c r="E2363" s="1190">
        <v>1</v>
      </c>
      <c r="F2363" s="1191">
        <f>IF(Locality="Busselton",IF(Coastal="Yes",COUNTIFS('CSV FF'!A:A,"PWP",'CSV FF'!E:E,"&lt;=29"),0),0)</f>
        <v>0</v>
      </c>
      <c r="G2363" s="1192"/>
      <c r="H2363" s="1193" t="s">
        <v>1259</v>
      </c>
      <c r="I2363" s="1207"/>
      <c r="J2363" s="1194" t="str">
        <f>IF(Table5[[#This Row],[Entered]]&lt;&gt;Table5[[#This Row],[Quantity]],"Check","")</f>
        <v/>
      </c>
    </row>
    <row r="2364" spans="1:10" s="1198" customFormat="1" ht="15" x14ac:dyDescent="0.2">
      <c r="A2364" s="1190" t="s">
        <v>1381</v>
      </c>
      <c r="B2364" s="1190" t="s">
        <v>578</v>
      </c>
      <c r="C2364" s="1190">
        <v>12717</v>
      </c>
      <c r="D2364" s="1190">
        <f>720</f>
        <v>720</v>
      </c>
      <c r="E2364" s="1190">
        <v>1</v>
      </c>
      <c r="F2364" s="1191">
        <f>IF(Locality="Busselton",IF(Coastal="No",COUNTIFS('CSV FF'!A:A,"PWP",'CSV FF'!E:E,"&lt;=32",'CSV FF'!E:E,"&gt;29"),0),0)</f>
        <v>0</v>
      </c>
      <c r="G2364" s="1192"/>
      <c r="H2364" s="1193" t="s">
        <v>1379</v>
      </c>
      <c r="I2364" s="1207"/>
      <c r="J2364" s="1194" t="str">
        <f>IF(Table5[[#This Row],[Entered]]&lt;&gt;Table5[[#This Row],[Quantity]],"Check","")</f>
        <v/>
      </c>
    </row>
    <row r="2365" spans="1:10" s="1198" customFormat="1" ht="15" x14ac:dyDescent="0.2">
      <c r="A2365" s="1190" t="s">
        <v>1381</v>
      </c>
      <c r="B2365" s="1190" t="s">
        <v>578</v>
      </c>
      <c r="C2365" s="1190">
        <v>12717</v>
      </c>
      <c r="D2365" s="1190">
        <f>721</f>
        <v>721</v>
      </c>
      <c r="E2365" s="1190">
        <v>1</v>
      </c>
      <c r="F2365" s="1191">
        <f>IF(Locality="Busselton",IF(Coastal="Yes",COUNTIFS('CSV FF'!A:A,"PWP",'CSV FF'!E:E,"&lt;=32",'CSV FF'!E:E,"&gt;29"),0),0)</f>
        <v>0</v>
      </c>
      <c r="G2365" s="1192"/>
      <c r="H2365" s="1193" t="s">
        <v>1260</v>
      </c>
      <c r="I2365" s="1207"/>
      <c r="J2365" s="1194" t="str">
        <f>IF(Table5[[#This Row],[Entered]]&lt;&gt;Table5[[#This Row],[Quantity]],"Check","")</f>
        <v/>
      </c>
    </row>
    <row r="2366" spans="1:10" s="1198" customFormat="1" ht="15" x14ac:dyDescent="0.2">
      <c r="A2366" s="1190" t="s">
        <v>1381</v>
      </c>
      <c r="B2366" s="1190" t="s">
        <v>578</v>
      </c>
      <c r="C2366" s="1190">
        <v>12717</v>
      </c>
      <c r="D2366" s="1190">
        <f>730</f>
        <v>730</v>
      </c>
      <c r="E2366" s="1190">
        <v>1</v>
      </c>
      <c r="F2366" s="1191">
        <f>IF(Locality="Busselton",IF(Coastal="No",COUNTIFS('CSV FF'!A:A,"PWP",'CSV FF'!E:E,"&lt;=35",'CSV FF'!E:E,"&gt;32"),0),0)</f>
        <v>0</v>
      </c>
      <c r="G2366" s="1192"/>
      <c r="H2366" s="1193" t="s">
        <v>1261</v>
      </c>
      <c r="I2366" s="1207"/>
      <c r="J2366" s="1194" t="str">
        <f>IF(Table5[[#This Row],[Entered]]&lt;&gt;Table5[[#This Row],[Quantity]],"Check","")</f>
        <v/>
      </c>
    </row>
    <row r="2367" spans="1:10" s="1198" customFormat="1" ht="15" x14ac:dyDescent="0.2">
      <c r="A2367" s="1190" t="s">
        <v>1381</v>
      </c>
      <c r="B2367" s="1190" t="s">
        <v>578</v>
      </c>
      <c r="C2367" s="1190">
        <v>12717</v>
      </c>
      <c r="D2367" s="1190">
        <f>731</f>
        <v>731</v>
      </c>
      <c r="E2367" s="1190">
        <v>1</v>
      </c>
      <c r="F2367" s="1191">
        <f>IF(Locality="Busselton",IF(Coastal="Yes",COUNTIFS('CSV FF'!A:A,"PWP",'CSV FF'!E:E,"&lt;=35",'CSV FF'!E:E,"&gt;32"),0),0)</f>
        <v>0</v>
      </c>
      <c r="G2367" s="1192"/>
      <c r="H2367" s="1193" t="s">
        <v>1262</v>
      </c>
      <c r="I2367" s="1207"/>
      <c r="J2367" s="1194" t="str">
        <f>IF(Table5[[#This Row],[Entered]]&lt;&gt;Table5[[#This Row],[Quantity]],"Check","")</f>
        <v/>
      </c>
    </row>
    <row r="2368" spans="1:10" s="1198" customFormat="1" ht="15" x14ac:dyDescent="0.2">
      <c r="A2368" s="1190" t="s">
        <v>1381</v>
      </c>
      <c r="B2368" s="1190" t="s">
        <v>578</v>
      </c>
      <c r="C2368" s="1190">
        <v>12717</v>
      </c>
      <c r="D2368" s="1190">
        <v>205</v>
      </c>
      <c r="E2368" s="1190">
        <v>1</v>
      </c>
      <c r="F2368" s="1191">
        <f>IF(OR(Locality="Bunbury",Brick_type="Timber Frame",FF_Area=0),0,IF(BAL&gt;0,ROUNDUP((FF_Perim/1.2)/25,0),0))</f>
        <v>0</v>
      </c>
      <c r="G2368" s="1192"/>
      <c r="H2368" s="1193" t="s">
        <v>2337</v>
      </c>
      <c r="I2368" s="1207"/>
      <c r="J2368" s="1194" t="str">
        <f>IF(Table5[[#This Row],[Entered]]&lt;&gt;Table5[[#This Row],[Quantity]],"Check","")</f>
        <v/>
      </c>
    </row>
    <row r="2369" spans="1:10" s="1198" customFormat="1" ht="15" x14ac:dyDescent="0.2">
      <c r="A2369" s="1190" t="s">
        <v>1381</v>
      </c>
      <c r="B2369" s="1190" t="s">
        <v>578</v>
      </c>
      <c r="C2369" s="1190">
        <v>12717</v>
      </c>
      <c r="D2369" s="1190">
        <f>9100</f>
        <v>9100</v>
      </c>
      <c r="E2369" s="1190">
        <v>1</v>
      </c>
      <c r="F2369" s="1191">
        <f>IF(SUM(F2326:F2368)=0,0,IF(OR(ISNUMBER(SEARCH("Bunbury",Address)),ISNUMBER(SEARCH("Dalyellup",Address)),ISNUMBER(SEARCH("Australind",Address)),ISNUMBER(SEARCH("Eaton",Address)),ISNUMBER(SEARCH("Glen Iris",Address)),ISNUMBER(SEARCH("Roelands",Address)),ISNUMBER(SEARCH("Millbridge",Address))),1,0))</f>
        <v>0</v>
      </c>
      <c r="G2369" s="1192"/>
      <c r="H2369" s="1193" t="s">
        <v>1200</v>
      </c>
      <c r="I2369" s="1207"/>
      <c r="J2369" s="1194" t="str">
        <f>IF(Table5[[#This Row],[Entered]]&lt;&gt;Table5[[#This Row],[Quantity]],"Check","")</f>
        <v/>
      </c>
    </row>
    <row r="2370" spans="1:10" s="1198" customFormat="1" ht="15" x14ac:dyDescent="0.2">
      <c r="A2370" s="1190" t="s">
        <v>1381</v>
      </c>
      <c r="B2370" s="1190" t="s">
        <v>578</v>
      </c>
      <c r="C2370" s="1190">
        <v>12717</v>
      </c>
      <c r="D2370" s="1190">
        <f>9200</f>
        <v>9200</v>
      </c>
      <c r="E2370" s="1190">
        <v>1</v>
      </c>
      <c r="F2370" s="1191">
        <f>IF(SUM(F2327:F2368)=0,0,IF(OR(ISNUMBER(SEARCH("Busselton",Address)),ISNUMBER(SEARCH("Kealy",Address)),ISNUMBER(SEARCH("Broadwater",Address)),ISNUMBER(SEARCH("Geographe",Address)),ISNUMBER(SEARCH("Abbey",Address)),ISNUMBER(SEARCH("Yalyalup",Address)),ISNUMBER(SEARCH("Provence",Address)),ISNUMBER(SEARCH("Vasse",Address))),1,0))</f>
        <v>0</v>
      </c>
      <c r="G2370" s="1192"/>
      <c r="H2370" s="1193" t="s">
        <v>670</v>
      </c>
      <c r="I2370" s="1207"/>
      <c r="J2370" s="1194" t="str">
        <f>IF(Table5[[#This Row],[Entered]]&lt;&gt;Table5[[#This Row],[Quantity]],"Check","")</f>
        <v/>
      </c>
    </row>
    <row r="2371" spans="1:10" s="1198" customFormat="1" ht="15" x14ac:dyDescent="0.2">
      <c r="A2371" s="1190" t="s">
        <v>1381</v>
      </c>
      <c r="B2371" s="1190" t="s">
        <v>578</v>
      </c>
      <c r="C2371" s="1190">
        <v>12717</v>
      </c>
      <c r="D2371" s="1190">
        <f>9300</f>
        <v>9300</v>
      </c>
      <c r="E2371" s="1190">
        <v>1</v>
      </c>
      <c r="F2371" s="1191">
        <f>IF(SUM(F2327:F2368)=0,0,IF(OR(ISNUMBER(SEARCH("Dunsborough",Address)),ISNUMBER(SEARCH("Quindalup",Address))),1,0))</f>
        <v>0</v>
      </c>
      <c r="G2371" s="1192"/>
      <c r="H2371" s="1193" t="s">
        <v>669</v>
      </c>
      <c r="I2371" s="1207"/>
      <c r="J2371" s="1194" t="str">
        <f>IF(Table5[[#This Row],[Entered]]&lt;&gt;Table5[[#This Row],[Quantity]],"Check","")</f>
        <v/>
      </c>
    </row>
    <row r="2372" spans="1:10" s="1198" customFormat="1" ht="15" x14ac:dyDescent="0.2">
      <c r="A2372" s="1190" t="s">
        <v>1381</v>
      </c>
      <c r="B2372" s="1190" t="s">
        <v>578</v>
      </c>
      <c r="C2372" s="1190">
        <v>12717</v>
      </c>
      <c r="D2372" s="1190">
        <f>9400</f>
        <v>9400</v>
      </c>
      <c r="E2372" s="1190">
        <v>1</v>
      </c>
      <c r="F2372" s="1191">
        <f>IF(SUM(F2327:F2368)=0,0,IF(ISNUMBER(SEARCH("Margaret RIver",Address)),1,0))</f>
        <v>0</v>
      </c>
      <c r="G2372" s="1192"/>
      <c r="H2372" s="1193" t="s">
        <v>948</v>
      </c>
      <c r="I2372" s="1207"/>
      <c r="J2372" s="1194" t="str">
        <f>IF(Table5[[#This Row],[Entered]]&lt;&gt;Table5[[#This Row],[Quantity]],"Check","")</f>
        <v/>
      </c>
    </row>
    <row r="2373" spans="1:10" s="1198" customFormat="1" ht="15" x14ac:dyDescent="0.2">
      <c r="A2373" s="1190" t="s">
        <v>1381</v>
      </c>
      <c r="B2373" s="1190" t="s">
        <v>578</v>
      </c>
      <c r="C2373" s="1190">
        <v>12717</v>
      </c>
      <c r="D2373" s="1190">
        <f>9460</f>
        <v>9460</v>
      </c>
      <c r="E2373" s="1190">
        <v>1</v>
      </c>
      <c r="F2373" s="1191">
        <f>IF(SUM(F2327:F2368)=0,0,IF(ISNUMBER(SEARCH("WITCHCLIFFE",Address)),1,0))</f>
        <v>0</v>
      </c>
      <c r="G2373" s="1192"/>
      <c r="H2373" s="1193" t="s">
        <v>1673</v>
      </c>
      <c r="I2373" s="1207"/>
      <c r="J2373" s="1194" t="str">
        <f>IF(Table5[[#This Row],[Entered]]&lt;&gt;Table5[[#This Row],[Quantity]],"Check","")</f>
        <v/>
      </c>
    </row>
    <row r="2374" spans="1:10" s="1198" customFormat="1" ht="15" x14ac:dyDescent="0.2">
      <c r="A2374" s="1190" t="s">
        <v>1381</v>
      </c>
      <c r="B2374" s="1190" t="s">
        <v>578</v>
      </c>
      <c r="C2374" s="1190">
        <v>12717</v>
      </c>
      <c r="D2374" s="1190">
        <f>9500</f>
        <v>9500</v>
      </c>
      <c r="E2374" s="1190">
        <v>1</v>
      </c>
      <c r="F2374" s="1191">
        <f>IF(SUM(F2327:F2368)=0,0,IF(OR(ISNUMBER(SEARCH("Eagle Bay",Address)),ISNUMBER(SEARCH("Peppermint Beach",Address)),ISNUMBER(SEARCH("Yallingup",Address))),1,0))</f>
        <v>0</v>
      </c>
      <c r="G2374" s="1192"/>
      <c r="H2374" s="1193" t="s">
        <v>949</v>
      </c>
      <c r="I2374" s="1207"/>
      <c r="J2374" s="1194" t="str">
        <f>IF(Table5[[#This Row],[Entered]]&lt;&gt;Table5[[#This Row],[Quantity]],"Check","")</f>
        <v/>
      </c>
    </row>
    <row r="2375" spans="1:10" s="1198" customFormat="1" ht="15" x14ac:dyDescent="0.2">
      <c r="A2375" s="1190" t="s">
        <v>1381</v>
      </c>
      <c r="B2375" s="1190" t="s">
        <v>578</v>
      </c>
      <c r="C2375" s="1190">
        <v>12717</v>
      </c>
      <c r="D2375" s="1190">
        <f>9600</f>
        <v>9600</v>
      </c>
      <c r="E2375" s="1190">
        <v>1</v>
      </c>
      <c r="F2375" s="1191">
        <f>IF(SUM(F2327:F2368)=0,0,IF(ISNUMBER(SEARCH("Cowaramup",Address)),1,0))</f>
        <v>0</v>
      </c>
      <c r="G2375" s="1192"/>
      <c r="H2375" s="1193" t="s">
        <v>950</v>
      </c>
      <c r="I2375" s="1207"/>
      <c r="J2375" s="1194" t="str">
        <f>IF(Table5[[#This Row],[Entered]]&lt;&gt;Table5[[#This Row],[Quantity]],"Check","")</f>
        <v/>
      </c>
    </row>
    <row r="2376" spans="1:10" s="1198" customFormat="1" ht="15" x14ac:dyDescent="0.2">
      <c r="A2376" s="1190" t="s">
        <v>1381</v>
      </c>
      <c r="B2376" s="1190" t="s">
        <v>578</v>
      </c>
      <c r="C2376" s="1190">
        <v>12717</v>
      </c>
      <c r="D2376" s="1190">
        <f>9800</f>
        <v>9800</v>
      </c>
      <c r="E2376" s="1190">
        <v>1</v>
      </c>
      <c r="F2376" s="1191">
        <f>IF(SUM(F2327:F2368)=0,0,IF(ISNUMBER(SEARCH("AUGUSTA",Address)),1,0))</f>
        <v>0</v>
      </c>
      <c r="G2376" s="1192"/>
      <c r="H2376" s="1193" t="s">
        <v>1578</v>
      </c>
      <c r="I2376" s="1207"/>
      <c r="J2376" s="1194" t="str">
        <f>IF(Table5[[#This Row],[Entered]]&lt;&gt;Table5[[#This Row],[Quantity]],"Check","")</f>
        <v/>
      </c>
    </row>
    <row r="2377" spans="1:10" s="1198" customFormat="1" ht="15" x14ac:dyDescent="0.2">
      <c r="A2377" s="1190" t="s">
        <v>1381</v>
      </c>
      <c r="B2377" s="1190" t="s">
        <v>578</v>
      </c>
      <c r="C2377" s="1190">
        <v>12717</v>
      </c>
      <c r="D2377" s="1190" t="s">
        <v>1460</v>
      </c>
      <c r="E2377" s="1190">
        <v>0</v>
      </c>
      <c r="F2377" s="1191">
        <f>IF(SUM(F2327:F2375)&gt;0,1,0)</f>
        <v>0</v>
      </c>
      <c r="G2377" s="1192"/>
      <c r="H2377" s="1193" t="s">
        <v>1465</v>
      </c>
      <c r="I2377" s="1207"/>
      <c r="J2377" s="1194" t="str">
        <f>IF(Table5[[#This Row],[Entered]]&lt;&gt;Table5[[#This Row],[Quantity]],"Check","")</f>
        <v/>
      </c>
    </row>
    <row r="2378" spans="1:10" s="1198" customFormat="1" ht="15" x14ac:dyDescent="0.2">
      <c r="A2378" s="1190"/>
      <c r="B2378" s="1190"/>
      <c r="C2378" s="1190"/>
      <c r="D2378" s="1190"/>
      <c r="E2378" s="1190"/>
      <c r="F2378" s="1191"/>
      <c r="G2378" s="1192"/>
      <c r="H2378" s="1193"/>
      <c r="I2378" s="1207"/>
      <c r="J2378" s="1194" t="str">
        <f>IF(Table5[[#This Row],[Entered]]&lt;&gt;Table5[[#This Row],[Quantity]],"Check","")</f>
        <v/>
      </c>
    </row>
    <row r="2379" spans="1:10" s="1198" customFormat="1" ht="15" x14ac:dyDescent="0.2">
      <c r="A2379" s="1190" t="s">
        <v>1381</v>
      </c>
      <c r="B2379" s="1190" t="s">
        <v>578</v>
      </c>
      <c r="C2379" s="1190" t="s">
        <v>875</v>
      </c>
      <c r="D2379" s="1190" t="s">
        <v>663</v>
      </c>
      <c r="E2379" s="1190">
        <v>1</v>
      </c>
      <c r="F2379" s="1191">
        <f>IF(COUNTIFS(Addenda!A:A,"Mortar*",Addenda!A:A,"*White*")&gt;0,IF((ISNUMBER(SEARCH("Bunbury",Locality))),CEILING((SUM('Brickwork FF'!$I$31:$I$35,'Brickwork FF'!$S$31:$S$35)/1000)*10,5),0),0)</f>
        <v>0</v>
      </c>
      <c r="G2379" s="1192"/>
      <c r="H2379" s="1193" t="s">
        <v>1031</v>
      </c>
      <c r="I2379" s="1207"/>
      <c r="J2379" s="1194" t="str">
        <f>IF(Table5[[#This Row],[Entered]]&lt;&gt;Table5[[#This Row],[Quantity]],"Check","")</f>
        <v/>
      </c>
    </row>
    <row r="2380" spans="1:10" s="1198" customFormat="1" ht="15" x14ac:dyDescent="0.2">
      <c r="A2380" s="1190" t="s">
        <v>1381</v>
      </c>
      <c r="B2380" s="1190" t="s">
        <v>578</v>
      </c>
      <c r="C2380" s="1190" t="s">
        <v>875</v>
      </c>
      <c r="D2380" s="1190" t="s">
        <v>664</v>
      </c>
      <c r="E2380" s="1190">
        <v>1</v>
      </c>
      <c r="F2380" s="1191">
        <f>IF(COUNTIFS(Addenda!A:A,"Mortar*",Addenda!A:A,"*White*")&gt;0,IF((ISNUMBER(SEARCH("Bunbury",Locality))),CEILING((SUM('Brickwork FF'!$I$31:$I$35,'Brickwork FF'!$S$31:$S$35)/1000)*3,5),0),0)</f>
        <v>0</v>
      </c>
      <c r="G2380" s="1192"/>
      <c r="H2380" s="1193" t="s">
        <v>1032</v>
      </c>
      <c r="I2380" s="1207"/>
      <c r="J2380" s="1194" t="str">
        <f>IF(Table5[[#This Row],[Entered]]&lt;&gt;Table5[[#This Row],[Quantity]],"Check","")</f>
        <v/>
      </c>
    </row>
    <row r="2381" spans="1:10" s="1198" customFormat="1" ht="15" x14ac:dyDescent="0.2">
      <c r="A2381" s="1190" t="s">
        <v>1381</v>
      </c>
      <c r="B2381" s="1190" t="s">
        <v>578</v>
      </c>
      <c r="C2381" s="1190" t="s">
        <v>875</v>
      </c>
      <c r="D2381" s="1190">
        <f>30</f>
        <v>30</v>
      </c>
      <c r="E2381" s="1190">
        <v>1</v>
      </c>
      <c r="F2381" s="1191">
        <f>IF(AND(F2379=0,((ISNUMBER(SEARCH("Bunbury",Locality)))),(Corrosion_Classification="R4")),CEILING((SUM('Brickwork FF'!$I$31:$I$35,'Brickwork FF'!$S$31:$S$35)/1000)*14,5),0)</f>
        <v>0</v>
      </c>
      <c r="G2381" s="1192"/>
      <c r="H2381" s="1193" t="s">
        <v>1249</v>
      </c>
      <c r="I2381" s="1207"/>
      <c r="J2381" s="1194" t="str">
        <f>IF(Table5[[#This Row],[Entered]]&lt;&gt;Table5[[#This Row],[Quantity]],"Check","")</f>
        <v/>
      </c>
    </row>
    <row r="2382" spans="1:10" s="1198" customFormat="1" ht="15" x14ac:dyDescent="0.2">
      <c r="A2382" s="1190" t="s">
        <v>1381</v>
      </c>
      <c r="B2382" s="1190" t="s">
        <v>578</v>
      </c>
      <c r="C2382" s="1190" t="s">
        <v>875</v>
      </c>
      <c r="D2382" s="1190">
        <f>50</f>
        <v>50</v>
      </c>
      <c r="E2382" s="1190">
        <v>1</v>
      </c>
      <c r="F2382" s="1191">
        <f>IF((ISNUMBER(SEARCH("Bunbury",Locality))),CEILING((SUM('Brickwork FF'!I62:I64,'Brickwork FF'!I88:I90)/1000)*14,5),0)</f>
        <v>0</v>
      </c>
      <c r="G2382" s="1192"/>
      <c r="H2382" s="1193" t="s">
        <v>1263</v>
      </c>
      <c r="I2382" s="1207"/>
      <c r="J2382" s="1194" t="str">
        <f>IF(Table5[[#This Row],[Entered]]&lt;&gt;Table5[[#This Row],[Quantity]],"Check","")</f>
        <v/>
      </c>
    </row>
    <row r="2383" spans="1:10" s="1198" customFormat="1" ht="15" x14ac:dyDescent="0.2">
      <c r="A2383" s="1190" t="s">
        <v>1381</v>
      </c>
      <c r="B2383" s="1190" t="s">
        <v>578</v>
      </c>
      <c r="C2383" s="1190" t="s">
        <v>875</v>
      </c>
      <c r="D2383" s="1190">
        <f>60</f>
        <v>60</v>
      </c>
      <c r="E2383" s="1190">
        <v>1</v>
      </c>
      <c r="F2383" s="1191">
        <f>IF(AND(F2379=0,(ISNUMBER(SEARCH("Bunbury",Locality))),Corrosion_Classification&lt;&gt;"R4"),CEILING((SUM('Brickwork FF'!$I$31:$I$35,'Brickwork FF'!$S$31:$S$35)/1000)*14,5),0)</f>
        <v>0</v>
      </c>
      <c r="G2383" s="1192"/>
      <c r="H2383" s="1193" t="s">
        <v>1264</v>
      </c>
      <c r="I2383" s="1207"/>
      <c r="J2383" s="1194" t="str">
        <f>IF(Table5[[#This Row],[Entered]]&lt;&gt;Table5[[#This Row],[Quantity]],"Check","")</f>
        <v/>
      </c>
    </row>
    <row r="2384" spans="1:10" s="1198" customFormat="1" ht="15" x14ac:dyDescent="0.2">
      <c r="A2384" s="1190" t="s">
        <v>1381</v>
      </c>
      <c r="B2384" s="1190" t="s">
        <v>578</v>
      </c>
      <c r="C2384" s="1190" t="s">
        <v>875</v>
      </c>
      <c r="D2384" s="1190">
        <f>125</f>
        <v>125</v>
      </c>
      <c r="E2384" s="1190" t="s">
        <v>1239</v>
      </c>
      <c r="F2384" s="1191">
        <f>IF(Brick_typeFF&lt;&gt;"Timber Frame",IF(AND(Locality="Bunbury",'Brickwork FF'!H95="Yes",FF_Area&gt;0),'Brickwork FF'!I145,0)+IF(AND(Locality="Bunbury",FF_Area&gt;0),(COUNTIF(Lintel_Length,"&gt;4.8")*8),0),0)</f>
        <v>0</v>
      </c>
      <c r="G2384" s="1192"/>
      <c r="H2384" s="1193" t="s">
        <v>1265</v>
      </c>
      <c r="I2384" s="1207"/>
      <c r="J2384" s="1194" t="str">
        <f>IF(Table5[[#This Row],[Entered]]&lt;&gt;Table5[[#This Row],[Quantity]],"Check","")</f>
        <v/>
      </c>
    </row>
    <row r="2385" spans="1:10" s="1198" customFormat="1" ht="15" x14ac:dyDescent="0.2">
      <c r="A2385" s="1190" t="s">
        <v>1381</v>
      </c>
      <c r="B2385" s="1190" t="s">
        <v>578</v>
      </c>
      <c r="C2385" s="1190" t="s">
        <v>875</v>
      </c>
      <c r="D2385" s="1190">
        <f>127</f>
        <v>127</v>
      </c>
      <c r="E2385" s="1190">
        <v>1</v>
      </c>
      <c r="F2385" s="1191">
        <f>F2384*2</f>
        <v>0</v>
      </c>
      <c r="G2385" s="1192"/>
      <c r="H2385" s="1193" t="s">
        <v>1266</v>
      </c>
      <c r="I2385" s="1207"/>
      <c r="J2385" s="1194" t="str">
        <f>IF(Table5[[#This Row],[Entered]]&lt;&gt;Table5[[#This Row],[Quantity]],"Check","")</f>
        <v/>
      </c>
    </row>
    <row r="2386" spans="1:10" s="1198" customFormat="1" ht="15" x14ac:dyDescent="0.2">
      <c r="A2386" s="1190" t="s">
        <v>1381</v>
      </c>
      <c r="B2386" s="1190" t="s">
        <v>578</v>
      </c>
      <c r="C2386" s="1190" t="s">
        <v>875</v>
      </c>
      <c r="D2386" s="1190">
        <f>135</f>
        <v>135</v>
      </c>
      <c r="E2386" s="1190">
        <v>1</v>
      </c>
      <c r="F2386" s="1191">
        <f>IF((ISNUMBER(SEARCH("Bunbury",Locality))),(COUNTIF('CSV FF'!A:A,"Column 50*50*4")*2)+(COUNTIF('CSV FF'!A:A,"Column 42OD")*2),0)</f>
        <v>0</v>
      </c>
      <c r="G2386" s="1192"/>
      <c r="H2386" s="1193" t="s">
        <v>1267</v>
      </c>
      <c r="I2386" s="1207"/>
      <c r="J2386" s="1194" t="str">
        <f>IF(Table5[[#This Row],[Entered]]&lt;&gt;Table5[[#This Row],[Quantity]],"Check","")</f>
        <v/>
      </c>
    </row>
    <row r="2387" spans="1:10" s="1198" customFormat="1" ht="15" x14ac:dyDescent="0.2">
      <c r="A2387" s="1190" t="s">
        <v>1381</v>
      </c>
      <c r="B2387" s="1190" t="s">
        <v>578</v>
      </c>
      <c r="C2387" s="1190" t="s">
        <v>875</v>
      </c>
      <c r="D2387" s="1190">
        <f>140</f>
        <v>140</v>
      </c>
      <c r="E2387" s="1190">
        <v>1</v>
      </c>
      <c r="F2387" s="1191">
        <f>IF(FF_Area&gt;0,IF(Brick_typeFF="Timber Frame",0,IF((ISNUMBER(SEARCH("Bunbury",Locality))),1,0)),0)</f>
        <v>0</v>
      </c>
      <c r="G2387" s="1192"/>
      <c r="H2387" s="1193" t="s">
        <v>1268</v>
      </c>
      <c r="I2387" s="1207"/>
      <c r="J2387" s="1194" t="str">
        <f>IF(Table5[[#This Row],[Entered]]&lt;&gt;Table5[[#This Row],[Quantity]],"Check","")</f>
        <v/>
      </c>
    </row>
    <row r="2388" spans="1:10" s="1198" customFormat="1" ht="15" x14ac:dyDescent="0.2">
      <c r="A2388" s="1190" t="s">
        <v>1381</v>
      </c>
      <c r="B2388" s="1190" t="s">
        <v>578</v>
      </c>
      <c r="C2388" s="1190" t="s">
        <v>875</v>
      </c>
      <c r="D2388" s="1190">
        <f>150</f>
        <v>150</v>
      </c>
      <c r="E2388" s="1190">
        <v>1</v>
      </c>
      <c r="F2388" s="1191">
        <f>IF(FF_Area&gt;0,IF(Brick_typeFF="Timber Frame",0,IF((ISNUMBER(SEARCH("Bunbury",Locality))),1,0)),0)</f>
        <v>0</v>
      </c>
      <c r="G2388" s="1192"/>
      <c r="H2388" s="1193" t="s">
        <v>1269</v>
      </c>
      <c r="I2388" s="1207"/>
      <c r="J2388" s="1194" t="str">
        <f>IF(Table5[[#This Row],[Entered]]&lt;&gt;Table5[[#This Row],[Quantity]],"Check","")</f>
        <v/>
      </c>
    </row>
    <row r="2389" spans="1:10" s="1198" customFormat="1" ht="15" x14ac:dyDescent="0.2">
      <c r="A2389" s="1190" t="s">
        <v>1381</v>
      </c>
      <c r="B2389" s="1190" t="s">
        <v>578</v>
      </c>
      <c r="C2389" s="1190" t="s">
        <v>875</v>
      </c>
      <c r="D2389" s="1190">
        <v>160</v>
      </c>
      <c r="E2389" s="1190">
        <v>1</v>
      </c>
      <c r="F2389" s="1191">
        <f>IF(OR(Brick_typeFF="Timber Frame",Brick_typeFF="Brick Veneer",FF_Area=""),0,IF(AND((ISNUMBER(SEARCH("Bunbury",Locality))),(Coastal="No")),CEILING((((FF_Perim)/0.45)*(IF('Brickwork FF'!H4&lt;=27,4,5))),100)+100,0))</f>
        <v>0</v>
      </c>
      <c r="G2389" s="1192"/>
      <c r="H2389" s="1193" t="s">
        <v>1908</v>
      </c>
      <c r="I2389" s="1207"/>
      <c r="J2389" s="1194" t="str">
        <f>IF(Table5[[#This Row],[Entered]]&lt;&gt;Table5[[#This Row],[Quantity]],"Check","")</f>
        <v/>
      </c>
    </row>
    <row r="2390" spans="1:10" s="1198" customFormat="1" ht="15" x14ac:dyDescent="0.2">
      <c r="A2390" s="1190" t="s">
        <v>1381</v>
      </c>
      <c r="B2390" s="1190" t="s">
        <v>578</v>
      </c>
      <c r="C2390" s="1190" t="s">
        <v>875</v>
      </c>
      <c r="D2390" s="1190">
        <v>161</v>
      </c>
      <c r="E2390" s="1190">
        <v>100</v>
      </c>
      <c r="F2390" s="1191">
        <f>IF(OR(FF_Area="",Brick_typeFF="Timber Frame",Brick_typeFF="Brick Veneer",Brick_typeFF="Reverse Brick Veneer"),0,IF(AND((ISNUMBER(SEARCH("Bunbury",Locality))),(Coastal="Yes")),CEILING((((FF_Perim)/0.45)*4),100)+100,0))/100</f>
        <v>0</v>
      </c>
      <c r="G2390" s="1192"/>
      <c r="H2390" s="1193" t="s">
        <v>2462</v>
      </c>
      <c r="I2390" s="1207"/>
      <c r="J2390" s="1194" t="str">
        <f>IF(Table5[[#This Row],[Entered]]&lt;&gt;Table5[[#This Row],[Quantity]],"Check","")</f>
        <v/>
      </c>
    </row>
    <row r="2391" spans="1:10" s="1198" customFormat="1" ht="15" x14ac:dyDescent="0.2">
      <c r="A2391" s="1190" t="s">
        <v>1381</v>
      </c>
      <c r="B2391" s="1190" t="s">
        <v>578</v>
      </c>
      <c r="C2391" s="1190" t="s">
        <v>875</v>
      </c>
      <c r="D2391" s="1190">
        <f>180</f>
        <v>180</v>
      </c>
      <c r="E2391" s="1190">
        <v>100</v>
      </c>
      <c r="F2391" s="1191">
        <f>IF(OR(Coastal="Yes",(Brick_typeFF="Timber Frame")),0,IF(Locality="Bunbury",COUNTIF('CSV FF'!A:A,"Door Entry*")*10,0))</f>
        <v>0</v>
      </c>
      <c r="G2391" s="1192"/>
      <c r="H2391" s="1193" t="s">
        <v>1270</v>
      </c>
      <c r="I2391" s="1207"/>
      <c r="J2391" s="1194" t="str">
        <f>IF(Table5[[#This Row],[Entered]]&lt;&gt;Table5[[#This Row],[Quantity]],"Check","")</f>
        <v/>
      </c>
    </row>
    <row r="2392" spans="1:10" s="1198" customFormat="1" ht="15" x14ac:dyDescent="0.2">
      <c r="A2392" s="1190" t="s">
        <v>1381</v>
      </c>
      <c r="B2392" s="1190" t="s">
        <v>578</v>
      </c>
      <c r="C2392" s="1190" t="s">
        <v>875</v>
      </c>
      <c r="D2392" s="1190">
        <f>185</f>
        <v>185</v>
      </c>
      <c r="E2392" s="1190">
        <v>1</v>
      </c>
      <c r="F2392" s="1191">
        <f>IF(OR(Coastal="No",(Brick_typeFF="Timber Frame")),0,IF(Locality="Bunbury",COUNTIF('CSV FF'!A:A,"Door Entry*")*10,0))</f>
        <v>0</v>
      </c>
      <c r="G2392" s="1192"/>
      <c r="H2392" s="1193" t="s">
        <v>1335</v>
      </c>
      <c r="I2392" s="1207"/>
      <c r="J2392" s="1194" t="str">
        <f>IF(Table5[[#This Row],[Entered]]&lt;&gt;Table5[[#This Row],[Quantity]],"Check","")</f>
        <v/>
      </c>
    </row>
    <row r="2393" spans="1:10" s="1198" customFormat="1" ht="15" x14ac:dyDescent="0.2">
      <c r="A2393" s="1190" t="s">
        <v>1381</v>
      </c>
      <c r="B2393" s="1190" t="s">
        <v>578</v>
      </c>
      <c r="C2393" s="1190" t="s">
        <v>875</v>
      </c>
      <c r="D2393" s="1190">
        <v>242</v>
      </c>
      <c r="E2393" s="1190">
        <v>1</v>
      </c>
      <c r="F2393" s="1191">
        <f>IF(Locality="Bunbury",IF(OR(Brick_type="Timber Frame",Brick_type="Brick Veneer"),0,IF(OR(Wind_Rating="N3",Wind_Rating="N4"),CEILING(FF_Perim/IF(Roof_Type="Steel Roof",0.9,0.6),5),IF(Roof_Type="Steel Roof",CEILING(FF_Perim/0.9,5),0))),0)</f>
        <v>0</v>
      </c>
      <c r="G2393" s="1192"/>
      <c r="H2393" s="1193" t="s">
        <v>2333</v>
      </c>
      <c r="I2393" s="1207"/>
      <c r="J2393" s="1194" t="str">
        <f>IF(Table5[[#This Row],[Entered]]&lt;&gt;Table5[[#This Row],[Quantity]],"Check","")</f>
        <v/>
      </c>
    </row>
    <row r="2394" spans="1:10" s="1198" customFormat="1" ht="15" x14ac:dyDescent="0.2">
      <c r="A2394" s="1190" t="s">
        <v>1381</v>
      </c>
      <c r="B2394" s="1190" t="s">
        <v>578</v>
      </c>
      <c r="C2394" s="1190" t="s">
        <v>875</v>
      </c>
      <c r="D2394" s="1190">
        <v>244</v>
      </c>
      <c r="E2394" s="1190">
        <v>1</v>
      </c>
      <c r="F2394" s="1191">
        <f>IF(Locality="Bunbury",IF(OR(Brick_type="Timber Frame",Brick_type="Brick Veneer"),0,IF(OR(Wind_Rating="N3",Wind_Rating="N4"),ROUNDUP((COUNTIFS('Lintel Sheet'!B:B,"First",'Lintel Sheet'!I:I,"&gt;2490")*2*3.6)/3+ROUNDUP(((SUMIF('Steel Beams and Columns'!F5:F17,"First",'Steel Beams and Columns'!C5:C17)/2+(SUM('Roof Timber FF'!C435:AO440)/2))*7.5)/3,0),0),IF(Roof_Type="Steel Roof",ROUNDUP((COUNTIFS('Lintel Sheet'!B:B,"First",'Lintel Sheet'!I:I,"&gt;2490")*2*3.6)/3+ROUNDUP(((SUMIF('Steel Beams and Columns'!F5:F17,"First",'Steel Beams and Columns'!C5:C17)/2+(SUM('Roof Timber FF'!C435:AO440)/2))*7.5)/3,0),0),0))),0)</f>
        <v>0</v>
      </c>
      <c r="G2394" s="1192"/>
      <c r="H2394" s="1193" t="s">
        <v>2334</v>
      </c>
      <c r="I2394" s="1207"/>
      <c r="J2394" s="1194" t="str">
        <f>IF(Table5[[#This Row],[Entered]]&lt;&gt;Table5[[#This Row],[Quantity]],"Check","")</f>
        <v/>
      </c>
    </row>
    <row r="2395" spans="1:10" s="1198" customFormat="1" ht="15" x14ac:dyDescent="0.2">
      <c r="A2395" s="1190" t="s">
        <v>1381</v>
      </c>
      <c r="B2395" s="1190" t="s">
        <v>578</v>
      </c>
      <c r="C2395" s="1190" t="s">
        <v>875</v>
      </c>
      <c r="D2395" s="1190">
        <f>300</f>
        <v>300</v>
      </c>
      <c r="E2395" s="1190">
        <v>1</v>
      </c>
      <c r="F2395" s="1191">
        <f>IF(Brick_typeFF&lt;&gt;"Timber Frame",IF(FF_Area&gt;0,IF(AND((ISNUMBER(SEARCH("Bunbury",Locality))),OR('Steel Beams and Columns'!$G$46&gt;0)),1,0),0),0)</f>
        <v>0</v>
      </c>
      <c r="G2395" s="1192"/>
      <c r="H2395" s="1193" t="s">
        <v>1271</v>
      </c>
      <c r="I2395" s="1207"/>
      <c r="J2395" s="1194" t="str">
        <f>IF(Table5[[#This Row],[Entered]]&lt;&gt;Table5[[#This Row],[Quantity]],"Check","")</f>
        <v/>
      </c>
    </row>
    <row r="2396" spans="1:10" s="1198" customFormat="1" ht="15" x14ac:dyDescent="0.2">
      <c r="A2396" s="1190" t="s">
        <v>1381</v>
      </c>
      <c r="B2396" s="1190" t="s">
        <v>578</v>
      </c>
      <c r="C2396" s="1190" t="s">
        <v>875</v>
      </c>
      <c r="D2396" s="1190">
        <f>320</f>
        <v>320</v>
      </c>
      <c r="E2396" s="1190">
        <v>1</v>
      </c>
      <c r="F2396" s="1191">
        <f>IF(AND(Brick_typeFF="Timber Frame",(ISNUMBER(SEARCH("Bunbury",Locality)))),CEILING(FF_Perim/10,1),0)</f>
        <v>0</v>
      </c>
      <c r="G2396" s="1192"/>
      <c r="H2396" s="1193" t="s">
        <v>1244</v>
      </c>
      <c r="I2396" s="1207"/>
      <c r="J2396" s="1194" t="str">
        <f>IF(Table5[[#This Row],[Entered]]&lt;&gt;Table5[[#This Row],[Quantity]],"Check","")</f>
        <v/>
      </c>
    </row>
    <row r="2397" spans="1:10" s="1198" customFormat="1" ht="15" x14ac:dyDescent="0.2">
      <c r="A2397" s="1190" t="s">
        <v>1381</v>
      </c>
      <c r="B2397" s="1190" t="s">
        <v>578</v>
      </c>
      <c r="C2397" s="1190" t="s">
        <v>875</v>
      </c>
      <c r="D2397" s="1190">
        <f>330</f>
        <v>330</v>
      </c>
      <c r="E2397" s="1190">
        <v>1</v>
      </c>
      <c r="F2397" s="1191">
        <f>IF(AND(OR(Brick_typeFF="Timber Frame",Brick_typeFF="Brick Veneer",Brick_typeFF="Reverse Brick Veneer"),ISNUMBER(SEARCH("Bunbury",Locality))),4,0)</f>
        <v>0</v>
      </c>
      <c r="G2397" s="1192"/>
      <c r="H2397" s="1193" t="s">
        <v>1245</v>
      </c>
      <c r="I2397" s="1207"/>
      <c r="J2397" s="1194" t="str">
        <f>IF(Table5[[#This Row],[Entered]]&lt;&gt;Table5[[#This Row],[Quantity]],"Check","")</f>
        <v/>
      </c>
    </row>
    <row r="2398" spans="1:10" s="1198" customFormat="1" ht="15" x14ac:dyDescent="0.2">
      <c r="A2398" s="1190" t="s">
        <v>1381</v>
      </c>
      <c r="B2398" s="1190" t="s">
        <v>578</v>
      </c>
      <c r="C2398" s="1190" t="s">
        <v>875</v>
      </c>
      <c r="D2398" s="1190">
        <f>350</f>
        <v>350</v>
      </c>
      <c r="E2398" s="1190">
        <v>1</v>
      </c>
      <c r="F2398" s="1191">
        <f>IF(AND(Locality="Bunbury",Brick_typeFF&lt;&gt;"Timber Frame"),CEILING(FF_Perim/3*1.2,1),0)</f>
        <v>0</v>
      </c>
      <c r="G2398" s="1192"/>
      <c r="H2398" s="1193" t="s">
        <v>1466</v>
      </c>
      <c r="I2398" s="1207"/>
      <c r="J2398" s="1194" t="str">
        <f>IF(Table5[[#This Row],[Entered]]&lt;&gt;Table5[[#This Row],[Quantity]],"Check","")</f>
        <v/>
      </c>
    </row>
    <row r="2399" spans="1:10" s="1198" customFormat="1" ht="15" x14ac:dyDescent="0.2">
      <c r="A2399" s="1190" t="s">
        <v>1381</v>
      </c>
      <c r="B2399" s="1190" t="s">
        <v>578</v>
      </c>
      <c r="C2399" s="1190" t="s">
        <v>875</v>
      </c>
      <c r="D2399" s="1190">
        <f>351</f>
        <v>351</v>
      </c>
      <c r="E2399" s="1190">
        <v>1</v>
      </c>
      <c r="F2399" s="1191">
        <f>IF(Locality="Bunbury",COUNTIF('CSV FF'!A:A,"Cavi Dry Int Cnr"),0)+IF(Locality="Bunbury",COUNTIF('CSV FF'!A:A,"Cavi Dry Ext Cnr"),0)</f>
        <v>0</v>
      </c>
      <c r="G2399" s="1192"/>
      <c r="H2399" s="1193" t="s">
        <v>1467</v>
      </c>
      <c r="I2399" s="1207"/>
      <c r="J2399" s="1194" t="str">
        <f>IF(Table5[[#This Row],[Entered]]&lt;&gt;Table5[[#This Row],[Quantity]],"Check","")</f>
        <v/>
      </c>
    </row>
    <row r="2400" spans="1:10" s="1198" customFormat="1" ht="15" x14ac:dyDescent="0.2">
      <c r="A2400" s="1190" t="s">
        <v>1381</v>
      </c>
      <c r="B2400" s="1190" t="s">
        <v>578</v>
      </c>
      <c r="C2400" s="1190" t="s">
        <v>875</v>
      </c>
      <c r="D2400" s="1190">
        <f>353</f>
        <v>353</v>
      </c>
      <c r="E2400" s="1190">
        <v>1</v>
      </c>
      <c r="F2400" s="1191">
        <f>IF(Locality="Bunbury",(COUNTIF('CSV FF'!A:A,"LVL BEAM")+COUNTIF('CSV FF'!A:A,"STEEL BEAM")+COUNTIF('CSV FF'!A:A,"PWP"))*2,0)</f>
        <v>0</v>
      </c>
      <c r="G2400" s="1192"/>
      <c r="H2400" s="1193" t="s">
        <v>1468</v>
      </c>
      <c r="I2400" s="1207"/>
      <c r="J2400" s="1194" t="str">
        <f>IF(Table5[[#This Row],[Entered]]&lt;&gt;Table5[[#This Row],[Quantity]],"Check","")</f>
        <v/>
      </c>
    </row>
    <row r="2401" spans="1:10" s="1198" customFormat="1" ht="15" x14ac:dyDescent="0.2">
      <c r="A2401" s="1190" t="s">
        <v>1381</v>
      </c>
      <c r="B2401" s="1190" t="s">
        <v>578</v>
      </c>
      <c r="C2401" s="1190" t="s">
        <v>875</v>
      </c>
      <c r="D2401" s="1190">
        <f>354</f>
        <v>354</v>
      </c>
      <c r="E2401" s="1190">
        <v>1</v>
      </c>
      <c r="F2401" s="1191">
        <f>IF(Locality="Bunbury",COUNTIF('CSV FF'!A:A,"Cavi Dry Ext Cnr"),0)</f>
        <v>0</v>
      </c>
      <c r="G2401" s="1192"/>
      <c r="H2401" s="1193" t="s">
        <v>1464</v>
      </c>
      <c r="I2401" s="1207"/>
      <c r="J2401" s="1194" t="str">
        <f>IF(Table5[[#This Row],[Entered]]&lt;&gt;Table5[[#This Row],[Quantity]],"Check","")</f>
        <v/>
      </c>
    </row>
    <row r="2402" spans="1:10" s="1198" customFormat="1" ht="15" x14ac:dyDescent="0.2">
      <c r="A2402" s="1190" t="s">
        <v>1381</v>
      </c>
      <c r="B2402" s="1190" t="s">
        <v>578</v>
      </c>
      <c r="C2402" s="1190" t="s">
        <v>875</v>
      </c>
      <c r="D2402" s="1190">
        <f>355</f>
        <v>355</v>
      </c>
      <c r="E2402" s="1190">
        <v>1</v>
      </c>
      <c r="F2402" s="1191">
        <f>IF(Locality="Bunbury",CEILING(SUM('Brickwork FF'!F58,'Brickwork FF'!F87)/1000/2.4*1.1,10),0)</f>
        <v>0</v>
      </c>
      <c r="G2402" s="1192"/>
      <c r="H2402" s="1193" t="s">
        <v>1477</v>
      </c>
      <c r="I2402" s="1207"/>
      <c r="J2402" s="1194" t="str">
        <f>IF(Table5[[#This Row],[Entered]]&lt;&gt;Table5[[#This Row],[Quantity]],"Check","")</f>
        <v/>
      </c>
    </row>
    <row r="2403" spans="1:10" s="1198" customFormat="1" ht="15" x14ac:dyDescent="0.2">
      <c r="A2403" s="1190" t="s">
        <v>1381</v>
      </c>
      <c r="B2403" s="1190" t="s">
        <v>578</v>
      </c>
      <c r="C2403" s="1190" t="s">
        <v>875</v>
      </c>
      <c r="D2403" s="1190">
        <f>360</f>
        <v>360</v>
      </c>
      <c r="E2403" s="1190">
        <v>1</v>
      </c>
      <c r="F2403" s="1191"/>
      <c r="G2403" s="1192"/>
      <c r="H2403" s="1193" t="s">
        <v>985</v>
      </c>
      <c r="I2403" s="1207"/>
      <c r="J2403" s="1194" t="str">
        <f>IF(Table5[[#This Row],[Entered]]&lt;&gt;Table5[[#This Row],[Quantity]],"Check","")</f>
        <v/>
      </c>
    </row>
    <row r="2404" spans="1:10" s="1198" customFormat="1" ht="15" x14ac:dyDescent="0.2">
      <c r="A2404" s="1190" t="s">
        <v>1381</v>
      </c>
      <c r="B2404" s="1190" t="s">
        <v>578</v>
      </c>
      <c r="C2404" s="1190" t="s">
        <v>875</v>
      </c>
      <c r="D2404" s="1190">
        <f>511</f>
        <v>511</v>
      </c>
      <c r="E2404" s="1190">
        <v>1</v>
      </c>
      <c r="F2404" s="1191">
        <f>IF(Locality="Bunbury",IF(SUMIF('CSV FF'!A:A,"Wall Insulation",'CSV FF'!C:C)&gt;11.25,ROUNDUP(SUMIF('CSV FF'!A:A,"Wall Insulation",'CSV FF'!C:C)/22.5,0)*2,IF(SUMIF('CSV FF'!A:A,"Wall Insulation",'CSV FF'!C:C)&gt;0,ROUNDUP(SUMIF('CSV FF'!A:A,"Wall Insulation",'CSV FF'!C:C)/22.5,0),0)),0)</f>
        <v>0</v>
      </c>
      <c r="G2404" s="1192"/>
      <c r="H2404" s="1193" t="s">
        <v>1272</v>
      </c>
      <c r="I2404" s="1207"/>
      <c r="J2404" s="1194" t="str">
        <f>IF(Table5[[#This Row],[Entered]]&lt;&gt;Table5[[#This Row],[Quantity]],"Check","")</f>
        <v/>
      </c>
    </row>
    <row r="2405" spans="1:10" s="1198" customFormat="1" ht="15" x14ac:dyDescent="0.2">
      <c r="A2405" s="1190" t="s">
        <v>1381</v>
      </c>
      <c r="B2405" s="1190" t="s">
        <v>578</v>
      </c>
      <c r="C2405" s="1190" t="s">
        <v>875</v>
      </c>
      <c r="D2405" s="1190">
        <f>515</f>
        <v>515</v>
      </c>
      <c r="E2405" s="1190">
        <v>1</v>
      </c>
      <c r="F2405" s="1191">
        <f>F2404+F2403</f>
        <v>0</v>
      </c>
      <c r="G2405" s="1192"/>
      <c r="H2405" s="1193" t="s">
        <v>1273</v>
      </c>
      <c r="I2405" s="1207"/>
      <c r="J2405" s="1194" t="str">
        <f>IF(Table5[[#This Row],[Entered]]&lt;&gt;Table5[[#This Row],[Quantity]],"Check","")</f>
        <v/>
      </c>
    </row>
    <row r="2406" spans="1:10" s="1198" customFormat="1" ht="15" x14ac:dyDescent="0.2">
      <c r="A2406" s="1190" t="s">
        <v>1381</v>
      </c>
      <c r="B2406" s="1190" t="s">
        <v>578</v>
      </c>
      <c r="C2406" s="1190" t="s">
        <v>875</v>
      </c>
      <c r="D2406" s="1190">
        <f>516</f>
        <v>516</v>
      </c>
      <c r="E2406" s="1190">
        <v>1</v>
      </c>
      <c r="F2406" s="1191">
        <f>F2404</f>
        <v>0</v>
      </c>
      <c r="G2406" s="1192"/>
      <c r="H2406" s="1193" t="s">
        <v>1274</v>
      </c>
      <c r="I2406" s="1207"/>
      <c r="J2406" s="1194" t="str">
        <f>IF(Table5[[#This Row],[Entered]]&lt;&gt;Table5[[#This Row],[Quantity]],"Check","")</f>
        <v/>
      </c>
    </row>
    <row r="2407" spans="1:10" s="1198" customFormat="1" ht="15" x14ac:dyDescent="0.2">
      <c r="A2407" s="1190" t="s">
        <v>1381</v>
      </c>
      <c r="B2407" s="1190" t="s">
        <v>578</v>
      </c>
      <c r="C2407" s="1190" t="s">
        <v>875</v>
      </c>
      <c r="D2407" s="1190">
        <f>630</f>
        <v>630</v>
      </c>
      <c r="E2407" s="1190">
        <v>1</v>
      </c>
      <c r="F2407" s="1191">
        <f>IF(FF_Area&gt;0,IF(AND(OR(Brick_typeFF="Brick Veneer",Brick_typeFF="Reverse Brick Veneer"),Locality="Bunbury",(Coastal="Yes")),CEILING(((H_Perim-Com_Wall)/0.45)*4/150,1)+1,0),0)</f>
        <v>0</v>
      </c>
      <c r="G2407" s="1192"/>
      <c r="H2407" s="1193" t="s">
        <v>1275</v>
      </c>
      <c r="I2407" s="1207"/>
      <c r="J2407" s="1194" t="str">
        <f>IF(Table5[[#This Row],[Entered]]&lt;&gt;Table5[[#This Row],[Quantity]],"Check","")</f>
        <v/>
      </c>
    </row>
    <row r="2408" spans="1:10" s="1198" customFormat="1" ht="15" x14ac:dyDescent="0.2">
      <c r="A2408" s="1190" t="s">
        <v>1381</v>
      </c>
      <c r="B2408" s="1190" t="s">
        <v>578</v>
      </c>
      <c r="C2408" s="1190" t="s">
        <v>875</v>
      </c>
      <c r="D2408" s="1190">
        <f>640</f>
        <v>640</v>
      </c>
      <c r="E2408" s="1190">
        <v>1</v>
      </c>
      <c r="F2408" s="1191">
        <f>IF(FF_Area&gt;0,IF(AND(OR(Brick_typeFF="Brick Veneer",Brick_typeFF="Reverse Brick Veneer"),Locality="Bunbury",(Coastal="No")),CEILING(((H_Perim-Com_Wall)/0.45)*4/150,1)+1,0),0)</f>
        <v>0</v>
      </c>
      <c r="G2408" s="1192"/>
      <c r="H2408" s="1193" t="s">
        <v>1276</v>
      </c>
      <c r="I2408" s="1207"/>
      <c r="J2408" s="1194" t="str">
        <f>IF(Table5[[#This Row],[Entered]]&lt;&gt;Table5[[#This Row],[Quantity]],"Check","")</f>
        <v/>
      </c>
    </row>
    <row r="2409" spans="1:10" s="1198" customFormat="1" ht="15" x14ac:dyDescent="0.2">
      <c r="A2409" s="1190" t="s">
        <v>1381</v>
      </c>
      <c r="B2409" s="1190" t="s">
        <v>578</v>
      </c>
      <c r="C2409" s="1190" t="s">
        <v>875</v>
      </c>
      <c r="D2409" s="1190">
        <f>710</f>
        <v>710</v>
      </c>
      <c r="E2409" s="1190">
        <v>1</v>
      </c>
      <c r="F2409" s="1191">
        <f>IF(Locality="Busselton",0,IF(Coastal="No",COUNTIFS('CSV FF'!A:A,"PWP",'CSV FF'!E:E,"&lt;=29"),0))</f>
        <v>0</v>
      </c>
      <c r="G2409" s="1192"/>
      <c r="H2409" s="1193" t="s">
        <v>1369</v>
      </c>
      <c r="I2409" s="1207"/>
      <c r="J2409" s="1194" t="str">
        <f>IF(Table5[[#This Row],[Entered]]&lt;&gt;Table5[[#This Row],[Quantity]],"Check","")</f>
        <v/>
      </c>
    </row>
    <row r="2410" spans="1:10" s="1198" customFormat="1" ht="15" x14ac:dyDescent="0.2">
      <c r="A2410" s="1190" t="s">
        <v>1381</v>
      </c>
      <c r="B2410" s="1190" t="s">
        <v>578</v>
      </c>
      <c r="C2410" s="1190" t="s">
        <v>875</v>
      </c>
      <c r="D2410" s="1190">
        <f>711</f>
        <v>711</v>
      </c>
      <c r="E2410" s="1190">
        <v>1</v>
      </c>
      <c r="F2410" s="1191">
        <f>IF(Locality="Busselton",0,IF(Coastal="Yes",COUNTIFS('CSV FF'!A:A,"PWP",'CSV FF'!E:E,"&lt;=29"),0))</f>
        <v>0</v>
      </c>
      <c r="G2410" s="1192"/>
      <c r="H2410" s="1193" t="s">
        <v>1370</v>
      </c>
      <c r="I2410" s="1207"/>
      <c r="J2410" s="1194" t="str">
        <f>IF(Table5[[#This Row],[Entered]]&lt;&gt;Table5[[#This Row],[Quantity]],"Check","")</f>
        <v/>
      </c>
    </row>
    <row r="2411" spans="1:10" s="1198" customFormat="1" ht="15" x14ac:dyDescent="0.2">
      <c r="A2411" s="1190" t="s">
        <v>1381</v>
      </c>
      <c r="B2411" s="1190" t="s">
        <v>578</v>
      </c>
      <c r="C2411" s="1190" t="s">
        <v>875</v>
      </c>
      <c r="D2411" s="1190">
        <f>720</f>
        <v>720</v>
      </c>
      <c r="E2411" s="1190">
        <v>1</v>
      </c>
      <c r="F2411" s="1191">
        <f>IF(Locality="Busselton",0,IF(Coastal="No",COUNTIFS('CSV FF'!A:A,"PWP",'CSV FF'!E:E,"&lt;=32",'CSV FF'!E:E,"&gt;29"),0))</f>
        <v>0</v>
      </c>
      <c r="G2411" s="1192"/>
      <c r="H2411" s="1193" t="s">
        <v>1371</v>
      </c>
      <c r="I2411" s="1207"/>
      <c r="J2411" s="1194" t="str">
        <f>IF(Table5[[#This Row],[Entered]]&lt;&gt;Table5[[#This Row],[Quantity]],"Check","")</f>
        <v/>
      </c>
    </row>
    <row r="2412" spans="1:10" s="1198" customFormat="1" ht="15" x14ac:dyDescent="0.2">
      <c r="A2412" s="1190" t="s">
        <v>1381</v>
      </c>
      <c r="B2412" s="1190" t="s">
        <v>578</v>
      </c>
      <c r="C2412" s="1190" t="s">
        <v>875</v>
      </c>
      <c r="D2412" s="1190">
        <f>721</f>
        <v>721</v>
      </c>
      <c r="E2412" s="1190">
        <v>1</v>
      </c>
      <c r="F2412" s="1191">
        <f>IF(Locality="Busselton",0,IF(Coastal="Yes",COUNTIFS('CSV FF'!A:A,"PWP",'CSV FF'!E:E,"&lt;=32",'CSV FF'!E:E,"&gt;29"),0))</f>
        <v>0</v>
      </c>
      <c r="G2412" s="1192"/>
      <c r="H2412" s="1193" t="s">
        <v>1372</v>
      </c>
      <c r="I2412" s="1207"/>
      <c r="J2412" s="1194" t="str">
        <f>IF(Table5[[#This Row],[Entered]]&lt;&gt;Table5[[#This Row],[Quantity]],"Check","")</f>
        <v/>
      </c>
    </row>
    <row r="2413" spans="1:10" s="1198" customFormat="1" ht="15" x14ac:dyDescent="0.2">
      <c r="A2413" s="1190" t="s">
        <v>1381</v>
      </c>
      <c r="B2413" s="1190" t="s">
        <v>578</v>
      </c>
      <c r="C2413" s="1190" t="s">
        <v>875</v>
      </c>
      <c r="D2413" s="1190">
        <f>730</f>
        <v>730</v>
      </c>
      <c r="E2413" s="1190">
        <v>1</v>
      </c>
      <c r="F2413" s="1191">
        <f>IF(Locality="Busselton",0,IF(Coastal="No",COUNTIFS('CSV FF'!A:A,"PWP",'CSV FF'!E:E,"&lt;=35",'CSV FF'!E:E,"&gt;32"),0))</f>
        <v>0</v>
      </c>
      <c r="G2413" s="1192"/>
      <c r="H2413" s="1193" t="s">
        <v>1373</v>
      </c>
      <c r="I2413" s="1207"/>
      <c r="J2413" s="1194" t="str">
        <f>IF(Table5[[#This Row],[Entered]]&lt;&gt;Table5[[#This Row],[Quantity]],"Check","")</f>
        <v/>
      </c>
    </row>
    <row r="2414" spans="1:10" s="1198" customFormat="1" ht="15" x14ac:dyDescent="0.2">
      <c r="A2414" s="1190" t="s">
        <v>1381</v>
      </c>
      <c r="B2414" s="1190" t="s">
        <v>578</v>
      </c>
      <c r="C2414" s="1190" t="s">
        <v>875</v>
      </c>
      <c r="D2414" s="1190">
        <f>731</f>
        <v>731</v>
      </c>
      <c r="E2414" s="1190">
        <v>1</v>
      </c>
      <c r="F2414" s="1191">
        <f>IF(Locality="Busselton",0,IF(Coastal="Yes",COUNTIFS('CSV FF'!A:A,"PWP",'CSV FF'!E:E,"&lt;=35",'CSV FF'!E:E,"&gt;32"),0))</f>
        <v>0</v>
      </c>
      <c r="G2414" s="1192"/>
      <c r="H2414" s="1193" t="s">
        <v>1374</v>
      </c>
      <c r="I2414" s="1207"/>
      <c r="J2414" s="1194" t="str">
        <f>IF(Table5[[#This Row],[Entered]]&lt;&gt;Table5[[#This Row],[Quantity]],"Check","")</f>
        <v/>
      </c>
    </row>
    <row r="2415" spans="1:10" s="1198" customFormat="1" ht="15" x14ac:dyDescent="0.2">
      <c r="A2415" s="1190" t="s">
        <v>1381</v>
      </c>
      <c r="B2415" s="1190" t="s">
        <v>578</v>
      </c>
      <c r="C2415" s="1190" t="s">
        <v>875</v>
      </c>
      <c r="D2415" s="1190">
        <f>1139</f>
        <v>1139</v>
      </c>
      <c r="E2415" s="1190">
        <v>1</v>
      </c>
      <c r="F2415" s="1191">
        <f>IF(AND(OR(Brick_typeFF="Timber Frame",Brick_typeFF="Brick Veneer"),Locality="Bunbury"),CEILING(('Brickwork FF'!$F$4+'Brickwork FF'!$F$69)/1200,50)+100,0)+IF(AND(Brick_typeFF="Reverse Brick Veneer",Locality="Bunbury"),CEILING(('Brickwork FF'!$F$4)/1200,50)+100,0)</f>
        <v>0</v>
      </c>
      <c r="G2415" s="1192"/>
      <c r="H2415" s="1193" t="s">
        <v>1547</v>
      </c>
      <c r="I2415" s="1207"/>
      <c r="J2415" s="1194" t="str">
        <f>IF(Table5[[#This Row],[Entered]]&lt;&gt;Table5[[#This Row],[Quantity]],"Check","")</f>
        <v/>
      </c>
    </row>
    <row r="2416" spans="1:10" s="1198" customFormat="1" ht="15" x14ac:dyDescent="0.2">
      <c r="A2416" s="1190" t="s">
        <v>1381</v>
      </c>
      <c r="B2416" s="1190" t="s">
        <v>578</v>
      </c>
      <c r="C2416" s="1190" t="s">
        <v>875</v>
      </c>
      <c r="D2416" s="1190">
        <f>1138</f>
        <v>1138</v>
      </c>
      <c r="E2416" s="1190">
        <v>1</v>
      </c>
      <c r="F2416" s="1191">
        <f>ROUNDUP(F2415/100,0)</f>
        <v>0</v>
      </c>
      <c r="G2416" s="1192"/>
      <c r="H2416" s="1193" t="s">
        <v>1459</v>
      </c>
      <c r="I2416" s="1207"/>
      <c r="J2416" s="1194" t="str">
        <f>IF(Table5[[#This Row],[Entered]]&lt;&gt;Table5[[#This Row],[Quantity]],"Check","")</f>
        <v/>
      </c>
    </row>
    <row r="2417" spans="1:10" s="1198" customFormat="1" ht="15" x14ac:dyDescent="0.2">
      <c r="A2417" s="1190" t="s">
        <v>1381</v>
      </c>
      <c r="B2417" s="1190" t="s">
        <v>578</v>
      </c>
      <c r="C2417" s="1190" t="s">
        <v>875</v>
      </c>
      <c r="D2417" s="1190">
        <f>955</f>
        <v>955</v>
      </c>
      <c r="E2417" s="1190">
        <v>1</v>
      </c>
      <c r="F2417" s="1191">
        <f>IF(Locality="Busselton",0,COUNTIF('CSV FF'!A:A,"Pier Rod"))</f>
        <v>0</v>
      </c>
      <c r="G2417" s="1192"/>
      <c r="H2417" s="1193" t="s">
        <v>1449</v>
      </c>
      <c r="I2417" s="1207"/>
      <c r="J2417" s="1194" t="str">
        <f>IF(Table5[[#This Row],[Entered]]&lt;&gt;Table5[[#This Row],[Quantity]],"Check","")</f>
        <v/>
      </c>
    </row>
    <row r="2418" spans="1:10" s="1198" customFormat="1" ht="15" x14ac:dyDescent="0.2">
      <c r="A2418" s="1190" t="s">
        <v>1381</v>
      </c>
      <c r="B2418" s="1190" t="s">
        <v>578</v>
      </c>
      <c r="C2418" s="1190" t="s">
        <v>875</v>
      </c>
      <c r="D2418" s="1190">
        <f>9100</f>
        <v>9100</v>
      </c>
      <c r="E2418" s="1190">
        <v>1</v>
      </c>
      <c r="F2418" s="1191">
        <f>IF(FF_Area&gt;0,IF(OR(ISNUMBER(SEARCH("Bunbury",Address)),ISNUMBER(SEARCH("Dalyellup",Address)),ISNUMBER(SEARCH("Australind",Address)),ISNUMBER(SEARCH("Eaton",Address)),ISNUMBER(SEARCH("Glen Iris",Address)),ISNUMBER(SEARCH("Roelands",Address)),ISNUMBER(SEARCH("Millbridge",Address))),1,0),0)</f>
        <v>0</v>
      </c>
      <c r="G2418" s="1192"/>
      <c r="H2418" s="1193" t="s">
        <v>1246</v>
      </c>
      <c r="I2418" s="1207"/>
      <c r="J2418" s="1194" t="str">
        <f>IF(Table5[[#This Row],[Entered]]&lt;&gt;Table5[[#This Row],[Quantity]],"Check","")</f>
        <v/>
      </c>
    </row>
    <row r="2419" spans="1:10" s="1198" customFormat="1" ht="15" x14ac:dyDescent="0.2">
      <c r="A2419" s="1190" t="s">
        <v>1381</v>
      </c>
      <c r="B2419" s="1190" t="s">
        <v>578</v>
      </c>
      <c r="C2419" s="1190" t="s">
        <v>875</v>
      </c>
      <c r="D2419" s="1190">
        <f>9110</f>
        <v>9110</v>
      </c>
      <c r="E2419" s="1190">
        <v>1</v>
      </c>
      <c r="F2419" s="1191">
        <f>IF(FF_Area&gt;0,IF(OR(ISNUMBER(SEARCH("Binningup",Address)),ISNUMBER(SEARCH("Dardanup",Address)),ISNUMBER(SEARCH("Burekup",Address))),1,0),0)</f>
        <v>0</v>
      </c>
      <c r="G2419" s="1192"/>
      <c r="H2419" s="1193" t="s">
        <v>880</v>
      </c>
      <c r="I2419" s="1207"/>
      <c r="J2419" s="1194" t="str">
        <f>IF(Table5[[#This Row],[Entered]]&lt;&gt;Table5[[#This Row],[Quantity]],"Check","")</f>
        <v/>
      </c>
    </row>
    <row r="2420" spans="1:10" s="1198" customFormat="1" ht="15" x14ac:dyDescent="0.2">
      <c r="A2420" s="1190" t="s">
        <v>1381</v>
      </c>
      <c r="B2420" s="1190" t="s">
        <v>578</v>
      </c>
      <c r="C2420" s="1190" t="s">
        <v>875</v>
      </c>
      <c r="D2420" s="1190">
        <f>9120</f>
        <v>9120</v>
      </c>
      <c r="E2420" s="1190">
        <v>1</v>
      </c>
      <c r="F2420" s="1191">
        <f>IF(FF_Area&gt;0,IF(OR(ISNUMBER(SEARCH("Harvey",Address)),ISNUMBER(SEARCH("Capel",Address)),ISNUMBER(SEARCH("Donnybrook",Address))),1,0),0)</f>
        <v>0</v>
      </c>
      <c r="G2420" s="1192"/>
      <c r="H2420" s="1193" t="s">
        <v>881</v>
      </c>
      <c r="I2420" s="1207"/>
      <c r="J2420" s="1194" t="str">
        <f>IF(Table5[[#This Row],[Entered]]&lt;&gt;Table5[[#This Row],[Quantity]],"Check","")</f>
        <v/>
      </c>
    </row>
    <row r="2421" spans="1:10" s="1198" customFormat="1" ht="15" x14ac:dyDescent="0.2">
      <c r="A2421" s="1190" t="s">
        <v>1381</v>
      </c>
      <c r="B2421" s="1190" t="s">
        <v>578</v>
      </c>
      <c r="C2421" s="1190" t="s">
        <v>875</v>
      </c>
      <c r="D2421" s="1190">
        <f>9130</f>
        <v>9130</v>
      </c>
      <c r="E2421" s="1190">
        <v>1</v>
      </c>
      <c r="F2421" s="1191">
        <f>IF(FF_Area&gt;0,IF(OR(ISNUMBER(SEARCH("Collie",Address)),ISNUMBER(SEARCH("Waroona",Address))),1,0),0)</f>
        <v>0</v>
      </c>
      <c r="G2421" s="1192"/>
      <c r="H2421" s="1193" t="s">
        <v>1247</v>
      </c>
      <c r="I2421" s="1207"/>
      <c r="J2421" s="1194" t="str">
        <f>IF(Table5[[#This Row],[Entered]]&lt;&gt;Table5[[#This Row],[Quantity]],"Check","")</f>
        <v/>
      </c>
    </row>
    <row r="2422" spans="1:10" s="1198" customFormat="1" ht="15" x14ac:dyDescent="0.2">
      <c r="A2422" s="1190" t="s">
        <v>1381</v>
      </c>
      <c r="B2422" s="1190" t="s">
        <v>578</v>
      </c>
      <c r="C2422" s="1190" t="s">
        <v>875</v>
      </c>
      <c r="D2422" s="1190" t="s">
        <v>1460</v>
      </c>
      <c r="E2422" s="1190">
        <v>0</v>
      </c>
      <c r="F2422" s="1191">
        <f>IF(SUM(F2379:F2420)&gt;0,1,0)</f>
        <v>0</v>
      </c>
      <c r="G2422" s="1192"/>
      <c r="H2422" s="1193" t="s">
        <v>1465</v>
      </c>
      <c r="I2422" s="1207"/>
      <c r="J2422" s="1194" t="str">
        <f>IF(Table5[[#This Row],[Entered]]&lt;&gt;Table5[[#This Row],[Quantity]],"Check","")</f>
        <v/>
      </c>
    </row>
    <row r="2423" spans="1:10" s="1198" customFormat="1" ht="15" x14ac:dyDescent="0.2">
      <c r="A2423" s="1190"/>
      <c r="B2423" s="1190"/>
      <c r="C2423" s="1190"/>
      <c r="D2423" s="1190"/>
      <c r="E2423" s="1190"/>
      <c r="F2423" s="1191"/>
      <c r="G2423" s="1192"/>
      <c r="H2423" s="1193"/>
      <c r="I2423" s="1207"/>
      <c r="J2423" s="1194" t="str">
        <f>IF(Table5[[#This Row],[Entered]]&lt;&gt;Table5[[#This Row],[Quantity]],"Check","")</f>
        <v/>
      </c>
    </row>
    <row r="2424" spans="1:10" s="1198" customFormat="1" ht="15" x14ac:dyDescent="0.2">
      <c r="A2424" s="1190" t="s">
        <v>1381</v>
      </c>
      <c r="B2424" s="1190" t="s">
        <v>1612</v>
      </c>
      <c r="C2424" s="1190" t="s">
        <v>2336</v>
      </c>
      <c r="D2424" s="1190">
        <f>20</f>
        <v>20</v>
      </c>
      <c r="E2424" s="1190">
        <v>1</v>
      </c>
      <c r="F2424" s="1191">
        <f>IF(Plasterboard?="No",COUNTIFS(NameFF,"DOOR RH",'CSV FF'!$C:$C,".82")+COUNTIFS(NameFF,"DFO RH",'CSV FF'!$C:$C,".82"),0)</f>
        <v>0</v>
      </c>
      <c r="G2424" s="1192"/>
      <c r="H2424" s="1193" t="s">
        <v>882</v>
      </c>
      <c r="I2424" s="1207"/>
      <c r="J2424" s="1194" t="str">
        <f>IF(Table5[[#This Row],[Entered]]&lt;&gt;Table5[[#This Row],[Quantity]],"Check","")</f>
        <v/>
      </c>
    </row>
    <row r="2425" spans="1:10" s="1198" customFormat="1" ht="15" x14ac:dyDescent="0.2">
      <c r="A2425" s="1190" t="s">
        <v>1381</v>
      </c>
      <c r="B2425" s="1190" t="s">
        <v>1612</v>
      </c>
      <c r="C2425" s="1190" t="s">
        <v>2336</v>
      </c>
      <c r="D2425" s="1190">
        <f>40</f>
        <v>40</v>
      </c>
      <c r="E2425" s="1190">
        <v>1</v>
      </c>
      <c r="F2425" s="1191">
        <f>IF(Plasterboard?="No",COUNTIFS(NameFF,"DOOR LH",'CSV FF'!$C:$C,".82")+COUNTIFS(NameFF,"DFO LH",'CSV FF'!$C:$C,".82"),0)</f>
        <v>0</v>
      </c>
      <c r="G2425" s="1192"/>
      <c r="H2425" s="1193" t="s">
        <v>883</v>
      </c>
      <c r="I2425" s="1207"/>
      <c r="J2425" s="1194" t="str">
        <f>IF(Table5[[#This Row],[Entered]]&lt;&gt;Table5[[#This Row],[Quantity]],"Check","")</f>
        <v/>
      </c>
    </row>
    <row r="2426" spans="1:10" s="1198" customFormat="1" ht="15" x14ac:dyDescent="0.2">
      <c r="A2426" s="1190" t="s">
        <v>1381</v>
      </c>
      <c r="B2426" s="1190" t="s">
        <v>1612</v>
      </c>
      <c r="C2426" s="1190" t="s">
        <v>2336</v>
      </c>
      <c r="D2426" s="1190">
        <f>60</f>
        <v>60</v>
      </c>
      <c r="E2426" s="1190">
        <v>1</v>
      </c>
      <c r="F2426" s="1191">
        <f>IF(Plasterboard?="No",COUNTIFS(NameFF,"DOOR RH",'CSV FF'!$C:$C,".72")+COUNTIFS(NameFF,"DFO RH",'CSV FF'!$C:$C,".72"),0)</f>
        <v>0</v>
      </c>
      <c r="G2426" s="1192"/>
      <c r="H2426" s="1193" t="s">
        <v>884</v>
      </c>
      <c r="I2426" s="1207"/>
      <c r="J2426" s="1194" t="str">
        <f>IF(Table5[[#This Row],[Entered]]&lt;&gt;Table5[[#This Row],[Quantity]],"Check","")</f>
        <v/>
      </c>
    </row>
    <row r="2427" spans="1:10" s="1198" customFormat="1" ht="15" x14ac:dyDescent="0.2">
      <c r="A2427" s="1190" t="s">
        <v>1381</v>
      </c>
      <c r="B2427" s="1190" t="s">
        <v>1612</v>
      </c>
      <c r="C2427" s="1190" t="s">
        <v>2336</v>
      </c>
      <c r="D2427" s="1190">
        <f>80</f>
        <v>80</v>
      </c>
      <c r="E2427" s="1190">
        <v>1</v>
      </c>
      <c r="F2427" s="1191">
        <f>IF(Plasterboard?="No",COUNTIFS(NameFF,"DOOR LH",'CSV FF'!$C:$C,".72")+COUNTIFS(NameFF,"DFO LH",'CSV FF'!$C:$C,".72"),0)</f>
        <v>0</v>
      </c>
      <c r="G2427" s="1192"/>
      <c r="H2427" s="1193" t="s">
        <v>885</v>
      </c>
      <c r="I2427" s="1207"/>
      <c r="J2427" s="1194" t="str">
        <f>IF(Table5[[#This Row],[Entered]]&lt;&gt;Table5[[#This Row],[Quantity]],"Check","")</f>
        <v/>
      </c>
    </row>
    <row r="2428" spans="1:10" s="1198" customFormat="1" ht="15" x14ac:dyDescent="0.2">
      <c r="A2428" s="1190" t="s">
        <v>1381</v>
      </c>
      <c r="B2428" s="1190" t="s">
        <v>1612</v>
      </c>
      <c r="C2428" s="1190" t="s">
        <v>2336</v>
      </c>
      <c r="D2428" s="1190">
        <f>100</f>
        <v>100</v>
      </c>
      <c r="E2428" s="1190">
        <v>1</v>
      </c>
      <c r="F2428" s="1191">
        <f>IF(Plasterboard?="No",COUNTIFS(NameFF,"DOOR RH",'CSV FF'!$C:$C,".62")+COUNTIFS(NameFF,"DFO RH",'CSV FF'!$C:$C,".62"),0)</f>
        <v>0</v>
      </c>
      <c r="G2428" s="1192"/>
      <c r="H2428" s="1193" t="s">
        <v>886</v>
      </c>
      <c r="I2428" s="1207"/>
      <c r="J2428" s="1194" t="str">
        <f>IF(Table5[[#This Row],[Entered]]&lt;&gt;Table5[[#This Row],[Quantity]],"Check","")</f>
        <v/>
      </c>
    </row>
    <row r="2429" spans="1:10" s="1198" customFormat="1" ht="15" x14ac:dyDescent="0.2">
      <c r="A2429" s="1190" t="s">
        <v>1381</v>
      </c>
      <c r="B2429" s="1190" t="s">
        <v>1612</v>
      </c>
      <c r="C2429" s="1190" t="s">
        <v>2336</v>
      </c>
      <c r="D2429" s="1190">
        <f>120</f>
        <v>120</v>
      </c>
      <c r="E2429" s="1190">
        <v>1</v>
      </c>
      <c r="F2429" s="1191">
        <f>IF(Plasterboard?="No",COUNTIFS(NameFF,"DOOR LH",'CSV FF'!$C:$C,".62")+COUNTIFS(NameFF,"DFO LH",'CSV FF'!$C:$C,".62"),0)</f>
        <v>0</v>
      </c>
      <c r="G2429" s="1192"/>
      <c r="H2429" s="1193" t="s">
        <v>887</v>
      </c>
      <c r="I2429" s="1207"/>
      <c r="J2429" s="1194" t="str">
        <f>IF(Table5[[#This Row],[Entered]]&lt;&gt;Table5[[#This Row],[Quantity]],"Check","")</f>
        <v/>
      </c>
    </row>
    <row r="2430" spans="1:10" s="1198" customFormat="1" ht="15" x14ac:dyDescent="0.2">
      <c r="A2430" s="1190" t="s">
        <v>1381</v>
      </c>
      <c r="B2430" s="1190" t="s">
        <v>1612</v>
      </c>
      <c r="C2430" s="1190" t="s">
        <v>2336</v>
      </c>
      <c r="D2430" s="1190">
        <f>140</f>
        <v>140</v>
      </c>
      <c r="E2430" s="1190">
        <v>1</v>
      </c>
      <c r="F2430" s="1191">
        <f>IF(Plasterboard?="No",COUNTIFS(NameFF,"DOOR RH",'CSV FF'!$C:$C,".52")+COUNTIFS(NameFF,"DFO RH",'CSV FF'!$C:$C,".52"),0)</f>
        <v>0</v>
      </c>
      <c r="G2430" s="1192"/>
      <c r="H2430" s="1193" t="s">
        <v>888</v>
      </c>
      <c r="I2430" s="1207"/>
      <c r="J2430" s="1194" t="str">
        <f>IF(Table5[[#This Row],[Entered]]&lt;&gt;Table5[[#This Row],[Quantity]],"Check","")</f>
        <v/>
      </c>
    </row>
    <row r="2431" spans="1:10" s="1198" customFormat="1" ht="15" x14ac:dyDescent="0.2">
      <c r="A2431" s="1190" t="s">
        <v>1381</v>
      </c>
      <c r="B2431" s="1190" t="s">
        <v>1612</v>
      </c>
      <c r="C2431" s="1190" t="s">
        <v>2336</v>
      </c>
      <c r="D2431" s="1190">
        <f>160</f>
        <v>160</v>
      </c>
      <c r="E2431" s="1190">
        <v>1</v>
      </c>
      <c r="F2431" s="1191">
        <f>IF(Plasterboard?="No",COUNTIFS(NameFF,"DOOR LH",'CSV FF'!$C:$C,".52")+COUNTIFS(NameFF,"DFO LH",'CSV FF'!$C:$C,".52"),0)</f>
        <v>0</v>
      </c>
      <c r="G2431" s="1192"/>
      <c r="H2431" s="1193" t="s">
        <v>889</v>
      </c>
      <c r="I2431" s="1207"/>
      <c r="J2431" s="1194" t="str">
        <f>IF(Table5[[#This Row],[Entered]]&lt;&gt;Table5[[#This Row],[Quantity]],"Check","")</f>
        <v/>
      </c>
    </row>
    <row r="2432" spans="1:10" s="1198" customFormat="1" ht="15" x14ac:dyDescent="0.2">
      <c r="A2432" s="1190" t="s">
        <v>1381</v>
      </c>
      <c r="B2432" s="1190" t="s">
        <v>1612</v>
      </c>
      <c r="C2432" s="1190" t="s">
        <v>2336</v>
      </c>
      <c r="D2432" s="1190">
        <f>180</f>
        <v>180</v>
      </c>
      <c r="E2432" s="1190">
        <v>1</v>
      </c>
      <c r="F2432" s="1191">
        <f>IF(Plasterboard?="No",COUNTIFS(NameFF,"DOOR WC RH",'CSV FF'!$C:$C,".72")+COUNTIFS(NameFF,"DFO WC RH",'CSV FF'!$C:$C,".72"),0)</f>
        <v>0</v>
      </c>
      <c r="G2432" s="1192"/>
      <c r="H2432" s="1193" t="s">
        <v>890</v>
      </c>
      <c r="I2432" s="1207"/>
      <c r="J2432" s="1194" t="str">
        <f>IF(Table5[[#This Row],[Entered]]&lt;&gt;Table5[[#This Row],[Quantity]],"Check","")</f>
        <v/>
      </c>
    </row>
    <row r="2433" spans="1:10" s="1198" customFormat="1" ht="15" x14ac:dyDescent="0.2">
      <c r="A2433" s="1190" t="s">
        <v>1381</v>
      </c>
      <c r="B2433" s="1190" t="s">
        <v>1612</v>
      </c>
      <c r="C2433" s="1190" t="s">
        <v>2336</v>
      </c>
      <c r="D2433" s="1190">
        <f>200</f>
        <v>200</v>
      </c>
      <c r="E2433" s="1190">
        <v>1</v>
      </c>
      <c r="F2433" s="1191">
        <f>IF(Plasterboard?="No",COUNTIFS(NameFF,"DOOR WC LH",'CSV FF'!$C:$C,".72")+COUNTIFS(NameFF,"DFO WC LH",'CSV FF'!$C:$C,".72"),0)</f>
        <v>0</v>
      </c>
      <c r="G2433" s="1192"/>
      <c r="H2433" s="1193" t="s">
        <v>891</v>
      </c>
      <c r="I2433" s="1207"/>
      <c r="J2433" s="1194" t="str">
        <f>IF(Table5[[#This Row],[Entered]]&lt;&gt;Table5[[#This Row],[Quantity]],"Check","")</f>
        <v/>
      </c>
    </row>
    <row r="2434" spans="1:10" s="1198" customFormat="1" ht="15" x14ac:dyDescent="0.2">
      <c r="A2434" s="1190" t="s">
        <v>1381</v>
      </c>
      <c r="B2434" s="1190" t="s">
        <v>1612</v>
      </c>
      <c r="C2434" s="1190" t="s">
        <v>2336</v>
      </c>
      <c r="D2434" s="1190">
        <f>220</f>
        <v>220</v>
      </c>
      <c r="E2434" s="1190">
        <v>1</v>
      </c>
      <c r="F2434" s="1191">
        <f>IF(Plasterboard?="No",COUNTIFS(NameFF,"DOOR WC RH",'CSV FF'!$C:$C,".62")+COUNTIFS(NameFF,"DFO WC RH",'CSV FF'!$C:$C,".62"),0)</f>
        <v>0</v>
      </c>
      <c r="G2434" s="1192"/>
      <c r="H2434" s="1193" t="s">
        <v>892</v>
      </c>
      <c r="I2434" s="1207"/>
      <c r="J2434" s="1194" t="str">
        <f>IF(Table5[[#This Row],[Entered]]&lt;&gt;Table5[[#This Row],[Quantity]],"Check","")</f>
        <v/>
      </c>
    </row>
    <row r="2435" spans="1:10" s="1198" customFormat="1" ht="15" x14ac:dyDescent="0.2">
      <c r="A2435" s="1190" t="s">
        <v>1381</v>
      </c>
      <c r="B2435" s="1190" t="s">
        <v>1612</v>
      </c>
      <c r="C2435" s="1190" t="s">
        <v>2336</v>
      </c>
      <c r="D2435" s="1190">
        <f>240</f>
        <v>240</v>
      </c>
      <c r="E2435" s="1190">
        <v>1</v>
      </c>
      <c r="F2435" s="1191">
        <f>IF(Plasterboard?="No",COUNTIFS(NameFF,"DOOR WC LH",'CSV FF'!$C:$C,".62")+COUNTIFS(NameFF,"DFO WC LH",'CSV FF'!$C:$C,".62"),0)</f>
        <v>0</v>
      </c>
      <c r="G2435" s="1192"/>
      <c r="H2435" s="1193" t="s">
        <v>893</v>
      </c>
      <c r="I2435" s="1207"/>
      <c r="J2435" s="1194" t="str">
        <f>IF(Table5[[#This Row],[Entered]]&lt;&gt;Table5[[#This Row],[Quantity]],"Check","")</f>
        <v/>
      </c>
    </row>
    <row r="2436" spans="1:10" s="1198" customFormat="1" ht="15" x14ac:dyDescent="0.2">
      <c r="A2436" s="1190" t="s">
        <v>1381</v>
      </c>
      <c r="B2436" s="1190" t="s">
        <v>1612</v>
      </c>
      <c r="C2436" s="1190" t="s">
        <v>2336</v>
      </c>
      <c r="D2436" s="1190">
        <f>280</f>
        <v>280</v>
      </c>
      <c r="E2436" s="1190">
        <v>1</v>
      </c>
      <c r="F2436" s="1191">
        <f>IF(Plasterboard?="No",COUNTIFS(NameFF,"DOOR SLD",'CSV FF'!$C:$C,".87")+COUNTIFS(NameFF,"DFO SLD",'CSV FF'!$C:$C,".87"),0)</f>
        <v>0</v>
      </c>
      <c r="G2436" s="1192"/>
      <c r="H2436" s="1193" t="s">
        <v>894</v>
      </c>
      <c r="I2436" s="1207"/>
      <c r="J2436" s="1194" t="str">
        <f>IF(Table5[[#This Row],[Entered]]&lt;&gt;Table5[[#This Row],[Quantity]],"Check","")</f>
        <v/>
      </c>
    </row>
    <row r="2437" spans="1:10" s="1198" customFormat="1" ht="15" x14ac:dyDescent="0.2">
      <c r="A2437" s="1190" t="s">
        <v>1381</v>
      </c>
      <c r="B2437" s="1190" t="s">
        <v>1612</v>
      </c>
      <c r="C2437" s="1190" t="s">
        <v>2336</v>
      </c>
      <c r="D2437" s="1190">
        <f>290</f>
        <v>290</v>
      </c>
      <c r="E2437" s="1190">
        <v>1</v>
      </c>
      <c r="F2437" s="1191">
        <f>IF(Plasterboard?="No",COUNTIFS(NameFF,"DOOR SLD",'CSV FF'!$C:$C,".77")+COUNTIFS(NameFF,"DFO SLD",'CSV FF'!$C:$C,".77"),0)</f>
        <v>0</v>
      </c>
      <c r="G2437" s="1192"/>
      <c r="H2437" s="1193" t="s">
        <v>895</v>
      </c>
      <c r="I2437" s="1207"/>
      <c r="J2437" s="1194" t="str">
        <f>IF(Table5[[#This Row],[Entered]]&lt;&gt;Table5[[#This Row],[Quantity]],"Check","")</f>
        <v/>
      </c>
    </row>
    <row r="2438" spans="1:10" s="1198" customFormat="1" ht="15" x14ac:dyDescent="0.2">
      <c r="A2438" s="1190" t="s">
        <v>1381</v>
      </c>
      <c r="B2438" s="1190" t="s">
        <v>1612</v>
      </c>
      <c r="C2438" s="1190" t="s">
        <v>2336</v>
      </c>
      <c r="D2438" s="1190" t="s">
        <v>663</v>
      </c>
      <c r="E2438" s="1190">
        <v>1</v>
      </c>
      <c r="F2438" s="1191">
        <f>IF(Plasterboard?="No",COUNTIFS(NameFF,"DOOR SLD",'CSV FF'!$C:$C,".67")+COUNTIFS(NameFF,"DFO SLD",'CSV FF'!$C:$C,".67"),0)</f>
        <v>0</v>
      </c>
      <c r="G2438" s="1192"/>
      <c r="H2438" s="1193" t="s">
        <v>902</v>
      </c>
      <c r="I2438" s="1207"/>
      <c r="J2438" s="1194" t="str">
        <f>IF(Table5[[#This Row],[Entered]]&lt;&gt;Table5[[#This Row],[Quantity]],"Check","")</f>
        <v/>
      </c>
    </row>
    <row r="2439" spans="1:10" s="1198" customFormat="1" ht="15" x14ac:dyDescent="0.2">
      <c r="A2439" s="1190" t="s">
        <v>1381</v>
      </c>
      <c r="B2439" s="1190" t="s">
        <v>1612</v>
      </c>
      <c r="C2439" s="1190" t="s">
        <v>2336</v>
      </c>
      <c r="D2439" s="1190" t="s">
        <v>664</v>
      </c>
      <c r="E2439" s="1190">
        <v>1</v>
      </c>
      <c r="F2439" s="1191">
        <f>IF(Plasterboard?="No",COUNTIFS(NameFF,"DOOR RH",'CSV FF'!$C:$C,".92")+COUNTIFS(NameFF,"DFO RH",'CSV FF'!$C:$C,".92"),0)</f>
        <v>0</v>
      </c>
      <c r="G2439" s="1192"/>
      <c r="H2439" s="1193" t="s">
        <v>1174</v>
      </c>
      <c r="I2439" s="1207"/>
      <c r="J2439" s="1194" t="str">
        <f>IF(Table5[[#This Row],[Entered]]&lt;&gt;Table5[[#This Row],[Quantity]],"Check","")</f>
        <v/>
      </c>
    </row>
    <row r="2440" spans="1:10" s="1198" customFormat="1" ht="15" x14ac:dyDescent="0.2">
      <c r="A2440" s="1190" t="s">
        <v>1381</v>
      </c>
      <c r="B2440" s="1190" t="s">
        <v>1612</v>
      </c>
      <c r="C2440" s="1190" t="s">
        <v>2336</v>
      </c>
      <c r="D2440" s="1190" t="s">
        <v>1062</v>
      </c>
      <c r="E2440" s="1190">
        <v>1</v>
      </c>
      <c r="F2440" s="1191">
        <f>IF(Plasterboard?="No",COUNTIFS(NameFF,"DOOR LH",'CSV FF'!$C:$C,".92")+COUNTIFS(NameFF,"DFO LH",'CSV FF'!$C:$C,".92"),0)</f>
        <v>0</v>
      </c>
      <c r="G2440" s="1192"/>
      <c r="H2440" s="1193" t="s">
        <v>1330</v>
      </c>
      <c r="I2440" s="1207"/>
      <c r="J2440" s="1194" t="str">
        <f>IF(Table5[[#This Row],[Entered]]&lt;&gt;Table5[[#This Row],[Quantity]],"Check","")</f>
        <v/>
      </c>
    </row>
    <row r="2441" spans="1:10" s="1198" customFormat="1" ht="15" x14ac:dyDescent="0.2">
      <c r="A2441" s="1190" t="s">
        <v>1381</v>
      </c>
      <c r="B2441" s="1190" t="s">
        <v>1612</v>
      </c>
      <c r="C2441" s="1190" t="s">
        <v>2336</v>
      </c>
      <c r="D2441" s="1190">
        <f>300</f>
        <v>300</v>
      </c>
      <c r="E2441" s="1190">
        <v>1</v>
      </c>
      <c r="F2441" s="1191">
        <f>IF(Plasterboard?="No",COUNTIFS(NameFF,"DOOR SLD DBL",'CSV FF'!$C:$C,".87")+COUNTIFS(NameFF,"DFO SLD DBL",'CSV FF'!$C:$C,".87"),0)</f>
        <v>0</v>
      </c>
      <c r="G2441" s="1192"/>
      <c r="H2441" s="1193" t="s">
        <v>896</v>
      </c>
      <c r="I2441" s="1207"/>
      <c r="J2441" s="1194" t="str">
        <f>IF(Table5[[#This Row],[Entered]]&lt;&gt;Table5[[#This Row],[Quantity]],"Check","")</f>
        <v/>
      </c>
    </row>
    <row r="2442" spans="1:10" s="1198" customFormat="1" ht="15" x14ac:dyDescent="0.2">
      <c r="A2442" s="1190" t="s">
        <v>1381</v>
      </c>
      <c r="B2442" s="1190" t="s">
        <v>1612</v>
      </c>
      <c r="C2442" s="1190" t="s">
        <v>2336</v>
      </c>
      <c r="D2442" s="1190">
        <f>320</f>
        <v>320</v>
      </c>
      <c r="E2442" s="1190">
        <v>1</v>
      </c>
      <c r="F2442" s="1191">
        <f>IF(Plasterboard?="No",COUNTIFS(NameFF,"DOOR SLD DBL",'CSV FF'!$C:$C,".77")+COUNTIFS(NameFF,"DFO SLD DBL",'CSV FF'!$C:$C,".77"),0)</f>
        <v>0</v>
      </c>
      <c r="G2442" s="1192"/>
      <c r="H2442" s="1193" t="s">
        <v>897</v>
      </c>
      <c r="I2442" s="1207"/>
      <c r="J2442" s="1194" t="str">
        <f>IF(Table5[[#This Row],[Entered]]&lt;&gt;Table5[[#This Row],[Quantity]],"Check","")</f>
        <v/>
      </c>
    </row>
    <row r="2443" spans="1:10" s="1198" customFormat="1" ht="15" x14ac:dyDescent="0.2">
      <c r="A2443" s="1190" t="s">
        <v>1381</v>
      </c>
      <c r="B2443" s="1190" t="s">
        <v>1612</v>
      </c>
      <c r="C2443" s="1190" t="s">
        <v>2336</v>
      </c>
      <c r="D2443" s="1190">
        <f>360</f>
        <v>360</v>
      </c>
      <c r="E2443" s="1190">
        <v>1</v>
      </c>
      <c r="F2443" s="1191">
        <f>IF(Plasterboard?="No",COUNTIFS(NameFF,"DOOR DBL",'CSV FF'!$C:$C,".82")+COUNTIFS(NameFF,"DFO DBL",'CSV FF'!$C:$C,".82"),0)</f>
        <v>0</v>
      </c>
      <c r="G2443" s="1192"/>
      <c r="H2443" s="1193" t="s">
        <v>898</v>
      </c>
      <c r="I2443" s="1207"/>
      <c r="J2443" s="1194" t="str">
        <f>IF(Table5[[#This Row],[Entered]]&lt;&gt;Table5[[#This Row],[Quantity]],"Check","")</f>
        <v/>
      </c>
    </row>
    <row r="2444" spans="1:10" s="1198" customFormat="1" ht="15" x14ac:dyDescent="0.2">
      <c r="A2444" s="1190" t="s">
        <v>1381</v>
      </c>
      <c r="B2444" s="1190" t="s">
        <v>1612</v>
      </c>
      <c r="C2444" s="1190" t="s">
        <v>2336</v>
      </c>
      <c r="D2444" s="1190">
        <f>380</f>
        <v>380</v>
      </c>
      <c r="E2444" s="1190">
        <v>1</v>
      </c>
      <c r="F2444" s="1191">
        <f>IF(Plasterboard?="No",COUNTIFS(NameFF,"DOOR DBL",'CSV FF'!$C:$C,".72")+COUNTIFS(NameFF,"DFO DBL",'CSV FF'!$C:$C,".72"),0)</f>
        <v>0</v>
      </c>
      <c r="G2444" s="1192"/>
      <c r="H2444" s="1193" t="s">
        <v>1022</v>
      </c>
      <c r="I2444" s="1207"/>
      <c r="J2444" s="1194" t="str">
        <f>IF(Table5[[#This Row],[Entered]]&lt;&gt;Table5[[#This Row],[Quantity]],"Check","")</f>
        <v/>
      </c>
    </row>
    <row r="2445" spans="1:10" s="1198" customFormat="1" ht="15" x14ac:dyDescent="0.2">
      <c r="A2445" s="1190" t="s">
        <v>1381</v>
      </c>
      <c r="B2445" s="1190" t="s">
        <v>1612</v>
      </c>
      <c r="C2445" s="1190" t="s">
        <v>2336</v>
      </c>
      <c r="D2445" s="1190">
        <f>400</f>
        <v>400</v>
      </c>
      <c r="E2445" s="1190">
        <v>1</v>
      </c>
      <c r="F2445" s="1191">
        <f>IF(Plasterboard?="No",COUNTIFS(NameFF,"DOOR DBL",'CSV FF'!$C:$C,".62")+COUNTIFS(NameFF,"DFO DBL",'CSV FF'!$C:$C,".62"),0)</f>
        <v>0</v>
      </c>
      <c r="G2445" s="1192"/>
      <c r="H2445" s="1193" t="s">
        <v>899</v>
      </c>
      <c r="I2445" s="1207"/>
      <c r="J2445" s="1194" t="str">
        <f>IF(Table5[[#This Row],[Entered]]&lt;&gt;Table5[[#This Row],[Quantity]],"Check","")</f>
        <v/>
      </c>
    </row>
    <row r="2446" spans="1:10" s="1198" customFormat="1" ht="15" x14ac:dyDescent="0.2">
      <c r="A2446" s="1190" t="s">
        <v>1381</v>
      </c>
      <c r="B2446" s="1190" t="s">
        <v>1612</v>
      </c>
      <c r="C2446" s="1190" t="s">
        <v>2336</v>
      </c>
      <c r="D2446" s="1190">
        <f>420</f>
        <v>420</v>
      </c>
      <c r="E2446" s="1190">
        <v>1</v>
      </c>
      <c r="F2446" s="1191">
        <f>IF(Plasterboard?="No",COUNTIFS(NameFF,"DOOR DBL",'CSV FF'!$C:$C,".52")+COUNTIFS(NameFF,"DFO DBL",'CSV FF'!$C:$C,".52"),0)</f>
        <v>0</v>
      </c>
      <c r="G2446" s="1192"/>
      <c r="H2446" s="1193" t="s">
        <v>1073</v>
      </c>
      <c r="I2446" s="1207"/>
      <c r="J2446" s="1194" t="str">
        <f>IF(Table5[[#This Row],[Entered]]&lt;&gt;Table5[[#This Row],[Quantity]],"Check","")</f>
        <v/>
      </c>
    </row>
    <row r="2447" spans="1:10" s="1198" customFormat="1" ht="15" x14ac:dyDescent="0.2">
      <c r="A2447" s="1190" t="s">
        <v>1381</v>
      </c>
      <c r="B2447" s="1190" t="s">
        <v>1612</v>
      </c>
      <c r="C2447" s="1190" t="s">
        <v>2336</v>
      </c>
      <c r="D2447" s="1190">
        <f>480</f>
        <v>480</v>
      </c>
      <c r="E2447" s="1190">
        <v>1</v>
      </c>
      <c r="F2447" s="1191">
        <f>IF(OR(Brick_typeFF="Timber Frame",Brick_typeFF="Brick Veneer"),0,COUNTIFS('CSV FF'!A:A,"180 HINGE")*3)</f>
        <v>0</v>
      </c>
      <c r="G2447" s="1192"/>
      <c r="H2447" s="1193" t="s">
        <v>900</v>
      </c>
      <c r="I2447" s="1207"/>
      <c r="J2447" s="1194" t="str">
        <f>IF(Table5[[#This Row],[Entered]]&lt;&gt;Table5[[#This Row],[Quantity]],"Check","")</f>
        <v/>
      </c>
    </row>
    <row r="2448" spans="1:10" s="1198" customFormat="1" ht="15" x14ac:dyDescent="0.2">
      <c r="A2448" s="1190" t="s">
        <v>1381</v>
      </c>
      <c r="B2448" s="1190" t="s">
        <v>1612</v>
      </c>
      <c r="C2448" s="1190" t="s">
        <v>2336</v>
      </c>
      <c r="D2448" s="1190">
        <f>490</f>
        <v>490</v>
      </c>
      <c r="E2448" s="1190">
        <v>1</v>
      </c>
      <c r="F2448" s="1191">
        <f>IF(OR(Brick_typeFF="Timber Frame",Brick_typeFF="Brick Veneer"),0,F2487)</f>
        <v>0</v>
      </c>
      <c r="G2448" s="1192"/>
      <c r="H2448" s="1193" t="s">
        <v>1181</v>
      </c>
      <c r="I2448" s="1207"/>
      <c r="J2448" s="1194" t="str">
        <f>IF(Table5[[#This Row],[Entered]]&lt;&gt;Table5[[#This Row],[Quantity]],"Check","")</f>
        <v/>
      </c>
    </row>
    <row r="2449" spans="1:10" s="1198" customFormat="1" ht="15" x14ac:dyDescent="0.2">
      <c r="A2449" s="1190" t="s">
        <v>1381</v>
      </c>
      <c r="B2449" s="1190" t="s">
        <v>1612</v>
      </c>
      <c r="C2449" s="1190" t="s">
        <v>2336</v>
      </c>
      <c r="D2449" s="1190">
        <f>495</f>
        <v>495</v>
      </c>
      <c r="E2449" s="1190">
        <v>1</v>
      </c>
      <c r="F2449" s="1191">
        <f>IF(OR(Brick_typeFF="Timber Frame",Brick_typeFF="Brick Veneer"),0,F2487)</f>
        <v>0</v>
      </c>
      <c r="G2449" s="1192"/>
      <c r="H2449" s="1193" t="s">
        <v>1182</v>
      </c>
      <c r="I2449" s="1207"/>
      <c r="J2449" s="1194" t="str">
        <f>IF(Table5[[#This Row],[Entered]]&lt;&gt;Table5[[#This Row],[Quantity]],"Check","")</f>
        <v/>
      </c>
    </row>
    <row r="2450" spans="1:10" s="1198" customFormat="1" ht="15" x14ac:dyDescent="0.2">
      <c r="A2450" s="1190" t="s">
        <v>1381</v>
      </c>
      <c r="B2450" s="1190" t="s">
        <v>1612</v>
      </c>
      <c r="C2450" s="1190" t="s">
        <v>2336</v>
      </c>
      <c r="D2450" s="1190">
        <f>500</f>
        <v>500</v>
      </c>
      <c r="E2450" s="1190">
        <v>1</v>
      </c>
      <c r="F2450" s="1191">
        <f>IF(Plasterboard?="Yes",COUNTIFS(NameFF,"DOOR RH",'CSV FF'!$C:$C,".82")+COUNTIFS(NameFF,"DFO RH",'CSV FF'!$C:$C,".82"),0)</f>
        <v>0</v>
      </c>
      <c r="G2450" s="1192"/>
      <c r="H2450" s="1193" t="s">
        <v>1683</v>
      </c>
      <c r="I2450" s="1207"/>
      <c r="J2450" s="1194" t="str">
        <f>IF(Table5[[#This Row],[Entered]]&lt;&gt;Table5[[#This Row],[Quantity]],"Check","")</f>
        <v/>
      </c>
    </row>
    <row r="2451" spans="1:10" s="1198" customFormat="1" ht="15" x14ac:dyDescent="0.2">
      <c r="A2451" s="1190" t="s">
        <v>1381</v>
      </c>
      <c r="B2451" s="1190" t="s">
        <v>1612</v>
      </c>
      <c r="C2451" s="1190" t="s">
        <v>2336</v>
      </c>
      <c r="D2451" s="1190">
        <f>501</f>
        <v>501</v>
      </c>
      <c r="E2451" s="1190">
        <v>1</v>
      </c>
      <c r="F2451" s="1191">
        <f>IF(Plasterboard?="Yes",COUNTIFS(NameFF,"DOOR LH",'CSV FF'!$C:$C,".82")+COUNTIFS(NameFF,"DFO LH",'CSV FF'!$C:$C,".82"),0)</f>
        <v>0</v>
      </c>
      <c r="G2451" s="1192"/>
      <c r="H2451" s="1193" t="s">
        <v>1684</v>
      </c>
      <c r="I2451" s="1207"/>
      <c r="J2451" s="1194" t="str">
        <f>IF(Table5[[#This Row],[Entered]]&lt;&gt;Table5[[#This Row],[Quantity]],"Check","")</f>
        <v/>
      </c>
    </row>
    <row r="2452" spans="1:10" s="1198" customFormat="1" ht="15" x14ac:dyDescent="0.2">
      <c r="A2452" s="1190" t="s">
        <v>1381</v>
      </c>
      <c r="B2452" s="1190" t="s">
        <v>1612</v>
      </c>
      <c r="C2452" s="1190" t="s">
        <v>2336</v>
      </c>
      <c r="D2452" s="1190">
        <f>502</f>
        <v>502</v>
      </c>
      <c r="E2452" s="1190">
        <v>1</v>
      </c>
      <c r="F2452" s="1191">
        <f>IF(Plasterboard?="Yes",COUNTIFS(NameFF,"DOOR RH",'CSV FF'!$C:$C,".72")+COUNTIFS(NameFF,"DFO RH",'CSV FF'!$C:$C,".72"),0)</f>
        <v>0</v>
      </c>
      <c r="G2452" s="1192"/>
      <c r="H2452" s="1193" t="s">
        <v>1685</v>
      </c>
      <c r="I2452" s="1207"/>
      <c r="J2452" s="1194" t="str">
        <f>IF(Table5[[#This Row],[Entered]]&lt;&gt;Table5[[#This Row],[Quantity]],"Check","")</f>
        <v/>
      </c>
    </row>
    <row r="2453" spans="1:10" s="1198" customFormat="1" ht="15" x14ac:dyDescent="0.2">
      <c r="A2453" s="1190" t="s">
        <v>1381</v>
      </c>
      <c r="B2453" s="1190" t="s">
        <v>1612</v>
      </c>
      <c r="C2453" s="1190" t="s">
        <v>2336</v>
      </c>
      <c r="D2453" s="1190">
        <f>503</f>
        <v>503</v>
      </c>
      <c r="E2453" s="1190">
        <v>1</v>
      </c>
      <c r="F2453" s="1191">
        <f>IF(Plasterboard?="Yes",COUNTIFS(NameFF,"DOOR LH",'CSV FF'!$C:$C,".72")+COUNTIFS(NameFF,"DFO LH",'CSV FF'!$C:$C,".72"),0)</f>
        <v>0</v>
      </c>
      <c r="G2453" s="1192"/>
      <c r="H2453" s="1193" t="s">
        <v>1686</v>
      </c>
      <c r="I2453" s="1207"/>
      <c r="J2453" s="1194" t="str">
        <f>IF(Table5[[#This Row],[Entered]]&lt;&gt;Table5[[#This Row],[Quantity]],"Check","")</f>
        <v/>
      </c>
    </row>
    <row r="2454" spans="1:10" s="1198" customFormat="1" ht="15" x14ac:dyDescent="0.2">
      <c r="A2454" s="1190" t="s">
        <v>1381</v>
      </c>
      <c r="B2454" s="1190" t="s">
        <v>1612</v>
      </c>
      <c r="C2454" s="1190" t="s">
        <v>2336</v>
      </c>
      <c r="D2454" s="1190">
        <f>504</f>
        <v>504</v>
      </c>
      <c r="E2454" s="1190">
        <v>1</v>
      </c>
      <c r="F2454" s="1191">
        <f>IF(Plasterboard?="Yes",COUNTIFS(NameFF,"DOOR RH",'CSV FF'!$C:$C,".62")+COUNTIFS(NameFF,"DFO RH",'CSV FF'!$C:$C,".62"),0)</f>
        <v>0</v>
      </c>
      <c r="G2454" s="1192"/>
      <c r="H2454" s="1193" t="s">
        <v>1687</v>
      </c>
      <c r="I2454" s="1207"/>
      <c r="J2454" s="1194" t="str">
        <f>IF(Table5[[#This Row],[Entered]]&lt;&gt;Table5[[#This Row],[Quantity]],"Check","")</f>
        <v/>
      </c>
    </row>
    <row r="2455" spans="1:10" s="1198" customFormat="1" ht="15" x14ac:dyDescent="0.2">
      <c r="A2455" s="1190" t="s">
        <v>1381</v>
      </c>
      <c r="B2455" s="1190" t="s">
        <v>1612</v>
      </c>
      <c r="C2455" s="1190" t="s">
        <v>2336</v>
      </c>
      <c r="D2455" s="1190">
        <f>505</f>
        <v>505</v>
      </c>
      <c r="E2455" s="1190">
        <v>1</v>
      </c>
      <c r="F2455" s="1191">
        <f>IF(Plasterboard?="Yes",COUNTIFS(NameFF,"DOOR LH",'CSV FF'!$C:$C,".62")+COUNTIFS(NameFF,"DFO LH",'CSV FF'!$C:$C,".62"),0)</f>
        <v>0</v>
      </c>
      <c r="G2455" s="1192"/>
      <c r="H2455" s="1193" t="s">
        <v>1688</v>
      </c>
      <c r="I2455" s="1207"/>
      <c r="J2455" s="1194" t="str">
        <f>IF(Table5[[#This Row],[Entered]]&lt;&gt;Table5[[#This Row],[Quantity]],"Check","")</f>
        <v/>
      </c>
    </row>
    <row r="2456" spans="1:10" s="1198" customFormat="1" ht="15" x14ac:dyDescent="0.2">
      <c r="A2456" s="1190" t="s">
        <v>1381</v>
      </c>
      <c r="B2456" s="1190" t="s">
        <v>1612</v>
      </c>
      <c r="C2456" s="1190" t="s">
        <v>2336</v>
      </c>
      <c r="D2456" s="1190">
        <f>506</f>
        <v>506</v>
      </c>
      <c r="E2456" s="1190">
        <v>1</v>
      </c>
      <c r="F2456" s="1191">
        <f>IF(Plasterboard?="Yes",COUNTIFS(NameFF,"DOOR RH",'CSV FF'!$C:$C,".52")+COUNTIFS(NameFF,"DFO RH",'CSV FF'!$C:$C,".52"),0)</f>
        <v>0</v>
      </c>
      <c r="G2456" s="1192"/>
      <c r="H2456" s="1193" t="s">
        <v>1689</v>
      </c>
      <c r="I2456" s="1207"/>
      <c r="J2456" s="1194" t="str">
        <f>IF(Table5[[#This Row],[Entered]]&lt;&gt;Table5[[#This Row],[Quantity]],"Check","")</f>
        <v/>
      </c>
    </row>
    <row r="2457" spans="1:10" s="1198" customFormat="1" ht="15" x14ac:dyDescent="0.2">
      <c r="A2457" s="1190" t="s">
        <v>1381</v>
      </c>
      <c r="B2457" s="1190" t="s">
        <v>1612</v>
      </c>
      <c r="C2457" s="1190" t="s">
        <v>2336</v>
      </c>
      <c r="D2457" s="1190">
        <f>507</f>
        <v>507</v>
      </c>
      <c r="E2457" s="1190">
        <v>1</v>
      </c>
      <c r="F2457" s="1191">
        <f>IF(Plasterboard?="Yes",COUNTIFS(NameFF,"DOOR LH",'CSV FF'!$C:$C,".52")+COUNTIFS(NameFF,"DFO LH",'CSV FF'!$C:$C,".52"),0)</f>
        <v>0</v>
      </c>
      <c r="G2457" s="1192"/>
      <c r="H2457" s="1193" t="s">
        <v>1690</v>
      </c>
      <c r="I2457" s="1207"/>
      <c r="J2457" s="1194" t="str">
        <f>IF(Table5[[#This Row],[Entered]]&lt;&gt;Table5[[#This Row],[Quantity]],"Check","")</f>
        <v/>
      </c>
    </row>
    <row r="2458" spans="1:10" s="1198" customFormat="1" ht="15" x14ac:dyDescent="0.2">
      <c r="A2458" s="1190" t="s">
        <v>1381</v>
      </c>
      <c r="B2458" s="1190" t="s">
        <v>1612</v>
      </c>
      <c r="C2458" s="1190" t="s">
        <v>2336</v>
      </c>
      <c r="D2458" s="1190">
        <v>522</v>
      </c>
      <c r="E2458" s="1190">
        <v>1</v>
      </c>
      <c r="F2458" s="1191">
        <f>IF(Plasterboard?="Yes",COUNTIFS(NameFF,"DOOR WC RH",'CSV FF'!$C:$C,".82")+COUNTIFS(NameFF,"DFO WC RH",'CSV FF'!$C:$C,".82"),0)</f>
        <v>0</v>
      </c>
      <c r="G2458" s="1192"/>
      <c r="H2458" s="1193" t="s">
        <v>1691</v>
      </c>
      <c r="I2458" s="1207"/>
      <c r="J2458" s="1194" t="str">
        <f>IF(Table5[[#This Row],[Entered]]&lt;&gt;Table5[[#This Row],[Quantity]],"Check","")</f>
        <v/>
      </c>
    </row>
    <row r="2459" spans="1:10" s="1198" customFormat="1" ht="15" x14ac:dyDescent="0.2">
      <c r="A2459" s="1190" t="s">
        <v>1381</v>
      </c>
      <c r="B2459" s="1190" t="s">
        <v>1612</v>
      </c>
      <c r="C2459" s="1190" t="s">
        <v>2336</v>
      </c>
      <c r="D2459" s="1190">
        <v>523</v>
      </c>
      <c r="E2459" s="1190">
        <v>1</v>
      </c>
      <c r="F2459" s="1191">
        <f>IF(Plasterboard?="Yes",COUNTIFS(NameFF,"DOOR WC LH",'CSV FF'!$C:$C,".82")+COUNTIFS(NameFF,"DFO WC LH",'CSV FF'!$C:$C,".82"),0)</f>
        <v>0</v>
      </c>
      <c r="G2459" s="1192"/>
      <c r="H2459" s="1193" t="s">
        <v>1692</v>
      </c>
      <c r="I2459" s="1207"/>
      <c r="J2459" s="1194" t="str">
        <f>IF(Table5[[#This Row],[Entered]]&lt;&gt;Table5[[#This Row],[Quantity]],"Check","")</f>
        <v/>
      </c>
    </row>
    <row r="2460" spans="1:10" s="1198" customFormat="1" ht="15" x14ac:dyDescent="0.2">
      <c r="A2460" s="1190" t="s">
        <v>1381</v>
      </c>
      <c r="B2460" s="1190" t="s">
        <v>1612</v>
      </c>
      <c r="C2460" s="1190" t="s">
        <v>2336</v>
      </c>
      <c r="D2460" s="1190">
        <f>508</f>
        <v>508</v>
      </c>
      <c r="E2460" s="1190">
        <v>1</v>
      </c>
      <c r="F2460" s="1191">
        <f>IF(Plasterboard?="Yes",COUNTIFS(NameFF,"DOOR WC RH",'CSV FF'!$C:$C,".72")+COUNTIFS(NameFF,"DFO WC RH",'CSV FF'!$C:$C,".72"),0)</f>
        <v>0</v>
      </c>
      <c r="G2460" s="1192"/>
      <c r="H2460" s="1193" t="s">
        <v>1693</v>
      </c>
      <c r="I2460" s="1207"/>
      <c r="J2460" s="1194" t="str">
        <f>IF(Table5[[#This Row],[Entered]]&lt;&gt;Table5[[#This Row],[Quantity]],"Check","")</f>
        <v/>
      </c>
    </row>
    <row r="2461" spans="1:10" s="1198" customFormat="1" ht="15" x14ac:dyDescent="0.2">
      <c r="A2461" s="1190" t="s">
        <v>1381</v>
      </c>
      <c r="B2461" s="1190" t="s">
        <v>1612</v>
      </c>
      <c r="C2461" s="1190" t="s">
        <v>2336</v>
      </c>
      <c r="D2461" s="1190">
        <f>509</f>
        <v>509</v>
      </c>
      <c r="E2461" s="1190">
        <v>1</v>
      </c>
      <c r="F2461" s="1191">
        <f>IF(Plasterboard?="Yes",COUNTIFS(NameFF,"DOOR WC LH",'CSV FF'!$C:$C,".72")+COUNTIFS(NameFF,"DFO WC LH",'CSV FF'!$C:$C,".72"),0)</f>
        <v>0</v>
      </c>
      <c r="G2461" s="1192"/>
      <c r="H2461" s="1193" t="s">
        <v>1694</v>
      </c>
      <c r="I2461" s="1207"/>
      <c r="J2461" s="1194" t="str">
        <f>IF(Table5[[#This Row],[Entered]]&lt;&gt;Table5[[#This Row],[Quantity]],"Check","")</f>
        <v/>
      </c>
    </row>
    <row r="2462" spans="1:10" s="1198" customFormat="1" ht="15" x14ac:dyDescent="0.2">
      <c r="A2462" s="1190" t="s">
        <v>1381</v>
      </c>
      <c r="B2462" s="1190" t="s">
        <v>1612</v>
      </c>
      <c r="C2462" s="1190" t="s">
        <v>2336</v>
      </c>
      <c r="D2462" s="1190">
        <f>510</f>
        <v>510</v>
      </c>
      <c r="E2462" s="1190">
        <v>1</v>
      </c>
      <c r="F2462" s="1191">
        <f>IF(Plasterboard?="Yes",COUNTIFS(NameFF,"DOOR WC RH",'CSV FF'!$C:$C,".62")+COUNTIFS(NameFF,"DFO WC RH",'CSV FF'!$C:$C,".62"),0)</f>
        <v>0</v>
      </c>
      <c r="G2462" s="1192"/>
      <c r="H2462" s="1193" t="s">
        <v>1695</v>
      </c>
      <c r="I2462" s="1207"/>
      <c r="J2462" s="1194" t="str">
        <f>IF(Table5[[#This Row],[Entered]]&lt;&gt;Table5[[#This Row],[Quantity]],"Check","")</f>
        <v/>
      </c>
    </row>
    <row r="2463" spans="1:10" s="1198" customFormat="1" ht="15" x14ac:dyDescent="0.2">
      <c r="A2463" s="1190" t="s">
        <v>1381</v>
      </c>
      <c r="B2463" s="1190" t="s">
        <v>1612</v>
      </c>
      <c r="C2463" s="1190" t="s">
        <v>2336</v>
      </c>
      <c r="D2463" s="1190">
        <f>511</f>
        <v>511</v>
      </c>
      <c r="E2463" s="1190">
        <v>1</v>
      </c>
      <c r="F2463" s="1191">
        <f>IF(Plasterboard?="Yes",COUNTIFS(NameFF,"DOOR WC LH",'CSV FF'!$C:$C,".62")+COUNTIFS(NameFF,"DFO WC LH",'CSV FF'!$C:$C,".62"),0)</f>
        <v>0</v>
      </c>
      <c r="G2463" s="1192"/>
      <c r="H2463" s="1193" t="s">
        <v>1696</v>
      </c>
      <c r="I2463" s="1207"/>
      <c r="J2463" s="1194" t="str">
        <f>IF(Table5[[#This Row],[Entered]]&lt;&gt;Table5[[#This Row],[Quantity]],"Check","")</f>
        <v/>
      </c>
    </row>
    <row r="2464" spans="1:10" s="1198" customFormat="1" ht="15" x14ac:dyDescent="0.2">
      <c r="A2464" s="1190" t="s">
        <v>1381</v>
      </c>
      <c r="B2464" s="1190" t="s">
        <v>1612</v>
      </c>
      <c r="C2464" s="1190" t="s">
        <v>2336</v>
      </c>
      <c r="D2464" s="1190">
        <f>512</f>
        <v>512</v>
      </c>
      <c r="E2464" s="1190">
        <v>1</v>
      </c>
      <c r="F2464" s="1191">
        <f>IF(Plasterboard?="Yes",COUNTIFS(NameFF,"DOOR SLD",'CSV FF'!$C:$C,".87")+COUNTIFS(NameFF,"DFO SLD",'CSV FF'!$C:$C,".87"),0)</f>
        <v>0</v>
      </c>
      <c r="G2464" s="1192"/>
      <c r="H2464" s="1193" t="s">
        <v>1697</v>
      </c>
      <c r="I2464" s="1207"/>
      <c r="J2464" s="1194" t="str">
        <f>IF(Table5[[#This Row],[Entered]]&lt;&gt;Table5[[#This Row],[Quantity]],"Check","")</f>
        <v/>
      </c>
    </row>
    <row r="2465" spans="1:10" s="1198" customFormat="1" ht="15" x14ac:dyDescent="0.2">
      <c r="A2465" s="1190" t="s">
        <v>1381</v>
      </c>
      <c r="B2465" s="1190" t="s">
        <v>1612</v>
      </c>
      <c r="C2465" s="1190" t="s">
        <v>2336</v>
      </c>
      <c r="D2465" s="1190">
        <f>513</f>
        <v>513</v>
      </c>
      <c r="E2465" s="1190">
        <v>1</v>
      </c>
      <c r="F2465" s="1191">
        <f>IF(Plasterboard?="Yes",COUNTIFS(NameFF,"DOOR SLD",'CSV FF'!$C:$C,".77")+COUNTIFS(NameFF,"DFO SLD",'CSV FF'!$C:$C,".77"),0)</f>
        <v>0</v>
      </c>
      <c r="G2465" s="1192"/>
      <c r="H2465" s="1193" t="s">
        <v>1698</v>
      </c>
      <c r="I2465" s="1207"/>
      <c r="J2465" s="1194" t="str">
        <f>IF(Table5[[#This Row],[Entered]]&lt;&gt;Table5[[#This Row],[Quantity]],"Check","")</f>
        <v/>
      </c>
    </row>
    <row r="2466" spans="1:10" s="1198" customFormat="1" ht="15" x14ac:dyDescent="0.2">
      <c r="A2466" s="1190" t="s">
        <v>1381</v>
      </c>
      <c r="B2466" s="1190" t="s">
        <v>1612</v>
      </c>
      <c r="C2466" s="1190" t="s">
        <v>2336</v>
      </c>
      <c r="D2466" s="1190">
        <f>514</f>
        <v>514</v>
      </c>
      <c r="E2466" s="1190">
        <v>1</v>
      </c>
      <c r="F2466" s="1191">
        <f>IF(Plasterboard?="Yes",COUNTIFS(NameFF,"DOOR SLD",'CSV FF'!$C:$C,".67")+COUNTIFS(NameFF,"DFO SLD",'CSV FF'!$C:$C,".67"),0)</f>
        <v>0</v>
      </c>
      <c r="G2466" s="1192"/>
      <c r="H2466" s="1193" t="s">
        <v>1699</v>
      </c>
      <c r="I2466" s="1207"/>
      <c r="J2466" s="1194" t="str">
        <f>IF(Table5[[#This Row],[Entered]]&lt;&gt;Table5[[#This Row],[Quantity]],"Check","")</f>
        <v/>
      </c>
    </row>
    <row r="2467" spans="1:10" s="1198" customFormat="1" ht="15" x14ac:dyDescent="0.2">
      <c r="A2467" s="1190" t="s">
        <v>1381</v>
      </c>
      <c r="B2467" s="1190" t="s">
        <v>1612</v>
      </c>
      <c r="C2467" s="1190" t="s">
        <v>2336</v>
      </c>
      <c r="D2467" s="1190" t="s">
        <v>2290</v>
      </c>
      <c r="E2467" s="1190">
        <v>1</v>
      </c>
      <c r="F2467" s="1191">
        <f>IF(Plasterboard?="Yes",COUNTIFS(NameFF,"DOOR RH",'CSV FF'!$C:$C,".92")+COUNTIFS(NameFF,"DFO RH",'CSV FF'!$C:$C,".92"),0)</f>
        <v>0</v>
      </c>
      <c r="G2467" s="1192"/>
      <c r="H2467" s="1193" t="s">
        <v>1700</v>
      </c>
      <c r="I2467" s="1207"/>
      <c r="J2467" s="1194" t="str">
        <f>IF(Table5[[#This Row],[Entered]]&lt;&gt;Table5[[#This Row],[Quantity]],"Check","")</f>
        <v/>
      </c>
    </row>
    <row r="2468" spans="1:10" s="1198" customFormat="1" ht="15" x14ac:dyDescent="0.2">
      <c r="A2468" s="1190" t="s">
        <v>1381</v>
      </c>
      <c r="B2468" s="1190" t="s">
        <v>1612</v>
      </c>
      <c r="C2468" s="1190" t="s">
        <v>2336</v>
      </c>
      <c r="D2468" s="1190" t="s">
        <v>2291</v>
      </c>
      <c r="E2468" s="1190">
        <v>1</v>
      </c>
      <c r="F2468" s="1191">
        <f>IF(Plasterboard?="Yes",COUNTIFS(NameFF,"DOOR LH",'CSV FF'!$C:$C,".92")+COUNTIFS(NameFF,"DFO LH",'CSV FF'!$C:$C,".92"),0)</f>
        <v>0</v>
      </c>
      <c r="G2468" s="1192"/>
      <c r="H2468" s="1193" t="s">
        <v>1701</v>
      </c>
      <c r="I2468" s="1207"/>
      <c r="J2468" s="1194" t="str">
        <f>IF(Table5[[#This Row],[Entered]]&lt;&gt;Table5[[#This Row],[Quantity]],"Check","")</f>
        <v/>
      </c>
    </row>
    <row r="2469" spans="1:10" s="1198" customFormat="1" ht="15" x14ac:dyDescent="0.2">
      <c r="A2469" s="1190" t="s">
        <v>1381</v>
      </c>
      <c r="B2469" s="1190" t="s">
        <v>1612</v>
      </c>
      <c r="C2469" s="1190" t="s">
        <v>2336</v>
      </c>
      <c r="D2469" s="1190">
        <f>515</f>
        <v>515</v>
      </c>
      <c r="E2469" s="1190">
        <v>1</v>
      </c>
      <c r="F2469" s="1191">
        <f>IF(Plasterboard?="Yes",COUNTIFS(NameFF,"DOOR SLD DBL",'CSV FF'!$C:$C,".87")+COUNTIFS(NameFF,"DFO SLD DBL",'CSV FF'!$C:$C,".87"),0)</f>
        <v>0</v>
      </c>
      <c r="G2469" s="1192"/>
      <c r="H2469" s="1193" t="s">
        <v>1702</v>
      </c>
      <c r="I2469" s="1207"/>
      <c r="J2469" s="1194" t="str">
        <f>IF(Table5[[#This Row],[Entered]]&lt;&gt;Table5[[#This Row],[Quantity]],"Check","")</f>
        <v/>
      </c>
    </row>
    <row r="2470" spans="1:10" s="1198" customFormat="1" ht="15" x14ac:dyDescent="0.2">
      <c r="A2470" s="1190" t="s">
        <v>1381</v>
      </c>
      <c r="B2470" s="1190" t="s">
        <v>1612</v>
      </c>
      <c r="C2470" s="1190" t="s">
        <v>2336</v>
      </c>
      <c r="D2470" s="1190">
        <f>516</f>
        <v>516</v>
      </c>
      <c r="E2470" s="1190">
        <v>1</v>
      </c>
      <c r="F2470" s="1191">
        <f>IF(Plasterboard?="Yes",COUNTIFS(NameFF,"DOOR SLD DBL",'CSV FF'!$C:$C,".77")+COUNTIFS(NameFF,"DFO SLD DBL",'CSV FF'!$C:$C,".77"),0)</f>
        <v>0</v>
      </c>
      <c r="G2470" s="1192"/>
      <c r="H2470" s="1193" t="s">
        <v>1703</v>
      </c>
      <c r="I2470" s="1207"/>
      <c r="J2470" s="1194" t="str">
        <f>IF(Table5[[#This Row],[Entered]]&lt;&gt;Table5[[#This Row],[Quantity]],"Check","")</f>
        <v/>
      </c>
    </row>
    <row r="2471" spans="1:10" s="1198" customFormat="1" ht="15" x14ac:dyDescent="0.2">
      <c r="A2471" s="1190" t="s">
        <v>1381</v>
      </c>
      <c r="B2471" s="1190" t="s">
        <v>1612</v>
      </c>
      <c r="C2471" s="1190" t="s">
        <v>2336</v>
      </c>
      <c r="D2471" s="1190">
        <f>517</f>
        <v>517</v>
      </c>
      <c r="E2471" s="1190">
        <v>1</v>
      </c>
      <c r="F2471" s="1191">
        <f>IF(Plasterboard?="Yes",COUNTIFS(NameFF,"DOOR SLD DBL",'CSV FF'!$C:$C,".67")+COUNTIFS(NameFF,"DFO SLD DBL",'CSV FF'!$C:$C,".67"),0)</f>
        <v>0</v>
      </c>
      <c r="G2471" s="1192"/>
      <c r="H2471" s="1193" t="s">
        <v>1704</v>
      </c>
      <c r="I2471" s="1207"/>
      <c r="J2471" s="1194" t="str">
        <f>IF(Table5[[#This Row],[Entered]]&lt;&gt;Table5[[#This Row],[Quantity]],"Check","")</f>
        <v/>
      </c>
    </row>
    <row r="2472" spans="1:10" s="1198" customFormat="1" ht="15" x14ac:dyDescent="0.2">
      <c r="A2472" s="1190" t="s">
        <v>1381</v>
      </c>
      <c r="B2472" s="1190" t="s">
        <v>1612</v>
      </c>
      <c r="C2472" s="1190" t="s">
        <v>2336</v>
      </c>
      <c r="D2472" s="1190">
        <f>518</f>
        <v>518</v>
      </c>
      <c r="E2472" s="1190">
        <v>1</v>
      </c>
      <c r="F2472" s="1191">
        <f>IF(Plasterboard?="Yes",COUNTIFS(NameFF,"DOOR DBL",'CSV FF'!$C:$C,".82")+COUNTIFS(NameFF,"DFO DBL",'CSV FF'!$C:$C,".82"),0)</f>
        <v>0</v>
      </c>
      <c r="G2472" s="1192"/>
      <c r="H2472" s="1193" t="s">
        <v>1705</v>
      </c>
      <c r="I2472" s="1207"/>
      <c r="J2472" s="1194" t="str">
        <f>IF(Table5[[#This Row],[Entered]]&lt;&gt;Table5[[#This Row],[Quantity]],"Check","")</f>
        <v/>
      </c>
    </row>
    <row r="2473" spans="1:10" s="1198" customFormat="1" ht="15" x14ac:dyDescent="0.2">
      <c r="A2473" s="1190" t="s">
        <v>1381</v>
      </c>
      <c r="B2473" s="1190" t="s">
        <v>1612</v>
      </c>
      <c r="C2473" s="1190" t="s">
        <v>2336</v>
      </c>
      <c r="D2473" s="1190">
        <f>519</f>
        <v>519</v>
      </c>
      <c r="E2473" s="1190">
        <v>1</v>
      </c>
      <c r="F2473" s="1191">
        <f>IF(Plasterboard?="Yes",COUNTIFS(NameFF,"DOOR DBL",'CSV FF'!$C:$C,".72")+COUNTIFS(NameFF,"DFO DBL",'CSV FF'!$C:$C,".72"),0)</f>
        <v>0</v>
      </c>
      <c r="G2473" s="1192"/>
      <c r="H2473" s="1193" t="s">
        <v>1706</v>
      </c>
      <c r="I2473" s="1207"/>
      <c r="J2473" s="1194" t="str">
        <f>IF(Table5[[#This Row],[Entered]]&lt;&gt;Table5[[#This Row],[Quantity]],"Check","")</f>
        <v/>
      </c>
    </row>
    <row r="2474" spans="1:10" s="1198" customFormat="1" ht="15" x14ac:dyDescent="0.2">
      <c r="A2474" s="1190" t="s">
        <v>1381</v>
      </c>
      <c r="B2474" s="1190" t="s">
        <v>1612</v>
      </c>
      <c r="C2474" s="1190" t="s">
        <v>2336</v>
      </c>
      <c r="D2474" s="1190">
        <f>520</f>
        <v>520</v>
      </c>
      <c r="E2474" s="1190">
        <v>1</v>
      </c>
      <c r="F2474" s="1191">
        <f>IF(Plasterboard?="Yes",COUNTIFS(NameFF,"DOOR DBL",'CSV FF'!$C:$C,".62")+COUNTIFS(NameFF,"DFO DBL",'CSV FF'!$C:$C,".62"),0)</f>
        <v>0</v>
      </c>
      <c r="G2474" s="1192"/>
      <c r="H2474" s="1193" t="s">
        <v>1707</v>
      </c>
      <c r="I2474" s="1207"/>
      <c r="J2474" s="1194" t="str">
        <f>IF(Table5[[#This Row],[Entered]]&lt;&gt;Table5[[#This Row],[Quantity]],"Check","")</f>
        <v/>
      </c>
    </row>
    <row r="2475" spans="1:10" s="1198" customFormat="1" ht="15" x14ac:dyDescent="0.2">
      <c r="A2475" s="1190" t="s">
        <v>1381</v>
      </c>
      <c r="B2475" s="1190" t="s">
        <v>1612</v>
      </c>
      <c r="C2475" s="1190" t="s">
        <v>2336</v>
      </c>
      <c r="D2475" s="1190">
        <f>521</f>
        <v>521</v>
      </c>
      <c r="E2475" s="1190">
        <v>1</v>
      </c>
      <c r="F2475" s="1191">
        <f>IF(Plasterboard?="Yes",COUNTIFS(NameFF,"DOOR DBL",'CSV FF'!$C:$C,".52")+COUNTIFS(NameFF,"DFO DBL",'CSV FF'!$C:$C,".52"),0)</f>
        <v>0</v>
      </c>
      <c r="G2475" s="1192"/>
      <c r="H2475" s="1193" t="s">
        <v>1708</v>
      </c>
      <c r="I2475" s="1207"/>
      <c r="J2475" s="1194" t="str">
        <f>IF(Table5[[#This Row],[Entered]]&lt;&gt;Table5[[#This Row],[Quantity]],"Check","")</f>
        <v/>
      </c>
    </row>
    <row r="2476" spans="1:10" s="1198" customFormat="1" ht="15" x14ac:dyDescent="0.2">
      <c r="A2476" s="1190" t="s">
        <v>1381</v>
      </c>
      <c r="B2476" s="1190" t="s">
        <v>1612</v>
      </c>
      <c r="C2476" s="1190" t="s">
        <v>2336</v>
      </c>
      <c r="D2476" s="1190">
        <f>540</f>
        <v>540</v>
      </c>
      <c r="E2476" s="1190">
        <v>1</v>
      </c>
      <c r="F2476" s="1191">
        <f>IF(OR(Brick_typeFF="Timber Frame",Brick_typeFF="Brick Veneer"),0,COUNTIFS('CSV FF'!A:A,"DOOR SHPR*",'CSV FF'!C:C,".82"))</f>
        <v>0</v>
      </c>
      <c r="G2476" s="1192"/>
      <c r="H2476" s="1193" t="s">
        <v>901</v>
      </c>
      <c r="I2476" s="1207"/>
      <c r="J2476" s="1194" t="str">
        <f>IF(Table5[[#This Row],[Entered]]&lt;&gt;Table5[[#This Row],[Quantity]],"Check","")</f>
        <v/>
      </c>
    </row>
    <row r="2477" spans="1:10" s="1198" customFormat="1" ht="15" x14ac:dyDescent="0.2">
      <c r="A2477" s="1190" t="s">
        <v>1381</v>
      </c>
      <c r="B2477" s="1190" t="s">
        <v>1612</v>
      </c>
      <c r="C2477" s="1190" t="s">
        <v>2336</v>
      </c>
      <c r="D2477" s="1190">
        <f>600</f>
        <v>600</v>
      </c>
      <c r="E2477" s="1190">
        <v>1</v>
      </c>
      <c r="F2477" s="1191">
        <f>IF(OR(Brick_typeFF="Timber Frame",Brick_typeFF="Brick Veneer"),0,IF(COUNTIF('CSV FF'!A:A,"DOOR*")&gt;0,1,0))</f>
        <v>0</v>
      </c>
      <c r="G2477" s="1192"/>
      <c r="H2477" s="1193" t="s">
        <v>1619</v>
      </c>
      <c r="I2477" s="1207"/>
      <c r="J2477" s="1194" t="str">
        <f>IF(Table5[[#This Row],[Entered]]&lt;&gt;Table5[[#This Row],[Quantity]],"Check","")</f>
        <v/>
      </c>
    </row>
    <row r="2478" spans="1:10" s="1198" customFormat="1" ht="15" x14ac:dyDescent="0.2">
      <c r="A2478" s="1190" t="s">
        <v>1381</v>
      </c>
      <c r="B2478" s="1190" t="s">
        <v>1612</v>
      </c>
      <c r="C2478" s="1190" t="s">
        <v>2336</v>
      </c>
      <c r="D2478" s="1190" t="s">
        <v>1065</v>
      </c>
      <c r="E2478" s="1190">
        <v>0</v>
      </c>
      <c r="F2478" s="1191">
        <f>IF(OR(Brick_typeFF="Timber Frame",Brick_typeFF="Brick Veneer"),0,COUNTIF('CSV FF'!A:A,"DOOR SHPR LH"))</f>
        <v>0</v>
      </c>
      <c r="G2478" s="1192"/>
      <c r="H2478" s="1193" t="str">
        <f>IF(COUNTIFS('CSV FF'!A:A,"DOOR SHPR LH",'CSV FF'!C:C,".82")&gt;0,COUNTIFS('CSV FF'!A:A,"DOOR SHPR LH",'CSV FF'!C:C,".82")&amp;" LH "&amp;H2476&amp;" "&amp;IF(Brick_typeFF="Standard Face","110mm","90mm"),"")</f>
        <v/>
      </c>
      <c r="I2478" s="1207"/>
      <c r="J2478" s="1194" t="str">
        <f>IF(Table5[[#This Row],[Entered]]&lt;&gt;Table5[[#This Row],[Quantity]],"Check","")</f>
        <v/>
      </c>
    </row>
    <row r="2479" spans="1:10" s="1198" customFormat="1" ht="15" x14ac:dyDescent="0.2">
      <c r="A2479" s="1190" t="s">
        <v>1381</v>
      </c>
      <c r="B2479" s="1190" t="s">
        <v>1612</v>
      </c>
      <c r="C2479" s="1190" t="s">
        <v>2336</v>
      </c>
      <c r="D2479" s="1190" t="s">
        <v>663</v>
      </c>
      <c r="E2479" s="1190">
        <v>0</v>
      </c>
      <c r="F2479" s="1191">
        <f>IF(OR(Brick_typeFF="Timber Frame",Brick_typeFF="Brick Veneer"),0,COUNTIF('CSV FF'!A:A,"DOOR SHPR RH"))</f>
        <v>0</v>
      </c>
      <c r="G2479" s="1192"/>
      <c r="H2479" s="1193" t="str">
        <f>IF(COUNTIFS('CSV FF'!A:A,"DOOR SHPR RH",'CSV FF'!C:C,".82")&gt;0,COUNTIFS('CSV FF'!A:A,"DOOR SHPR RH",'CSV FF'!C:C,".82")&amp;" RH "&amp;H2476&amp;" "&amp;IF(Brick_typeFF="Standard Face","110mm","90mm"),"")</f>
        <v/>
      </c>
      <c r="I2479" s="1207"/>
      <c r="J2479" s="1194" t="str">
        <f>IF(Table5[[#This Row],[Entered]]&lt;&gt;Table5[[#This Row],[Quantity]],"Check","")</f>
        <v/>
      </c>
    </row>
    <row r="2480" spans="1:10" s="1198" customFormat="1" ht="15" x14ac:dyDescent="0.2">
      <c r="A2480" s="1190" t="s">
        <v>1381</v>
      </c>
      <c r="B2480" s="1190" t="s">
        <v>1612</v>
      </c>
      <c r="C2480" s="1190" t="s">
        <v>2336</v>
      </c>
      <c r="D2480" s="1190">
        <f>542</f>
        <v>542</v>
      </c>
      <c r="E2480" s="1190">
        <v>1</v>
      </c>
      <c r="F2480" s="1191">
        <f>IF(OR(Brick_typeFF="Timber Frame",Brick_typeFF="Brick Veneer"),0,COUNTIFS('CSV FF'!A:A,"DOOR PA*",'CSV FF'!C:C,".82"))</f>
        <v>0</v>
      </c>
      <c r="G2480" s="1192"/>
      <c r="H2480" s="1193" t="s">
        <v>951</v>
      </c>
      <c r="I2480" s="1207"/>
      <c r="J2480" s="1194" t="str">
        <f>IF(Table5[[#This Row],[Entered]]&lt;&gt;Table5[[#This Row],[Quantity]],"Check","")</f>
        <v/>
      </c>
    </row>
    <row r="2481" spans="1:10" s="1198" customFormat="1" ht="15" x14ac:dyDescent="0.2">
      <c r="A2481" s="1190" t="s">
        <v>1381</v>
      </c>
      <c r="B2481" s="1190" t="s">
        <v>1612</v>
      </c>
      <c r="C2481" s="1190" t="s">
        <v>2336</v>
      </c>
      <c r="D2481" s="1190" t="s">
        <v>664</v>
      </c>
      <c r="E2481" s="1190">
        <v>0</v>
      </c>
      <c r="F2481" s="1191">
        <f>IF(OR(Brick_typeFF="Timber Frame",Brick_typeFF="Brick Veneer"),0,COUNTIF('CSV FF'!A:A,"DOOR PA LH"))</f>
        <v>0</v>
      </c>
      <c r="G2481" s="1192"/>
      <c r="H2481" s="1193" t="str">
        <f>IF(COUNTIFS('CSV FF'!A:A,"DOOR PA LH",'CSV FF'!C:C,".82")&gt;0,COUNTIFS('CSV FF'!A:A,"DOOR PA LH",'CSV FF'!C:C,".82")&amp;" LH "&amp;H2480&amp;" "&amp;IF(Brick_typeFF="Standard Face","110mm","90mm"),"")</f>
        <v/>
      </c>
      <c r="I2481" s="1207"/>
      <c r="J2481" s="1194" t="str">
        <f>IF(Table5[[#This Row],[Entered]]&lt;&gt;Table5[[#This Row],[Quantity]],"Check","")</f>
        <v/>
      </c>
    </row>
    <row r="2482" spans="1:10" s="1198" customFormat="1" ht="15" x14ac:dyDescent="0.2">
      <c r="A2482" s="1190" t="s">
        <v>1381</v>
      </c>
      <c r="B2482" s="1190" t="s">
        <v>1612</v>
      </c>
      <c r="C2482" s="1190" t="s">
        <v>2336</v>
      </c>
      <c r="D2482" s="1190" t="s">
        <v>1062</v>
      </c>
      <c r="E2482" s="1190">
        <v>0</v>
      </c>
      <c r="F2482" s="1191">
        <f>IF(OR(Brick_typeFF="Timber Frame",Brick_typeFF="Brick Veneer"),0,COUNTIF('CSV FF'!A:A,"DOOR PA RH"))</f>
        <v>0</v>
      </c>
      <c r="G2482" s="1192"/>
      <c r="H2482" s="1193" t="str">
        <f>IF(COUNTIFS('CSV FF'!A:A,"DOOR PA RH",'CSV FF'!C:C,".82")&gt;0,COUNTIFS('CSV FF'!A:A,"DOOR PA RH",'CSV FF'!C:C,".82")&amp;" RH "&amp;H2480&amp;" "&amp;IF(Brick_typeFF="Standard Face","110mm","90mm"),"")</f>
        <v/>
      </c>
      <c r="I2482" s="1207"/>
      <c r="J2482" s="1194" t="str">
        <f>IF(Table5[[#This Row],[Entered]]&lt;&gt;Table5[[#This Row],[Quantity]],"Check","")</f>
        <v/>
      </c>
    </row>
    <row r="2483" spans="1:10" s="1198" customFormat="1" ht="15" x14ac:dyDescent="0.2">
      <c r="A2483" s="1190" t="s">
        <v>1381</v>
      </c>
      <c r="B2483" s="1190" t="s">
        <v>1612</v>
      </c>
      <c r="C2483" s="1190" t="s">
        <v>2336</v>
      </c>
      <c r="D2483" s="1190">
        <f>1020</f>
        <v>1020</v>
      </c>
      <c r="E2483" s="1190">
        <v>1</v>
      </c>
      <c r="F2483" s="1191">
        <f>IF(OR(Brick_typeFF="Timber Frame",Brick_typeFF="Brick Veneer"),0,COUNTIFS('CSV FF'!A:A,"DOOR RH",'CSV FF'!C:C,".87"))</f>
        <v>0</v>
      </c>
      <c r="G2483" s="1192"/>
      <c r="H2483" s="1193" t="s">
        <v>1175</v>
      </c>
      <c r="I2483" s="1207"/>
      <c r="J2483" s="1194" t="str">
        <f>IF(Table5[[#This Row],[Entered]]&lt;&gt;Table5[[#This Row],[Quantity]],"Check","")</f>
        <v/>
      </c>
    </row>
    <row r="2484" spans="1:10" s="1198" customFormat="1" ht="15" x14ac:dyDescent="0.2">
      <c r="A2484" s="1190" t="s">
        <v>1381</v>
      </c>
      <c r="B2484" s="1190" t="s">
        <v>1612</v>
      </c>
      <c r="C2484" s="1190" t="s">
        <v>2336</v>
      </c>
      <c r="D2484" s="1190">
        <f>1040</f>
        <v>1040</v>
      </c>
      <c r="E2484" s="1190">
        <v>1</v>
      </c>
      <c r="F2484" s="1191">
        <f>IF(OR(Brick_typeFF="Timber Frame",Brick_typeFF="Brick Veneer"),0,COUNTIFS('CSV FF'!A:A,"DOOR lH",'CSV FF'!C:C,".87"))</f>
        <v>0</v>
      </c>
      <c r="G2484" s="1192"/>
      <c r="H2484" s="1193" t="s">
        <v>1176</v>
      </c>
      <c r="I2484" s="1207"/>
      <c r="J2484" s="1194" t="str">
        <f>IF(Table5[[#This Row],[Entered]]&lt;&gt;Table5[[#This Row],[Quantity]],"Check","")</f>
        <v/>
      </c>
    </row>
    <row r="2485" spans="1:10" s="1198" customFormat="1" ht="15" x14ac:dyDescent="0.2">
      <c r="A2485" s="1190" t="s">
        <v>1381</v>
      </c>
      <c r="B2485" s="1190" t="s">
        <v>1612</v>
      </c>
      <c r="C2485" s="1190" t="s">
        <v>2336</v>
      </c>
      <c r="D2485" s="1190">
        <f>1180</f>
        <v>1180</v>
      </c>
      <c r="E2485" s="1190">
        <v>1</v>
      </c>
      <c r="F2485" s="1191">
        <f>IF(OR(Brick_typeFF="Timber Frame",Brick_typeFF="Brick Veneer"),0,COUNTIFS('CSV FF'!A:A,"DOOR WC RH",'CSV FF'!C:C,".87"))</f>
        <v>0</v>
      </c>
      <c r="G2485" s="1192"/>
      <c r="H2485" s="1193" t="s">
        <v>1177</v>
      </c>
      <c r="I2485" s="1207"/>
      <c r="J2485" s="1194" t="str">
        <f>IF(Table5[[#This Row],[Entered]]&lt;&gt;Table5[[#This Row],[Quantity]],"Check","")</f>
        <v/>
      </c>
    </row>
    <row r="2486" spans="1:10" s="1198" customFormat="1" ht="15" x14ac:dyDescent="0.2">
      <c r="A2486" s="1190" t="s">
        <v>1381</v>
      </c>
      <c r="B2486" s="1190" t="s">
        <v>1612</v>
      </c>
      <c r="C2486" s="1190" t="s">
        <v>2336</v>
      </c>
      <c r="D2486" s="1190">
        <f>1200</f>
        <v>1200</v>
      </c>
      <c r="E2486" s="1190">
        <v>1</v>
      </c>
      <c r="F2486" s="1191">
        <f>IF(OR(Brick_typeFF="Timber Frame",Brick_typeFF="Brick Veneer"),0,COUNTIFS('CSV FF'!A:A,"DOOR WC LH",'CSV FF'!C:C,".87"))</f>
        <v>0</v>
      </c>
      <c r="G2486" s="1192"/>
      <c r="H2486" s="1193" t="s">
        <v>1178</v>
      </c>
      <c r="I2486" s="1207"/>
      <c r="J2486" s="1194" t="str">
        <f>IF(Table5[[#This Row],[Entered]]&lt;&gt;Table5[[#This Row],[Quantity]],"Check","")</f>
        <v/>
      </c>
    </row>
    <row r="2487" spans="1:10" s="1198" customFormat="1" ht="15" x14ac:dyDescent="0.2">
      <c r="A2487" s="1190" t="s">
        <v>1381</v>
      </c>
      <c r="B2487" s="1190" t="s">
        <v>1612</v>
      </c>
      <c r="C2487" s="1190" t="s">
        <v>2336</v>
      </c>
      <c r="D2487" s="1190" t="s">
        <v>1138</v>
      </c>
      <c r="E2487" s="1190">
        <v>1</v>
      </c>
      <c r="F2487" s="1191">
        <f>IF(OR(Brick_typeFF="Timber Frame",Brick_typeFF="Brick Veneer"),0,COUNTIFS('CSV FF'!A:A,"DOOR PA*",'CSV FF'!C:C,".92"))</f>
        <v>0</v>
      </c>
      <c r="G2487" s="1192"/>
      <c r="H2487" s="1193" t="s">
        <v>1180</v>
      </c>
      <c r="I2487" s="1207"/>
      <c r="J2487" s="1194" t="str">
        <f>IF(Table5[[#This Row],[Entered]]&lt;&gt;Table5[[#This Row],[Quantity]],"Check","")</f>
        <v/>
      </c>
    </row>
    <row r="2488" spans="1:10" s="1198" customFormat="1" ht="15" x14ac:dyDescent="0.2">
      <c r="A2488" s="1190" t="s">
        <v>1381</v>
      </c>
      <c r="B2488" s="1190" t="s">
        <v>1612</v>
      </c>
      <c r="C2488" s="1190" t="s">
        <v>2336</v>
      </c>
      <c r="D2488" s="1190" t="s">
        <v>1141</v>
      </c>
      <c r="E2488" s="1190">
        <v>0</v>
      </c>
      <c r="F2488" s="1191">
        <f>IF(AND(Brick_typeFF&lt;&gt;"Timber Frame",COUNTIFS('CSV FF'!A:A,"DOOR PA LH",'CSV FF'!C:C,".92")&gt;0),1,0)</f>
        <v>0</v>
      </c>
      <c r="G2488" s="1192"/>
      <c r="H2488" s="1193" t="str">
        <f>IF(COUNTIFS('CSV FF'!A:A,"DOOR PA LH",'CSV FF'!C:C,".92")&gt;0,COUNTIFS('CSV FF'!A:A,"DOOR PA LH",'CSV FF'!C:C,".92")&amp;" LH "&amp;H2487&amp;" "&amp;IF(Brick_typeFF="Standard Face","110mm","90mm"),"")</f>
        <v/>
      </c>
      <c r="I2488" s="1207"/>
      <c r="J2488" s="1194" t="str">
        <f>IF(Table5[[#This Row],[Entered]]&lt;&gt;Table5[[#This Row],[Quantity]],"Check","")</f>
        <v/>
      </c>
    </row>
    <row r="2489" spans="1:10" s="1198" customFormat="1" ht="15" x14ac:dyDescent="0.2">
      <c r="A2489" s="1190" t="s">
        <v>1381</v>
      </c>
      <c r="B2489" s="1190" t="s">
        <v>1612</v>
      </c>
      <c r="C2489" s="1190" t="s">
        <v>2336</v>
      </c>
      <c r="D2489" s="1190" t="s">
        <v>1179</v>
      </c>
      <c r="E2489" s="1190">
        <v>0</v>
      </c>
      <c r="F2489" s="1191">
        <f>IF(AND(Brick_typeFF&lt;&gt;"Timber Frame",COUNTIFS('CSV FF'!A:A,"DOOR PA RH",'CSV FF'!C:C,".92")&gt;0),1,0)</f>
        <v>0</v>
      </c>
      <c r="G2489" s="1192"/>
      <c r="H2489" s="1193" t="str">
        <f>IF(COUNTIFS('CSV FF'!A:A,"DOOR PA RH",'CSV FF'!C:C,".92")&gt;0,COUNTIFS('CSV FF'!A:A,"DOOR PA RH",'CSV FF'!C:C,".92")&amp;" RH "&amp;H2487&amp;" "&amp;IF(Brick_typeFF="Standard Face","110mm","90mm"),"")</f>
        <v/>
      </c>
      <c r="I2489" s="1207"/>
      <c r="J2489" s="1194" t="str">
        <f>IF(Table5[[#This Row],[Entered]]&lt;&gt;Table5[[#This Row],[Quantity]],"Check","")</f>
        <v/>
      </c>
    </row>
    <row r="2490" spans="1:10" s="1198" customFormat="1" ht="15" x14ac:dyDescent="0.2">
      <c r="A2490" s="1190"/>
      <c r="B2490" s="1190"/>
      <c r="C2490" s="1190"/>
      <c r="D2490" s="1190"/>
      <c r="E2490" s="1190"/>
      <c r="F2490" s="1191"/>
      <c r="G2490" s="1192"/>
      <c r="H2490" s="1193"/>
      <c r="I2490" s="1207"/>
      <c r="J2490" s="1194" t="str">
        <f>IF(Table5[[#This Row],[Entered]]&lt;&gt;Table5[[#This Row],[Quantity]],"Check","")</f>
        <v/>
      </c>
    </row>
    <row r="2491" spans="1:10" s="1198" customFormat="1" ht="15" x14ac:dyDescent="0.2">
      <c r="A2491" s="1190" t="s">
        <v>1381</v>
      </c>
      <c r="B2491" s="1190" t="s">
        <v>397</v>
      </c>
      <c r="C2491" s="1190">
        <v>12027</v>
      </c>
      <c r="D2491" s="1190">
        <f>20</f>
        <v>20</v>
      </c>
      <c r="E2491" s="1190">
        <v>7</v>
      </c>
      <c r="F2491" s="1191">
        <f>IF(Coastal="No",SUMIFS('Lintel Sheet'!I:I,'Lintel Sheet'!$H:$H,"75*8 Flat Bar",'Lintel Sheet'!B:B,"FIRST"),0)</f>
        <v>0</v>
      </c>
      <c r="G2491" s="1192"/>
      <c r="H2491" s="1193" t="s">
        <v>1856</v>
      </c>
      <c r="I2491" s="1207"/>
      <c r="J2491" s="1194" t="str">
        <f>IF(Table5[[#This Row],[Entered]]&lt;&gt;Table5[[#This Row],[Quantity]],"Check","")</f>
        <v/>
      </c>
    </row>
    <row r="2492" spans="1:10" s="1198" customFormat="1" ht="15" x14ac:dyDescent="0.2">
      <c r="A2492" s="1190" t="s">
        <v>1381</v>
      </c>
      <c r="B2492" s="1190" t="s">
        <v>397</v>
      </c>
      <c r="C2492" s="1190">
        <v>12027</v>
      </c>
      <c r="D2492" s="1190">
        <f>60</f>
        <v>60</v>
      </c>
      <c r="E2492" s="1190">
        <v>7</v>
      </c>
      <c r="F2492" s="1191">
        <f>IF(Coastal="No",SUMIFS('Lintel Sheet'!I:I,'Lintel Sheet'!$H:$H,"75*75*6 Lintel",'Lintel Sheet'!B:B,"FIRST"),0)</f>
        <v>0</v>
      </c>
      <c r="G2492" s="1192"/>
      <c r="H2492" s="1193" t="s">
        <v>1857</v>
      </c>
      <c r="I2492" s="1207"/>
      <c r="J2492" s="1194" t="str">
        <f>IF(Table5[[#This Row],[Entered]]&lt;&gt;Table5[[#This Row],[Quantity]],"Check","")</f>
        <v/>
      </c>
    </row>
    <row r="2493" spans="1:10" s="1198" customFormat="1" ht="15" x14ac:dyDescent="0.2">
      <c r="A2493" s="1190" t="s">
        <v>1381</v>
      </c>
      <c r="B2493" s="1190" t="s">
        <v>397</v>
      </c>
      <c r="C2493" s="1190">
        <v>12027</v>
      </c>
      <c r="D2493" s="1190">
        <f>100</f>
        <v>100</v>
      </c>
      <c r="E2493" s="1190">
        <v>7</v>
      </c>
      <c r="F2493" s="1191">
        <f>IF(Coastal="No",SUMIFS('Lintel Sheet'!I:I,'Lintel Sheet'!$H:$H,"100*75*6 Lintel",'Lintel Sheet'!B:B,"FIRST"),0)</f>
        <v>0</v>
      </c>
      <c r="G2493" s="1192"/>
      <c r="H2493" s="1193" t="s">
        <v>1858</v>
      </c>
      <c r="I2493" s="1207"/>
      <c r="J2493" s="1194" t="str">
        <f>IF(Table5[[#This Row],[Entered]]&lt;&gt;Table5[[#This Row],[Quantity]],"Check","")</f>
        <v/>
      </c>
    </row>
    <row r="2494" spans="1:10" s="1198" customFormat="1" ht="15" x14ac:dyDescent="0.2">
      <c r="A2494" s="1190" t="s">
        <v>1381</v>
      </c>
      <c r="B2494" s="1190" t="s">
        <v>397</v>
      </c>
      <c r="C2494" s="1190">
        <v>12027</v>
      </c>
      <c r="D2494" s="1190">
        <f>105</f>
        <v>105</v>
      </c>
      <c r="E2494" s="1190">
        <v>7</v>
      </c>
      <c r="F2494" s="1191">
        <f>IF(Coastal="No",SUMIFS('Lintel Sheet'!I:I,'Lintel Sheet'!$H:$H,"100*75*8 Lintel",'Lintel Sheet'!B:B,"FIRST"),0)</f>
        <v>0</v>
      </c>
      <c r="G2494" s="1192"/>
      <c r="H2494" s="1193" t="s">
        <v>1859</v>
      </c>
      <c r="I2494" s="1207"/>
      <c r="J2494" s="1194" t="str">
        <f>IF(Table5[[#This Row],[Entered]]&lt;&gt;Table5[[#This Row],[Quantity]],"Check","")</f>
        <v/>
      </c>
    </row>
    <row r="2495" spans="1:10" s="1198" customFormat="1" ht="15" x14ac:dyDescent="0.2">
      <c r="A2495" s="1190" t="s">
        <v>1381</v>
      </c>
      <c r="B2495" s="1190" t="s">
        <v>397</v>
      </c>
      <c r="C2495" s="1190">
        <v>12027</v>
      </c>
      <c r="D2495" s="1190">
        <f>115</f>
        <v>115</v>
      </c>
      <c r="E2495" s="1190">
        <v>7</v>
      </c>
      <c r="F2495" s="1191">
        <f>IF(Coastal="No",SUMIFS('Lintel Sheet'!I:I,'Lintel Sheet'!$H:$H,"100*100*8 Lintel",'Lintel Sheet'!B:B,"FIRST"),0)</f>
        <v>0</v>
      </c>
      <c r="G2495" s="1192"/>
      <c r="H2495" s="1193" t="s">
        <v>1860</v>
      </c>
      <c r="I2495" s="1207"/>
      <c r="J2495" s="1194" t="str">
        <f>IF(Table5[[#This Row],[Entered]]&lt;&gt;Table5[[#This Row],[Quantity]],"Check","")</f>
        <v/>
      </c>
    </row>
    <row r="2496" spans="1:10" s="1198" customFormat="1" ht="15" x14ac:dyDescent="0.2">
      <c r="A2496" s="1190" t="s">
        <v>1381</v>
      </c>
      <c r="B2496" s="1190" t="s">
        <v>397</v>
      </c>
      <c r="C2496" s="1190">
        <v>12027</v>
      </c>
      <c r="D2496" s="1190">
        <f>140</f>
        <v>140</v>
      </c>
      <c r="E2496" s="1190">
        <v>7</v>
      </c>
      <c r="F2496" s="1191">
        <f>IF(Coastal="No",SUMIFS('Lintel Sheet'!I:I,'Lintel Sheet'!$H:$H,"125*75*8 Lintel",'Lintel Sheet'!B:B,"FIRST"),0)</f>
        <v>0</v>
      </c>
      <c r="G2496" s="1192"/>
      <c r="H2496" s="1193" t="s">
        <v>1861</v>
      </c>
      <c r="I2496" s="1207"/>
      <c r="J2496" s="1194" t="str">
        <f>IF(Table5[[#This Row],[Entered]]&lt;&gt;Table5[[#This Row],[Quantity]],"Check","")</f>
        <v/>
      </c>
    </row>
    <row r="2497" spans="1:10" s="1198" customFormat="1" ht="15" x14ac:dyDescent="0.2">
      <c r="A2497" s="1190" t="s">
        <v>1381</v>
      </c>
      <c r="B2497" s="1190" t="s">
        <v>397</v>
      </c>
      <c r="C2497" s="1190">
        <v>12027</v>
      </c>
      <c r="D2497" s="1190">
        <f>160</f>
        <v>160</v>
      </c>
      <c r="E2497" s="1190">
        <v>7</v>
      </c>
      <c r="F2497" s="1191">
        <f>IF(Coastal="No",SUMIFS('Lintel Sheet'!I:I,'Lintel Sheet'!$H:$H,"150*90*8 Lintel",'Lintel Sheet'!B:B,"FIRST"),0)</f>
        <v>0</v>
      </c>
      <c r="G2497" s="1192"/>
      <c r="H2497" s="1193" t="s">
        <v>1862</v>
      </c>
      <c r="I2497" s="1207"/>
      <c r="J2497" s="1194" t="str">
        <f>IF(Table5[[#This Row],[Entered]]&lt;&gt;Table5[[#This Row],[Quantity]],"Check","")</f>
        <v/>
      </c>
    </row>
    <row r="2498" spans="1:10" s="1198" customFormat="1" ht="15" x14ac:dyDescent="0.2">
      <c r="A2498" s="1190" t="s">
        <v>1381</v>
      </c>
      <c r="B2498" s="1190" t="s">
        <v>397</v>
      </c>
      <c r="C2498" s="1190">
        <v>12027</v>
      </c>
      <c r="D2498" s="1190">
        <f>180</f>
        <v>180</v>
      </c>
      <c r="E2498" s="1190">
        <v>7</v>
      </c>
      <c r="F2498" s="1191">
        <f>IF(Coastal="No",SUMIFS('Lintel Sheet'!I:I,'Lintel Sheet'!$H:$H,"150*100*10 Lintel",'Lintel Sheet'!B:B,"FIRST"),0)</f>
        <v>0</v>
      </c>
      <c r="G2498" s="1192"/>
      <c r="H2498" s="1193" t="s">
        <v>1863</v>
      </c>
      <c r="I2498" s="1207"/>
      <c r="J2498" s="1194" t="str">
        <f>IF(Table5[[#This Row],[Entered]]&lt;&gt;Table5[[#This Row],[Quantity]],"Check","")</f>
        <v/>
      </c>
    </row>
    <row r="2499" spans="1:10" s="1198" customFormat="1" ht="15" x14ac:dyDescent="0.2">
      <c r="A2499" s="1190" t="s">
        <v>1381</v>
      </c>
      <c r="B2499" s="1190" t="s">
        <v>397</v>
      </c>
      <c r="C2499" s="1190">
        <v>12027</v>
      </c>
      <c r="D2499" s="1190">
        <f>200</f>
        <v>200</v>
      </c>
      <c r="E2499" s="1190">
        <v>7</v>
      </c>
      <c r="F2499" s="1191">
        <f>IF(Coastal="No",SUMIFS('Lintel Sheet'!I:I,'Lintel Sheet'!$H:$H,"200*150*10 T-Bar",'Lintel Sheet'!B:B,"FIRST"),0)</f>
        <v>0</v>
      </c>
      <c r="G2499" s="1192"/>
      <c r="H2499" s="1193" t="s">
        <v>1864</v>
      </c>
      <c r="I2499" s="1207"/>
      <c r="J2499" s="1194" t="str">
        <f>IF(Table5[[#This Row],[Entered]]&lt;&gt;Table5[[#This Row],[Quantity]],"Check","")</f>
        <v/>
      </c>
    </row>
    <row r="2500" spans="1:10" s="1198" customFormat="1" ht="15" x14ac:dyDescent="0.2">
      <c r="A2500" s="1190" t="s">
        <v>1381</v>
      </c>
      <c r="B2500" s="1190" t="s">
        <v>397</v>
      </c>
      <c r="C2500" s="1190">
        <v>12027</v>
      </c>
      <c r="D2500" s="1190">
        <f>210</f>
        <v>210</v>
      </c>
      <c r="E2500" s="1190">
        <v>7</v>
      </c>
      <c r="F2500" s="1191">
        <f>IF(Coastal="No",SUMIFS('Lintel Sheet'!I:I,'Lintel Sheet'!$H:$H,"180*150*10 T-Bar",'Lintel Sheet'!B:B,"FIRST"),0)</f>
        <v>0</v>
      </c>
      <c r="G2500" s="1192"/>
      <c r="H2500" s="1193" t="s">
        <v>1865</v>
      </c>
      <c r="I2500" s="1207"/>
      <c r="J2500" s="1194" t="str">
        <f>IF(Table5[[#This Row],[Entered]]&lt;&gt;Table5[[#This Row],[Quantity]],"Check","")</f>
        <v/>
      </c>
    </row>
    <row r="2501" spans="1:10" s="1198" customFormat="1" ht="15" x14ac:dyDescent="0.2">
      <c r="A2501" s="1190" t="s">
        <v>1381</v>
      </c>
      <c r="B2501" s="1190" t="s">
        <v>397</v>
      </c>
      <c r="C2501" s="1190">
        <v>12027</v>
      </c>
      <c r="D2501" s="1190">
        <f>220</f>
        <v>220</v>
      </c>
      <c r="E2501" s="1190">
        <v>7</v>
      </c>
      <c r="F2501" s="1191">
        <f>IF(Coastal="No",SUMIFS('Lintel Sheet'!I:I,'Lintel Sheet'!$H:$H,"200*200*10 T-Bar",'Lintel Sheet'!B:B,"FIRST"),0)</f>
        <v>0</v>
      </c>
      <c r="G2501" s="1192"/>
      <c r="H2501" s="1193" t="s">
        <v>1866</v>
      </c>
      <c r="I2501" s="1207"/>
      <c r="J2501" s="1194" t="str">
        <f>IF(Table5[[#This Row],[Entered]]&lt;&gt;Table5[[#This Row],[Quantity]],"Check","")</f>
        <v/>
      </c>
    </row>
    <row r="2502" spans="1:10" s="1198" customFormat="1" ht="15" x14ac:dyDescent="0.2">
      <c r="A2502" s="1190" t="s">
        <v>1381</v>
      </c>
      <c r="B2502" s="1190" t="s">
        <v>397</v>
      </c>
      <c r="C2502" s="1190">
        <v>12027</v>
      </c>
      <c r="D2502" s="1190">
        <f>225</f>
        <v>225</v>
      </c>
      <c r="E2502" s="1190">
        <v>7</v>
      </c>
      <c r="F2502" s="1191">
        <f>IF(Coastal="No",SUMIFS('Lintel Sheet'!I:I,'Lintel Sheet'!$H:$H,"180*200*10 T-Bar",'Lintel Sheet'!B:B,"FIRST"),0)</f>
        <v>0</v>
      </c>
      <c r="G2502" s="1192"/>
      <c r="H2502" s="1193" t="s">
        <v>1867</v>
      </c>
      <c r="I2502" s="1207"/>
      <c r="J2502" s="1194" t="str">
        <f>IF(Table5[[#This Row],[Entered]]&lt;&gt;Table5[[#This Row],[Quantity]],"Check","")</f>
        <v/>
      </c>
    </row>
    <row r="2503" spans="1:10" s="1198" customFormat="1" ht="15" x14ac:dyDescent="0.2">
      <c r="A2503" s="1190" t="s">
        <v>1381</v>
      </c>
      <c r="B2503" s="1190" t="s">
        <v>397</v>
      </c>
      <c r="C2503" s="1190">
        <v>12027</v>
      </c>
      <c r="D2503" s="1190">
        <f>230</f>
        <v>230</v>
      </c>
      <c r="E2503" s="1190">
        <v>7</v>
      </c>
      <c r="F2503" s="1191">
        <f>IF(Coastal="No",SUMIFS('Lintel Sheet'!I:I,'Lintel Sheet'!$H:$H,"200*250*10 T-Bar",'Lintel Sheet'!B:B,"FIRST"),0)</f>
        <v>0</v>
      </c>
      <c r="G2503" s="1192"/>
      <c r="H2503" s="1193" t="s">
        <v>1868</v>
      </c>
      <c r="I2503" s="1207"/>
      <c r="J2503" s="1194" t="str">
        <f>IF(Table5[[#This Row],[Entered]]&lt;&gt;Table5[[#This Row],[Quantity]],"Check","")</f>
        <v/>
      </c>
    </row>
    <row r="2504" spans="1:10" s="1198" customFormat="1" ht="15" x14ac:dyDescent="0.2">
      <c r="A2504" s="1190" t="s">
        <v>1381</v>
      </c>
      <c r="B2504" s="1190" t="s">
        <v>397</v>
      </c>
      <c r="C2504" s="1190">
        <v>12027</v>
      </c>
      <c r="D2504" s="1190">
        <f>232</f>
        <v>232</v>
      </c>
      <c r="E2504" s="1190">
        <v>7</v>
      </c>
      <c r="F2504" s="1191">
        <f>IF(Coastal="No",SUMIFS('Lintel Sheet'!I:I,'Lintel Sheet'!$H:$H,"180*250*10 T-Bar",'Lintel Sheet'!B:B,"FIRST"),0)</f>
        <v>0</v>
      </c>
      <c r="G2504" s="1192"/>
      <c r="H2504" s="1193" t="s">
        <v>1869</v>
      </c>
      <c r="I2504" s="1207"/>
      <c r="J2504" s="1194" t="str">
        <f>IF(Table5[[#This Row],[Entered]]&lt;&gt;Table5[[#This Row],[Quantity]],"Check","")</f>
        <v/>
      </c>
    </row>
    <row r="2505" spans="1:10" s="1198" customFormat="1" ht="15" x14ac:dyDescent="0.2">
      <c r="A2505" s="1190" t="s">
        <v>1381</v>
      </c>
      <c r="B2505" s="1190" t="s">
        <v>397</v>
      </c>
      <c r="C2505" s="1190">
        <v>12027</v>
      </c>
      <c r="D2505" s="1190">
        <f>260</f>
        <v>260</v>
      </c>
      <c r="E2505" s="1190">
        <v>7</v>
      </c>
      <c r="F2505" s="1191"/>
      <c r="G2505" s="1192"/>
      <c r="H2505" s="1193" t="s">
        <v>1870</v>
      </c>
      <c r="I2505" s="1207"/>
      <c r="J2505" s="1194" t="str">
        <f>IF(Table5[[#This Row],[Entered]]&lt;&gt;Table5[[#This Row],[Quantity]],"Check","")</f>
        <v/>
      </c>
    </row>
    <row r="2506" spans="1:10" s="1198" customFormat="1" ht="15" x14ac:dyDescent="0.2">
      <c r="A2506" s="1190" t="s">
        <v>1381</v>
      </c>
      <c r="B2506" s="1190" t="s">
        <v>397</v>
      </c>
      <c r="C2506" s="1190">
        <v>12027</v>
      </c>
      <c r="D2506" s="1190" t="s">
        <v>663</v>
      </c>
      <c r="E2506" s="1190">
        <v>0</v>
      </c>
      <c r="F2506" s="1191">
        <f>IF(COUNTA('Steel Beams and Columns'!H447:H458)&gt;0,1,0)</f>
        <v>0</v>
      </c>
      <c r="G2506" s="1192"/>
      <c r="H2506" s="1193" t="str">
        <f>SUMIF('Steel Beams and Columns'!$H$19:$H$30,"EXT CORNER",'Steel Beams and Columns'!$C$19:$C$30)&amp;" EXT CORNER "&amp;SUMIF('Steel Beams and Columns'!$H$19:$H$30,"STRAIGHT*",'Steel Beams and Columns'!$C$19:$C$30)&amp;" STRAIGHT "&amp;COUNTIFS('Steel Beams and Columns'!$H$19:$H$30,"Int Corner")&amp;" INT CORNER"</f>
        <v>0 EXT CORNER 0 STRAIGHT 0 INT CORNER</v>
      </c>
      <c r="I2506" s="1207"/>
      <c r="J2506" s="1194" t="str">
        <f>IF(Table5[[#This Row],[Entered]]&lt;&gt;Table5[[#This Row],[Quantity]],"Check","")</f>
        <v/>
      </c>
    </row>
    <row r="2507" spans="1:10" s="1198" customFormat="1" ht="15" x14ac:dyDescent="0.2">
      <c r="A2507" s="1190" t="s">
        <v>1381</v>
      </c>
      <c r="B2507" s="1190" t="s">
        <v>397</v>
      </c>
      <c r="C2507" s="1190">
        <v>12027</v>
      </c>
      <c r="D2507" s="1190">
        <f>280</f>
        <v>280</v>
      </c>
      <c r="E2507" s="1190">
        <v>1</v>
      </c>
      <c r="F2507" s="1191">
        <f>COUNTIFS('Steel Beams and Columns'!$H$19:$H$30,"Ext Corner",'Steel Beams and Columns'!$F$19:$F$30,"First")</f>
        <v>0</v>
      </c>
      <c r="G2507" s="1192"/>
      <c r="H2507" s="1193" t="s">
        <v>1871</v>
      </c>
      <c r="I2507" s="1207"/>
      <c r="J2507" s="1194" t="str">
        <f>IF(Table5[[#This Row],[Entered]]&lt;&gt;Table5[[#This Row],[Quantity]],"Check","")</f>
        <v/>
      </c>
    </row>
    <row r="2508" spans="1:10" s="1198" customFormat="1" ht="15" x14ac:dyDescent="0.2">
      <c r="A2508" s="1190" t="s">
        <v>1381</v>
      </c>
      <c r="B2508" s="1190" t="s">
        <v>397</v>
      </c>
      <c r="C2508" s="1190">
        <v>12027</v>
      </c>
      <c r="D2508" s="1190">
        <f>296</f>
        <v>296</v>
      </c>
      <c r="E2508" s="1190">
        <v>1</v>
      </c>
      <c r="F2508" s="1191"/>
      <c r="G2508" s="1192"/>
      <c r="H2508" s="1193" t="s">
        <v>1872</v>
      </c>
      <c r="I2508" s="1207"/>
      <c r="J2508" s="1194" t="str">
        <f>IF(Table5[[#This Row],[Entered]]&lt;&gt;Table5[[#This Row],[Quantity]],"Check","")</f>
        <v/>
      </c>
    </row>
    <row r="2509" spans="1:10" s="1198" customFormat="1" ht="15" x14ac:dyDescent="0.2">
      <c r="A2509" s="1190" t="s">
        <v>1381</v>
      </c>
      <c r="B2509" s="1190" t="s">
        <v>397</v>
      </c>
      <c r="C2509" s="1190">
        <v>12027</v>
      </c>
      <c r="D2509" s="1190">
        <f>320</f>
        <v>320</v>
      </c>
      <c r="E2509" s="1190">
        <v>7</v>
      </c>
      <c r="F2509" s="1191">
        <f>SUMIFS('Lintel Sheet'!I:I,'Lintel Sheet'!$H:$H,"Type 'A' Lintel",'Lintel Sheet'!B:B,"FIRST")</f>
        <v>0</v>
      </c>
      <c r="G2509" s="1192"/>
      <c r="H2509" s="1193" t="s">
        <v>1873</v>
      </c>
      <c r="I2509" s="1207"/>
      <c r="J2509" s="1194" t="str">
        <f>IF(Table5[[#This Row],[Entered]]&lt;&gt;Table5[[#This Row],[Quantity]],"Check","")</f>
        <v/>
      </c>
    </row>
    <row r="2510" spans="1:10" s="1198" customFormat="1" ht="15" x14ac:dyDescent="0.2">
      <c r="A2510" s="1190" t="s">
        <v>1381</v>
      </c>
      <c r="B2510" s="1190" t="s">
        <v>397</v>
      </c>
      <c r="C2510" s="1190">
        <v>12027</v>
      </c>
      <c r="D2510" s="1190">
        <f>400</f>
        <v>400</v>
      </c>
      <c r="E2510" s="1190">
        <v>7</v>
      </c>
      <c r="F2510" s="1191">
        <f>IF(Coastal="No",0,SUMIFS('Lintel Sheet'!I:I,'Lintel Sheet'!$H:$H,"75*8 Flat Bar",'Lintel Sheet'!B:B,"FIRST"))</f>
        <v>0</v>
      </c>
      <c r="G2510" s="1192"/>
      <c r="H2510" s="1193" t="s">
        <v>1471</v>
      </c>
      <c r="I2510" s="1207"/>
      <c r="J2510" s="1194" t="str">
        <f>IF(Table5[[#This Row],[Entered]]&lt;&gt;Table5[[#This Row],[Quantity]],"Check","")</f>
        <v/>
      </c>
    </row>
    <row r="2511" spans="1:10" s="1198" customFormat="1" ht="15" x14ac:dyDescent="0.2">
      <c r="A2511" s="1190" t="s">
        <v>1381</v>
      </c>
      <c r="B2511" s="1190" t="s">
        <v>397</v>
      </c>
      <c r="C2511" s="1190">
        <v>12027</v>
      </c>
      <c r="D2511" s="1190">
        <f>405</f>
        <v>405</v>
      </c>
      <c r="E2511" s="1190">
        <v>7</v>
      </c>
      <c r="F2511" s="1191">
        <f>IF(Coastal="No",0,SUMIFS('Lintel Sheet'!I:I,'Lintel Sheet'!$H:$H,"75*75*6 Lintel",'Lintel Sheet'!B:B,"FIRST"))</f>
        <v>0</v>
      </c>
      <c r="G2511" s="1192"/>
      <c r="H2511" s="1193" t="s">
        <v>1874</v>
      </c>
      <c r="I2511" s="1207"/>
      <c r="J2511" s="1194" t="str">
        <f>IF(Table5[[#This Row],[Entered]]&lt;&gt;Table5[[#This Row],[Quantity]],"Check","")</f>
        <v/>
      </c>
    </row>
    <row r="2512" spans="1:10" s="1198" customFormat="1" ht="15" x14ac:dyDescent="0.2">
      <c r="A2512" s="1190" t="s">
        <v>1381</v>
      </c>
      <c r="B2512" s="1190" t="s">
        <v>397</v>
      </c>
      <c r="C2512" s="1190">
        <v>12027</v>
      </c>
      <c r="D2512" s="1190">
        <f>415</f>
        <v>415</v>
      </c>
      <c r="E2512" s="1190">
        <v>7</v>
      </c>
      <c r="F2512" s="1191">
        <f>IF(Coastal="No",0,SUMIFS('Lintel Sheet'!I:I,'Lintel Sheet'!$H:$H,"100*75*6 Lintel",'Lintel Sheet'!B:B,"FIRST"))</f>
        <v>0</v>
      </c>
      <c r="G2512" s="1192"/>
      <c r="H2512" s="1193" t="s">
        <v>1875</v>
      </c>
      <c r="I2512" s="1207"/>
      <c r="J2512" s="1194" t="str">
        <f>IF(Table5[[#This Row],[Entered]]&lt;&gt;Table5[[#This Row],[Quantity]],"Check","")</f>
        <v/>
      </c>
    </row>
    <row r="2513" spans="1:10" s="1198" customFormat="1" ht="15" x14ac:dyDescent="0.2">
      <c r="A2513" s="1190" t="s">
        <v>1381</v>
      </c>
      <c r="B2513" s="1190" t="s">
        <v>397</v>
      </c>
      <c r="C2513" s="1190">
        <v>12027</v>
      </c>
      <c r="D2513" s="1190">
        <f>420</f>
        <v>420</v>
      </c>
      <c r="E2513" s="1190">
        <v>7</v>
      </c>
      <c r="F2513" s="1191">
        <f>IF(Coastal="No",0,SUMIFS('Lintel Sheet'!I:I,'Lintel Sheet'!$H:$H,"100*75*8 Lintel",'Lintel Sheet'!B:B,"FIRST"))</f>
        <v>0</v>
      </c>
      <c r="G2513" s="1192"/>
      <c r="H2513" s="1193" t="s">
        <v>1876</v>
      </c>
      <c r="I2513" s="1207"/>
      <c r="J2513" s="1194" t="str">
        <f>IF(Table5[[#This Row],[Entered]]&lt;&gt;Table5[[#This Row],[Quantity]],"Check","")</f>
        <v/>
      </c>
    </row>
    <row r="2514" spans="1:10" s="1198" customFormat="1" ht="15" x14ac:dyDescent="0.2">
      <c r="A2514" s="1190" t="s">
        <v>1381</v>
      </c>
      <c r="B2514" s="1190" t="s">
        <v>397</v>
      </c>
      <c r="C2514" s="1190">
        <v>12027</v>
      </c>
      <c r="D2514" s="1190">
        <f>425</f>
        <v>425</v>
      </c>
      <c r="E2514" s="1190">
        <v>7</v>
      </c>
      <c r="F2514" s="1191">
        <f>IF(Coastal="No",0,SUMIFS('Lintel Sheet'!I:I,'Lintel Sheet'!$H:$H,"100*100*8 Lintel",'Lintel Sheet'!B:B,"FIRST"))</f>
        <v>0</v>
      </c>
      <c r="G2514" s="1192"/>
      <c r="H2514" s="1193" t="s">
        <v>1877</v>
      </c>
      <c r="I2514" s="1207"/>
      <c r="J2514" s="1194" t="str">
        <f>IF(Table5[[#This Row],[Entered]]&lt;&gt;Table5[[#This Row],[Quantity]],"Check","")</f>
        <v/>
      </c>
    </row>
    <row r="2515" spans="1:10" s="1198" customFormat="1" ht="15" x14ac:dyDescent="0.2">
      <c r="A2515" s="1190" t="s">
        <v>1381</v>
      </c>
      <c r="B2515" s="1190" t="s">
        <v>397</v>
      </c>
      <c r="C2515" s="1190">
        <v>12027</v>
      </c>
      <c r="D2515" s="1190">
        <f>435</f>
        <v>435</v>
      </c>
      <c r="E2515" s="1190">
        <v>7</v>
      </c>
      <c r="F2515" s="1191">
        <f>IF(Coastal="No",0,SUMIFS('Lintel Sheet'!I:I,'Lintel Sheet'!$H:$H,"125*75*8 Lintel",'Lintel Sheet'!B:B,"FIRST"))</f>
        <v>0</v>
      </c>
      <c r="G2515" s="1192"/>
      <c r="H2515" s="1193" t="s">
        <v>1878</v>
      </c>
      <c r="I2515" s="1207"/>
      <c r="J2515" s="1194" t="str">
        <f>IF(Table5[[#This Row],[Entered]]&lt;&gt;Table5[[#This Row],[Quantity]],"Check","")</f>
        <v/>
      </c>
    </row>
    <row r="2516" spans="1:10" s="1198" customFormat="1" ht="15" x14ac:dyDescent="0.2">
      <c r="A2516" s="1190" t="s">
        <v>1381</v>
      </c>
      <c r="B2516" s="1190" t="s">
        <v>397</v>
      </c>
      <c r="C2516" s="1190">
        <v>12027</v>
      </c>
      <c r="D2516" s="1190">
        <f>440</f>
        <v>440</v>
      </c>
      <c r="E2516" s="1190">
        <v>7</v>
      </c>
      <c r="F2516" s="1191">
        <f>IF(Coastal="No",0,SUMIFS('Lintel Sheet'!I:I,'Lintel Sheet'!$H:$H,"150*90*8 Lintel",'Lintel Sheet'!B:B,"FIRST"))</f>
        <v>0</v>
      </c>
      <c r="G2516" s="1192"/>
      <c r="H2516" s="1193" t="s">
        <v>1879</v>
      </c>
      <c r="I2516" s="1207"/>
      <c r="J2516" s="1194" t="str">
        <f>IF(Table5[[#This Row],[Entered]]&lt;&gt;Table5[[#This Row],[Quantity]],"Check","")</f>
        <v/>
      </c>
    </row>
    <row r="2517" spans="1:10" s="1198" customFormat="1" ht="15" x14ac:dyDescent="0.2">
      <c r="A2517" s="1190" t="s">
        <v>1381</v>
      </c>
      <c r="B2517" s="1190" t="s">
        <v>397</v>
      </c>
      <c r="C2517" s="1190">
        <v>12027</v>
      </c>
      <c r="D2517" s="1190">
        <f>445</f>
        <v>445</v>
      </c>
      <c r="E2517" s="1190">
        <v>7</v>
      </c>
      <c r="F2517" s="1191">
        <f>IF(Coastal="No",0,SUMIFS('Lintel Sheet'!I:I,'Lintel Sheet'!$H:$H,"150*100*10 Lintel",'Lintel Sheet'!B:B,"FIRST"))</f>
        <v>0</v>
      </c>
      <c r="G2517" s="1192"/>
      <c r="H2517" s="1193" t="s">
        <v>1880</v>
      </c>
      <c r="I2517" s="1207"/>
      <c r="J2517" s="1194" t="str">
        <f>IF(Table5[[#This Row],[Entered]]&lt;&gt;Table5[[#This Row],[Quantity]],"Check","")</f>
        <v/>
      </c>
    </row>
    <row r="2518" spans="1:10" s="1198" customFormat="1" ht="15" x14ac:dyDescent="0.2">
      <c r="A2518" s="1190" t="s">
        <v>1381</v>
      </c>
      <c r="B2518" s="1190" t="s">
        <v>397</v>
      </c>
      <c r="C2518" s="1190">
        <v>12027</v>
      </c>
      <c r="D2518" s="1190">
        <f>450</f>
        <v>450</v>
      </c>
      <c r="E2518" s="1190">
        <v>7</v>
      </c>
      <c r="F2518" s="1191">
        <f>IF(Coastal="No",0,SUMIFS('Lintel Sheet'!I:I,'Lintel Sheet'!$H:$H,"200*150*10 T-Bar",'Lintel Sheet'!B:B,"FIRST"))</f>
        <v>0</v>
      </c>
      <c r="G2518" s="1192"/>
      <c r="H2518" s="1193" t="s">
        <v>1881</v>
      </c>
      <c r="I2518" s="1207"/>
      <c r="J2518" s="1194" t="str">
        <f>IF(Table5[[#This Row],[Entered]]&lt;&gt;Table5[[#This Row],[Quantity]],"Check","")</f>
        <v/>
      </c>
    </row>
    <row r="2519" spans="1:10" s="1198" customFormat="1" ht="15" x14ac:dyDescent="0.2">
      <c r="A2519" s="1190" t="s">
        <v>1381</v>
      </c>
      <c r="B2519" s="1190" t="s">
        <v>397</v>
      </c>
      <c r="C2519" s="1190">
        <v>12027</v>
      </c>
      <c r="D2519" s="1190">
        <f>455</f>
        <v>455</v>
      </c>
      <c r="E2519" s="1190">
        <v>7</v>
      </c>
      <c r="F2519" s="1191">
        <f>IF(Coastal="No",0,SUMIFS('Lintel Sheet'!I:I,'Lintel Sheet'!$H:$H,"180*150*10 T-Bar",'Lintel Sheet'!B:B,"FIRST"))</f>
        <v>0</v>
      </c>
      <c r="G2519" s="1192"/>
      <c r="H2519" s="1193" t="s">
        <v>1882</v>
      </c>
      <c r="I2519" s="1207"/>
      <c r="J2519" s="1194" t="str">
        <f>IF(Table5[[#This Row],[Entered]]&lt;&gt;Table5[[#This Row],[Quantity]],"Check","")</f>
        <v/>
      </c>
    </row>
    <row r="2520" spans="1:10" s="1198" customFormat="1" ht="15" x14ac:dyDescent="0.2">
      <c r="A2520" s="1190" t="s">
        <v>1381</v>
      </c>
      <c r="B2520" s="1190" t="s">
        <v>397</v>
      </c>
      <c r="C2520" s="1190">
        <v>12027</v>
      </c>
      <c r="D2520" s="1190">
        <f>460</f>
        <v>460</v>
      </c>
      <c r="E2520" s="1190">
        <v>7</v>
      </c>
      <c r="F2520" s="1191">
        <f>IF(Coastal="No",0,SUMIFS('Lintel Sheet'!I:I,'Lintel Sheet'!$H:$H,"200*200*10 T-Bar",'Lintel Sheet'!B:B,"FIRST"))</f>
        <v>0</v>
      </c>
      <c r="G2520" s="1192"/>
      <c r="H2520" s="1193" t="s">
        <v>1883</v>
      </c>
      <c r="I2520" s="1207"/>
      <c r="J2520" s="1194" t="str">
        <f>IF(Table5[[#This Row],[Entered]]&lt;&gt;Table5[[#This Row],[Quantity]],"Check","")</f>
        <v/>
      </c>
    </row>
    <row r="2521" spans="1:10" s="1198" customFormat="1" ht="15" x14ac:dyDescent="0.2">
      <c r="A2521" s="1190" t="s">
        <v>1381</v>
      </c>
      <c r="B2521" s="1190" t="s">
        <v>397</v>
      </c>
      <c r="C2521" s="1190">
        <v>12027</v>
      </c>
      <c r="D2521" s="1190">
        <f>465</f>
        <v>465</v>
      </c>
      <c r="E2521" s="1190">
        <v>7</v>
      </c>
      <c r="F2521" s="1191">
        <f>IF(Coastal="No",0,SUMIFS('Lintel Sheet'!I:I,'Lintel Sheet'!$H:$H,"180*200*10 T-Bar",'Lintel Sheet'!B:B,"FIRST"))</f>
        <v>0</v>
      </c>
      <c r="G2521" s="1192"/>
      <c r="H2521" s="1193" t="s">
        <v>1884</v>
      </c>
      <c r="I2521" s="1207"/>
      <c r="J2521" s="1194" t="str">
        <f>IF(Table5[[#This Row],[Entered]]&lt;&gt;Table5[[#This Row],[Quantity]],"Check","")</f>
        <v/>
      </c>
    </row>
    <row r="2522" spans="1:10" s="1198" customFormat="1" ht="15" x14ac:dyDescent="0.2">
      <c r="A2522" s="1190" t="s">
        <v>1381</v>
      </c>
      <c r="B2522" s="1190" t="s">
        <v>397</v>
      </c>
      <c r="C2522" s="1190">
        <v>12027</v>
      </c>
      <c r="D2522" s="1190">
        <f>470</f>
        <v>470</v>
      </c>
      <c r="E2522" s="1190">
        <v>7</v>
      </c>
      <c r="F2522" s="1191">
        <f>IF(Coastal="No",0,SUMIFS('Lintel Sheet'!I:I,'Lintel Sheet'!$H:$H,"200*250*10 T-Bar",'Lintel Sheet'!B:B,"FIRST"))</f>
        <v>0</v>
      </c>
      <c r="G2522" s="1192"/>
      <c r="H2522" s="1193" t="s">
        <v>1885</v>
      </c>
      <c r="I2522" s="1207"/>
      <c r="J2522" s="1194" t="str">
        <f>IF(Table5[[#This Row],[Entered]]&lt;&gt;Table5[[#This Row],[Quantity]],"Check","")</f>
        <v/>
      </c>
    </row>
    <row r="2523" spans="1:10" s="1198" customFormat="1" ht="15" x14ac:dyDescent="0.2">
      <c r="A2523" s="1190" t="s">
        <v>1381</v>
      </c>
      <c r="B2523" s="1190" t="s">
        <v>397</v>
      </c>
      <c r="C2523" s="1190">
        <v>12027</v>
      </c>
      <c r="D2523" s="1190">
        <f>475</f>
        <v>475</v>
      </c>
      <c r="E2523" s="1190">
        <v>7</v>
      </c>
      <c r="F2523" s="1191">
        <f>IF(Coastal="No",0,SUMIFS('Lintel Sheet'!I:I,'Lintel Sheet'!$H:$H,"180*250*10 T-Bar",'Lintel Sheet'!B:B,"FIRST"))</f>
        <v>0</v>
      </c>
      <c r="G2523" s="1192"/>
      <c r="H2523" s="1193" t="s">
        <v>1886</v>
      </c>
      <c r="I2523" s="1207"/>
      <c r="J2523" s="1194" t="str">
        <f>IF(Table5[[#This Row],[Entered]]&lt;&gt;Table5[[#This Row],[Quantity]],"Check","")</f>
        <v/>
      </c>
    </row>
    <row r="2524" spans="1:10" s="1198" customFormat="1" ht="15" x14ac:dyDescent="0.2">
      <c r="A2524" s="1190" t="s">
        <v>1381</v>
      </c>
      <c r="B2524" s="1190" t="s">
        <v>397</v>
      </c>
      <c r="C2524" s="1190">
        <v>12027</v>
      </c>
      <c r="D2524" s="1190">
        <f>585</f>
        <v>585</v>
      </c>
      <c r="E2524" s="1190">
        <v>7</v>
      </c>
      <c r="F2524" s="1191">
        <f>IF(AND(Coastal="Yes",COUNTIF(Brick_type,"*Face*")&gt;0),SUMIF('CSV FF'!A:A,"Column 100*50*4",'CSV FF'!E:E),0)</f>
        <v>0</v>
      </c>
      <c r="G2524" s="1192"/>
      <c r="H2524" s="1193" t="s">
        <v>1532</v>
      </c>
      <c r="I2524" s="1207"/>
      <c r="J2524" s="1194" t="str">
        <f>IF(Table5[[#This Row],[Entered]]&lt;&gt;Table5[[#This Row],[Quantity]],"Check","")</f>
        <v/>
      </c>
    </row>
    <row r="2525" spans="1:10" s="1198" customFormat="1" ht="15" x14ac:dyDescent="0.2">
      <c r="A2525" s="1190" t="s">
        <v>1381</v>
      </c>
      <c r="B2525" s="1190" t="s">
        <v>397</v>
      </c>
      <c r="C2525" s="1190">
        <v>12027</v>
      </c>
      <c r="D2525" s="1190">
        <f>590</f>
        <v>590</v>
      </c>
      <c r="E2525" s="1190">
        <v>7</v>
      </c>
      <c r="F2525" s="1191">
        <f>IF(AND(Coastal="Yes",COUNTIF(Brick_type,"*Face*")&gt;0),SUMIF('CSV FF'!A:A,"Column 150*50*4",'CSV FF'!E:E),0)</f>
        <v>0</v>
      </c>
      <c r="G2525" s="1192"/>
      <c r="H2525" s="1193" t="s">
        <v>1533</v>
      </c>
      <c r="I2525" s="1207"/>
      <c r="J2525" s="1194" t="str">
        <f>IF(Table5[[#This Row],[Entered]]&lt;&gt;Table5[[#This Row],[Quantity]],"Check","")</f>
        <v/>
      </c>
    </row>
    <row r="2526" spans="1:10" s="1198" customFormat="1" ht="15" x14ac:dyDescent="0.2">
      <c r="A2526" s="1190" t="s">
        <v>1381</v>
      </c>
      <c r="B2526" s="1190" t="s">
        <v>397</v>
      </c>
      <c r="C2526" s="1190">
        <v>12027</v>
      </c>
      <c r="D2526" s="1190" t="s">
        <v>2292</v>
      </c>
      <c r="E2526" s="1190">
        <v>7</v>
      </c>
      <c r="F2526" s="1191">
        <f>IF(AND(Coastal="Yes",COUNTIF(Brick_type,"*Face*")&gt;0),SUMIF('CSV FF'!A:A,"Column 150*50*5",'CSV FF'!E:E),0)</f>
        <v>0</v>
      </c>
      <c r="G2526" s="1192"/>
      <c r="H2526" s="1193" t="s">
        <v>1603</v>
      </c>
      <c r="I2526" s="1207"/>
      <c r="J2526" s="1194" t="str">
        <f>IF(Table5[[#This Row],[Entered]]&lt;&gt;Table5[[#This Row],[Quantity]],"Check","")</f>
        <v/>
      </c>
    </row>
    <row r="2527" spans="1:10" s="1198" customFormat="1" ht="15" x14ac:dyDescent="0.2">
      <c r="A2527" s="1190" t="s">
        <v>1381</v>
      </c>
      <c r="B2527" s="1190" t="s">
        <v>397</v>
      </c>
      <c r="C2527" s="1190">
        <v>12027</v>
      </c>
      <c r="D2527" s="1190">
        <f>595</f>
        <v>595</v>
      </c>
      <c r="E2527" s="1190">
        <v>7</v>
      </c>
      <c r="F2527" s="1191">
        <f>IF(AND(Coastal="Yes",COUNTIF(Brick_type,"*Face*")&gt;0),SUMIF('CSV FF'!A:A,"Column 50*50*4",'CSV FF'!E:E),0)</f>
        <v>0</v>
      </c>
      <c r="G2527" s="1192"/>
      <c r="H2527" s="1193" t="s">
        <v>1887</v>
      </c>
      <c r="I2527" s="1207"/>
      <c r="J2527" s="1194" t="str">
        <f>IF(Table5[[#This Row],[Entered]]&lt;&gt;Table5[[#This Row],[Quantity]],"Check","")</f>
        <v/>
      </c>
    </row>
    <row r="2528" spans="1:10" s="1198" customFormat="1" ht="15" x14ac:dyDescent="0.2">
      <c r="A2528" s="1190" t="s">
        <v>1381</v>
      </c>
      <c r="B2528" s="1190" t="s">
        <v>397</v>
      </c>
      <c r="C2528" s="1190">
        <v>12027</v>
      </c>
      <c r="D2528" s="1190">
        <f>600</f>
        <v>600</v>
      </c>
      <c r="E2528" s="1190">
        <v>7</v>
      </c>
      <c r="F2528" s="1191">
        <f>IF(AND(Coastal="Yes",COUNTIF(Brick_type,"*Face*")&gt;0),SUMIF('CSV FF'!B:B,"Hit &amp; Miss",'CSV FF'!E:E),0)</f>
        <v>0</v>
      </c>
      <c r="G2528" s="1192"/>
      <c r="H2528" s="1193" t="s">
        <v>1534</v>
      </c>
      <c r="I2528" s="1207"/>
      <c r="J2528" s="1194" t="str">
        <f>IF(Table5[[#This Row],[Entered]]&lt;&gt;Table5[[#This Row],[Quantity]],"Check","")</f>
        <v/>
      </c>
    </row>
    <row r="2529" spans="1:10" s="1198" customFormat="1" ht="15" x14ac:dyDescent="0.2">
      <c r="A2529" s="1190" t="s">
        <v>1381</v>
      </c>
      <c r="B2529" s="1190" t="s">
        <v>397</v>
      </c>
      <c r="C2529" s="1190">
        <v>12027</v>
      </c>
      <c r="D2529" s="1190">
        <f>890</f>
        <v>890</v>
      </c>
      <c r="E2529" s="1190">
        <v>7</v>
      </c>
      <c r="F2529" s="1191">
        <f>SUMIF('CSV FF'!B:B,"Hit &amp; Miss",'CSV FF'!E:E)</f>
        <v>0</v>
      </c>
      <c r="G2529" s="1192"/>
      <c r="H2529" s="1193" t="s">
        <v>1888</v>
      </c>
      <c r="I2529" s="1207"/>
      <c r="J2529" s="1194" t="str">
        <f>IF(Table5[[#This Row],[Entered]]&lt;&gt;Table5[[#This Row],[Quantity]],"Check","")</f>
        <v/>
      </c>
    </row>
    <row r="2530" spans="1:10" s="1198" customFormat="1" ht="15" x14ac:dyDescent="0.2">
      <c r="A2530" s="1190" t="s">
        <v>1381</v>
      </c>
      <c r="B2530" s="1190" t="s">
        <v>397</v>
      </c>
      <c r="C2530" s="1190">
        <v>12027</v>
      </c>
      <c r="D2530" s="1190">
        <f>2200</f>
        <v>2200</v>
      </c>
      <c r="E2530" s="1190">
        <v>7</v>
      </c>
      <c r="F2530" s="1191">
        <f>IF(Coastal="No",SUMIF('CSV FF'!A:A,"Column 50*50*4",'CSV FF'!E:E),0)</f>
        <v>0</v>
      </c>
      <c r="G2530" s="1192"/>
      <c r="H2530" s="1193" t="s">
        <v>1889</v>
      </c>
      <c r="I2530" s="1207"/>
      <c r="J2530" s="1194" t="str">
        <f>IF(Table5[[#This Row],[Entered]]&lt;&gt;Table5[[#This Row],[Quantity]],"Check","")</f>
        <v/>
      </c>
    </row>
    <row r="2531" spans="1:10" s="1198" customFormat="1" ht="15" x14ac:dyDescent="0.2">
      <c r="A2531" s="1190" t="s">
        <v>1381</v>
      </c>
      <c r="B2531" s="1190" t="s">
        <v>397</v>
      </c>
      <c r="C2531" s="1190">
        <v>12027</v>
      </c>
      <c r="D2531" s="1190">
        <f>2225</f>
        <v>2225</v>
      </c>
      <c r="E2531" s="1190">
        <v>7</v>
      </c>
      <c r="F2531" s="1191" cm="1">
        <f t="array" ref="F2531">ROUNDUP(SUMPRODUCT(--('CSV FF'!A:A="Posts"),--('CSV FF'!B:B="Steel"),'CSV FF'!D:D,'CSV FF'!E:E),1)</f>
        <v>0</v>
      </c>
      <c r="G2531" s="1192"/>
      <c r="H2531" s="1193" t="s">
        <v>1890</v>
      </c>
      <c r="I2531" s="1207"/>
      <c r="J2531" s="1194" t="str">
        <f>IF(Table5[[#This Row],[Entered]]&lt;&gt;Table5[[#This Row],[Quantity]],"Check","")</f>
        <v/>
      </c>
    </row>
    <row r="2532" spans="1:10" s="1198" customFormat="1" ht="15" x14ac:dyDescent="0.2">
      <c r="A2532" s="1190" t="s">
        <v>1381</v>
      </c>
      <c r="B2532" s="1190" t="s">
        <v>397</v>
      </c>
      <c r="C2532" s="1190">
        <v>12027</v>
      </c>
      <c r="D2532" s="1190">
        <f>2240</f>
        <v>2240</v>
      </c>
      <c r="E2532" s="1190">
        <v>7</v>
      </c>
      <c r="F2532" s="1191">
        <f>IF(Coastal="No",SUMIF('CSV FF'!B:B,"Steel 125",'CSV FF'!E:E),0)</f>
        <v>0</v>
      </c>
      <c r="G2532" s="1192"/>
      <c r="H2532" s="1193" t="s">
        <v>1891</v>
      </c>
      <c r="I2532" s="1207"/>
      <c r="J2532" s="1194" t="str">
        <f>IF(Table5[[#This Row],[Entered]]&lt;&gt;Table5[[#This Row],[Quantity]],"Check","")</f>
        <v/>
      </c>
    </row>
    <row r="2533" spans="1:10" s="1198" customFormat="1" ht="15" x14ac:dyDescent="0.2">
      <c r="A2533" s="1190" t="s">
        <v>1381</v>
      </c>
      <c r="B2533" s="1190" t="s">
        <v>397</v>
      </c>
      <c r="C2533" s="1190">
        <v>12027</v>
      </c>
      <c r="D2533" s="1190">
        <f>2300</f>
        <v>2300</v>
      </c>
      <c r="E2533" s="1190">
        <v>7</v>
      </c>
      <c r="F2533" s="1191">
        <f>IF(Coastal="No",SUMIF('CSV FF'!A:A,"Column 100*50*4",'CSV FF'!E:E),0)</f>
        <v>0</v>
      </c>
      <c r="G2533" s="1192"/>
      <c r="H2533" s="1193" t="s">
        <v>1892</v>
      </c>
      <c r="I2533" s="1207"/>
      <c r="J2533" s="1194" t="str">
        <f>IF(Table5[[#This Row],[Entered]]&lt;&gt;Table5[[#This Row],[Quantity]],"Check","")</f>
        <v/>
      </c>
    </row>
    <row r="2534" spans="1:10" s="1198" customFormat="1" ht="15" x14ac:dyDescent="0.2">
      <c r="A2534" s="1190" t="s">
        <v>1381</v>
      </c>
      <c r="B2534" s="1190" t="s">
        <v>397</v>
      </c>
      <c r="C2534" s="1190">
        <v>12027</v>
      </c>
      <c r="D2534" s="1190">
        <v>2245</v>
      </c>
      <c r="E2534" s="1190">
        <v>7</v>
      </c>
      <c r="F2534" s="1191">
        <f>IF(Coastal="No",SUMIF('CSV FF'!A:A,"Column 150*50*4",'CSV FF'!E:E),0)+IF(Coastal="No",SUMIF('CSV FF'!A:A,"Column 150*50*5",'CSV FF'!E:E),0)</f>
        <v>0</v>
      </c>
      <c r="G2534" s="1192"/>
      <c r="H2534" s="1193" t="s">
        <v>1893</v>
      </c>
      <c r="I2534" s="1207"/>
      <c r="J2534" s="1194" t="str">
        <f>IF(Table5[[#This Row],[Entered]]&lt;&gt;Table5[[#This Row],[Quantity]],"Check","")</f>
        <v/>
      </c>
    </row>
    <row r="2535" spans="1:10" s="1198" customFormat="1" ht="15" x14ac:dyDescent="0.2">
      <c r="A2535" s="1190" t="s">
        <v>1381</v>
      </c>
      <c r="B2535" s="1190" t="s">
        <v>397</v>
      </c>
      <c r="C2535" s="1190">
        <v>12027</v>
      </c>
      <c r="D2535" s="1190">
        <v>2405</v>
      </c>
      <c r="E2535" s="1190">
        <v>7</v>
      </c>
      <c r="F2535" s="1191">
        <f>IF(Coastal="No",SUMIF('CSV FF'!E:E,"200*100*5",'CSV FF'!C:C),0)</f>
        <v>0</v>
      </c>
      <c r="G2535" s="1192"/>
      <c r="H2535" s="1193" t="s">
        <v>1894</v>
      </c>
      <c r="I2535" s="1207"/>
      <c r="J2535" s="1194" t="str">
        <f>IF(Table5[[#This Row],[Entered]]&lt;&gt;Table5[[#This Row],[Quantity]],"Check","")</f>
        <v/>
      </c>
    </row>
    <row r="2536" spans="1:10" s="1198" customFormat="1" ht="15" x14ac:dyDescent="0.2">
      <c r="A2536" s="1190" t="s">
        <v>1381</v>
      </c>
      <c r="B2536" s="1190" t="s">
        <v>397</v>
      </c>
      <c r="C2536" s="1190">
        <v>12027</v>
      </c>
      <c r="D2536" s="1190">
        <f>2405</f>
        <v>2405</v>
      </c>
      <c r="E2536" s="1190">
        <v>1</v>
      </c>
      <c r="F2536" s="1191" cm="1">
        <f t="array" ref="F2536">IF(Coastal="No",COUNTIFS('Steel Beams and Columns'!$H$19:$H$30,"Straight",'Steel Beams and Columns'!$E$19:$E$30,"50*50*4 SHS*",'Steel Beams and Columns'!$F$19:$F$30,"First")+SUMPRODUCT(--('Steel Beams and Columns'!$H$19:$H$30="150*100*10"),--('Steel Beams and Columns'!$F$19:$F$30="First"),'Steel Beams and Columns'!$C$19:$C$30),0)</f>
        <v>0</v>
      </c>
      <c r="G2536" s="1192"/>
      <c r="H2536" s="1193" t="s">
        <v>1895</v>
      </c>
      <c r="I2536" s="1207"/>
      <c r="J2536" s="1194" t="str">
        <f>IF(Table5[[#This Row],[Entered]]&lt;&gt;Table5[[#This Row],[Quantity]],"Check","")</f>
        <v/>
      </c>
    </row>
    <row r="2537" spans="1:10" s="1198" customFormat="1" ht="15" x14ac:dyDescent="0.2">
      <c r="A2537" s="1190" t="s">
        <v>1381</v>
      </c>
      <c r="B2537" s="1190" t="s">
        <v>397</v>
      </c>
      <c r="C2537" s="1190">
        <v>12027</v>
      </c>
      <c r="D2537" s="1190">
        <f>2430</f>
        <v>2430</v>
      </c>
      <c r="E2537" s="1190">
        <v>1</v>
      </c>
      <c r="F2537" s="1191" cm="1">
        <f t="array" ref="F2537">IF(Coastal="No",COUNTIFS('Steel Beams and Columns'!$H$19:$H$30,"Straight",'Steel Beams and Columns'!$E$19:$E$30,"100*50*4 RHS*",'Steel Beams and Columns'!$F$19:$F$30,"First")+SUMPRODUCT(--('Steel Beams and Columns'!$H$19:$H$30="200*100*10"),--('Steel Beams and Columns'!$F$19:$F$30="First"),'Steel Beams and Columns'!$C$19:$C$30),0)</f>
        <v>0</v>
      </c>
      <c r="G2537" s="1192"/>
      <c r="H2537" s="1193" t="s">
        <v>1896</v>
      </c>
      <c r="I2537" s="1207"/>
      <c r="J2537" s="1194" t="str">
        <f>IF(Table5[[#This Row],[Entered]]&lt;&gt;Table5[[#This Row],[Quantity]],"Check","")</f>
        <v/>
      </c>
    </row>
    <row r="2538" spans="1:10" s="1198" customFormat="1" ht="15" x14ac:dyDescent="0.2">
      <c r="A2538" s="1190" t="s">
        <v>1381</v>
      </c>
      <c r="B2538" s="1190" t="s">
        <v>397</v>
      </c>
      <c r="C2538" s="1190">
        <v>12027</v>
      </c>
      <c r="D2538" s="1190">
        <f>2460</f>
        <v>2460</v>
      </c>
      <c r="E2538" s="1190">
        <v>1</v>
      </c>
      <c r="F2538" s="1191" cm="1">
        <f t="array" ref="F2538">IF(Coastal="No",COUNTIFS('CSV FF'!A:A,"Posts",'CSV FF'!B:B,"Steel")+COUNTIFS('Steel Beams and Columns'!$H$19:$H$30,"Int Corner",'Steel Beams and Columns'!$F$19:$F$30,"First")+SUMPRODUCT(--(ISNUMBER(FIND("150*50",'Steel Beams and Columns'!E447:E458))),--('Steel Beams and Columns'!$H$19:$H$30="Straight"),--('Steel Beams and Columns'!$F$19:$F$30="First"),'Steel Beams and Columns'!$C$19:$C$30)+SUMPRODUCT(--('Steel Beams and Columns'!$H$19:$H$30="250*100*10"),--('Steel Beams and Columns'!$F$19:$F$30="First"),'Steel Beams and Columns'!$C$19:$C$30),0)</f>
        <v>0</v>
      </c>
      <c r="G2538" s="1192"/>
      <c r="H2538" s="1193" t="s">
        <v>1897</v>
      </c>
      <c r="I2538" s="1207"/>
      <c r="J2538" s="1194" t="str">
        <f>IF(Table5[[#This Row],[Entered]]&lt;&gt;Table5[[#This Row],[Quantity]],"Check","")</f>
        <v/>
      </c>
    </row>
    <row r="2539" spans="1:10" s="1198" customFormat="1" ht="15" x14ac:dyDescent="0.2">
      <c r="A2539" s="1190" t="s">
        <v>1381</v>
      </c>
      <c r="B2539" s="1190" t="s">
        <v>397</v>
      </c>
      <c r="C2539" s="1190">
        <v>12027</v>
      </c>
      <c r="D2539" s="1190">
        <f>9000</f>
        <v>9000</v>
      </c>
      <c r="E2539" s="1190">
        <v>1</v>
      </c>
      <c r="F2539" s="1191">
        <f>IF(SUM(F2491:F2538)&gt;0,1,0)</f>
        <v>0</v>
      </c>
      <c r="G2539" s="1192"/>
      <c r="H2539" s="1193" t="s">
        <v>903</v>
      </c>
      <c r="I2539" s="1207"/>
      <c r="J2539" s="1194" t="str">
        <f>IF(Table5[[#This Row],[Entered]]&lt;&gt;Table5[[#This Row],[Quantity]],"Check","")</f>
        <v/>
      </c>
    </row>
    <row r="2540" spans="1:10" s="1198" customFormat="1" ht="15" x14ac:dyDescent="0.2">
      <c r="A2540" s="1190"/>
      <c r="B2540" s="1190"/>
      <c r="C2540" s="1190"/>
      <c r="D2540" s="1190"/>
      <c r="E2540" s="1190"/>
      <c r="F2540" s="1191"/>
      <c r="G2540" s="1192"/>
      <c r="H2540" s="1193"/>
      <c r="I2540" s="1207"/>
      <c r="J2540" s="1194" t="str">
        <f>IF(Table5[[#This Row],[Entered]]&lt;&gt;Table5[[#This Row],[Quantity]],"Check","")</f>
        <v/>
      </c>
    </row>
    <row r="2541" spans="1:10" s="1198" customFormat="1" ht="15" x14ac:dyDescent="0.2">
      <c r="A2541" s="1190" t="s">
        <v>1381</v>
      </c>
      <c r="B2541" s="1190" t="s">
        <v>1418</v>
      </c>
      <c r="C2541" s="1190" t="s">
        <v>665</v>
      </c>
      <c r="D2541" s="1190" t="s">
        <v>1382</v>
      </c>
      <c r="E2541" s="1190">
        <v>1</v>
      </c>
      <c r="F2541" s="1191">
        <f>IF(AND(Brick_typeFF&lt;&gt;"Timber Frame",SUMIFS('Steel Beams and Columns'!$C$19:$C$30,'Steel Beams and Columns'!F19:F30,"First")&gt;0),1,0)</f>
        <v>0</v>
      </c>
      <c r="G2541" s="1192"/>
      <c r="H2541" s="1193" t="s">
        <v>904</v>
      </c>
      <c r="I2541" s="1207"/>
      <c r="J2541" s="1194" t="str">
        <f>IF(Table5[[#This Row],[Entered]]&lt;&gt;Table5[[#This Row],[Quantity]],"Check","")</f>
        <v/>
      </c>
    </row>
    <row r="2542" spans="1:10" s="1198" customFormat="1" ht="15" x14ac:dyDescent="0.2">
      <c r="A2542" s="1190" t="s">
        <v>1381</v>
      </c>
      <c r="B2542" s="1190" t="s">
        <v>1418</v>
      </c>
      <c r="C2542" s="1190" t="s">
        <v>665</v>
      </c>
      <c r="D2542" s="1190" t="s">
        <v>1383</v>
      </c>
      <c r="E2542" s="1190">
        <v>1</v>
      </c>
      <c r="F2542" s="1191">
        <f>IF(Brick_typeFF&lt;&gt;"Timber Frame",SUMIFS('Steel Beams and Columns'!$C$19:$C$30,'Steel Beams and Columns'!F19:F30,"First")-1,0)</f>
        <v>-1</v>
      </c>
      <c r="G2542" s="1192"/>
      <c r="H2542" s="1193" t="s">
        <v>905</v>
      </c>
      <c r="I2542" s="1207"/>
      <c r="J2542" s="1194" t="str">
        <f>IF(Table5[[#This Row],[Entered]]&lt;&gt;Table5[[#This Row],[Quantity]],"Check","")</f>
        <v>Check</v>
      </c>
    </row>
    <row r="2543" spans="1:10" s="1198" customFormat="1" ht="15" x14ac:dyDescent="0.2">
      <c r="A2543" s="1190" t="s">
        <v>1381</v>
      </c>
      <c r="B2543" s="1190" t="s">
        <v>1418</v>
      </c>
      <c r="C2543" s="1190" t="s">
        <v>665</v>
      </c>
      <c r="D2543" s="1190" t="s">
        <v>1384</v>
      </c>
      <c r="E2543" s="1190">
        <v>1</v>
      </c>
      <c r="F2543" s="1191">
        <f>IF(Brick_typeFF&lt;&gt;"Timber Frame",IF(SUM(F2541:F2542)&gt;10,1,0),0)</f>
        <v>0</v>
      </c>
      <c r="G2543" s="1192"/>
      <c r="H2543" s="1193" t="s">
        <v>1125</v>
      </c>
      <c r="I2543" s="1207"/>
      <c r="J2543" s="1194" t="str">
        <f>IF(Table5[[#This Row],[Entered]]&lt;&gt;Table5[[#This Row],[Quantity]],"Check","")</f>
        <v/>
      </c>
    </row>
    <row r="2544" spans="1:10" s="1198" customFormat="1" ht="15" x14ac:dyDescent="0.2">
      <c r="A2544" s="1190" t="s">
        <v>1381</v>
      </c>
      <c r="B2544" s="1190" t="s">
        <v>1418</v>
      </c>
      <c r="C2544" s="1190" t="s">
        <v>906</v>
      </c>
      <c r="D2544" s="1190" t="s">
        <v>612</v>
      </c>
      <c r="E2544" s="1190">
        <v>4</v>
      </c>
      <c r="F2544" s="1191">
        <f>CEILING(SUM('Brickwork FF'!$D$31:$D$32)*48.5,1)+CEILING(SUM('Brickwork FF'!$N$34:$N$35)*37,1)</f>
        <v>0</v>
      </c>
      <c r="G2544" s="1192"/>
      <c r="H2544" s="1193" t="s">
        <v>1277</v>
      </c>
      <c r="I2544" s="1207"/>
      <c r="J2544" s="1194" t="str">
        <f>IF(Table5[[#This Row],[Entered]]&lt;&gt;Table5[[#This Row],[Quantity]],"Check","")</f>
        <v/>
      </c>
    </row>
    <row r="2545" spans="1:10" s="1198" customFormat="1" ht="15" x14ac:dyDescent="0.2">
      <c r="A2545" s="1190" t="s">
        <v>1381</v>
      </c>
      <c r="B2545" s="1190" t="s">
        <v>1418</v>
      </c>
      <c r="C2545" s="1190" t="s">
        <v>906</v>
      </c>
      <c r="D2545" s="1190" t="s">
        <v>616</v>
      </c>
      <c r="E2545" s="1190">
        <v>4</v>
      </c>
      <c r="F2545" s="1191">
        <f>CEILING(('Brickwork FF'!$N$31+'Brickwork FF'!$N$35)*19+'Brickwork FF'!P32,1)</f>
        <v>0</v>
      </c>
      <c r="G2545" s="1192"/>
      <c r="H2545" s="1193" t="s">
        <v>1278</v>
      </c>
      <c r="I2545" s="1207"/>
      <c r="J2545" s="1194" t="str">
        <f>IF(Table5[[#This Row],[Entered]]&lt;&gt;Table5[[#This Row],[Quantity]],"Check","")</f>
        <v/>
      </c>
    </row>
    <row r="2546" spans="1:10" s="1198" customFormat="1" ht="15" x14ac:dyDescent="0.2">
      <c r="A2546" s="1190" t="s">
        <v>1381</v>
      </c>
      <c r="B2546" s="1190" t="s">
        <v>1418</v>
      </c>
      <c r="C2546" s="1190" t="s">
        <v>906</v>
      </c>
      <c r="D2546" s="1190" t="s">
        <v>623</v>
      </c>
      <c r="E2546" s="1190">
        <v>4</v>
      </c>
      <c r="F2546" s="1191"/>
      <c r="G2546" s="1192"/>
      <c r="H2546" s="1193" t="s">
        <v>907</v>
      </c>
      <c r="I2546" s="1207"/>
      <c r="J2546" s="1194" t="str">
        <f>IF(Table5[[#This Row],[Entered]]&lt;&gt;Table5[[#This Row],[Quantity]],"Check","")</f>
        <v/>
      </c>
    </row>
    <row r="2547" spans="1:10" s="1198" customFormat="1" ht="15" x14ac:dyDescent="0.2">
      <c r="A2547" s="1190" t="s">
        <v>1381</v>
      </c>
      <c r="B2547" s="1190" t="s">
        <v>1418</v>
      </c>
      <c r="C2547" s="1190" t="s">
        <v>906</v>
      </c>
      <c r="D2547" s="1190" t="s">
        <v>1385</v>
      </c>
      <c r="E2547" s="1190">
        <v>4</v>
      </c>
      <c r="F2547" s="1191"/>
      <c r="G2547" s="1192"/>
      <c r="H2547" s="1193" t="s">
        <v>908</v>
      </c>
      <c r="I2547" s="1207"/>
      <c r="J2547" s="1194" t="str">
        <f>IF(Table5[[#This Row],[Entered]]&lt;&gt;Table5[[#This Row],[Quantity]],"Check","")</f>
        <v/>
      </c>
    </row>
    <row r="2548" spans="1:10" s="1198" customFormat="1" ht="15" x14ac:dyDescent="0.2">
      <c r="A2548" s="1190" t="s">
        <v>1381</v>
      </c>
      <c r="B2548" s="1190" t="s">
        <v>1418</v>
      </c>
      <c r="C2548" s="1190" t="s">
        <v>906</v>
      </c>
      <c r="D2548" s="1190" t="s">
        <v>1386</v>
      </c>
      <c r="E2548" s="1190">
        <v>4</v>
      </c>
      <c r="F2548" s="1191">
        <f>CEILING('Brickwork FF'!$D$88*18.5,1)</f>
        <v>0</v>
      </c>
      <c r="G2548" s="1192"/>
      <c r="H2548" s="1193" t="s">
        <v>1279</v>
      </c>
      <c r="I2548" s="1207"/>
      <c r="J2548" s="1194" t="str">
        <f>IF(Table5[[#This Row],[Entered]]&lt;&gt;Table5[[#This Row],[Quantity]],"Check","")</f>
        <v/>
      </c>
    </row>
    <row r="2549" spans="1:10" s="1198" customFormat="1" ht="15" x14ac:dyDescent="0.2">
      <c r="A2549" s="1190" t="s">
        <v>1381</v>
      </c>
      <c r="B2549" s="1190" t="s">
        <v>1418</v>
      </c>
      <c r="C2549" s="1190" t="s">
        <v>906</v>
      </c>
      <c r="D2549" s="1190" t="s">
        <v>1387</v>
      </c>
      <c r="E2549" s="1190">
        <v>4</v>
      </c>
      <c r="F2549" s="1191">
        <f>CEILING('Brickwork FF'!$D$89*18.5,1)</f>
        <v>0</v>
      </c>
      <c r="G2549" s="1192"/>
      <c r="H2549" s="1193" t="s">
        <v>1280</v>
      </c>
      <c r="I2549" s="1207"/>
      <c r="J2549" s="1194" t="str">
        <f>IF(Table5[[#This Row],[Entered]]&lt;&gt;Table5[[#This Row],[Quantity]],"Check","")</f>
        <v/>
      </c>
    </row>
    <row r="2550" spans="1:10" s="1198" customFormat="1" ht="15" x14ac:dyDescent="0.2">
      <c r="A2550" s="1190" t="s">
        <v>1381</v>
      </c>
      <c r="B2550" s="1190" t="s">
        <v>1418</v>
      </c>
      <c r="C2550" s="1190" t="s">
        <v>906</v>
      </c>
      <c r="D2550" s="1190" t="s">
        <v>1388</v>
      </c>
      <c r="E2550" s="1190">
        <v>4</v>
      </c>
      <c r="F2550" s="1191"/>
      <c r="G2550" s="1192"/>
      <c r="H2550" s="1193" t="s">
        <v>1281</v>
      </c>
      <c r="I2550" s="1207"/>
      <c r="J2550" s="1194" t="str">
        <f>IF(Table5[[#This Row],[Entered]]&lt;&gt;Table5[[#This Row],[Quantity]],"Check","")</f>
        <v/>
      </c>
    </row>
    <row r="2551" spans="1:10" s="1198" customFormat="1" ht="15" x14ac:dyDescent="0.2">
      <c r="A2551" s="1190" t="s">
        <v>1381</v>
      </c>
      <c r="B2551" s="1190" t="s">
        <v>1418</v>
      </c>
      <c r="C2551" s="1190" t="s">
        <v>906</v>
      </c>
      <c r="D2551" s="1190" t="s">
        <v>1389</v>
      </c>
      <c r="E2551" s="1190">
        <v>4</v>
      </c>
      <c r="F2551" s="1191">
        <f>CEILING('Brickwork FF'!$D$90*37,1)</f>
        <v>0</v>
      </c>
      <c r="G2551" s="1192"/>
      <c r="H2551" s="1193" t="s">
        <v>1282</v>
      </c>
      <c r="I2551" s="1207"/>
      <c r="J2551" s="1194" t="str">
        <f>IF(Table5[[#This Row],[Entered]]&lt;&gt;Table5[[#This Row],[Quantity]],"Check","")</f>
        <v/>
      </c>
    </row>
    <row r="2552" spans="1:10" s="1198" customFormat="1" ht="15" x14ac:dyDescent="0.2">
      <c r="A2552" s="1190" t="s">
        <v>1381</v>
      </c>
      <c r="B2552" s="1190" t="s">
        <v>1418</v>
      </c>
      <c r="C2552" s="1190" t="s">
        <v>906</v>
      </c>
      <c r="D2552" s="1190" t="s">
        <v>1390</v>
      </c>
      <c r="E2552" s="1190">
        <v>4</v>
      </c>
      <c r="F2552" s="1191">
        <f>CEILING(('Brickwork FF'!$D$34+'Brickwork FF'!$D$64)*48.5,1)</f>
        <v>0</v>
      </c>
      <c r="G2552" s="1192"/>
      <c r="H2552" s="1193" t="s">
        <v>1283</v>
      </c>
      <c r="I2552" s="1207"/>
      <c r="J2552" s="1194" t="str">
        <f>IF(Table5[[#This Row],[Entered]]&lt;&gt;Table5[[#This Row],[Quantity]],"Check","")</f>
        <v/>
      </c>
    </row>
    <row r="2553" spans="1:10" s="1198" customFormat="1" ht="15" x14ac:dyDescent="0.2">
      <c r="A2553" s="1190" t="s">
        <v>1381</v>
      </c>
      <c r="B2553" s="1190" t="s">
        <v>1418</v>
      </c>
      <c r="C2553" s="1190" t="s">
        <v>906</v>
      </c>
      <c r="D2553" s="1190" t="s">
        <v>1391</v>
      </c>
      <c r="E2553" s="1190">
        <v>4</v>
      </c>
      <c r="F2553" s="1191">
        <f>CEILING('Brickwork FF'!$D$62*18.5,1)</f>
        <v>0</v>
      </c>
      <c r="G2553" s="1192"/>
      <c r="H2553" s="1193" t="s">
        <v>1284</v>
      </c>
      <c r="I2553" s="1207"/>
      <c r="J2553" s="1194" t="str">
        <f>IF(Table5[[#This Row],[Entered]]&lt;&gt;Table5[[#This Row],[Quantity]],"Check","")</f>
        <v/>
      </c>
    </row>
    <row r="2554" spans="1:10" s="1198" customFormat="1" ht="15" x14ac:dyDescent="0.2">
      <c r="A2554" s="1190" t="s">
        <v>1381</v>
      </c>
      <c r="B2554" s="1190" t="s">
        <v>1418</v>
      </c>
      <c r="C2554" s="1190" t="s">
        <v>906</v>
      </c>
      <c r="D2554" s="1190" t="s">
        <v>1392</v>
      </c>
      <c r="E2554" s="1190">
        <v>4</v>
      </c>
      <c r="F2554" s="1191">
        <f>CEILING('Brickwork FF'!$D$63*37,1)</f>
        <v>0</v>
      </c>
      <c r="G2554" s="1192"/>
      <c r="H2554" s="1193" t="s">
        <v>1285</v>
      </c>
      <c r="I2554" s="1207"/>
      <c r="J2554" s="1194" t="str">
        <f>IF(Table5[[#This Row],[Entered]]&lt;&gt;Table5[[#This Row],[Quantity]],"Check","")</f>
        <v/>
      </c>
    </row>
    <row r="2555" spans="1:10" s="1198" customFormat="1" ht="15" x14ac:dyDescent="0.2">
      <c r="A2555" s="1190" t="s">
        <v>1381</v>
      </c>
      <c r="B2555" s="1190" t="s">
        <v>1418</v>
      </c>
      <c r="C2555" s="1190" t="s">
        <v>906</v>
      </c>
      <c r="D2555" s="1190" t="s">
        <v>1393</v>
      </c>
      <c r="E2555" s="1190">
        <v>1</v>
      </c>
      <c r="F2555" s="1191">
        <f>SUM('Lintel &amp; Beam Summary'!$I$47:$I$52)</f>
        <v>0</v>
      </c>
      <c r="G2555" s="1192"/>
      <c r="H2555" s="1193" t="s">
        <v>879</v>
      </c>
      <c r="I2555" s="1207"/>
      <c r="J2555" s="1194" t="str">
        <f>IF(Table5[[#This Row],[Entered]]&lt;&gt;Table5[[#This Row],[Quantity]],"Check","")</f>
        <v/>
      </c>
    </row>
    <row r="2556" spans="1:10" s="1198" customFormat="1" ht="15" x14ac:dyDescent="0.2">
      <c r="A2556" s="1190" t="s">
        <v>1381</v>
      </c>
      <c r="B2556" s="1190" t="s">
        <v>1418</v>
      </c>
      <c r="C2556" s="1190" t="s">
        <v>906</v>
      </c>
      <c r="D2556" s="1190" t="s">
        <v>1394</v>
      </c>
      <c r="E2556" s="1190">
        <v>1</v>
      </c>
      <c r="F2556" s="1191">
        <f>IF(Brick_typeFF="Timber Frame",0,COUNTIFS('CSV FF'!A:A,"*door*",'CSV FF'!A:A,"&lt;&gt;*garage*"))</f>
        <v>0</v>
      </c>
      <c r="G2556" s="1192"/>
      <c r="H2556" s="1193" t="s">
        <v>1020</v>
      </c>
      <c r="I2556" s="1207"/>
      <c r="J2556" s="1194" t="str">
        <f>IF(Table5[[#This Row],[Entered]]&lt;&gt;Table5[[#This Row],[Quantity]],"Check","")</f>
        <v/>
      </c>
    </row>
    <row r="2557" spans="1:10" s="1198" customFormat="1" ht="15" x14ac:dyDescent="0.2">
      <c r="A2557" s="1190" t="s">
        <v>1381</v>
      </c>
      <c r="B2557" s="1190" t="s">
        <v>1418</v>
      </c>
      <c r="C2557" s="1190" t="s">
        <v>906</v>
      </c>
      <c r="D2557" s="1190" t="s">
        <v>1395</v>
      </c>
      <c r="E2557" s="1190">
        <v>1</v>
      </c>
      <c r="F2557" s="1191"/>
      <c r="G2557" s="1192"/>
      <c r="H2557" s="1193" t="s">
        <v>1143</v>
      </c>
      <c r="I2557" s="1207"/>
      <c r="J2557" s="1194" t="str">
        <f>IF(Table5[[#This Row],[Entered]]&lt;&gt;Table5[[#This Row],[Quantity]],"Check","")</f>
        <v/>
      </c>
    </row>
    <row r="2558" spans="1:10" s="1198" customFormat="1" ht="15" x14ac:dyDescent="0.2">
      <c r="A2558" s="1190" t="s">
        <v>1381</v>
      </c>
      <c r="B2558" s="1190" t="s">
        <v>1418</v>
      </c>
      <c r="C2558" s="1190" t="s">
        <v>906</v>
      </c>
      <c r="D2558" s="1190" t="s">
        <v>1396</v>
      </c>
      <c r="E2558" s="1190">
        <v>1</v>
      </c>
      <c r="F2558" s="1191">
        <f>IF(Brick_typeFF="Timber Frame",0,COUNTIFS('Lintel Sheet'!$J:$J,"Internal",'Lintel Sheet'!B:B,"First")-COUNTIF('CSV FF'!A:A,"Door Entry")-COUNTIF('CSV FF'!A:A,"Square Bulkheads"))</f>
        <v>0</v>
      </c>
      <c r="G2558" s="1192"/>
      <c r="H2558" s="1193" t="s">
        <v>1021</v>
      </c>
      <c r="I2558" s="1207"/>
      <c r="J2558" s="1194" t="str">
        <f>IF(Table5[[#This Row],[Entered]]&lt;&gt;Table5[[#This Row],[Quantity]],"Check","")</f>
        <v/>
      </c>
    </row>
    <row r="2559" spans="1:10" s="1198" customFormat="1" ht="15" x14ac:dyDescent="0.2">
      <c r="A2559" s="1190" t="s">
        <v>1381</v>
      </c>
      <c r="B2559" s="1190" t="s">
        <v>1418</v>
      </c>
      <c r="C2559" s="1190" t="s">
        <v>906</v>
      </c>
      <c r="D2559" s="1190" t="s">
        <v>1397</v>
      </c>
      <c r="E2559" s="1190">
        <v>1</v>
      </c>
      <c r="F2559" s="1191"/>
      <c r="G2559" s="1192"/>
      <c r="H2559" s="1193" t="s">
        <v>1025</v>
      </c>
      <c r="I2559" s="1207"/>
      <c r="J2559" s="1194" t="str">
        <f>IF(Table5[[#This Row],[Entered]]&lt;&gt;Table5[[#This Row],[Quantity]],"Check","")</f>
        <v/>
      </c>
    </row>
    <row r="2560" spans="1:10" s="1198" customFormat="1" ht="15" x14ac:dyDescent="0.2">
      <c r="A2560" s="1190" t="s">
        <v>1381</v>
      </c>
      <c r="B2560" s="1190" t="s">
        <v>1418</v>
      </c>
      <c r="C2560" s="1190" t="s">
        <v>906</v>
      </c>
      <c r="D2560" s="1190" t="s">
        <v>1398</v>
      </c>
      <c r="E2560" s="1190">
        <v>1</v>
      </c>
      <c r="F2560" s="1191">
        <v>0</v>
      </c>
      <c r="G2560" s="1192"/>
      <c r="H2560" s="1193" t="s">
        <v>909</v>
      </c>
      <c r="I2560" s="1207"/>
      <c r="J2560" s="1194" t="str">
        <f>IF(Table5[[#This Row],[Entered]]&lt;&gt;Table5[[#This Row],[Quantity]],"Check","")</f>
        <v/>
      </c>
    </row>
    <row r="2561" spans="1:10" s="1198" customFormat="1" ht="15" x14ac:dyDescent="0.2">
      <c r="A2561" s="1190" t="s">
        <v>1381</v>
      </c>
      <c r="B2561" s="1190" t="s">
        <v>1418</v>
      </c>
      <c r="C2561" s="1190" t="s">
        <v>906</v>
      </c>
      <c r="D2561" s="1190" t="s">
        <v>1399</v>
      </c>
      <c r="E2561" s="1190">
        <v>1</v>
      </c>
      <c r="F2561" s="1191">
        <v>0</v>
      </c>
      <c r="G2561" s="1192"/>
      <c r="H2561" s="1193" t="s">
        <v>1023</v>
      </c>
      <c r="I2561" s="1207"/>
      <c r="J2561" s="1194" t="str">
        <f>IF(Table5[[#This Row],[Entered]]&lt;&gt;Table5[[#This Row],[Quantity]],"Check","")</f>
        <v/>
      </c>
    </row>
    <row r="2562" spans="1:10" s="1198" customFormat="1" ht="15" x14ac:dyDescent="0.2">
      <c r="A2562" s="1190" t="s">
        <v>1381</v>
      </c>
      <c r="B2562" s="1190" t="s">
        <v>1418</v>
      </c>
      <c r="C2562" s="1190" t="s">
        <v>906</v>
      </c>
      <c r="D2562" s="1190" t="s">
        <v>1400</v>
      </c>
      <c r="E2562" s="1190">
        <v>1</v>
      </c>
      <c r="F2562" s="1191">
        <f>COUNTIF('CSV FF'!A:A,"Attached Pier")</f>
        <v>0</v>
      </c>
      <c r="G2562" s="1192"/>
      <c r="H2562" s="1193" t="s">
        <v>910</v>
      </c>
      <c r="I2562" s="1207"/>
      <c r="J2562" s="1194" t="str">
        <f>IF(Table5[[#This Row],[Entered]]&lt;&gt;Table5[[#This Row],[Quantity]],"Check","")</f>
        <v/>
      </c>
    </row>
    <row r="2563" spans="1:10" s="1198" customFormat="1" ht="15" x14ac:dyDescent="0.2">
      <c r="A2563" s="1190" t="s">
        <v>1381</v>
      </c>
      <c r="B2563" s="1190" t="s">
        <v>1418</v>
      </c>
      <c r="C2563" s="1190" t="s">
        <v>906</v>
      </c>
      <c r="D2563" s="1190" t="s">
        <v>1401</v>
      </c>
      <c r="E2563" s="1190">
        <v>1</v>
      </c>
      <c r="F2563" s="1191">
        <f>COUNTIF('CSV FF'!A:A,"Pier Rod")</f>
        <v>0</v>
      </c>
      <c r="G2563" s="1192"/>
      <c r="H2563" s="1193" t="s">
        <v>911</v>
      </c>
      <c r="I2563" s="1207"/>
      <c r="J2563" s="1194" t="str">
        <f>IF(Table5[[#This Row],[Entered]]&lt;&gt;Table5[[#This Row],[Quantity]],"Check","")</f>
        <v/>
      </c>
    </row>
    <row r="2564" spans="1:10" s="1198" customFormat="1" ht="15" x14ac:dyDescent="0.2">
      <c r="A2564" s="1190" t="s">
        <v>1381</v>
      </c>
      <c r="B2564" s="1190" t="s">
        <v>1418</v>
      </c>
      <c r="C2564" s="1190" t="s">
        <v>906</v>
      </c>
      <c r="D2564" s="1190" t="s">
        <v>1402</v>
      </c>
      <c r="E2564" s="1190">
        <v>1</v>
      </c>
      <c r="F2564" s="1191">
        <v>0</v>
      </c>
      <c r="G2564" s="1192"/>
      <c r="H2564" s="1193" t="s">
        <v>912</v>
      </c>
      <c r="I2564" s="1207"/>
      <c r="J2564" s="1194" t="str">
        <f>IF(Table5[[#This Row],[Entered]]&lt;&gt;Table5[[#This Row],[Quantity]],"Check","")</f>
        <v/>
      </c>
    </row>
    <row r="2565" spans="1:10" s="1198" customFormat="1" ht="15" x14ac:dyDescent="0.2">
      <c r="A2565" s="1190" t="s">
        <v>1381</v>
      </c>
      <c r="B2565" s="1190" t="s">
        <v>1418</v>
      </c>
      <c r="C2565" s="1190" t="s">
        <v>906</v>
      </c>
      <c r="D2565" s="1190" t="s">
        <v>1403</v>
      </c>
      <c r="E2565" s="1190">
        <v>7</v>
      </c>
      <c r="F2565" s="1191">
        <f>'Brickwork FF'!$P$11/1000</f>
        <v>0</v>
      </c>
      <c r="G2565" s="1192"/>
      <c r="H2565" s="1193" t="s">
        <v>1223</v>
      </c>
      <c r="I2565" s="1207"/>
      <c r="J2565" s="1194" t="str">
        <f>IF(Table5[[#This Row],[Entered]]&lt;&gt;Table5[[#This Row],[Quantity]],"Check","")</f>
        <v/>
      </c>
    </row>
    <row r="2566" spans="1:10" s="1198" customFormat="1" ht="15" x14ac:dyDescent="0.2">
      <c r="A2566" s="1190" t="s">
        <v>1381</v>
      </c>
      <c r="B2566" s="1190" t="s">
        <v>1418</v>
      </c>
      <c r="C2566" s="1190" t="s">
        <v>906</v>
      </c>
      <c r="D2566" s="1190" t="s">
        <v>1404</v>
      </c>
      <c r="E2566" s="1190">
        <v>7</v>
      </c>
      <c r="F2566" s="1191">
        <v>0</v>
      </c>
      <c r="G2566" s="1192"/>
      <c r="H2566" s="1193" t="s">
        <v>1224</v>
      </c>
      <c r="I2566" s="1207"/>
      <c r="J2566" s="1194" t="str">
        <f>IF(Table5[[#This Row],[Entered]]&lt;&gt;Table5[[#This Row],[Quantity]],"Check","")</f>
        <v/>
      </c>
    </row>
    <row r="2567" spans="1:10" s="1198" customFormat="1" ht="15" x14ac:dyDescent="0.2">
      <c r="A2567" s="1190" t="s">
        <v>1381</v>
      </c>
      <c r="B2567" s="1190" t="s">
        <v>1418</v>
      </c>
      <c r="C2567" s="1190" t="s">
        <v>906</v>
      </c>
      <c r="D2567" s="1190" t="s">
        <v>1405</v>
      </c>
      <c r="E2567" s="1190" t="s">
        <v>1239</v>
      </c>
      <c r="F2567" s="1191">
        <f>F2332+F2333+F2334</f>
        <v>0</v>
      </c>
      <c r="G2567" s="1192"/>
      <c r="H2567" s="1193" t="s">
        <v>913</v>
      </c>
      <c r="I2567" s="1207"/>
      <c r="J2567" s="1194" t="str">
        <f>IF(Table5[[#This Row],[Entered]]&lt;&gt;Table5[[#This Row],[Quantity]],"Check","")</f>
        <v/>
      </c>
    </row>
    <row r="2568" spans="1:10" s="1198" customFormat="1" ht="15" x14ac:dyDescent="0.2">
      <c r="A2568" s="1190" t="s">
        <v>1381</v>
      </c>
      <c r="B2568" s="1190" t="s">
        <v>1418</v>
      </c>
      <c r="C2568" s="1190" t="s">
        <v>906</v>
      </c>
      <c r="D2568" s="1190" t="s">
        <v>1406</v>
      </c>
      <c r="E2568" s="1190">
        <v>7</v>
      </c>
      <c r="F2568" s="1191">
        <f>ROUNDUP(SUMIF('CSV FF'!A:A,"Wall Insulation",'CSV FF'!C:C),0)</f>
        <v>0</v>
      </c>
      <c r="G2568" s="1192"/>
      <c r="H2568" s="1193" t="s">
        <v>968</v>
      </c>
      <c r="I2568" s="1207"/>
      <c r="J2568" s="1194" t="str">
        <f>IF(Table5[[#This Row],[Entered]]&lt;&gt;Table5[[#This Row],[Quantity]],"Check","")</f>
        <v/>
      </c>
    </row>
    <row r="2569" spans="1:10" s="1198" customFormat="1" ht="15" x14ac:dyDescent="0.2">
      <c r="A2569" s="1190" t="s">
        <v>1381</v>
      </c>
      <c r="B2569" s="1190" t="s">
        <v>1418</v>
      </c>
      <c r="C2569" s="1190" t="s">
        <v>906</v>
      </c>
      <c r="D2569" s="1190" t="s">
        <v>1407</v>
      </c>
      <c r="E2569" s="1190">
        <v>1</v>
      </c>
      <c r="F2569" s="1191">
        <v>0</v>
      </c>
      <c r="G2569" s="1192"/>
      <c r="H2569" s="1193" t="s">
        <v>992</v>
      </c>
      <c r="I2569" s="1207"/>
      <c r="J2569" s="1194" t="str">
        <f>IF(Table5[[#This Row],[Entered]]&lt;&gt;Table5[[#This Row],[Quantity]],"Check","")</f>
        <v/>
      </c>
    </row>
    <row r="2570" spans="1:10" s="1198" customFormat="1" ht="15" x14ac:dyDescent="0.2">
      <c r="A2570" s="1190" t="s">
        <v>1381</v>
      </c>
      <c r="B2570" s="1190" t="s">
        <v>1418</v>
      </c>
      <c r="C2570" s="1190" t="s">
        <v>906</v>
      </c>
      <c r="D2570" s="1190" t="s">
        <v>1408</v>
      </c>
      <c r="E2570" s="1190">
        <v>1</v>
      </c>
      <c r="F2570" s="1191">
        <v>0</v>
      </c>
      <c r="G2570" s="1192"/>
      <c r="H2570" s="1193" t="s">
        <v>1070</v>
      </c>
      <c r="I2570" s="1207"/>
      <c r="J2570" s="1194" t="str">
        <f>IF(Table5[[#This Row],[Entered]]&lt;&gt;Table5[[#This Row],[Quantity]],"Check","")</f>
        <v/>
      </c>
    </row>
    <row r="2571" spans="1:10" s="1198" customFormat="1" ht="15" x14ac:dyDescent="0.2">
      <c r="A2571" s="1190" t="s">
        <v>1381</v>
      </c>
      <c r="B2571" s="1190" t="s">
        <v>1418</v>
      </c>
      <c r="C2571" s="1190" t="s">
        <v>906</v>
      </c>
      <c r="D2571" s="1190" t="s">
        <v>1409</v>
      </c>
      <c r="E2571" s="1190">
        <v>1</v>
      </c>
      <c r="F2571" s="1191">
        <v>0</v>
      </c>
      <c r="G2571" s="1192"/>
      <c r="H2571" s="1193" t="s">
        <v>993</v>
      </c>
      <c r="I2571" s="1207"/>
      <c r="J2571" s="1194" t="str">
        <f>IF(Table5[[#This Row],[Entered]]&lt;&gt;Table5[[#This Row],[Quantity]],"Check","")</f>
        <v/>
      </c>
    </row>
    <row r="2572" spans="1:10" s="1198" customFormat="1" ht="15" x14ac:dyDescent="0.2">
      <c r="A2572" s="1190" t="s">
        <v>1381</v>
      </c>
      <c r="B2572" s="1190" t="s">
        <v>1418</v>
      </c>
      <c r="C2572" s="1190" t="s">
        <v>906</v>
      </c>
      <c r="D2572" s="1190" t="s">
        <v>1410</v>
      </c>
      <c r="E2572" s="1190">
        <v>1</v>
      </c>
      <c r="F2572" s="1191">
        <v>0</v>
      </c>
      <c r="G2572" s="1192"/>
      <c r="H2572" s="1193" t="s">
        <v>994</v>
      </c>
      <c r="I2572" s="1207"/>
      <c r="J2572" s="1194" t="str">
        <f>IF(Table5[[#This Row],[Entered]]&lt;&gt;Table5[[#This Row],[Quantity]],"Check","")</f>
        <v/>
      </c>
    </row>
    <row r="2573" spans="1:10" s="1198" customFormat="1" ht="15" x14ac:dyDescent="0.2">
      <c r="A2573" s="1190" t="s">
        <v>1381</v>
      </c>
      <c r="B2573" s="1190" t="s">
        <v>1418</v>
      </c>
      <c r="C2573" s="1190" t="s">
        <v>906</v>
      </c>
      <c r="D2573" s="1190" t="s">
        <v>1411</v>
      </c>
      <c r="E2573" s="1190">
        <v>1</v>
      </c>
      <c r="F2573" s="1191">
        <f>COUNTIF('CSV FF'!A:A,"PWP")</f>
        <v>0</v>
      </c>
      <c r="G2573" s="1192"/>
      <c r="H2573" s="1193" t="s">
        <v>914</v>
      </c>
      <c r="I2573" s="1207"/>
      <c r="J2573" s="1194" t="str">
        <f>IF(Table5[[#This Row],[Entered]]&lt;&gt;Table5[[#This Row],[Quantity]],"Check","")</f>
        <v/>
      </c>
    </row>
    <row r="2574" spans="1:10" s="1198" customFormat="1" ht="15" x14ac:dyDescent="0.2">
      <c r="A2574" s="1190" t="s">
        <v>1381</v>
      </c>
      <c r="B2574" s="1190" t="s">
        <v>1418</v>
      </c>
      <c r="C2574" s="1190" t="s">
        <v>906</v>
      </c>
      <c r="D2574" s="1190" t="s">
        <v>1412</v>
      </c>
      <c r="E2574" s="1190">
        <v>0</v>
      </c>
      <c r="F2574" s="1191"/>
      <c r="G2574" s="1192"/>
      <c r="H2574" s="1193" t="s">
        <v>1026</v>
      </c>
      <c r="I2574" s="1207"/>
      <c r="J2574" s="1194" t="str">
        <f>IF(Table5[[#This Row],[Entered]]&lt;&gt;Table5[[#This Row],[Quantity]],"Check","")</f>
        <v/>
      </c>
    </row>
    <row r="2575" spans="1:10" ht="15" x14ac:dyDescent="0.2">
      <c r="A2575" s="1190" t="s">
        <v>1381</v>
      </c>
      <c r="B2575" s="1190" t="s">
        <v>1418</v>
      </c>
      <c r="C2575" s="1190" t="s">
        <v>906</v>
      </c>
      <c r="D2575" s="1190" t="s">
        <v>1413</v>
      </c>
      <c r="E2575" s="1190">
        <v>0</v>
      </c>
      <c r="F2575" s="1191">
        <v>0</v>
      </c>
      <c r="G2575" s="1192"/>
      <c r="H2575" s="1193" t="s">
        <v>1027</v>
      </c>
      <c r="I2575" s="1207"/>
      <c r="J2575" s="1194" t="str">
        <f>IF(Table5[[#This Row],[Entered]]&lt;&gt;Table5[[#This Row],[Quantity]],"Check","")</f>
        <v/>
      </c>
    </row>
    <row r="2576" spans="1:10" ht="15" x14ac:dyDescent="0.2">
      <c r="A2576" s="1190" t="s">
        <v>1381</v>
      </c>
      <c r="B2576" s="1190" t="s">
        <v>1418</v>
      </c>
      <c r="C2576" s="1190" t="s">
        <v>906</v>
      </c>
      <c r="D2576" s="1190" t="s">
        <v>1414</v>
      </c>
      <c r="E2576" s="1190">
        <v>0</v>
      </c>
      <c r="F2576" s="1191">
        <v>0</v>
      </c>
      <c r="G2576" s="1192"/>
      <c r="H2576" s="1193" t="s">
        <v>1028</v>
      </c>
      <c r="I2576" s="1207"/>
      <c r="J2576" s="1194" t="str">
        <f>IF(Table5[[#This Row],[Entered]]&lt;&gt;Table5[[#This Row],[Quantity]],"Check","")</f>
        <v/>
      </c>
    </row>
    <row r="2577" spans="1:10" ht="15" x14ac:dyDescent="0.2">
      <c r="A2577" s="1190" t="s">
        <v>1381</v>
      </c>
      <c r="B2577" s="1190" t="s">
        <v>1418</v>
      </c>
      <c r="C2577" s="1190" t="s">
        <v>906</v>
      </c>
      <c r="D2577" s="1190" t="s">
        <v>1415</v>
      </c>
      <c r="E2577" s="1190">
        <v>0</v>
      </c>
      <c r="F2577" s="1191">
        <v>0</v>
      </c>
      <c r="G2577" s="1192"/>
      <c r="H2577" s="1193" t="s">
        <v>1029</v>
      </c>
      <c r="I2577" s="1207"/>
      <c r="J2577" s="1194" t="str">
        <f>IF(Table5[[#This Row],[Entered]]&lt;&gt;Table5[[#This Row],[Quantity]],"Check","")</f>
        <v/>
      </c>
    </row>
    <row r="2578" spans="1:10" ht="15" x14ac:dyDescent="0.2">
      <c r="A2578" s="1190" t="s">
        <v>1416</v>
      </c>
      <c r="B2578" s="1190" t="s">
        <v>1484</v>
      </c>
      <c r="C2578" s="1190" t="s">
        <v>2336</v>
      </c>
      <c r="D2578" s="1190">
        <f>10</f>
        <v>10</v>
      </c>
      <c r="E2578" s="1190" t="s">
        <v>1239</v>
      </c>
      <c r="F2578" s="1191">
        <f>IF('Data Sheet'!$B$14="Steel Roof",'Roof Formulas FF'!$B$45,0)</f>
        <v>0</v>
      </c>
      <c r="G2578" s="1192"/>
      <c r="H2578" s="1193" t="s">
        <v>916</v>
      </c>
      <c r="I2578" s="1207"/>
      <c r="J2578" s="1194" t="str">
        <f>IF(Table5[[#This Row],[Entered]]&lt;&gt;Table5[[#This Row],[Quantity]],"Check","")</f>
        <v/>
      </c>
    </row>
    <row r="2579" spans="1:10" ht="15" x14ac:dyDescent="0.2">
      <c r="A2579" s="1190"/>
      <c r="B2579" s="1190"/>
      <c r="C2579" s="1190"/>
      <c r="D2579" s="1190"/>
      <c r="E2579" s="1190"/>
      <c r="F2579" s="1191"/>
      <c r="G2579" s="1192"/>
      <c r="H2579" s="1193"/>
      <c r="I2579" s="1207"/>
      <c r="J2579" s="1194" t="str">
        <f>IF(Table5[[#This Row],[Entered]]&lt;&gt;Table5[[#This Row],[Quantity]],"Check","")</f>
        <v/>
      </c>
    </row>
    <row r="2580" spans="1:10" ht="15" x14ac:dyDescent="0.2">
      <c r="A2580" s="1190" t="s">
        <v>1416</v>
      </c>
      <c r="B2580" s="1190" t="s">
        <v>1484</v>
      </c>
      <c r="C2580" s="1190" t="s">
        <v>1753</v>
      </c>
      <c r="D2580" s="1190">
        <f>197</f>
        <v>197</v>
      </c>
      <c r="E2580" s="1190" t="s">
        <v>1239</v>
      </c>
      <c r="F2580" s="1191">
        <f>IF(Roof_Type="Steel Roof",CEILING(FF_Perim/6.3,1),0)</f>
        <v>0</v>
      </c>
      <c r="G2580" s="1192"/>
      <c r="H2580" s="1193" t="s">
        <v>1483</v>
      </c>
      <c r="I2580" s="1207"/>
      <c r="J2580" s="1194" t="str">
        <f>IF(Table5[[#This Row],[Entered]]&lt;&gt;Table5[[#This Row],[Quantity]],"Check","")</f>
        <v/>
      </c>
    </row>
    <row r="2581" spans="1:10" ht="15" x14ac:dyDescent="0.2">
      <c r="A2581" s="1190"/>
      <c r="B2581" s="1190"/>
      <c r="C2581" s="1190"/>
      <c r="D2581" s="1190"/>
      <c r="E2581" s="1190"/>
      <c r="F2581" s="1191"/>
      <c r="G2581" s="1192"/>
      <c r="H2581" s="1193"/>
      <c r="I2581" s="1207"/>
      <c r="J2581" s="1194" t="str">
        <f>IF(Table5[[#This Row],[Entered]]&lt;&gt;Table5[[#This Row],[Quantity]],"Check","")</f>
        <v/>
      </c>
    </row>
    <row r="2582" spans="1:10" ht="15" x14ac:dyDescent="0.2">
      <c r="A2582" s="1190" t="s">
        <v>1416</v>
      </c>
      <c r="B2582" s="1190" t="s">
        <v>398</v>
      </c>
      <c r="C2582" s="1190">
        <v>12027</v>
      </c>
      <c r="D2582" s="1190">
        <f>20</f>
        <v>20</v>
      </c>
      <c r="E2582" s="1190">
        <v>7</v>
      </c>
      <c r="F2582" s="1191">
        <f>IF(Corrosion_Classification="R4",0,SUMIF('CSV FF'!E:E,"150UB14",'CSV FF'!C:C))</f>
        <v>0</v>
      </c>
      <c r="G2582" s="1192"/>
      <c r="H2582" s="1193" t="s">
        <v>918</v>
      </c>
      <c r="I2582" s="1207"/>
      <c r="J2582" s="1194" t="str">
        <f>IF(Table5[[#This Row],[Entered]]&lt;&gt;Table5[[#This Row],[Quantity]],"Check","")</f>
        <v/>
      </c>
    </row>
    <row r="2583" spans="1:10" ht="15" x14ac:dyDescent="0.2">
      <c r="A2583" s="1190" t="s">
        <v>1416</v>
      </c>
      <c r="B2583" s="1190" t="s">
        <v>398</v>
      </c>
      <c r="C2583" s="1190">
        <v>12027</v>
      </c>
      <c r="D2583" s="1190">
        <f>25</f>
        <v>25</v>
      </c>
      <c r="E2583" s="1190">
        <v>7</v>
      </c>
      <c r="F2583" s="1191">
        <f>IF(Corrosion_Classification="R4",0,SUMIF('CSV FF'!E:E,"180UB16",'CSV FF'!C:C))</f>
        <v>0</v>
      </c>
      <c r="G2583" s="1192"/>
      <c r="H2583" s="1193" t="s">
        <v>919</v>
      </c>
      <c r="I2583" s="1207"/>
      <c r="J2583" s="1194" t="str">
        <f>IF(Table5[[#This Row],[Entered]]&lt;&gt;Table5[[#This Row],[Quantity]],"Check","")</f>
        <v/>
      </c>
    </row>
    <row r="2584" spans="1:10" ht="15" x14ac:dyDescent="0.2">
      <c r="A2584" s="1190" t="s">
        <v>1416</v>
      </c>
      <c r="B2584" s="1190" t="s">
        <v>398</v>
      </c>
      <c r="C2584" s="1190">
        <v>12027</v>
      </c>
      <c r="D2584" s="1190">
        <f>60</f>
        <v>60</v>
      </c>
      <c r="E2584" s="1190">
        <v>7</v>
      </c>
      <c r="F2584" s="1191">
        <f>IF(Corrosion_Classification="R4",0,SUMIF('CSV FF'!E:E,"200UB18",'CSV FF'!C:C))</f>
        <v>0</v>
      </c>
      <c r="G2584" s="1192"/>
      <c r="H2584" s="1193" t="s">
        <v>920</v>
      </c>
      <c r="I2584" s="1207"/>
      <c r="J2584" s="1194" t="str">
        <f>IF(Table5[[#This Row],[Entered]]&lt;&gt;Table5[[#This Row],[Quantity]],"Check","")</f>
        <v/>
      </c>
    </row>
    <row r="2585" spans="1:10" ht="15" x14ac:dyDescent="0.2">
      <c r="A2585" s="1190" t="s">
        <v>1416</v>
      </c>
      <c r="B2585" s="1190" t="s">
        <v>398</v>
      </c>
      <c r="C2585" s="1190">
        <v>12027</v>
      </c>
      <c r="D2585" s="1190">
        <f>80</f>
        <v>80</v>
      </c>
      <c r="E2585" s="1190">
        <v>7</v>
      </c>
      <c r="F2585" s="1191">
        <f>IF(Corrosion_Classification="R4",0,SUMIF('CSV FF'!E:E,"200UB22",'CSV FF'!C:C))</f>
        <v>0</v>
      </c>
      <c r="G2585" s="1192"/>
      <c r="H2585" s="1193" t="s">
        <v>1564</v>
      </c>
      <c r="I2585" s="1207"/>
      <c r="J2585" s="1194" t="str">
        <f>IF(Table5[[#This Row],[Entered]]&lt;&gt;Table5[[#This Row],[Quantity]],"Check","")</f>
        <v/>
      </c>
    </row>
    <row r="2586" spans="1:10" ht="15" x14ac:dyDescent="0.2">
      <c r="A2586" s="1190" t="s">
        <v>1416</v>
      </c>
      <c r="B2586" s="1190" t="s">
        <v>398</v>
      </c>
      <c r="C2586" s="1190">
        <v>12027</v>
      </c>
      <c r="D2586" s="1190">
        <f>100</f>
        <v>100</v>
      </c>
      <c r="E2586" s="1190">
        <v>7</v>
      </c>
      <c r="F2586" s="1191">
        <f>IF(Corrosion_Classification="R4",0,SUMIF('CSV FF'!E:E,"200UB25",'CSV FF'!C:C))</f>
        <v>0</v>
      </c>
      <c r="G2586" s="1192"/>
      <c r="H2586" s="1193" t="s">
        <v>921</v>
      </c>
      <c r="I2586" s="1207"/>
      <c r="J2586" s="1194" t="str">
        <f>IF(Table5[[#This Row],[Entered]]&lt;&gt;Table5[[#This Row],[Quantity]],"Check","")</f>
        <v/>
      </c>
    </row>
    <row r="2587" spans="1:10" ht="15" x14ac:dyDescent="0.2">
      <c r="A2587" s="1190" t="s">
        <v>1416</v>
      </c>
      <c r="B2587" s="1190" t="s">
        <v>398</v>
      </c>
      <c r="C2587" s="1190">
        <v>12027</v>
      </c>
      <c r="D2587" s="1190">
        <f>110</f>
        <v>110</v>
      </c>
      <c r="E2587" s="1190">
        <v>7</v>
      </c>
      <c r="F2587" s="1191">
        <f>IF(Corrosion_Classification="R4",0,SUMIF('CSV FF'!E:E,"250UB25",'CSV FF'!C:C))</f>
        <v>0</v>
      </c>
      <c r="G2587" s="1192"/>
      <c r="H2587" s="1193" t="s">
        <v>1530</v>
      </c>
      <c r="I2587" s="1207"/>
      <c r="J2587" s="1194" t="str">
        <f>IF(Table5[[#This Row],[Entered]]&lt;&gt;Table5[[#This Row],[Quantity]],"Check","")</f>
        <v/>
      </c>
    </row>
    <row r="2588" spans="1:10" ht="15" x14ac:dyDescent="0.2">
      <c r="A2588" s="1190" t="s">
        <v>1416</v>
      </c>
      <c r="B2588" s="1190" t="s">
        <v>398</v>
      </c>
      <c r="C2588" s="1190">
        <v>12027</v>
      </c>
      <c r="D2588" s="1190">
        <f>120</f>
        <v>120</v>
      </c>
      <c r="E2588" s="1190">
        <v>7</v>
      </c>
      <c r="F2588" s="1191">
        <f>IF(Corrosion_Classification="R4",0,SUMIF('CSV FF'!E:E,"250UB31",'CSV FF'!C:C))</f>
        <v>0</v>
      </c>
      <c r="G2588" s="1192"/>
      <c r="H2588" s="1193" t="s">
        <v>922</v>
      </c>
      <c r="I2588" s="1207"/>
      <c r="J2588" s="1194" t="str">
        <f>IF(Table5[[#This Row],[Entered]]&lt;&gt;Table5[[#This Row],[Quantity]],"Check","")</f>
        <v/>
      </c>
    </row>
    <row r="2589" spans="1:10" ht="15" x14ac:dyDescent="0.2">
      <c r="A2589" s="1190" t="s">
        <v>1416</v>
      </c>
      <c r="B2589" s="1190" t="s">
        <v>398</v>
      </c>
      <c r="C2589" s="1190">
        <v>12027</v>
      </c>
      <c r="D2589" s="1190">
        <v>125</v>
      </c>
      <c r="E2589" s="1190">
        <v>7</v>
      </c>
      <c r="F2589" s="1191">
        <f>IF(Corrosion_Classification="R4",0,SUMIF('CSV FF'!E:E,"250UB37",'CSV FF'!C:C))</f>
        <v>0</v>
      </c>
      <c r="G2589" s="1192"/>
      <c r="H2589" s="1193" t="s">
        <v>1608</v>
      </c>
      <c r="I2589" s="1207"/>
      <c r="J2589" s="1194" t="str">
        <f>IF(Table5[[#This Row],[Entered]]&lt;&gt;Table5[[#This Row],[Quantity]],"Check","")</f>
        <v/>
      </c>
    </row>
    <row r="2590" spans="1:10" ht="15" x14ac:dyDescent="0.2">
      <c r="A2590" s="1190" t="s">
        <v>1416</v>
      </c>
      <c r="B2590" s="1190" t="s">
        <v>398</v>
      </c>
      <c r="C2590" s="1190">
        <v>12027</v>
      </c>
      <c r="D2590" s="1190">
        <f>140</f>
        <v>140</v>
      </c>
      <c r="E2590" s="1190">
        <v>7</v>
      </c>
      <c r="F2590" s="1191">
        <f>IF(Corrosion_Classification="R4",0,SUMIF('CSV FF'!E:E,"310UB40",'CSV FF'!C:C))</f>
        <v>0</v>
      </c>
      <c r="G2590" s="1192"/>
      <c r="H2590" s="1193" t="s">
        <v>952</v>
      </c>
      <c r="I2590" s="1207"/>
      <c r="J2590" s="1194" t="str">
        <f>IF(Table5[[#This Row],[Entered]]&lt;&gt;Table5[[#This Row],[Quantity]],"Check","")</f>
        <v/>
      </c>
    </row>
    <row r="2591" spans="1:10" ht="15" x14ac:dyDescent="0.2">
      <c r="A2591" s="1190" t="s">
        <v>1416</v>
      </c>
      <c r="B2591" s="1190" t="s">
        <v>398</v>
      </c>
      <c r="C2591" s="1190">
        <v>12027</v>
      </c>
      <c r="D2591" s="1190">
        <f>150</f>
        <v>150</v>
      </c>
      <c r="E2591" s="1190">
        <v>7</v>
      </c>
      <c r="F2591" s="1191">
        <f>IF(Corrosion_Classification="R4",SUMIF('CSV FF'!E:E,"150UB14",'CSV FF'!C:C),0)</f>
        <v>0</v>
      </c>
      <c r="G2591" s="1192"/>
      <c r="H2591" s="1193" t="s">
        <v>953</v>
      </c>
      <c r="I2591" s="1207"/>
      <c r="J2591" s="1194" t="str">
        <f>IF(Table5[[#This Row],[Entered]]&lt;&gt;Table5[[#This Row],[Quantity]],"Check","")</f>
        <v/>
      </c>
    </row>
    <row r="2592" spans="1:10" ht="15" x14ac:dyDescent="0.2">
      <c r="A2592" s="1190" t="s">
        <v>1416</v>
      </c>
      <c r="B2592" s="1190" t="s">
        <v>398</v>
      </c>
      <c r="C2592" s="1190">
        <v>12027</v>
      </c>
      <c r="D2592" s="1190">
        <f>155</f>
        <v>155</v>
      </c>
      <c r="E2592" s="1190">
        <v>7</v>
      </c>
      <c r="F2592" s="1191">
        <f>IF(Corrosion_Classification="R4",SUMIF('CSV FF'!E:E,"180UB16",'CSV FF'!C:C),0)</f>
        <v>0</v>
      </c>
      <c r="G2592" s="1192"/>
      <c r="H2592" s="1193" t="s">
        <v>954</v>
      </c>
      <c r="I2592" s="1207"/>
      <c r="J2592" s="1194" t="str">
        <f>IF(Table5[[#This Row],[Entered]]&lt;&gt;Table5[[#This Row],[Quantity]],"Check","")</f>
        <v/>
      </c>
    </row>
    <row r="2593" spans="1:10" ht="15" x14ac:dyDescent="0.2">
      <c r="A2593" s="1190" t="s">
        <v>1416</v>
      </c>
      <c r="B2593" s="1190" t="s">
        <v>398</v>
      </c>
      <c r="C2593" s="1190">
        <v>12027</v>
      </c>
      <c r="D2593" s="1190">
        <f>170</f>
        <v>170</v>
      </c>
      <c r="E2593" s="1190">
        <v>7</v>
      </c>
      <c r="F2593" s="1191">
        <f>IF(Corrosion_Classification="R4",SUMIF('CSV FF'!E:E,"200UB18",'CSV FF'!C:C),0)</f>
        <v>0</v>
      </c>
      <c r="G2593" s="1192"/>
      <c r="H2593" s="1193" t="s">
        <v>955</v>
      </c>
      <c r="I2593" s="1207"/>
      <c r="J2593" s="1194" t="str">
        <f>IF(Table5[[#This Row],[Entered]]&lt;&gt;Table5[[#This Row],[Quantity]],"Check","")</f>
        <v/>
      </c>
    </row>
    <row r="2594" spans="1:10" ht="15" x14ac:dyDescent="0.2">
      <c r="A2594" s="1190" t="s">
        <v>1416</v>
      </c>
      <c r="B2594" s="1190" t="s">
        <v>398</v>
      </c>
      <c r="C2594" s="1190">
        <v>12027</v>
      </c>
      <c r="D2594" s="1190">
        <f>175</f>
        <v>175</v>
      </c>
      <c r="E2594" s="1190">
        <v>7</v>
      </c>
      <c r="F2594" s="1191">
        <f>IF(Corrosion_Classification="R4",SUMIF('CSV FF'!E:E,"200UB22",'CSV FF'!C:C),0)</f>
        <v>0</v>
      </c>
      <c r="G2594" s="1192"/>
      <c r="H2594" s="1193" t="s">
        <v>1565</v>
      </c>
      <c r="I2594" s="1207"/>
      <c r="J2594" s="1194" t="str">
        <f>IF(Table5[[#This Row],[Entered]]&lt;&gt;Table5[[#This Row],[Quantity]],"Check","")</f>
        <v/>
      </c>
    </row>
    <row r="2595" spans="1:10" ht="15" x14ac:dyDescent="0.2">
      <c r="A2595" s="1190" t="s">
        <v>1416</v>
      </c>
      <c r="B2595" s="1190" t="s">
        <v>398</v>
      </c>
      <c r="C2595" s="1190">
        <v>12027</v>
      </c>
      <c r="D2595" s="1190">
        <f>180</f>
        <v>180</v>
      </c>
      <c r="E2595" s="1190">
        <v>7</v>
      </c>
      <c r="F2595" s="1191">
        <f>IF(Corrosion_Classification="R4",SUMIF('CSV FF'!E:E,"200UB25",'CSV FF'!C:C),0)</f>
        <v>0</v>
      </c>
      <c r="G2595" s="1192"/>
      <c r="H2595" s="1193" t="s">
        <v>956</v>
      </c>
      <c r="I2595" s="1207"/>
      <c r="J2595" s="1194" t="str">
        <f>IF(Table5[[#This Row],[Entered]]&lt;&gt;Table5[[#This Row],[Quantity]],"Check","")</f>
        <v/>
      </c>
    </row>
    <row r="2596" spans="1:10" ht="15" x14ac:dyDescent="0.2">
      <c r="A2596" s="1190" t="s">
        <v>1416</v>
      </c>
      <c r="B2596" s="1190" t="s">
        <v>398</v>
      </c>
      <c r="C2596" s="1190">
        <v>12027</v>
      </c>
      <c r="D2596" s="1190">
        <f>185</f>
        <v>185</v>
      </c>
      <c r="E2596" s="1190">
        <v>7</v>
      </c>
      <c r="F2596" s="1191">
        <f>IF(Corrosion_Classification="R4",SUMIF('CSV FF'!E:E,"250UB25",'CSV FF'!C:C),0)</f>
        <v>0</v>
      </c>
      <c r="G2596" s="1192"/>
      <c r="H2596" s="1193" t="s">
        <v>1571</v>
      </c>
      <c r="I2596" s="1207"/>
      <c r="J2596" s="1194" t="str">
        <f>IF(Table5[[#This Row],[Entered]]&lt;&gt;Table5[[#This Row],[Quantity]],"Check","")</f>
        <v/>
      </c>
    </row>
    <row r="2597" spans="1:10" ht="15" x14ac:dyDescent="0.2">
      <c r="A2597" s="1190" t="s">
        <v>1416</v>
      </c>
      <c r="B2597" s="1190" t="s">
        <v>398</v>
      </c>
      <c r="C2597" s="1190">
        <v>12027</v>
      </c>
      <c r="D2597" s="1190">
        <f>190</f>
        <v>190</v>
      </c>
      <c r="E2597" s="1190">
        <v>7</v>
      </c>
      <c r="F2597" s="1191">
        <f>IF(Corrosion_Classification="R4",SUMIF('CSV FF'!E:E,"250UB31",'CSV FF'!C:C),0)</f>
        <v>0</v>
      </c>
      <c r="G2597" s="1192"/>
      <c r="H2597" s="1193" t="s">
        <v>957</v>
      </c>
      <c r="I2597" s="1207"/>
      <c r="J2597" s="1194" t="str">
        <f>IF(Table5[[#This Row],[Entered]]&lt;&gt;Table5[[#This Row],[Quantity]],"Check","")</f>
        <v/>
      </c>
    </row>
    <row r="2598" spans="1:10" ht="15" x14ac:dyDescent="0.2">
      <c r="A2598" s="1190" t="s">
        <v>1416</v>
      </c>
      <c r="B2598" s="1190" t="s">
        <v>398</v>
      </c>
      <c r="C2598" s="1190">
        <v>12027</v>
      </c>
      <c r="D2598" s="1190">
        <f>190</f>
        <v>190</v>
      </c>
      <c r="E2598" s="1190">
        <v>7</v>
      </c>
      <c r="F2598" s="1191">
        <f>IF(Corrosion_Classification="R4",SUMIF('CSV FF'!E:E,"250UB37",'CSV FF'!C:C),0)</f>
        <v>0</v>
      </c>
      <c r="G2598" s="1192"/>
      <c r="H2598" s="1193" t="s">
        <v>1615</v>
      </c>
      <c r="I2598" s="1207"/>
      <c r="J2598" s="1194" t="str">
        <f>IF(Table5[[#This Row],[Entered]]&lt;&gt;Table5[[#This Row],[Quantity]],"Check","")</f>
        <v/>
      </c>
    </row>
    <row r="2599" spans="1:10" ht="15" x14ac:dyDescent="0.2">
      <c r="A2599" s="1190" t="s">
        <v>1416</v>
      </c>
      <c r="B2599" s="1190" t="s">
        <v>398</v>
      </c>
      <c r="C2599" s="1190">
        <v>12027</v>
      </c>
      <c r="D2599" s="1190">
        <f>200</f>
        <v>200</v>
      </c>
      <c r="E2599" s="1190">
        <v>7</v>
      </c>
      <c r="F2599" s="1191">
        <f>IF(Corrosion_Classification="R4",SUMIF('CSV FF'!E:E,"310UB40",'CSV FF'!C:C),0)</f>
        <v>0</v>
      </c>
      <c r="G2599" s="1192"/>
      <c r="H2599" s="1193" t="s">
        <v>958</v>
      </c>
      <c r="I2599" s="1207"/>
      <c r="J2599" s="1194" t="str">
        <f>IF(Table5[[#This Row],[Entered]]&lt;&gt;Table5[[#This Row],[Quantity]],"Check","")</f>
        <v/>
      </c>
    </row>
    <row r="2600" spans="1:10" ht="15" x14ac:dyDescent="0.2">
      <c r="A2600" s="1190" t="s">
        <v>1416</v>
      </c>
      <c r="B2600" s="1190" t="s">
        <v>398</v>
      </c>
      <c r="C2600" s="1190">
        <v>12027</v>
      </c>
      <c r="D2600" s="1190">
        <v>470</v>
      </c>
      <c r="E2600" s="1190">
        <v>1</v>
      </c>
      <c r="F2600" s="1191">
        <f>COUNTIFS('Steel Beams and Columns'!$E$19:$E$30,"*Duragal*",'Steel Beams and Columns'!$D$19:$D$30,"&lt;=2.616",'Steel Beams and Columns'!$F$19:$F$30,"First")</f>
        <v>0</v>
      </c>
      <c r="G2600" s="1192"/>
      <c r="H2600" s="1193" t="s">
        <v>1854</v>
      </c>
      <c r="I2600" s="1207"/>
      <c r="J2600" s="1194" t="str">
        <f>IF(Table5[[#This Row],[Entered]]&lt;&gt;Table5[[#This Row],[Quantity]],"Check","")</f>
        <v/>
      </c>
    </row>
    <row r="2601" spans="1:10" ht="15" x14ac:dyDescent="0.2">
      <c r="A2601" s="1190" t="s">
        <v>1416</v>
      </c>
      <c r="B2601" s="1190" t="s">
        <v>398</v>
      </c>
      <c r="C2601" s="1190">
        <v>12027</v>
      </c>
      <c r="D2601" s="1190">
        <f>480</f>
        <v>480</v>
      </c>
      <c r="E2601" s="1190">
        <v>7</v>
      </c>
      <c r="F2601" s="1191">
        <f>SUMIFS('CSV FF'!C:C,'CSV FF'!A:A,"Duragal Beam",'CSV FF'!E:E,"150*50*5")</f>
        <v>0</v>
      </c>
      <c r="G2601" s="1192"/>
      <c r="H2601" s="1193" t="s">
        <v>1853</v>
      </c>
      <c r="I2601" s="1207"/>
      <c r="J2601" s="1194" t="str">
        <f>IF(Table5[[#This Row],[Entered]]&lt;&gt;Table5[[#This Row],[Quantity]],"Check","")</f>
        <v/>
      </c>
    </row>
    <row r="2602" spans="1:10" ht="15" x14ac:dyDescent="0.2">
      <c r="A2602" s="1190" t="s">
        <v>1416</v>
      </c>
      <c r="B2602" s="1190" t="s">
        <v>398</v>
      </c>
      <c r="C2602" s="1190">
        <v>12027</v>
      </c>
      <c r="D2602" s="1190">
        <f>506</f>
        <v>506</v>
      </c>
      <c r="E2602" s="1190">
        <v>1</v>
      </c>
      <c r="F2602" s="1191">
        <f>COUNTIFS('CSV FF'!B:B,"T1",'CSV FF'!$E:$E,"*UB*")</f>
        <v>0</v>
      </c>
      <c r="G2602" s="1192"/>
      <c r="H2602" s="1193" t="s">
        <v>923</v>
      </c>
      <c r="I2602" s="1207"/>
      <c r="J2602" s="1194" t="str">
        <f>IF(Table5[[#This Row],[Entered]]&lt;&gt;Table5[[#This Row],[Quantity]],"Check","")</f>
        <v/>
      </c>
    </row>
    <row r="2603" spans="1:10" ht="15" x14ac:dyDescent="0.2">
      <c r="A2603" s="1190" t="s">
        <v>1416</v>
      </c>
      <c r="B2603" s="1190" t="s">
        <v>398</v>
      </c>
      <c r="C2603" s="1190">
        <v>12027</v>
      </c>
      <c r="D2603" s="1190">
        <f>507</f>
        <v>507</v>
      </c>
      <c r="E2603" s="1190">
        <v>1</v>
      </c>
      <c r="F2603" s="1191">
        <f>COUNTIFS('CSV FF'!B:B,"T2",'CSV FF'!$E:$E,"*UB*")</f>
        <v>0</v>
      </c>
      <c r="G2603" s="1192"/>
      <c r="H2603" s="1193" t="s">
        <v>924</v>
      </c>
      <c r="I2603" s="1207"/>
      <c r="J2603" s="1194" t="str">
        <f>IF(Table5[[#This Row],[Entered]]&lt;&gt;Table5[[#This Row],[Quantity]],"Check","")</f>
        <v/>
      </c>
    </row>
    <row r="2604" spans="1:10" ht="15" x14ac:dyDescent="0.2">
      <c r="A2604" s="1190" t="s">
        <v>1416</v>
      </c>
      <c r="B2604" s="1190" t="s">
        <v>398</v>
      </c>
      <c r="C2604" s="1190">
        <v>12027</v>
      </c>
      <c r="D2604" s="1190">
        <f>508</f>
        <v>508</v>
      </c>
      <c r="E2604" s="1190">
        <v>1</v>
      </c>
      <c r="F2604" s="1191">
        <f>COUNTIFS('CSV FF'!B:B,"T3",'CSV FF'!$E:$E,"*UB*")</f>
        <v>0</v>
      </c>
      <c r="G2604" s="1192"/>
      <c r="H2604" s="1193" t="s">
        <v>925</v>
      </c>
      <c r="I2604" s="1207"/>
      <c r="J2604" s="1194" t="str">
        <f>IF(Table5[[#This Row],[Entered]]&lt;&gt;Table5[[#This Row],[Quantity]],"Check","")</f>
        <v/>
      </c>
    </row>
    <row r="2605" spans="1:10" ht="15" x14ac:dyDescent="0.2">
      <c r="A2605" s="1190" t="s">
        <v>1416</v>
      </c>
      <c r="B2605" s="1190" t="s">
        <v>398</v>
      </c>
      <c r="C2605" s="1190">
        <v>12027</v>
      </c>
      <c r="D2605" s="1190">
        <f>509</f>
        <v>509</v>
      </c>
      <c r="E2605" s="1190">
        <v>1</v>
      </c>
      <c r="F2605" s="1191">
        <f>COUNTIFS('CSV FF'!B:B,"T4",'CSV FF'!$E:$E,"*UB*")</f>
        <v>0</v>
      </c>
      <c r="G2605" s="1192"/>
      <c r="H2605" s="1193" t="s">
        <v>926</v>
      </c>
      <c r="I2605" s="1207"/>
      <c r="J2605" s="1194" t="str">
        <f>IF(Table5[[#This Row],[Entered]]&lt;&gt;Table5[[#This Row],[Quantity]],"Check","")</f>
        <v/>
      </c>
    </row>
    <row r="2606" spans="1:10" ht="15" x14ac:dyDescent="0.2">
      <c r="A2606" s="1190" t="s">
        <v>1416</v>
      </c>
      <c r="B2606" s="1190" t="s">
        <v>398</v>
      </c>
      <c r="C2606" s="1190">
        <v>12027</v>
      </c>
      <c r="D2606" s="1190">
        <f>510</f>
        <v>510</v>
      </c>
      <c r="E2606" s="1190">
        <v>1</v>
      </c>
      <c r="F2606" s="1191">
        <f>COUNTIFS('CSV FF'!B:B,"T5",'CSV FF'!$E:$E,"*UB*")</f>
        <v>0</v>
      </c>
      <c r="G2606" s="1192"/>
      <c r="H2606" s="1193" t="s">
        <v>927</v>
      </c>
      <c r="I2606" s="1207"/>
      <c r="J2606" s="1194" t="str">
        <f>IF(Table5[[#This Row],[Entered]]&lt;&gt;Table5[[#This Row],[Quantity]],"Check","")</f>
        <v/>
      </c>
    </row>
    <row r="2607" spans="1:10" ht="15" x14ac:dyDescent="0.2">
      <c r="A2607" s="1190" t="s">
        <v>1416</v>
      </c>
      <c r="B2607" s="1190" t="s">
        <v>398</v>
      </c>
      <c r="C2607" s="1190">
        <v>12027</v>
      </c>
      <c r="D2607" s="1190">
        <f>511</f>
        <v>511</v>
      </c>
      <c r="E2607" s="1190">
        <v>1</v>
      </c>
      <c r="F2607" s="1191">
        <f>COUNTIFS('CSV FF'!B:B,"T6",'CSV FF'!$E:$E,"*UB*")</f>
        <v>0</v>
      </c>
      <c r="G2607" s="1192"/>
      <c r="H2607" s="1193" t="s">
        <v>928</v>
      </c>
      <c r="I2607" s="1207"/>
      <c r="J2607" s="1194" t="str">
        <f>IF(Table5[[#This Row],[Entered]]&lt;&gt;Table5[[#This Row],[Quantity]],"Check","")</f>
        <v/>
      </c>
    </row>
    <row r="2608" spans="1:10" ht="15" x14ac:dyDescent="0.2">
      <c r="A2608" s="1190" t="s">
        <v>1416</v>
      </c>
      <c r="B2608" s="1190" t="s">
        <v>398</v>
      </c>
      <c r="C2608" s="1190">
        <v>12027</v>
      </c>
      <c r="D2608" s="1190">
        <f>512</f>
        <v>512</v>
      </c>
      <c r="E2608" s="1190">
        <v>1</v>
      </c>
      <c r="F2608" s="1191">
        <f>COUNTIFS('CSV FF'!B:B,"T7",'CSV FF'!$E:$E,"*UB*")</f>
        <v>0</v>
      </c>
      <c r="G2608" s="1192"/>
      <c r="H2608" s="1193" t="s">
        <v>929</v>
      </c>
      <c r="I2608" s="1207"/>
      <c r="J2608" s="1194" t="str">
        <f>IF(Table5[[#This Row],[Entered]]&lt;&gt;Table5[[#This Row],[Quantity]],"Check","")</f>
        <v/>
      </c>
    </row>
    <row r="2609" spans="1:10" ht="15" x14ac:dyDescent="0.2">
      <c r="A2609" s="1190" t="s">
        <v>1416</v>
      </c>
      <c r="B2609" s="1190" t="s">
        <v>398</v>
      </c>
      <c r="C2609" s="1190">
        <v>12027</v>
      </c>
      <c r="D2609" s="1190">
        <f>513</f>
        <v>513</v>
      </c>
      <c r="E2609" s="1190">
        <v>1</v>
      </c>
      <c r="F2609" s="1191">
        <f>COUNTIFS('CSV FF'!B:B,"T8",'CSV FF'!$E:$E,"*UB*")</f>
        <v>0</v>
      </c>
      <c r="G2609" s="1192"/>
      <c r="H2609" s="1193" t="s">
        <v>930</v>
      </c>
      <c r="I2609" s="1207"/>
      <c r="J2609" s="1194" t="str">
        <f>IF(Table5[[#This Row],[Entered]]&lt;&gt;Table5[[#This Row],[Quantity]],"Check","")</f>
        <v/>
      </c>
    </row>
    <row r="2610" spans="1:10" ht="15" x14ac:dyDescent="0.2">
      <c r="A2610" s="1190" t="s">
        <v>1416</v>
      </c>
      <c r="B2610" s="1190" t="s">
        <v>398</v>
      </c>
      <c r="C2610" s="1190">
        <v>12027</v>
      </c>
      <c r="D2610" s="1190">
        <v>1000</v>
      </c>
      <c r="E2610" s="1190">
        <v>1</v>
      </c>
      <c r="F2610" s="1191">
        <f>IF(COUNTIFS('CSV FF'!A:A,"Steel Beam",'CSV FF'!C:C,"&gt;8")&gt;0,1,0)</f>
        <v>0</v>
      </c>
      <c r="G2610" s="1192"/>
      <c r="H2610" s="1193" t="s">
        <v>1855</v>
      </c>
      <c r="I2610" s="1207"/>
      <c r="J2610" s="1194" t="str">
        <f>IF(Table5[[#This Row],[Entered]]&lt;&gt;Table5[[#This Row],[Quantity]],"Check","")</f>
        <v/>
      </c>
    </row>
    <row r="2611" spans="1:10" ht="15" x14ac:dyDescent="0.2">
      <c r="A2611" s="1190" t="s">
        <v>1416</v>
      </c>
      <c r="B2611" s="1190" t="s">
        <v>398</v>
      </c>
      <c r="C2611" s="1190">
        <v>12027</v>
      </c>
      <c r="D2611" s="1190">
        <v>9000</v>
      </c>
      <c r="E2611" s="1190">
        <v>1</v>
      </c>
      <c r="F2611" s="1191">
        <f>IF(F2610=0,IF(SUM(F2582:F2609)&gt;0,1,0),0)</f>
        <v>0</v>
      </c>
      <c r="G2611" s="1192"/>
      <c r="H2611" s="1193" t="s">
        <v>903</v>
      </c>
      <c r="I2611" s="1207"/>
      <c r="J2611" s="1194" t="str">
        <f>IF(Table5[[#This Row],[Entered]]&lt;&gt;Table5[[#This Row],[Quantity]],"Check","")</f>
        <v/>
      </c>
    </row>
    <row r="2612" spans="1:10" ht="15" x14ac:dyDescent="0.2">
      <c r="A2612" s="1190" t="s">
        <v>1416</v>
      </c>
      <c r="B2612" s="1190" t="s">
        <v>398</v>
      </c>
      <c r="C2612" s="1190" t="s">
        <v>1848</v>
      </c>
      <c r="D2612" s="1190">
        <v>10</v>
      </c>
      <c r="E2612" s="1190">
        <v>7</v>
      </c>
      <c r="F2612" s="1191">
        <f>SUMIF('CSV FF'!E:E,"DB245",'CSV FF'!C:C)</f>
        <v>0</v>
      </c>
      <c r="G2612" s="1192"/>
      <c r="H2612" s="1193" t="s">
        <v>1726</v>
      </c>
      <c r="I2612" s="1207"/>
      <c r="J2612" s="1194" t="str">
        <f>IF(Table5[[#This Row],[Entered]]&lt;&gt;Table5[[#This Row],[Quantity]],"Check","")</f>
        <v/>
      </c>
    </row>
    <row r="2613" spans="1:10" ht="15" x14ac:dyDescent="0.2">
      <c r="A2613" s="1190" t="s">
        <v>1416</v>
      </c>
      <c r="B2613" s="1190" t="s">
        <v>398</v>
      </c>
      <c r="C2613" s="1190" t="s">
        <v>1848</v>
      </c>
      <c r="D2613" s="1190">
        <v>15</v>
      </c>
      <c r="E2613" s="1190">
        <v>7</v>
      </c>
      <c r="F2613" s="1191">
        <f>SUMIF('CSV FF'!E:E,"DB295",'CSV FF'!C:C)</f>
        <v>0</v>
      </c>
      <c r="G2613" s="1192"/>
      <c r="H2613" s="1193" t="s">
        <v>1727</v>
      </c>
      <c r="I2613" s="1207"/>
      <c r="J2613" s="1194" t="str">
        <f>IF(Table5[[#This Row],[Entered]]&lt;&gt;Table5[[#This Row],[Quantity]],"Check","")</f>
        <v/>
      </c>
    </row>
    <row r="2614" spans="1:10" ht="15" x14ac:dyDescent="0.2">
      <c r="A2614" s="1190" t="s">
        <v>1416</v>
      </c>
      <c r="B2614" s="1190" t="s">
        <v>398</v>
      </c>
      <c r="C2614" s="1190" t="s">
        <v>1848</v>
      </c>
      <c r="D2614" s="1190">
        <v>20</v>
      </c>
      <c r="E2614" s="1190">
        <v>7</v>
      </c>
      <c r="F2614" s="1191">
        <f>SUMIF('CSV FF'!E:E,"DB345",'CSV FF'!C:C)</f>
        <v>0</v>
      </c>
      <c r="G2614" s="1192"/>
      <c r="H2614" s="1193" t="s">
        <v>1728</v>
      </c>
      <c r="I2614" s="1207"/>
      <c r="J2614" s="1194" t="str">
        <f>IF(Table5[[#This Row],[Entered]]&lt;&gt;Table5[[#This Row],[Quantity]],"Check","")</f>
        <v/>
      </c>
    </row>
    <row r="2615" spans="1:10" ht="15" x14ac:dyDescent="0.2">
      <c r="A2615" s="1190" t="s">
        <v>1416</v>
      </c>
      <c r="B2615" s="1190" t="s">
        <v>398</v>
      </c>
      <c r="C2615" s="1190" t="s">
        <v>1848</v>
      </c>
      <c r="D2615" s="1190">
        <v>25</v>
      </c>
      <c r="E2615" s="1190">
        <v>7</v>
      </c>
      <c r="F2615" s="1191">
        <f>SUMIF('CSV FF'!E:E,"DB383",'CSV FF'!C:C)</f>
        <v>0</v>
      </c>
      <c r="G2615" s="1192"/>
      <c r="H2615" s="1193" t="s">
        <v>1729</v>
      </c>
      <c r="I2615" s="1207"/>
      <c r="J2615" s="1194" t="str">
        <f>IF(Table5[[#This Row],[Entered]]&lt;&gt;Table5[[#This Row],[Quantity]],"Check","")</f>
        <v/>
      </c>
    </row>
    <row r="2616" spans="1:10" ht="15" x14ac:dyDescent="0.2">
      <c r="A2616" s="1190" t="s">
        <v>1416</v>
      </c>
      <c r="B2616" s="1190" t="s">
        <v>398</v>
      </c>
      <c r="C2616" s="1190" t="s">
        <v>1848</v>
      </c>
      <c r="D2616" s="1190">
        <v>30</v>
      </c>
      <c r="E2616" s="1190">
        <v>7</v>
      </c>
      <c r="F2616" s="1191">
        <f>SUMIF('CSV FF'!E:E,"DB435",'CSV FF'!C:C)</f>
        <v>0</v>
      </c>
      <c r="G2616" s="1192"/>
      <c r="H2616" s="1193" t="s">
        <v>1730</v>
      </c>
      <c r="I2616" s="1207"/>
      <c r="J2616" s="1194" t="str">
        <f>IF(Table5[[#This Row],[Entered]]&lt;&gt;Table5[[#This Row],[Quantity]],"Check","")</f>
        <v/>
      </c>
    </row>
    <row r="2617" spans="1:10" ht="15" x14ac:dyDescent="0.2">
      <c r="A2617" s="1190" t="s">
        <v>1416</v>
      </c>
      <c r="B2617" s="1190" t="s">
        <v>398</v>
      </c>
      <c r="C2617" s="1190" t="s">
        <v>1848</v>
      </c>
      <c r="D2617" s="1190">
        <v>100</v>
      </c>
      <c r="E2617" s="1190">
        <v>1</v>
      </c>
      <c r="F2617" s="1191">
        <f>(COUNTIFS('CSV FF'!$B:$B,"T1",'CSV FF'!$E:$E,"*DB*")*2)+(COUNTIFS('CSV FF'!$B:$B,"T2",'CSV FF'!$E:$E,"*DB*"))+(COUNTIFS('CSV FF'!$B:$B,"T3",'CSV FF'!$E:$E,"*DB*")*2)+(COUNTIFS('CSV FF'!$B:$B,"T4",'CSV FF'!$E:$E,"*DB*"))+(COUNTIFS('CSV FF'!$B:$B,"T6",'CSV FF'!$E:$E,"*DB*"))+(COUNTIFS('CSV FF'!$B:$B,"T7",'CSV FF'!$E:$E,"*DB*"))+(COUNTIFS('CSV FF'!$B:$B,"T8",'CSV FF'!$E:$E,"*DB*")*2)+(COUNTIFS('CSV FF'!$B:$B,"T1",'CSV FF'!$E:$E,"*UB*")*2)+(COUNTIFS('CSV FF'!$B:$B,"T2",'CSV FF'!$E:$E,"*UB*"))+(COUNTIFS('CSV FF'!$B:$B,"T3",'CSV FF'!$E:$E,"*UB*")*2)+(COUNTIFS('CSV FF'!$B:$B,"T4",'CSV FF'!$E:$E,"*UB*"))+(COUNTIFS('CSV FF'!$B:$B,"T6",'CSV FF'!$E:$E,"*UB*"))+(COUNTIFS('CSV FF'!$B:$B,"T7",'CSV FF'!$E:$E,"*UB*"))+(COUNTIFS('CSV FF'!$B:$B,"T8",'CSV FF'!$E:$E,"*UB*")*2)</f>
        <v>0</v>
      </c>
      <c r="G2617" s="1192"/>
      <c r="H2617" s="1193" t="s">
        <v>1724</v>
      </c>
      <c r="I2617" s="1207"/>
      <c r="J2617" s="1194" t="str">
        <f>IF(Table5[[#This Row],[Entered]]&lt;&gt;Table5[[#This Row],[Quantity]],"Check","")</f>
        <v/>
      </c>
    </row>
    <row r="2618" spans="1:10" ht="15" x14ac:dyDescent="0.2">
      <c r="A2618" s="1190" t="s">
        <v>1416</v>
      </c>
      <c r="B2618" s="1190" t="s">
        <v>398</v>
      </c>
      <c r="C2618" s="1190" t="s">
        <v>1848</v>
      </c>
      <c r="D2618" s="1190">
        <v>105</v>
      </c>
      <c r="E2618" s="1190">
        <v>1</v>
      </c>
      <c r="F2618" s="1191">
        <f>COUNTIFS('CSV FF'!$B:$B,"T6",'CSV FF'!$E:$E,"*DB*")+COUNTIFS('CSV FF'!$B:$B,"T7",'CSV FF'!$E:$E,"*DB*")+(COUNTIFS('CSV FF'!$B:$B,"T8",'CSV FF'!$E:$E,"*DB*")*2)+COUNTIFS('CSV FF'!$B:$B,"T6",'CSV FF'!$E:$E,"*UB*")+COUNTIFS('CSV FF'!$B:$B,"T7",'CSV FF'!$E:$E,"*UB*")+(COUNTIFS('CSV FF'!$B:$B,"T8",'CSV FF'!$E:$E,"*UB*")*2)</f>
        <v>0</v>
      </c>
      <c r="G2618" s="1192"/>
      <c r="H2618" s="1193" t="s">
        <v>1725</v>
      </c>
      <c r="I2618" s="1207"/>
      <c r="J2618" s="1194" t="str">
        <f>IF(Table5[[#This Row],[Entered]]&lt;&gt;Table5[[#This Row],[Quantity]],"Check","")</f>
        <v/>
      </c>
    </row>
    <row r="2619" spans="1:10" ht="15" x14ac:dyDescent="0.2">
      <c r="A2619" s="1190" t="s">
        <v>1416</v>
      </c>
      <c r="B2619" s="1190" t="s">
        <v>398</v>
      </c>
      <c r="C2619" s="1190" t="s">
        <v>1848</v>
      </c>
      <c r="D2619" s="1190">
        <v>119</v>
      </c>
      <c r="E2619" s="1190">
        <v>1</v>
      </c>
      <c r="F2619" s="1191">
        <f>COUNTIF('CSV FF'!A:A,"CB Tie Down")</f>
        <v>0</v>
      </c>
      <c r="G2619" s="1192"/>
      <c r="H2619" s="1193" t="s">
        <v>1849</v>
      </c>
      <c r="I2619" s="1207"/>
      <c r="J2619" s="1194" t="str">
        <f>IF(Table5[[#This Row],[Entered]]&lt;&gt;Table5[[#This Row],[Quantity]],"Check","")</f>
        <v/>
      </c>
    </row>
    <row r="2620" spans="1:10" ht="15" x14ac:dyDescent="0.2">
      <c r="A2620" s="1190" t="s">
        <v>1416</v>
      </c>
      <c r="B2620" s="1190" t="s">
        <v>398</v>
      </c>
      <c r="C2620" s="1190" t="s">
        <v>1848</v>
      </c>
      <c r="D2620" s="1190">
        <v>120</v>
      </c>
      <c r="E2620" s="1190">
        <v>1</v>
      </c>
      <c r="F2620" s="1191">
        <f>IF(SUM(F2612:F2616)+SUM(F2621:F2622)&gt;0,1,0)</f>
        <v>0</v>
      </c>
      <c r="G2620" s="1192"/>
      <c r="H2620" s="1193" t="s">
        <v>1850</v>
      </c>
      <c r="I2620" s="1207"/>
      <c r="J2620" s="1194" t="str">
        <f>IF(Table5[[#This Row],[Entered]]&lt;&gt;Table5[[#This Row],[Quantity]],"Check","")</f>
        <v/>
      </c>
    </row>
    <row r="2621" spans="1:10" ht="15" x14ac:dyDescent="0.2">
      <c r="A2621" s="1190" t="s">
        <v>1416</v>
      </c>
      <c r="B2621" s="1190" t="s">
        <v>398</v>
      </c>
      <c r="C2621" s="1190" t="s">
        <v>1848</v>
      </c>
      <c r="D2621" s="1190">
        <v>110</v>
      </c>
      <c r="E2621" s="1190">
        <v>1</v>
      </c>
      <c r="F2621" s="1191">
        <f>ROUND(COUNTIF('CSV FF'!A:A,"CB Beam 260 Brackt")*2+(COUNTIF('CSV FF'!A:A,"CB Hanger 260 Brackt")),0)</f>
        <v>0</v>
      </c>
      <c r="G2621" s="1192"/>
      <c r="H2621" s="1193" t="s">
        <v>1851</v>
      </c>
      <c r="I2621" s="1207"/>
      <c r="J2621" s="1194" t="str">
        <f>IF(Table5[[#This Row],[Entered]]&lt;&gt;Table5[[#This Row],[Quantity]],"Check","")</f>
        <v/>
      </c>
    </row>
    <row r="2622" spans="1:10" ht="15" x14ac:dyDescent="0.2">
      <c r="A2622" s="1190" t="s">
        <v>1416</v>
      </c>
      <c r="B2622" s="1190" t="s">
        <v>398</v>
      </c>
      <c r="C2622" s="1190" t="s">
        <v>1848</v>
      </c>
      <c r="D2622" s="1190">
        <v>113</v>
      </c>
      <c r="E2622" s="1190">
        <v>1</v>
      </c>
      <c r="F2622" s="1191">
        <f>ROUND(COUNTIF('CSV FF'!A:A,"CB Beam 310 Brackt")*2+(COUNTIF('CSV FF'!A:A,"CB Hanger 310 Brackt")),0)</f>
        <v>0</v>
      </c>
      <c r="G2622" s="1192"/>
      <c r="H2622" s="1193" t="s">
        <v>1852</v>
      </c>
      <c r="I2622" s="1207"/>
      <c r="J2622" s="1194" t="str">
        <f>IF(Table5[[#This Row],[Entered]]&lt;&gt;Table5[[#This Row],[Quantity]],"Check","")</f>
        <v/>
      </c>
    </row>
    <row r="2623" spans="1:10" ht="15" x14ac:dyDescent="0.2">
      <c r="A2623" s="1190" t="s">
        <v>1416</v>
      </c>
      <c r="B2623" s="1190" t="s">
        <v>398</v>
      </c>
      <c r="C2623" s="1190" t="s">
        <v>1848</v>
      </c>
      <c r="D2623" s="1190">
        <f>9000</f>
        <v>9000</v>
      </c>
      <c r="E2623" s="1190">
        <v>1</v>
      </c>
      <c r="F2623" s="1191">
        <f>IF(SUM(F2612:F2622)&gt;0,1,0)</f>
        <v>0</v>
      </c>
      <c r="G2623" s="1192"/>
      <c r="H2623" s="1193" t="s">
        <v>903</v>
      </c>
      <c r="I2623" s="1207"/>
      <c r="J2623" s="1194" t="str">
        <f>IF(Table5[[#This Row],[Entered]]&lt;&gt;Table5[[#This Row],[Quantity]],"Check","")</f>
        <v/>
      </c>
    </row>
    <row r="2624" spans="1:10" ht="15" x14ac:dyDescent="0.2">
      <c r="A2624" s="1190"/>
      <c r="B2624" s="1190"/>
      <c r="C2624" s="1190"/>
      <c r="D2624" s="1190"/>
      <c r="E2624" s="1190"/>
      <c r="F2624" s="1191"/>
      <c r="G2624" s="1192"/>
      <c r="H2624" s="1193"/>
      <c r="I2624" s="1207"/>
      <c r="J2624" s="1194" t="str">
        <f>IF(Table5[[#This Row],[Entered]]&lt;&gt;Table5[[#This Row],[Quantity]],"Check","")</f>
        <v/>
      </c>
    </row>
    <row r="2625" spans="1:10" ht="15" x14ac:dyDescent="0.2">
      <c r="A2625" s="1190" t="s">
        <v>1416</v>
      </c>
      <c r="B2625" s="1190" t="s">
        <v>1435</v>
      </c>
      <c r="C2625" s="1190" t="s">
        <v>1753</v>
      </c>
      <c r="D2625" s="1190">
        <f>320</f>
        <v>320</v>
      </c>
      <c r="E2625" s="1190">
        <v>1</v>
      </c>
      <c r="F2625" s="1191">
        <f>CEILING((FF_Roof_Area-FF_Eaves),150)</f>
        <v>0</v>
      </c>
      <c r="G2625" s="1192"/>
      <c r="H2625" s="1193" t="s">
        <v>1754</v>
      </c>
      <c r="I2625" s="1207"/>
      <c r="J2625" s="1194" t="str">
        <f>IF(Table5[[#This Row],[Entered]]&lt;&gt;Table5[[#This Row],[Quantity]],"Check","")</f>
        <v/>
      </c>
    </row>
    <row r="2626" spans="1:10" ht="15" x14ac:dyDescent="0.2">
      <c r="A2626" s="1190" t="s">
        <v>1416</v>
      </c>
      <c r="B2626" s="1190" t="s">
        <v>1435</v>
      </c>
      <c r="C2626" s="1190" t="s">
        <v>1753</v>
      </c>
      <c r="D2626" s="1190">
        <f>329</f>
        <v>329</v>
      </c>
      <c r="E2626" s="1190">
        <v>1</v>
      </c>
      <c r="F2626" s="1191">
        <f>(COUNTIF('CSV FF'!A:A,"Brick Bracket")+COUNTIF('CSV FF'!A:A,"LVL Bracket"))*32</f>
        <v>0</v>
      </c>
      <c r="G2626" s="1192"/>
      <c r="H2626" s="1193" t="s">
        <v>1816</v>
      </c>
      <c r="I2626" s="1207"/>
      <c r="J2626" s="1194" t="str">
        <f>IF(Table5[[#This Row],[Entered]]&lt;&gt;Table5[[#This Row],[Quantity]],"Check","")</f>
        <v/>
      </c>
    </row>
    <row r="2627" spans="1:10" ht="15" x14ac:dyDescent="0.2">
      <c r="A2627" s="1190" t="s">
        <v>1416</v>
      </c>
      <c r="B2627" s="1190" t="s">
        <v>1435</v>
      </c>
      <c r="C2627" s="1190" t="s">
        <v>1753</v>
      </c>
      <c r="D2627" s="1190">
        <f>331</f>
        <v>331</v>
      </c>
      <c r="E2627" s="1190" t="s">
        <v>1817</v>
      </c>
      <c r="F2627" s="1191">
        <f>COUNTIF('CSV FF'!A:A,"Brick Bracket")+COUNTIF('CSV FF'!A:A,"LVL Bracket")</f>
        <v>0</v>
      </c>
      <c r="G2627" s="1192"/>
      <c r="H2627" s="1193" t="s">
        <v>1818</v>
      </c>
      <c r="I2627" s="1207"/>
      <c r="J2627" s="1194" t="str">
        <f>IF(Table5[[#This Row],[Entered]]&lt;&gt;Table5[[#This Row],[Quantity]],"Check","")</f>
        <v/>
      </c>
    </row>
    <row r="2628" spans="1:10" ht="15" x14ac:dyDescent="0.2">
      <c r="A2628" s="1190" t="s">
        <v>1416</v>
      </c>
      <c r="B2628" s="1190" t="s">
        <v>1435</v>
      </c>
      <c r="C2628" s="1190" t="s">
        <v>1753</v>
      </c>
      <c r="D2628" s="1190">
        <f>603</f>
        <v>603</v>
      </c>
      <c r="E2628" s="1190">
        <v>1</v>
      </c>
      <c r="F2628" s="1191">
        <f>IF(Roof_Type="Tiled Roof",ROUNDUP(SUMIF('CSV FF'!A:A,"Gable",'CSV FF'!C:C)/5,0),0)</f>
        <v>0</v>
      </c>
      <c r="G2628" s="1192"/>
      <c r="H2628" s="1193" t="s">
        <v>1755</v>
      </c>
      <c r="I2628" s="1207"/>
      <c r="J2628" s="1194" t="str">
        <f>IF(Table5[[#This Row],[Entered]]&lt;&gt;Table5[[#This Row],[Quantity]],"Check","")</f>
        <v/>
      </c>
    </row>
    <row r="2629" spans="1:10" ht="15" x14ac:dyDescent="0.2">
      <c r="A2629" s="1190" t="s">
        <v>1416</v>
      </c>
      <c r="B2629" s="1190" t="s">
        <v>1435</v>
      </c>
      <c r="C2629" s="1190" t="s">
        <v>1753</v>
      </c>
      <c r="D2629" s="1190">
        <f>621</f>
        <v>621</v>
      </c>
      <c r="E2629" s="1190">
        <v>1</v>
      </c>
      <c r="F2629" s="1191">
        <f>COUNTIFS('CSV FF'!A:A,"Posts",'CSV FF'!B:B,"Bush")</f>
        <v>0</v>
      </c>
      <c r="G2629" s="1192"/>
      <c r="H2629" s="1193" t="s">
        <v>1756</v>
      </c>
      <c r="I2629" s="1207"/>
      <c r="J2629" s="1194" t="str">
        <f>IF(Table5[[#This Row],[Entered]]&lt;&gt;Table5[[#This Row],[Quantity]],"Check","")</f>
        <v/>
      </c>
    </row>
    <row r="2630" spans="1:10" ht="15" x14ac:dyDescent="0.2">
      <c r="A2630" s="1190" t="s">
        <v>1416</v>
      </c>
      <c r="B2630" s="1190" t="s">
        <v>1435</v>
      </c>
      <c r="C2630" s="1190" t="s">
        <v>1753</v>
      </c>
      <c r="D2630" s="1190">
        <f>620</f>
        <v>620</v>
      </c>
      <c r="E2630" s="1190">
        <v>1</v>
      </c>
      <c r="F2630" s="1191">
        <f>SUM('Roof Timber FF'!$C$44:$AO$45)</f>
        <v>0</v>
      </c>
      <c r="G2630" s="1192"/>
      <c r="H2630" s="1193" t="s">
        <v>1758</v>
      </c>
      <c r="I2630" s="1207"/>
      <c r="J2630" s="1194" t="str">
        <f>IF(Table5[[#This Row],[Entered]]&lt;&gt;Table5[[#This Row],[Quantity]],"Check","")</f>
        <v/>
      </c>
    </row>
    <row r="2631" spans="1:10" ht="15" x14ac:dyDescent="0.2">
      <c r="A2631" s="1190" t="s">
        <v>1416</v>
      </c>
      <c r="B2631" s="1190" t="s">
        <v>1435</v>
      </c>
      <c r="C2631" s="1190" t="s">
        <v>1753</v>
      </c>
      <c r="D2631" s="1190">
        <f>672</f>
        <v>672</v>
      </c>
      <c r="E2631" s="1190">
        <v>1</v>
      </c>
      <c r="F2631" s="1191">
        <f>COUNTIF('CSV FF'!A:A,"Rec. Bracket")</f>
        <v>0</v>
      </c>
      <c r="G2631" s="1192"/>
      <c r="H2631" s="1193" t="s">
        <v>1286</v>
      </c>
      <c r="I2631" s="1207"/>
      <c r="J2631" s="1194" t="str">
        <f>IF(Table5[[#This Row],[Entered]]&lt;&gt;Table5[[#This Row],[Quantity]],"Check","")</f>
        <v/>
      </c>
    </row>
    <row r="2632" spans="1:10" ht="15" x14ac:dyDescent="0.2">
      <c r="A2632" s="1190" t="s">
        <v>1416</v>
      </c>
      <c r="B2632" s="1190" t="s">
        <v>1435</v>
      </c>
      <c r="C2632" s="1190" t="s">
        <v>1753</v>
      </c>
      <c r="D2632" s="1190">
        <f>110</f>
        <v>110</v>
      </c>
      <c r="E2632" s="1190" t="s">
        <v>1240</v>
      </c>
      <c r="F2632" s="1191">
        <f>COUNTIF('CSV FF'!E:E,"2.40*0.60*")</f>
        <v>0</v>
      </c>
      <c r="G2632" s="1192"/>
      <c r="H2632" s="1193" t="s">
        <v>1775</v>
      </c>
      <c r="I2632" s="1207"/>
      <c r="J2632" s="1194" t="str">
        <f>IF(Table5[[#This Row],[Entered]]&lt;&gt;Table5[[#This Row],[Quantity]],"Check","")</f>
        <v/>
      </c>
    </row>
    <row r="2633" spans="1:10" ht="15" x14ac:dyDescent="0.2">
      <c r="A2633" s="1190" t="s">
        <v>1416</v>
      </c>
      <c r="B2633" s="1190" t="s">
        <v>1435</v>
      </c>
      <c r="C2633" s="1190" t="s">
        <v>1753</v>
      </c>
      <c r="D2633" s="1190">
        <f>1020</f>
        <v>1020</v>
      </c>
      <c r="E2633" s="1190" t="s">
        <v>1240</v>
      </c>
      <c r="F2633" s="1191">
        <f>COUNTIF('CSV FF'!E:E,"2.40*0.75*")</f>
        <v>0</v>
      </c>
      <c r="G2633" s="1192"/>
      <c r="H2633" s="1193" t="s">
        <v>1759</v>
      </c>
      <c r="I2633" s="1207"/>
      <c r="J2633" s="1194" t="str">
        <f>IF(Table5[[#This Row],[Entered]]&lt;&gt;Table5[[#This Row],[Quantity]],"Check","")</f>
        <v/>
      </c>
    </row>
    <row r="2634" spans="1:10" ht="15" x14ac:dyDescent="0.2">
      <c r="A2634" s="1190" t="s">
        <v>1416</v>
      </c>
      <c r="B2634" s="1190" t="s">
        <v>1435</v>
      </c>
      <c r="C2634" s="1190" t="s">
        <v>1753</v>
      </c>
      <c r="D2634" s="1190">
        <f>1030</f>
        <v>1030</v>
      </c>
      <c r="E2634" s="1190" t="s">
        <v>1240</v>
      </c>
      <c r="F2634" s="1191"/>
      <c r="G2634" s="1192"/>
      <c r="H2634" s="1193" t="s">
        <v>1760</v>
      </c>
      <c r="I2634" s="1207"/>
      <c r="J2634" s="1194" t="str">
        <f>IF(Table5[[#This Row],[Entered]]&lt;&gt;Table5[[#This Row],[Quantity]],"Check","")</f>
        <v/>
      </c>
    </row>
    <row r="2635" spans="1:10" ht="15" x14ac:dyDescent="0.2">
      <c r="A2635" s="1190" t="s">
        <v>1416</v>
      </c>
      <c r="B2635" s="1190" t="s">
        <v>1435</v>
      </c>
      <c r="C2635" s="1190" t="s">
        <v>1753</v>
      </c>
      <c r="D2635" s="1190">
        <f>1040</f>
        <v>1040</v>
      </c>
      <c r="E2635" s="1190" t="s">
        <v>1240</v>
      </c>
      <c r="F2635" s="1191">
        <f>COUNTIF('CSV FF'!E:E,"2.40*0.90*")</f>
        <v>0</v>
      </c>
      <c r="G2635" s="1192"/>
      <c r="H2635" s="1193" t="s">
        <v>1761</v>
      </c>
      <c r="I2635" s="1207"/>
      <c r="J2635" s="1194" t="str">
        <f>IF(Table5[[#This Row],[Entered]]&lt;&gt;Table5[[#This Row],[Quantity]],"Check","")</f>
        <v/>
      </c>
    </row>
    <row r="2636" spans="1:10" ht="15" x14ac:dyDescent="0.2">
      <c r="A2636" s="1190" t="s">
        <v>1416</v>
      </c>
      <c r="B2636" s="1190" t="s">
        <v>1435</v>
      </c>
      <c r="C2636" s="1190" t="s">
        <v>1753</v>
      </c>
      <c r="D2636" s="1190">
        <f>1060</f>
        <v>1060</v>
      </c>
      <c r="E2636" s="1190" t="s">
        <v>1240</v>
      </c>
      <c r="F2636" s="1191"/>
      <c r="G2636" s="1192"/>
      <c r="H2636" s="1193" t="s">
        <v>1762</v>
      </c>
      <c r="I2636" s="1207"/>
      <c r="J2636" s="1194" t="str">
        <f>IF(Table5[[#This Row],[Entered]]&lt;&gt;Table5[[#This Row],[Quantity]],"Check","")</f>
        <v/>
      </c>
    </row>
    <row r="2637" spans="1:10" ht="15" x14ac:dyDescent="0.2">
      <c r="A2637" s="1190" t="s">
        <v>1416</v>
      </c>
      <c r="B2637" s="1190" t="s">
        <v>1435</v>
      </c>
      <c r="C2637" s="1190" t="s">
        <v>1753</v>
      </c>
      <c r="D2637" s="1190">
        <f>1080</f>
        <v>1080</v>
      </c>
      <c r="E2637" s="1190" t="s">
        <v>1240</v>
      </c>
      <c r="F2637" s="1191">
        <f>COUNTIF('CSV FF'!E:E,"3.00*0.90*")</f>
        <v>0</v>
      </c>
      <c r="G2637" s="1192"/>
      <c r="H2637" s="1193" t="s">
        <v>1763</v>
      </c>
      <c r="I2637" s="1207"/>
      <c r="J2637" s="1194" t="str">
        <f>IF(Table5[[#This Row],[Entered]]&lt;&gt;Table5[[#This Row],[Quantity]],"Check","")</f>
        <v/>
      </c>
    </row>
    <row r="2638" spans="1:10" ht="15" x14ac:dyDescent="0.2">
      <c r="A2638" s="1190" t="s">
        <v>1416</v>
      </c>
      <c r="B2638" s="1190" t="s">
        <v>1435</v>
      </c>
      <c r="C2638" s="1190" t="s">
        <v>1753</v>
      </c>
      <c r="D2638" s="1190">
        <f>1100</f>
        <v>1100</v>
      </c>
      <c r="E2638" s="1190" t="s">
        <v>1240</v>
      </c>
      <c r="F2638" s="1191">
        <f>COUNTIF('CSV FF'!E:E,"1.80*1.20*")+COUNTIF('CSV FF'!E:E,"1.80*0.90*")</f>
        <v>0</v>
      </c>
      <c r="G2638" s="1192"/>
      <c r="H2638" s="1193" t="s">
        <v>1764</v>
      </c>
      <c r="I2638" s="1207"/>
      <c r="J2638" s="1194" t="str">
        <f>IF(Table5[[#This Row],[Entered]]&lt;&gt;Table5[[#This Row],[Quantity]],"Check","")</f>
        <v/>
      </c>
    </row>
    <row r="2639" spans="1:10" ht="15" x14ac:dyDescent="0.2">
      <c r="A2639" s="1190" t="s">
        <v>1416</v>
      </c>
      <c r="B2639" s="1190" t="s">
        <v>1435</v>
      </c>
      <c r="C2639" s="1190" t="s">
        <v>1753</v>
      </c>
      <c r="D2639" s="1190">
        <f>1120</f>
        <v>1120</v>
      </c>
      <c r="E2639" s="1190" t="s">
        <v>1240</v>
      </c>
      <c r="F2639" s="1191">
        <f>COUNTIF('CSV FF'!E:E,"2.40*1.20*")</f>
        <v>0</v>
      </c>
      <c r="G2639" s="1192"/>
      <c r="H2639" s="1193" t="s">
        <v>1765</v>
      </c>
      <c r="I2639" s="1207"/>
      <c r="J2639" s="1194" t="str">
        <f>IF(Table5[[#This Row],[Entered]]&lt;&gt;Table5[[#This Row],[Quantity]],"Check","")</f>
        <v/>
      </c>
    </row>
    <row r="2640" spans="1:10" ht="15" x14ac:dyDescent="0.2">
      <c r="A2640" s="1190" t="s">
        <v>1416</v>
      </c>
      <c r="B2640" s="1190" t="s">
        <v>1435</v>
      </c>
      <c r="C2640" s="1190" t="s">
        <v>1753</v>
      </c>
      <c r="D2640" s="1190">
        <f>1138</f>
        <v>1138</v>
      </c>
      <c r="E2640" s="1190">
        <v>1</v>
      </c>
      <c r="F2640" s="1191"/>
      <c r="G2640" s="1192"/>
      <c r="H2640" s="1193" t="s">
        <v>1376</v>
      </c>
      <c r="I2640" s="1207"/>
      <c r="J2640" s="1194" t="str">
        <f>IF(Table5[[#This Row],[Entered]]&lt;&gt;Table5[[#This Row],[Quantity]],"Check","")</f>
        <v/>
      </c>
    </row>
    <row r="2641" spans="1:10" ht="15" x14ac:dyDescent="0.2">
      <c r="A2641" s="1190" t="s">
        <v>1416</v>
      </c>
      <c r="B2641" s="1190" t="s">
        <v>1435</v>
      </c>
      <c r="C2641" s="1190" t="s">
        <v>1753</v>
      </c>
      <c r="D2641" s="1190">
        <f>1140</f>
        <v>1140</v>
      </c>
      <c r="E2641" s="1190" t="s">
        <v>1240</v>
      </c>
      <c r="F2641" s="1191">
        <f>COUNTIF('CSV FF'!E:E,"2.70*1.20*")+COUNTIF('CSV FF'!E:E,"2.70*0.90*")</f>
        <v>0</v>
      </c>
      <c r="G2641" s="1192"/>
      <c r="H2641" s="1193" t="s">
        <v>1766</v>
      </c>
      <c r="I2641" s="1207"/>
      <c r="J2641" s="1194" t="str">
        <f>IF(Table5[[#This Row],[Entered]]&lt;&gt;Table5[[#This Row],[Quantity]],"Check","")</f>
        <v/>
      </c>
    </row>
    <row r="2642" spans="1:10" ht="15" x14ac:dyDescent="0.2">
      <c r="A2642" s="1190" t="s">
        <v>1416</v>
      </c>
      <c r="B2642" s="1190" t="s">
        <v>1435</v>
      </c>
      <c r="C2642" s="1190" t="s">
        <v>1753</v>
      </c>
      <c r="D2642" s="1190">
        <f>1160</f>
        <v>1160</v>
      </c>
      <c r="E2642" s="1190" t="s">
        <v>1240</v>
      </c>
      <c r="F2642" s="1191">
        <f>COUNTIF('CSV FF'!E:E,"3.00*1.20*")</f>
        <v>0</v>
      </c>
      <c r="G2642" s="1192"/>
      <c r="H2642" s="1193" t="s">
        <v>1767</v>
      </c>
      <c r="I2642" s="1207"/>
      <c r="J2642" s="1194" t="str">
        <f>IF(Table5[[#This Row],[Entered]]&lt;&gt;Table5[[#This Row],[Quantity]],"Check","")</f>
        <v/>
      </c>
    </row>
    <row r="2643" spans="1:10" ht="15" x14ac:dyDescent="0.2">
      <c r="A2643" s="1190" t="s">
        <v>1416</v>
      </c>
      <c r="B2643" s="1190" t="s">
        <v>1435</v>
      </c>
      <c r="C2643" s="1190" t="s">
        <v>1753</v>
      </c>
      <c r="D2643" s="1190">
        <f>1200</f>
        <v>1200</v>
      </c>
      <c r="E2643" s="1190">
        <v>1</v>
      </c>
      <c r="F2643" s="1191">
        <f>CEILING(((F2633*0.5+F2634*1.8*2+F2635*0.9+F2636*2.7+F2637*3+F2638*1.8+F2639*2.4+F2641*2.7+F2642*3)/3),5)</f>
        <v>0</v>
      </c>
      <c r="G2643" s="1192"/>
      <c r="H2643" s="1193" t="s">
        <v>1768</v>
      </c>
      <c r="I2643" s="1207"/>
      <c r="J2643" s="1194" t="str">
        <f>IF(Table5[[#This Row],[Entered]]&lt;&gt;Table5[[#This Row],[Quantity]],"Check","")</f>
        <v/>
      </c>
    </row>
    <row r="2644" spans="1:10" ht="15" x14ac:dyDescent="0.2">
      <c r="A2644" s="1190" t="s">
        <v>1416</v>
      </c>
      <c r="B2644" s="1190" t="s">
        <v>1435</v>
      </c>
      <c r="C2644" s="1190" t="s">
        <v>1753</v>
      </c>
      <c r="D2644" s="1190">
        <f>1210</f>
        <v>1210</v>
      </c>
      <c r="E2644" s="1190">
        <v>1</v>
      </c>
      <c r="F2644" s="1191"/>
      <c r="G2644" s="1192"/>
      <c r="H2644" s="1193" t="s">
        <v>1287</v>
      </c>
      <c r="I2644" s="1207"/>
      <c r="J2644" s="1194" t="str">
        <f>IF(Table5[[#This Row],[Entered]]&lt;&gt;Table5[[#This Row],[Quantity]],"Check","")</f>
        <v/>
      </c>
    </row>
    <row r="2645" spans="1:10" ht="15" x14ac:dyDescent="0.2">
      <c r="A2645" s="1190" t="s">
        <v>1416</v>
      </c>
      <c r="B2645" s="1190" t="s">
        <v>1435</v>
      </c>
      <c r="C2645" s="1190" t="s">
        <v>1753</v>
      </c>
      <c r="D2645" s="1190">
        <f>2020</f>
        <v>2020</v>
      </c>
      <c r="E2645" s="1190">
        <v>1</v>
      </c>
      <c r="F2645" s="1191">
        <f>COUNTIF('CSV FF'!A:A,"Corner Snap")</f>
        <v>0</v>
      </c>
      <c r="G2645" s="1192"/>
      <c r="H2645" s="1193" t="s">
        <v>1288</v>
      </c>
      <c r="I2645" s="1207"/>
      <c r="J2645" s="1194" t="str">
        <f>IF(Table5[[#This Row],[Entered]]&lt;&gt;Table5[[#This Row],[Quantity]],"Check","")</f>
        <v/>
      </c>
    </row>
    <row r="2646" spans="1:10" ht="15" x14ac:dyDescent="0.2">
      <c r="A2646" s="1190" t="s">
        <v>1416</v>
      </c>
      <c r="B2646" s="1190" t="s">
        <v>1435</v>
      </c>
      <c r="C2646" s="1190" t="s">
        <v>1753</v>
      </c>
      <c r="D2646" s="1190">
        <f>2050</f>
        <v>2050</v>
      </c>
      <c r="E2646" s="1190">
        <v>1</v>
      </c>
      <c r="F2646" s="1191">
        <f>CEILING(((SUMIF(NameFF,"Underpurlin",LengthFF)+FF_Perim)/IF(Roof_Type="Steel Roof",0.9,0.6)*1.1)*0.66,10)</f>
        <v>0</v>
      </c>
      <c r="G2646" s="1192"/>
      <c r="H2646" s="1193" t="s">
        <v>1771</v>
      </c>
      <c r="I2646" s="1207"/>
      <c r="J2646" s="1194" t="str">
        <f>IF(Table5[[#This Row],[Entered]]&lt;&gt;Table5[[#This Row],[Quantity]],"Check","")</f>
        <v/>
      </c>
    </row>
    <row r="2647" spans="1:10" ht="15" x14ac:dyDescent="0.2">
      <c r="A2647" s="1190" t="s">
        <v>1416</v>
      </c>
      <c r="B2647" s="1190" t="s">
        <v>1435</v>
      </c>
      <c r="C2647" s="1190" t="s">
        <v>1753</v>
      </c>
      <c r="D2647" s="1190">
        <f>2055</f>
        <v>2055</v>
      </c>
      <c r="E2647" s="1190">
        <v>1</v>
      </c>
      <c r="F2647" s="1191">
        <f>IF(OR(Brick_typeFF="Timber Frame",Brick_typeFF="Reverse Brick Veneer"),CEILING(SUM(FF_Perim)/1.35,10)+10,0)</f>
        <v>0</v>
      </c>
      <c r="G2647" s="1192"/>
      <c r="H2647" s="1193" t="s">
        <v>1447</v>
      </c>
      <c r="I2647" s="1207"/>
      <c r="J2647" s="1194" t="str">
        <f>IF(Table5[[#This Row],[Entered]]&lt;&gt;Table5[[#This Row],[Quantity]],"Check","")</f>
        <v/>
      </c>
    </row>
    <row r="2648" spans="1:10" ht="15" x14ac:dyDescent="0.2">
      <c r="A2648" s="1190" t="s">
        <v>1416</v>
      </c>
      <c r="B2648" s="1190" t="s">
        <v>1435</v>
      </c>
      <c r="C2648" s="1190" t="s">
        <v>1753</v>
      </c>
      <c r="D2648" s="1190">
        <f>8000</f>
        <v>8000</v>
      </c>
      <c r="E2648" s="1190">
        <v>1</v>
      </c>
      <c r="F2648" s="1191" cm="1">
        <f t="array" ref="F2648">IF(FF_Area&gt;0,IF(SUMPRODUCT(--ISNUMBER(SEARCH(BunningsZone1,Address)))&gt;0,1,0),0)</f>
        <v>0</v>
      </c>
      <c r="G2648" s="1192"/>
      <c r="H2648" s="1193" t="s">
        <v>1809</v>
      </c>
      <c r="I2648" s="1207"/>
      <c r="J2648" s="1194" t="str">
        <f>IF(Table5[[#This Row],[Entered]]&lt;&gt;Table5[[#This Row],[Quantity]],"Check","")</f>
        <v/>
      </c>
    </row>
    <row r="2649" spans="1:10" ht="15" x14ac:dyDescent="0.2">
      <c r="A2649" s="1190" t="s">
        <v>1416</v>
      </c>
      <c r="B2649" s="1190" t="s">
        <v>1435</v>
      </c>
      <c r="C2649" s="1190" t="s">
        <v>1753</v>
      </c>
      <c r="D2649" s="1190">
        <f>8001</f>
        <v>8001</v>
      </c>
      <c r="E2649" s="1190">
        <v>1</v>
      </c>
      <c r="F2649" s="1191" cm="1">
        <f t="array" ref="F2649">IF(FF_Area&gt;0,IF(SUMPRODUCT(--ISNUMBER(SEARCH(BunningsZone2,Address)))&gt;0,1,0),0)</f>
        <v>0</v>
      </c>
      <c r="G2649" s="1192"/>
      <c r="H2649" s="1193" t="s">
        <v>1810</v>
      </c>
      <c r="I2649" s="1207"/>
      <c r="J2649" s="1194" t="str">
        <f>IF(Table5[[#This Row],[Entered]]&lt;&gt;Table5[[#This Row],[Quantity]],"Check","")</f>
        <v/>
      </c>
    </row>
    <row r="2650" spans="1:10" ht="15" x14ac:dyDescent="0.2">
      <c r="A2650" s="1190" t="s">
        <v>1416</v>
      </c>
      <c r="B2650" s="1190" t="s">
        <v>1435</v>
      </c>
      <c r="C2650" s="1190" t="s">
        <v>1753</v>
      </c>
      <c r="D2650" s="1190">
        <f>8002</f>
        <v>8002</v>
      </c>
      <c r="E2650" s="1190">
        <v>1</v>
      </c>
      <c r="F2650" s="1191" cm="1">
        <f t="array" ref="F2650">IF(FF_Area&gt;0,IF(SUMPRODUCT(--ISNUMBER(SEARCH(BunningsZone3,Address)))&gt;0,1,0),0)</f>
        <v>0</v>
      </c>
      <c r="G2650" s="1192"/>
      <c r="H2650" s="1193" t="s">
        <v>1811</v>
      </c>
      <c r="I2650" s="1207"/>
      <c r="J2650" s="1194" t="str">
        <f>IF(Table5[[#This Row],[Entered]]&lt;&gt;Table5[[#This Row],[Quantity]],"Check","")</f>
        <v/>
      </c>
    </row>
    <row r="2651" spans="1:10" ht="15" x14ac:dyDescent="0.2">
      <c r="A2651" s="1190" t="s">
        <v>1416</v>
      </c>
      <c r="B2651" s="1190" t="s">
        <v>1435</v>
      </c>
      <c r="C2651" s="1190" t="s">
        <v>1753</v>
      </c>
      <c r="D2651" s="1190">
        <f>8003</f>
        <v>8003</v>
      </c>
      <c r="E2651" s="1190">
        <v>1</v>
      </c>
      <c r="F2651" s="1191" cm="1">
        <f t="array" ref="F2651">IF(FF_Area&gt;0,IF(SUMPRODUCT(--ISNUMBER(SEARCH(BunningsZone4,Address)))&gt;0,1,0),0)</f>
        <v>0</v>
      </c>
      <c r="G2651" s="1192"/>
      <c r="H2651" s="1193" t="s">
        <v>1812</v>
      </c>
      <c r="I2651" s="1207"/>
      <c r="J2651" s="1194" t="str">
        <f>IF(Table5[[#This Row],[Entered]]&lt;&gt;Table5[[#This Row],[Quantity]],"Check","")</f>
        <v/>
      </c>
    </row>
    <row r="2652" spans="1:10" ht="15" x14ac:dyDescent="0.2">
      <c r="A2652" s="1190" t="s">
        <v>1416</v>
      </c>
      <c r="B2652" s="1190" t="s">
        <v>1435</v>
      </c>
      <c r="C2652" s="1190" t="s">
        <v>1753</v>
      </c>
      <c r="D2652" s="1190">
        <f>8004</f>
        <v>8004</v>
      </c>
      <c r="E2652" s="1190">
        <v>1</v>
      </c>
      <c r="F2652" s="1191" cm="1">
        <f t="array" ref="F2652">IF(FF_Area&gt;0,IF(SUMPRODUCT(--ISNUMBER(SEARCH(BunningsZone5,Address)))&gt;0,1,0),0)</f>
        <v>0</v>
      </c>
      <c r="G2652" s="1192"/>
      <c r="H2652" s="1193" t="s">
        <v>1813</v>
      </c>
      <c r="I2652" s="1207"/>
      <c r="J2652" s="1194" t="str">
        <f>IF(Table5[[#This Row],[Entered]]&lt;&gt;Table5[[#This Row],[Quantity]],"Check","")</f>
        <v/>
      </c>
    </row>
    <row r="2653" spans="1:10" ht="15" x14ac:dyDescent="0.2">
      <c r="A2653" s="1190" t="s">
        <v>1416</v>
      </c>
      <c r="B2653" s="1190" t="s">
        <v>1435</v>
      </c>
      <c r="C2653" s="1190" t="s">
        <v>1753</v>
      </c>
      <c r="D2653" s="1190">
        <f>8005</f>
        <v>8005</v>
      </c>
      <c r="E2653" s="1190">
        <v>1</v>
      </c>
      <c r="F2653" s="1191" cm="1">
        <f t="array" ref="F2653">IF(FF_Area&gt;0,IF(SUMPRODUCT(--ISNUMBER(SEARCH(BunningsZone6,Address)))&gt;0,1,0),0)</f>
        <v>0</v>
      </c>
      <c r="G2653" s="1192"/>
      <c r="H2653" s="1193" t="s">
        <v>1814</v>
      </c>
      <c r="I2653" s="1207"/>
      <c r="J2653" s="1194" t="str">
        <f>IF(Table5[[#This Row],[Entered]]&lt;&gt;Table5[[#This Row],[Quantity]],"Check","")</f>
        <v/>
      </c>
    </row>
    <row r="2654" spans="1:10" ht="15" x14ac:dyDescent="0.2">
      <c r="A2654" s="1190" t="s">
        <v>1416</v>
      </c>
      <c r="B2654" s="1190" t="s">
        <v>1435</v>
      </c>
      <c r="C2654" s="1190" t="s">
        <v>1202</v>
      </c>
      <c r="D2654" s="1190">
        <f>100</f>
        <v>100</v>
      </c>
      <c r="E2654" s="1190">
        <v>1</v>
      </c>
      <c r="F2654" s="1191"/>
      <c r="G2654" s="1192"/>
      <c r="H2654" s="1193" t="s">
        <v>1291</v>
      </c>
      <c r="I2654" s="1207"/>
      <c r="J2654" s="1194" t="str">
        <f>IF(Table5[[#This Row],[Entered]]&lt;&gt;Table5[[#This Row],[Quantity]],"Check","")</f>
        <v/>
      </c>
    </row>
    <row r="2655" spans="1:10" ht="15" x14ac:dyDescent="0.2">
      <c r="A2655" s="1190" t="s">
        <v>1416</v>
      </c>
      <c r="B2655" s="1190" t="s">
        <v>1435</v>
      </c>
      <c r="C2655" s="1190" t="s">
        <v>1202</v>
      </c>
      <c r="D2655" s="1190">
        <f>105</f>
        <v>105</v>
      </c>
      <c r="E2655" s="1190">
        <v>1</v>
      </c>
      <c r="F2655" s="1191"/>
      <c r="G2655" s="1192"/>
      <c r="H2655" s="1193" t="s">
        <v>1292</v>
      </c>
      <c r="I2655" s="1207"/>
      <c r="J2655" s="1194" t="str">
        <f>IF(Table5[[#This Row],[Entered]]&lt;&gt;Table5[[#This Row],[Quantity]],"Check","")</f>
        <v/>
      </c>
    </row>
    <row r="2656" spans="1:10" ht="15" x14ac:dyDescent="0.2">
      <c r="A2656" s="1190" t="s">
        <v>1416</v>
      </c>
      <c r="B2656" s="1190" t="s">
        <v>1435</v>
      </c>
      <c r="C2656" s="1190" t="s">
        <v>1202</v>
      </c>
      <c r="D2656" s="1190">
        <f>135</f>
        <v>135</v>
      </c>
      <c r="E2656" s="1190">
        <v>1</v>
      </c>
      <c r="F2656" s="1191"/>
      <c r="G2656" s="1192"/>
      <c r="H2656" s="1193" t="s">
        <v>1611</v>
      </c>
      <c r="I2656" s="1207"/>
      <c r="J2656" s="1194" t="str">
        <f>IF(Table5[[#This Row],[Entered]]&lt;&gt;Table5[[#This Row],[Quantity]],"Check","")</f>
        <v/>
      </c>
    </row>
    <row r="2657" spans="1:10" ht="15" x14ac:dyDescent="0.2">
      <c r="A2657" s="1190" t="s">
        <v>1416</v>
      </c>
      <c r="B2657" s="1190" t="s">
        <v>1435</v>
      </c>
      <c r="C2657" s="1190" t="s">
        <v>1202</v>
      </c>
      <c r="D2657" s="1190">
        <f>140</f>
        <v>140</v>
      </c>
      <c r="E2657" s="1190">
        <v>1</v>
      </c>
      <c r="F2657" s="1191"/>
      <c r="G2657" s="1192"/>
      <c r="H2657" s="1193" t="s">
        <v>1610</v>
      </c>
      <c r="I2657" s="1207"/>
      <c r="J2657" s="1194" t="str">
        <f>IF(Table5[[#This Row],[Entered]]&lt;&gt;Table5[[#This Row],[Quantity]],"Check","")</f>
        <v/>
      </c>
    </row>
    <row r="2658" spans="1:10" ht="15" x14ac:dyDescent="0.2">
      <c r="A2658" s="1190" t="s">
        <v>1416</v>
      </c>
      <c r="B2658" s="1190" t="s">
        <v>1435</v>
      </c>
      <c r="C2658" s="1190" t="s">
        <v>1202</v>
      </c>
      <c r="D2658" s="1190">
        <f>150</f>
        <v>150</v>
      </c>
      <c r="E2658" s="1190">
        <v>1</v>
      </c>
      <c r="F2658" s="1191"/>
      <c r="G2658" s="1192"/>
      <c r="H2658" s="1193" t="s">
        <v>1293</v>
      </c>
      <c r="I2658" s="1207"/>
      <c r="J2658" s="1194" t="str">
        <f>IF(Table5[[#This Row],[Entered]]&lt;&gt;Table5[[#This Row],[Quantity]],"Check","")</f>
        <v/>
      </c>
    </row>
    <row r="2659" spans="1:10" ht="15" x14ac:dyDescent="0.2">
      <c r="A2659" s="1190" t="s">
        <v>1416</v>
      </c>
      <c r="B2659" s="1190" t="s">
        <v>1435</v>
      </c>
      <c r="C2659" s="1190" t="s">
        <v>1202</v>
      </c>
      <c r="D2659" s="1190">
        <f>151</f>
        <v>151</v>
      </c>
      <c r="E2659" s="1190">
        <v>1</v>
      </c>
      <c r="F2659" s="1191"/>
      <c r="G2659" s="1192"/>
      <c r="H2659" s="1193" t="s">
        <v>1294</v>
      </c>
      <c r="I2659" s="1207"/>
      <c r="J2659" s="1194" t="str">
        <f>IF(Table5[[#This Row],[Entered]]&lt;&gt;Table5[[#This Row],[Quantity]],"Check","")</f>
        <v/>
      </c>
    </row>
    <row r="2660" spans="1:10" ht="15" x14ac:dyDescent="0.2">
      <c r="A2660" s="1190" t="s">
        <v>1416</v>
      </c>
      <c r="B2660" s="1190" t="s">
        <v>1435</v>
      </c>
      <c r="C2660" s="1190" t="s">
        <v>1202</v>
      </c>
      <c r="D2660" s="1190">
        <f>160</f>
        <v>160</v>
      </c>
      <c r="E2660" s="1190">
        <v>1</v>
      </c>
      <c r="F2660" s="1191"/>
      <c r="G2660" s="1192"/>
      <c r="H2660" s="1193" t="s">
        <v>1295</v>
      </c>
      <c r="I2660" s="1207"/>
      <c r="J2660" s="1194" t="str">
        <f>IF(Table5[[#This Row],[Entered]]&lt;&gt;Table5[[#This Row],[Quantity]],"Check","")</f>
        <v/>
      </c>
    </row>
    <row r="2661" spans="1:10" ht="15" x14ac:dyDescent="0.2">
      <c r="A2661" s="1190" t="s">
        <v>1416</v>
      </c>
      <c r="B2661" s="1190" t="s">
        <v>1435</v>
      </c>
      <c r="C2661" s="1190" t="s">
        <v>1202</v>
      </c>
      <c r="D2661" s="1190">
        <f>161</f>
        <v>161</v>
      </c>
      <c r="E2661" s="1190">
        <v>1</v>
      </c>
      <c r="F2661" s="1191"/>
      <c r="G2661" s="1192"/>
      <c r="H2661" s="1193" t="s">
        <v>1296</v>
      </c>
      <c r="I2661" s="1207"/>
      <c r="J2661" s="1194" t="str">
        <f>IF(Table5[[#This Row],[Entered]]&lt;&gt;Table5[[#This Row],[Quantity]],"Check","")</f>
        <v/>
      </c>
    </row>
    <row r="2662" spans="1:10" ht="15" x14ac:dyDescent="0.2">
      <c r="A2662" s="1190" t="s">
        <v>1416</v>
      </c>
      <c r="B2662" s="1190" t="s">
        <v>1435</v>
      </c>
      <c r="C2662" s="1190" t="s">
        <v>1202</v>
      </c>
      <c r="D2662" s="1190">
        <f>184</f>
        <v>184</v>
      </c>
      <c r="E2662" s="1190">
        <v>1</v>
      </c>
      <c r="F2662" s="1191"/>
      <c r="G2662" s="1192"/>
      <c r="H2662" s="1193" t="s">
        <v>1349</v>
      </c>
      <c r="I2662" s="1207"/>
      <c r="J2662" s="1194" t="str">
        <f>IF(Table5[[#This Row],[Entered]]&lt;&gt;Table5[[#This Row],[Quantity]],"Check","")</f>
        <v/>
      </c>
    </row>
    <row r="2663" spans="1:10" ht="15" x14ac:dyDescent="0.2">
      <c r="A2663" s="1190" t="s">
        <v>1416</v>
      </c>
      <c r="B2663" s="1190" t="s">
        <v>1435</v>
      </c>
      <c r="C2663" s="1190" t="s">
        <v>1202</v>
      </c>
      <c r="D2663" s="1190">
        <f>206</f>
        <v>206</v>
      </c>
      <c r="E2663" s="1190">
        <v>1</v>
      </c>
      <c r="F2663" s="1191"/>
      <c r="G2663" s="1192"/>
      <c r="H2663" s="1193" t="s">
        <v>1377</v>
      </c>
      <c r="I2663" s="1207"/>
      <c r="J2663" s="1194" t="str">
        <f>IF(Table5[[#This Row],[Entered]]&lt;&gt;Table5[[#This Row],[Quantity]],"Check","")</f>
        <v/>
      </c>
    </row>
    <row r="2664" spans="1:10" ht="15" x14ac:dyDescent="0.2">
      <c r="A2664" s="1190" t="s">
        <v>1416</v>
      </c>
      <c r="B2664" s="1190" t="s">
        <v>1435</v>
      </c>
      <c r="C2664" s="1190" t="s">
        <v>1202</v>
      </c>
      <c r="D2664" s="1190">
        <f>9200</f>
        <v>9200</v>
      </c>
      <c r="E2664" s="1190">
        <v>1</v>
      </c>
      <c r="F2664" s="1191"/>
      <c r="G2664" s="1192"/>
      <c r="H2664" s="1193" t="s">
        <v>1205</v>
      </c>
      <c r="I2664" s="1207"/>
      <c r="J2664" s="1194" t="str">
        <f>IF(Table5[[#This Row],[Entered]]&lt;&gt;Table5[[#This Row],[Quantity]],"Check","")</f>
        <v/>
      </c>
    </row>
    <row r="2665" spans="1:10" ht="15" x14ac:dyDescent="0.2">
      <c r="A2665" s="1190" t="s">
        <v>1416</v>
      </c>
      <c r="B2665" s="1190" t="s">
        <v>1435</v>
      </c>
      <c r="C2665" s="1190" t="s">
        <v>1202</v>
      </c>
      <c r="D2665" s="1190">
        <f>9205</f>
        <v>9205</v>
      </c>
      <c r="E2665" s="1190">
        <v>1</v>
      </c>
      <c r="F2665" s="1191"/>
      <c r="G2665" s="1192"/>
      <c r="H2665" s="1193" t="s">
        <v>1206</v>
      </c>
      <c r="I2665" s="1207"/>
      <c r="J2665" s="1194" t="str">
        <f>IF(Table5[[#This Row],[Entered]]&lt;&gt;Table5[[#This Row],[Quantity]],"Check","")</f>
        <v/>
      </c>
    </row>
    <row r="2666" spans="1:10" ht="15" x14ac:dyDescent="0.2">
      <c r="A2666" s="1190" t="s">
        <v>1416</v>
      </c>
      <c r="B2666" s="1190" t="s">
        <v>1435</v>
      </c>
      <c r="C2666" s="1190" t="s">
        <v>1202</v>
      </c>
      <c r="D2666" s="1190">
        <f>9210</f>
        <v>9210</v>
      </c>
      <c r="E2666" s="1190">
        <v>1</v>
      </c>
      <c r="F2666" s="1191"/>
      <c r="G2666" s="1192"/>
      <c r="H2666" s="1193" t="s">
        <v>1207</v>
      </c>
      <c r="I2666" s="1207"/>
      <c r="J2666" s="1194" t="str">
        <f>IF(Table5[[#This Row],[Entered]]&lt;&gt;Table5[[#This Row],[Quantity]],"Check","")</f>
        <v/>
      </c>
    </row>
    <row r="2667" spans="1:10" ht="15" x14ac:dyDescent="0.2">
      <c r="A2667" s="1190" t="s">
        <v>1416</v>
      </c>
      <c r="B2667" s="1190" t="s">
        <v>1435</v>
      </c>
      <c r="C2667" s="1190" t="s">
        <v>1202</v>
      </c>
      <c r="D2667" s="1190">
        <f>9215</f>
        <v>9215</v>
      </c>
      <c r="E2667" s="1190">
        <v>1</v>
      </c>
      <c r="F2667" s="1191"/>
      <c r="G2667" s="1192"/>
      <c r="H2667" s="1193" t="s">
        <v>1208</v>
      </c>
      <c r="I2667" s="1207"/>
      <c r="J2667" s="1194" t="str">
        <f>IF(Table5[[#This Row],[Entered]]&lt;&gt;Table5[[#This Row],[Quantity]],"Check","")</f>
        <v/>
      </c>
    </row>
    <row r="2668" spans="1:10" ht="15" x14ac:dyDescent="0.2">
      <c r="A2668" s="1190" t="s">
        <v>1416</v>
      </c>
      <c r="B2668" s="1190" t="s">
        <v>1435</v>
      </c>
      <c r="C2668" s="1190" t="s">
        <v>1202</v>
      </c>
      <c r="D2668" s="1190">
        <f>9220</f>
        <v>9220</v>
      </c>
      <c r="E2668" s="1190">
        <v>1</v>
      </c>
      <c r="F2668" s="1191"/>
      <c r="G2668" s="1192"/>
      <c r="H2668" s="1193" t="s">
        <v>1209</v>
      </c>
      <c r="I2668" s="1207"/>
      <c r="J2668" s="1194" t="str">
        <f>IF(Table5[[#This Row],[Entered]]&lt;&gt;Table5[[#This Row],[Quantity]],"Check","")</f>
        <v/>
      </c>
    </row>
    <row r="2669" spans="1:10" ht="15" x14ac:dyDescent="0.2">
      <c r="A2669" s="1190" t="s">
        <v>1416</v>
      </c>
      <c r="B2669" s="1190" t="s">
        <v>1435</v>
      </c>
      <c r="C2669" s="1190" t="s">
        <v>1202</v>
      </c>
      <c r="D2669" s="1190">
        <f>9225</f>
        <v>9225</v>
      </c>
      <c r="E2669" s="1190">
        <v>1</v>
      </c>
      <c r="F2669" s="1191"/>
      <c r="G2669" s="1192"/>
      <c r="H2669" s="1193" t="s">
        <v>1210</v>
      </c>
      <c r="I2669" s="1207"/>
      <c r="J2669" s="1194" t="str">
        <f>IF(Table5[[#This Row],[Entered]]&lt;&gt;Table5[[#This Row],[Quantity]],"Check","")</f>
        <v/>
      </c>
    </row>
    <row r="2670" spans="1:10" ht="15" x14ac:dyDescent="0.2">
      <c r="A2670" s="1190" t="s">
        <v>1416</v>
      </c>
      <c r="B2670" s="1190" t="s">
        <v>1435</v>
      </c>
      <c r="C2670" s="1190" t="s">
        <v>1202</v>
      </c>
      <c r="D2670" s="1190">
        <f>9230</f>
        <v>9230</v>
      </c>
      <c r="E2670" s="1190">
        <v>1</v>
      </c>
      <c r="F2670" s="1191"/>
      <c r="G2670" s="1192"/>
      <c r="H2670" s="1193" t="s">
        <v>1211</v>
      </c>
      <c r="I2670" s="1207"/>
      <c r="J2670" s="1194" t="str">
        <f>IF(Table5[[#This Row],[Entered]]&lt;&gt;Table5[[#This Row],[Quantity]],"Check","")</f>
        <v/>
      </c>
    </row>
    <row r="2671" spans="1:10" ht="15" x14ac:dyDescent="0.2">
      <c r="A2671" s="1190" t="s">
        <v>1416</v>
      </c>
      <c r="B2671" s="1190" t="s">
        <v>1484</v>
      </c>
      <c r="C2671" s="1190" t="s">
        <v>1202</v>
      </c>
      <c r="D2671" s="1190" t="s">
        <v>1460</v>
      </c>
      <c r="E2671" s="1190">
        <v>0</v>
      </c>
      <c r="F2671" s="1191">
        <f>IF(SUM(F2654:F2670)&gt;0,1,0)</f>
        <v>0</v>
      </c>
      <c r="G2671" s="1192"/>
      <c r="H2671" s="1193" t="s">
        <v>1465</v>
      </c>
      <c r="I2671" s="1207"/>
      <c r="J2671" s="1194" t="str">
        <f>IF(Table5[[#This Row],[Entered]]&lt;&gt;Table5[[#This Row],[Quantity]],"Check","")</f>
        <v/>
      </c>
    </row>
    <row r="2672" spans="1:10" ht="15" x14ac:dyDescent="0.2">
      <c r="A2672" s="1190" t="s">
        <v>1416</v>
      </c>
      <c r="B2672" s="1190" t="s">
        <v>1436</v>
      </c>
      <c r="C2672" s="1190" t="s">
        <v>2336</v>
      </c>
      <c r="D2672" s="1190">
        <f>20</f>
        <v>20</v>
      </c>
      <c r="E2672" s="1190">
        <v>7</v>
      </c>
      <c r="F2672" s="1191">
        <f>(IF(FasciaType="Zincalume",SUMIF(NameFF,"FASCIA",'CSV FF'!$C:$C),0))</f>
        <v>0</v>
      </c>
      <c r="G2672" s="1192"/>
      <c r="H2672" s="1193" t="s">
        <v>1326</v>
      </c>
      <c r="I2672" s="1207"/>
      <c r="J2672" s="1194" t="str">
        <f>IF(Table5[[#This Row],[Entered]]&lt;&gt;Table5[[#This Row],[Quantity]],"Check","")</f>
        <v/>
      </c>
    </row>
    <row r="2673" spans="1:10" ht="15" x14ac:dyDescent="0.2">
      <c r="A2673" s="1190" t="s">
        <v>1416</v>
      </c>
      <c r="B2673" s="1190" t="s">
        <v>1436</v>
      </c>
      <c r="C2673" s="1190" t="s">
        <v>2336</v>
      </c>
      <c r="D2673" s="1190" t="s">
        <v>663</v>
      </c>
      <c r="E2673" s="1190">
        <v>0</v>
      </c>
      <c r="F2673" s="1191">
        <f>IF(F2672&gt;0,1,0)</f>
        <v>0</v>
      </c>
      <c r="G2673" s="1192"/>
      <c r="H2673" s="1193" t="str">
        <f>IF(F2672&gt;0,"FASCIA "&amp;IF(IF(FasciaType="Zincalume",COUNTIFS(Name,"Fascia",Length,1),0)&gt;0,IF(FasciaType="Zincalume",COUNTIFS(Name,"Fascia",Length,1),0)&amp;"/1","")&amp;IF(IF(FasciaType="Zincalume",COUNTIFS(Name,"Fascia",Length,1.5),0)&gt;0," "&amp;IF(FasciaType="Zincalume",COUNTIFS(Name,"Fascia",Length,1.5),0)&amp;"/1.5","")&amp;IF(IF(FasciaType="Zincalume",COUNTIFS(Name,"Fascia",Length,2),0)&gt;0," "&amp;IF(FasciaType="Zincalume",COUNTIFS(Name,"Fascia",Length,2),0)&amp;"/2","")&amp;IF(IF(FasciaType="Zincalume",COUNTIFS(Name,"Fascia",Length,2.5),0)&gt;0," "&amp;IF(FasciaType="Zincalume",COUNTIFS(Name,"Fascia",Length,2.5),0)&amp;"/2.5","")&amp;IF(IF(FasciaType="Zincalume",COUNTIFS(Name,"Fascia",Length,3),0)&gt;0," "&amp;IF(FasciaType="Zincalume",COUNTIFS(Name,"Fascia",Length,3),0)&amp;"/3","")&amp;IF(IF(FasciaType="Zincalume",COUNTIFS(Name,"Fascia",Length,3.5),0)&gt;0," "&amp;IF(FasciaType="Zincalume",COUNTIFS(Name,"Fascia",Length,3.5),0)&amp;"/3.5","")&amp;IF(IF(FasciaType="Zincalume",COUNTIFS(Name,"Fascia",Length,4),0)&gt;0," "&amp;IF(FasciaType="Zincalume",COUNTIFS(Name,"Fascia",Length,4),0)&amp;"/4","")&amp;IF(IF(FasciaType="Zincalume",COUNTIFS(Name,"Fascia",Length,4.5),0)&gt;0," "&amp;IF(FasciaType="Zincalume",COUNTIFS(Name,"Fascia",Length,4.5),0)&amp;"/4.5","")&amp;IF(IF(FasciaType="Zincalume",COUNTIFS(Name,"Fascia",Length,5),0)&gt;0," "&amp;IF(FasciaType="Zincalume",COUNTIFS(Name,"Fascia",Length,5),0)&amp;"/5","")&amp;IF(IF(FasciaType="Zincalume",COUNTIFS(Name,"Fascia",Length,5.5),0)&gt;0," "&amp;IF(FasciaType="Zincalume",COUNTIFS(Name,"Fascia",Length,5.5),0)&amp;"/5.5","")&amp;IF(IF(FasciaType="Zincalume",COUNTIFS(Name,"Fascia",Length,6),0)&gt;0," "&amp;IF(FasciaType="Zincalume",COUNTIFS(Name,"Fascia",Length,6),0)&amp;"/6","")&amp;IF(IF(FasciaType="Zincalume",COUNTIFS(Name,"Fascia",Length,6.5),0)&gt;0," "&amp;IF(FasciaType="Zincalume",COUNTIFS(Name,"Fascia",Length,6.5),0)&amp;"/6.5","")&amp;IF(IF(FasciaType="Zincalume",COUNTIFS(Name,"Fascia",Length,7),0)&gt;0," "&amp;IF(FasciaType="Zincalume",COUNTIFS(Name,"Fascia",Length,7),0)&amp;"/7","")&amp;IF(IF(FasciaType="Zincalume",COUNTIFS(Name,"Fascia",Length,7.5),0)&gt;0," "&amp;IF(FasciaType="Zincalume",COUNTIFS(Name,"Fascia",Length,7.5),0)&amp;"/7.5","")&amp;IF(IF(FasciaType="Zincalume",COUNTIFS(Name,"Fascia",Length,8),0)&gt;0," "&amp;IF(FasciaType="Zincalume",COUNTIFS(Name,"Fascia",Length,8),0)&amp;"/8",""),"")</f>
        <v/>
      </c>
      <c r="I2673" s="1207"/>
      <c r="J2673" s="1194" t="str">
        <f>IF(Table5[[#This Row],[Entered]]&lt;&gt;Table5[[#This Row],[Quantity]],"Check","")</f>
        <v/>
      </c>
    </row>
    <row r="2674" spans="1:10" ht="15" x14ac:dyDescent="0.2">
      <c r="A2674" s="1190" t="s">
        <v>1416</v>
      </c>
      <c r="B2674" s="1190" t="s">
        <v>1436</v>
      </c>
      <c r="C2674" s="1190" t="s">
        <v>2336</v>
      </c>
      <c r="D2674" s="1190">
        <f>40</f>
        <v>40</v>
      </c>
      <c r="E2674" s="1190">
        <v>1</v>
      </c>
      <c r="F2674" s="1191" t="str">
        <f>'Roof Formulas FF'!$B$43</f>
        <v>0</v>
      </c>
      <c r="G2674" s="1192"/>
      <c r="H2674" s="1193" t="s">
        <v>931</v>
      </c>
      <c r="I2674" s="1207"/>
      <c r="J2674" s="1194" t="str">
        <f>IF(Table5[[#This Row],[Entered]]&lt;&gt;Table5[[#This Row],[Quantity]],"Check","")</f>
        <v>Check</v>
      </c>
    </row>
    <row r="2675" spans="1:10" ht="15" x14ac:dyDescent="0.2">
      <c r="A2675" s="1190" t="s">
        <v>1416</v>
      </c>
      <c r="B2675" s="1190" t="s">
        <v>1436</v>
      </c>
      <c r="C2675" s="1190" t="s">
        <v>2336</v>
      </c>
      <c r="D2675" s="1190">
        <f>50</f>
        <v>50</v>
      </c>
      <c r="E2675" s="1190">
        <v>1</v>
      </c>
      <c r="F2675" s="1191" t="str">
        <f>'Roof Formulas FF'!D43</f>
        <v>0</v>
      </c>
      <c r="G2675" s="1192"/>
      <c r="H2675" s="1193" t="s">
        <v>1055</v>
      </c>
      <c r="I2675" s="1207"/>
      <c r="J2675" s="1194" t="str">
        <f>IF(Table5[[#This Row],[Entered]]&lt;&gt;Table5[[#This Row],[Quantity]],"Check","")</f>
        <v>Check</v>
      </c>
    </row>
    <row r="2676" spans="1:10" ht="15" x14ac:dyDescent="0.2">
      <c r="A2676" s="1190" t="s">
        <v>1416</v>
      </c>
      <c r="B2676" s="1190" t="s">
        <v>1436</v>
      </c>
      <c r="C2676" s="1190" t="s">
        <v>2336</v>
      </c>
      <c r="D2676" s="1190">
        <f>60</f>
        <v>60</v>
      </c>
      <c r="E2676" s="1190">
        <v>1</v>
      </c>
      <c r="F2676" s="1191">
        <f>IF(F2672&gt;0,COUNTIF('CSV FF'!A:A,"*FASCIA EXT CNR*"),0)</f>
        <v>0</v>
      </c>
      <c r="G2676" s="1192"/>
      <c r="H2676" s="1193" t="s">
        <v>1056</v>
      </c>
      <c r="I2676" s="1207"/>
      <c r="J2676" s="1194" t="str">
        <f>IF(Table5[[#This Row],[Entered]]&lt;&gt;Table5[[#This Row],[Quantity]],"Check","")</f>
        <v/>
      </c>
    </row>
    <row r="2677" spans="1:10" ht="15" x14ac:dyDescent="0.2">
      <c r="A2677" s="1190" t="s">
        <v>1416</v>
      </c>
      <c r="B2677" s="1190" t="s">
        <v>1436</v>
      </c>
      <c r="C2677" s="1190" t="s">
        <v>2336</v>
      </c>
      <c r="D2677" s="1190">
        <f>80</f>
        <v>80</v>
      </c>
      <c r="E2677" s="1190">
        <v>1</v>
      </c>
      <c r="F2677" s="1191">
        <f>IF(F2672&gt;0,COUNTIF('CSV FF'!A:A,"*FASCIA INT CNR*"),0)</f>
        <v>0</v>
      </c>
      <c r="G2677" s="1192"/>
      <c r="H2677" s="1193" t="s">
        <v>1057</v>
      </c>
      <c r="I2677" s="1207"/>
      <c r="J2677" s="1194" t="str">
        <f>IF(Table5[[#This Row],[Entered]]&lt;&gt;Table5[[#This Row],[Quantity]],"Check","")</f>
        <v/>
      </c>
    </row>
    <row r="2678" spans="1:10" ht="15" x14ac:dyDescent="0.2">
      <c r="A2678" s="1190" t="s">
        <v>1416</v>
      </c>
      <c r="B2678" s="1190" t="s">
        <v>1436</v>
      </c>
      <c r="C2678" s="1190" t="s">
        <v>876</v>
      </c>
      <c r="D2678" s="1190">
        <f>100</f>
        <v>100</v>
      </c>
      <c r="E2678" s="1190">
        <v>1</v>
      </c>
      <c r="F2678" s="1191"/>
      <c r="G2678" s="1192"/>
      <c r="H2678" s="1193" t="s">
        <v>1058</v>
      </c>
      <c r="I2678" s="1207"/>
      <c r="J2678" s="1194" t="str">
        <f>IF(Table5[[#This Row],[Entered]]&lt;&gt;Table5[[#This Row],[Quantity]],"Check","")</f>
        <v/>
      </c>
    </row>
    <row r="2679" spans="1:10" ht="15" x14ac:dyDescent="0.2">
      <c r="A2679" s="1190" t="s">
        <v>1416</v>
      </c>
      <c r="B2679" s="1190" t="s">
        <v>1436</v>
      </c>
      <c r="C2679" s="1190" t="s">
        <v>2336</v>
      </c>
      <c r="D2679" s="1190">
        <f>120</f>
        <v>120</v>
      </c>
      <c r="E2679" s="1190">
        <v>1</v>
      </c>
      <c r="F2679" s="1191">
        <f>COUNTIF('CSV FF'!A:A,"*FASCIA SLEEVE*")</f>
        <v>0</v>
      </c>
      <c r="G2679" s="1192"/>
      <c r="H2679" s="1193" t="s">
        <v>1059</v>
      </c>
      <c r="I2679" s="1207"/>
      <c r="J2679" s="1194" t="str">
        <f>IF(Table5[[#This Row],[Entered]]&lt;&gt;Table5[[#This Row],[Quantity]],"Check","")</f>
        <v/>
      </c>
    </row>
    <row r="2680" spans="1:10" ht="15" x14ac:dyDescent="0.2">
      <c r="A2680" s="1190" t="s">
        <v>1416</v>
      </c>
      <c r="B2680" s="1190" t="s">
        <v>1436</v>
      </c>
      <c r="C2680" s="1190" t="s">
        <v>876</v>
      </c>
      <c r="D2680" s="1190">
        <f>140</f>
        <v>140</v>
      </c>
      <c r="E2680" s="1190">
        <v>1</v>
      </c>
      <c r="F2680" s="1191"/>
      <c r="G2680" s="1192"/>
      <c r="H2680" s="1193" t="s">
        <v>1081</v>
      </c>
      <c r="I2680" s="1207"/>
      <c r="J2680" s="1194" t="str">
        <f>IF(Table5[[#This Row],[Entered]]&lt;&gt;Table5[[#This Row],[Quantity]],"Check","")</f>
        <v/>
      </c>
    </row>
    <row r="2681" spans="1:10" ht="15" x14ac:dyDescent="0.2">
      <c r="A2681" s="1190" t="s">
        <v>1416</v>
      </c>
      <c r="B2681" s="1190" t="s">
        <v>1436</v>
      </c>
      <c r="C2681" s="1190" t="s">
        <v>2336</v>
      </c>
      <c r="D2681" s="1190">
        <f>320</f>
        <v>320</v>
      </c>
      <c r="E2681" s="1190">
        <v>7</v>
      </c>
      <c r="F2681" s="1191" cm="1">
        <f t="array" ref="F2681">(IF(FasciaType="Colorbond",SUMPRODUCT(('CSV FF'!$A$2:$A$19767="Fascia")*('CSV FF'!$C$2:$C$19767)),0))</f>
        <v>0</v>
      </c>
      <c r="G2681" s="1192"/>
      <c r="H2681" s="1193" t="s">
        <v>969</v>
      </c>
      <c r="I2681" s="1207"/>
      <c r="J2681" s="1194" t="str">
        <f>IF(Table5[[#This Row],[Entered]]&lt;&gt;Table5[[#This Row],[Quantity]],"Check","")</f>
        <v/>
      </c>
    </row>
    <row r="2682" spans="1:10" ht="15" x14ac:dyDescent="0.2">
      <c r="A2682" s="1190" t="s">
        <v>1416</v>
      </c>
      <c r="B2682" s="1190" t="s">
        <v>1436</v>
      </c>
      <c r="C2682" s="1190" t="s">
        <v>2336</v>
      </c>
      <c r="D2682" s="1190" t="s">
        <v>663</v>
      </c>
      <c r="E2682" s="1190">
        <v>0</v>
      </c>
      <c r="F2682" s="1191">
        <f>IF(F2681&gt;0,1,0)</f>
        <v>0</v>
      </c>
      <c r="G2682" s="1192"/>
      <c r="H2682" s="1193" t="str">
        <f>IF(F2681&gt;0,"FASCIA "&amp;IF(IF(FasciaType="Colorbond",COUNTIFS('CSV FF'!A:A,"Fascia",'CSV FF'!C:C,1),0)&gt;0,IF(FasciaType="Colorbond",COUNTIFS('CSV FF'!A:A,"Fascia",'CSV FF'!C:C,1),0)&amp;"/1","")&amp;IF(IF(FasciaType="Colorbond",COUNTIFS('CSV FF'!A:A,"Fascia",'CSV FF'!C:C,1.5),0)&gt;0," "&amp;IF(FasciaType="Colorbond",COUNTIFS('CSV FF'!A:A,"Fascia",'CSV FF'!C:C,1.5),0)&amp;"/1.5","")&amp;IF(IF(FasciaType="Colorbond",COUNTIFS('CSV FF'!A:A,"Fascia",'CSV FF'!C:C,2),0)&gt;0," "&amp;IF(FasciaType="Colorbond",COUNTIFS('CSV FF'!A:A,"Fascia",'CSV FF'!C:C,2),0)&amp;"/2","")&amp;IF(IF(FasciaType="Colorbond",COUNTIFS('CSV FF'!A:A,"Fascia",'CSV FF'!C:C,2.5),0)&gt;0," "&amp;IF(FasciaType="Colorbond",COUNTIFS('CSV FF'!A:A,"Fascia",'CSV FF'!C:C,2.5),0)&amp;"/2.5","")&amp;IF(IF(FasciaType="Colorbond",COUNTIFS('CSV FF'!A:A,"Fascia",'CSV FF'!C:C,3),0)&gt;0," "&amp;IF(FasciaType="Colorbond",COUNTIFS('CSV FF'!A:A,"Fascia",'CSV FF'!C:C,3),0)&amp;"/3","")&amp;IF(IF(FasciaType="Colorbond",COUNTIFS('CSV FF'!A:A,"Fascia",'CSV FF'!C:C,3.5),0)&gt;0," "&amp;IF(FasciaType="Colorbond",COUNTIFS('CSV FF'!A:A,"Fascia",'CSV FF'!C:C,3.5),0)&amp;"/3.5","")&amp;IF(IF(FasciaType="Colorbond",COUNTIFS('CSV FF'!A:A,"Fascia",'CSV FF'!C:C,4),0)&gt;0," "&amp;IF(FasciaType="Colorbond",COUNTIFS('CSV FF'!A:A,"Fascia",'CSV FF'!C:C,4),0)&amp;"/4","")&amp;IF(IF(FasciaType="Colorbond",COUNTIFS('CSV FF'!A:A,"Fascia",'CSV FF'!C:C,4.5),0)&gt;0," "&amp;IF(FasciaType="Colorbond",COUNTIFS('CSV FF'!A:A,"Fascia",'CSV FF'!C:C,4.5),0)&amp;"/4.5","")&amp;IF(IF(FasciaType="Colorbond",COUNTIFS('CSV FF'!A:A,"Fascia",'CSV FF'!C:C,5),0)&gt;0," "&amp;IF(FasciaType="Colorbond",COUNTIFS('CSV FF'!A:A,"Fascia",'CSV FF'!C:C,5),0)&amp;"/5","")&amp;IF(IF(FasciaType="Colorbond",COUNTIFS('CSV FF'!A:A,"Fascia",'CSV FF'!C:C,5.5),0)&gt;0," "&amp;IF(FasciaType="Colorbond",COUNTIFS('CSV FF'!A:A,"Fascia",'CSV FF'!C:C,5.5),0)&amp;"/5.5","")&amp;IF(IF(FasciaType="Colorbond",COUNTIFS('CSV FF'!A:A,"Fascia",'CSV FF'!C:C,6),0)&gt;0," "&amp;IF(FasciaType="Colorbond",COUNTIFS('CSV FF'!A:A,"Fascia",'CSV FF'!C:C,6),0)&amp;"/6","")&amp;IF(IF(FasciaType="Colorbond",COUNTIFS('CSV FF'!A:A,"Fascia",'CSV FF'!C:C,6.5),0)&gt;0," "&amp;IF(FasciaType="Colorbond",COUNTIFS('CSV FF'!A:A,"Fascia",'CSV FF'!C:C,6.5),0)&amp;"/6.5","")&amp;IF(IF(FasciaType="Colorbond",COUNTIFS('CSV FF'!A:A,"Fascia",'CSV FF'!C:C,7),0)&gt;0," "&amp;IF(FasciaType="Colorbond",COUNTIFS('CSV FF'!A:A,"Fascia",'CSV FF'!C:C,7),0)&amp;"/7","")&amp;IF(IF(FasciaType="Colorbond",COUNTIFS('CSV FF'!A:A,"Fascia",'CSV FF'!C:C,7.5),0)&gt;0," "&amp;IF(FasciaType="Colorbond",COUNTIFS('CSV FF'!A:A,"Fascia",'CSV FF'!C:C,7.5),0)&amp;"/7.5","")&amp;IF(IF(FasciaType="Colorbond",COUNTIFS('CSV FF'!A:A,"Fascia",'CSV FF'!C:C,8),0)&gt;0," "&amp;IF(FasciaType="Colorbond",COUNTIFS('CSV FF'!A:A,"Fascia",'CSV FF'!C:C,8),0)&amp;"/8",""),"")</f>
        <v/>
      </c>
      <c r="I2682" s="1207"/>
      <c r="J2682" s="1194" t="str">
        <f>IF(Table5[[#This Row],[Entered]]&lt;&gt;Table5[[#This Row],[Quantity]],"Check","")</f>
        <v/>
      </c>
    </row>
    <row r="2683" spans="1:10" ht="15" x14ac:dyDescent="0.2">
      <c r="A2683" s="1190" t="s">
        <v>1416</v>
      </c>
      <c r="B2683" s="1190" t="s">
        <v>1436</v>
      </c>
      <c r="C2683" s="1190" t="s">
        <v>2336</v>
      </c>
      <c r="D2683" s="1190">
        <f>340</f>
        <v>340</v>
      </c>
      <c r="E2683" s="1190">
        <v>1</v>
      </c>
      <c r="F2683" s="1191">
        <f>IF(F2681&gt;0,COUNTIF('CSV FF'!A:A,"*FASCIA EXT CNR*"),0)</f>
        <v>0</v>
      </c>
      <c r="G2683" s="1192"/>
      <c r="H2683" s="1193" t="s">
        <v>1084</v>
      </c>
      <c r="I2683" s="1207"/>
      <c r="J2683" s="1194" t="str">
        <f>IF(Table5[[#This Row],[Entered]]&lt;&gt;Table5[[#This Row],[Quantity]],"Check","")</f>
        <v/>
      </c>
    </row>
    <row r="2684" spans="1:10" ht="15" x14ac:dyDescent="0.2">
      <c r="A2684" s="1190" t="s">
        <v>1416</v>
      </c>
      <c r="B2684" s="1190" t="s">
        <v>1436</v>
      </c>
      <c r="C2684" s="1190" t="s">
        <v>2336</v>
      </c>
      <c r="D2684" s="1190">
        <f>350</f>
        <v>350</v>
      </c>
      <c r="E2684" s="1190">
        <v>1</v>
      </c>
      <c r="F2684" s="1191"/>
      <c r="G2684" s="1192"/>
      <c r="H2684" s="1193" t="s">
        <v>1186</v>
      </c>
      <c r="I2684" s="1207"/>
      <c r="J2684" s="1194" t="str">
        <f>IF(Table5[[#This Row],[Entered]]&lt;&gt;Table5[[#This Row],[Quantity]],"Check","")</f>
        <v/>
      </c>
    </row>
    <row r="2685" spans="1:10" ht="15" x14ac:dyDescent="0.2">
      <c r="A2685" s="1190" t="s">
        <v>1416</v>
      </c>
      <c r="B2685" s="1190" t="s">
        <v>1436</v>
      </c>
      <c r="C2685" s="1190" t="s">
        <v>2336</v>
      </c>
      <c r="D2685" s="1190">
        <f>360</f>
        <v>360</v>
      </c>
      <c r="E2685" s="1190">
        <v>1</v>
      </c>
      <c r="F2685" s="1191">
        <f>IF(F2681&gt;0,COUNTIF('CSV FF'!A:A,"*FASCIA INT CNR*"),0)</f>
        <v>0</v>
      </c>
      <c r="G2685" s="1192"/>
      <c r="H2685" s="1193" t="s">
        <v>1085</v>
      </c>
      <c r="I2685" s="1207"/>
      <c r="J2685" s="1194" t="str">
        <f>IF(Table5[[#This Row],[Entered]]&lt;&gt;Table5[[#This Row],[Quantity]],"Check","")</f>
        <v/>
      </c>
    </row>
    <row r="2686" spans="1:10" ht="15" x14ac:dyDescent="0.2">
      <c r="A2686" s="1190" t="s">
        <v>1416</v>
      </c>
      <c r="B2686" s="1190" t="s">
        <v>1436</v>
      </c>
      <c r="C2686" s="1190" t="s">
        <v>2336</v>
      </c>
      <c r="D2686" s="1190">
        <f>400</f>
        <v>400</v>
      </c>
      <c r="E2686" s="1190" t="s">
        <v>1238</v>
      </c>
      <c r="F2686" s="1191">
        <f>IF(F2681&gt;0,1,0)</f>
        <v>0</v>
      </c>
      <c r="G2686" s="1192"/>
      <c r="H2686" s="1193" t="s">
        <v>1297</v>
      </c>
      <c r="I2686" s="1207"/>
      <c r="J2686" s="1194" t="str">
        <f>IF(Table5[[#This Row],[Entered]]&lt;&gt;Table5[[#This Row],[Quantity]],"Check","")</f>
        <v/>
      </c>
    </row>
    <row r="2687" spans="1:10" ht="15" x14ac:dyDescent="0.2">
      <c r="A2687" s="1190"/>
      <c r="B2687" s="1190"/>
      <c r="C2687" s="1190"/>
      <c r="D2687" s="1190"/>
      <c r="E2687" s="1190"/>
      <c r="F2687" s="1191"/>
      <c r="G2687" s="1192"/>
      <c r="H2687" s="1193"/>
      <c r="I2687" s="1207"/>
      <c r="J2687" s="1194" t="str">
        <f>IF(Table5[[#This Row],[Entered]]&lt;&gt;Table5[[#This Row],[Quantity]],"Check","")</f>
        <v/>
      </c>
    </row>
    <row r="2688" spans="1:10" ht="15" x14ac:dyDescent="0.2">
      <c r="A2688" s="1190" t="s">
        <v>1416</v>
      </c>
      <c r="B2688" s="1190" t="s">
        <v>1417</v>
      </c>
      <c r="C2688" s="1190" t="s">
        <v>932</v>
      </c>
      <c r="D2688" s="1190">
        <f>40</f>
        <v>40</v>
      </c>
      <c r="E2688" s="1190">
        <v>8</v>
      </c>
      <c r="F2688" s="1191">
        <f>CEILING(FF_Roof_Area,0.1)</f>
        <v>0</v>
      </c>
      <c r="G2688" s="1192"/>
      <c r="H2688" s="1193" t="s">
        <v>933</v>
      </c>
      <c r="I2688" s="1207"/>
      <c r="J2688" s="1194" t="str">
        <f>IF(Table5[[#This Row],[Entered]]&lt;&gt;Table5[[#This Row],[Quantity]],"Check","")</f>
        <v/>
      </c>
    </row>
    <row r="2689" spans="1:10" ht="15" x14ac:dyDescent="0.2">
      <c r="A2689" s="1190" t="s">
        <v>1416</v>
      </c>
      <c r="B2689" s="1190" t="s">
        <v>1417</v>
      </c>
      <c r="C2689" s="1190" t="s">
        <v>932</v>
      </c>
      <c r="D2689" s="1190">
        <f>50</f>
        <v>50</v>
      </c>
      <c r="E2689" s="1190">
        <v>8</v>
      </c>
      <c r="F2689" s="1191">
        <f>IF(Roof_Type="Tiled Roof",CEILING(FF_Area,0.1),0)</f>
        <v>0</v>
      </c>
      <c r="G2689" s="1192"/>
      <c r="H2689" s="1193" t="s">
        <v>1237</v>
      </c>
      <c r="I2689" s="1207"/>
      <c r="J2689" s="1194" t="str">
        <f>IF(Table5[[#This Row],[Entered]]&lt;&gt;Table5[[#This Row],[Quantity]],"Check","")</f>
        <v/>
      </c>
    </row>
    <row r="2690" spans="1:10" ht="15" x14ac:dyDescent="0.2">
      <c r="A2690" s="1190" t="s">
        <v>1416</v>
      </c>
      <c r="B2690" s="1190" t="s">
        <v>1417</v>
      </c>
      <c r="C2690" s="1190" t="s">
        <v>932</v>
      </c>
      <c r="D2690" s="1190">
        <f>65</f>
        <v>65</v>
      </c>
      <c r="E2690" s="1190">
        <v>8</v>
      </c>
      <c r="F2690" s="1191">
        <f>ROUND(SUMIF(NameFF,"Raked Ceiling*",'CSV FF'!$F:$F),0)</f>
        <v>0</v>
      </c>
      <c r="G2690" s="1192"/>
      <c r="H2690" s="1193" t="s">
        <v>975</v>
      </c>
      <c r="I2690" s="1207"/>
      <c r="J2690" s="1194" t="str">
        <f>IF(Table5[[#This Row],[Entered]]&lt;&gt;Table5[[#This Row],[Quantity]],"Check","")</f>
        <v/>
      </c>
    </row>
    <row r="2691" spans="1:10" ht="15" x14ac:dyDescent="0.2">
      <c r="A2691" s="1190" t="s">
        <v>1416</v>
      </c>
      <c r="B2691" s="1190" t="s">
        <v>1417</v>
      </c>
      <c r="C2691" s="1190" t="s">
        <v>932</v>
      </c>
      <c r="D2691" s="1190">
        <f>70</f>
        <v>70</v>
      </c>
      <c r="E2691" s="1190">
        <v>1</v>
      </c>
      <c r="F2691" s="1191">
        <v>0</v>
      </c>
      <c r="G2691" s="1192"/>
      <c r="H2691" s="1193" t="s">
        <v>976</v>
      </c>
      <c r="I2691" s="1207"/>
      <c r="J2691" s="1194" t="str">
        <f>IF(Table5[[#This Row],[Entered]]&lt;&gt;Table5[[#This Row],[Quantity]],"Check","")</f>
        <v/>
      </c>
    </row>
    <row r="2692" spans="1:10" ht="15" x14ac:dyDescent="0.2">
      <c r="A2692" s="1190" t="s">
        <v>1416</v>
      </c>
      <c r="B2692" s="1190" t="s">
        <v>1417</v>
      </c>
      <c r="C2692" s="1190" t="s">
        <v>932</v>
      </c>
      <c r="D2692" s="1190">
        <f>80</f>
        <v>80</v>
      </c>
      <c r="E2692" s="1190">
        <v>1</v>
      </c>
      <c r="F2692" s="1191">
        <f>COUNTIF('CSV FF'!A:A,"*HIP/VALLEY*")+COUNTIF('CSV FF'!A:A,"*FASCIA EXT CNR*")+COUNTIF('CSV FF'!A:A,"*FASCIA INT CNR*")</f>
        <v>0</v>
      </c>
      <c r="G2692" s="1192"/>
      <c r="H2692" s="1193" t="s">
        <v>1298</v>
      </c>
      <c r="I2692" s="1207"/>
      <c r="J2692" s="1194" t="str">
        <f>IF(Table5[[#This Row],[Entered]]&lt;&gt;Table5[[#This Row],[Quantity]],"Check","")</f>
        <v/>
      </c>
    </row>
    <row r="2693" spans="1:10" ht="15" x14ac:dyDescent="0.2">
      <c r="A2693" s="1190" t="s">
        <v>1416</v>
      </c>
      <c r="B2693" s="1190" t="s">
        <v>1417</v>
      </c>
      <c r="C2693" s="1190" t="s">
        <v>932</v>
      </c>
      <c r="D2693" s="1190">
        <f>100</f>
        <v>100</v>
      </c>
      <c r="E2693" s="1190">
        <v>7</v>
      </c>
      <c r="F2693" s="1191">
        <f>ROUNDUP(SUMIF('CSV FF'!A:A,"Steel Beam",'CSV FF'!C:C)+SUMIF('CSV FF'!A:A,"LVL Beam",'CSV FF'!C:C),1)</f>
        <v>0</v>
      </c>
      <c r="G2693" s="1192"/>
      <c r="H2693" s="1193" t="s">
        <v>934</v>
      </c>
      <c r="I2693" s="1207"/>
      <c r="J2693" s="1194" t="str">
        <f>IF(Table5[[#This Row],[Entered]]&lt;&gt;Table5[[#This Row],[Quantity]],"Check","")</f>
        <v/>
      </c>
    </row>
    <row r="2694" spans="1:10" ht="15" x14ac:dyDescent="0.2">
      <c r="A2694" s="1190" t="s">
        <v>1416</v>
      </c>
      <c r="B2694" s="1190" t="s">
        <v>1417</v>
      </c>
      <c r="C2694" s="1190" t="s">
        <v>932</v>
      </c>
      <c r="D2694" s="1190">
        <f>120</f>
        <v>120</v>
      </c>
      <c r="E2694" s="1190">
        <v>7</v>
      </c>
      <c r="F2694" s="1191">
        <f>SUMIF('CSV FF'!A:A,"Barge",'CSV FF'!C:C)</f>
        <v>0</v>
      </c>
      <c r="G2694" s="1192"/>
      <c r="H2694" s="1193" t="s">
        <v>971</v>
      </c>
      <c r="I2694" s="1207"/>
      <c r="J2694" s="1194" t="str">
        <f>IF(Table5[[#This Row],[Entered]]&lt;&gt;Table5[[#This Row],[Quantity]],"Check","")</f>
        <v/>
      </c>
    </row>
    <row r="2695" spans="1:10" ht="15" x14ac:dyDescent="0.2">
      <c r="A2695" s="1190" t="s">
        <v>1416</v>
      </c>
      <c r="B2695" s="1190" t="s">
        <v>1417</v>
      </c>
      <c r="C2695" s="1190" t="s">
        <v>932</v>
      </c>
      <c r="D2695" s="1190">
        <f>121</f>
        <v>121</v>
      </c>
      <c r="E2695" s="1190"/>
      <c r="F2695" s="1191">
        <v>0</v>
      </c>
      <c r="G2695" s="1192"/>
      <c r="H2695" s="1193" t="s">
        <v>1060</v>
      </c>
      <c r="I2695" s="1207"/>
      <c r="J2695" s="1194" t="str">
        <f>IF(Table5[[#This Row],[Entered]]&lt;&gt;Table5[[#This Row],[Quantity]],"Check","")</f>
        <v/>
      </c>
    </row>
    <row r="2696" spans="1:10" ht="15" x14ac:dyDescent="0.2">
      <c r="A2696" s="1190" t="s">
        <v>1416</v>
      </c>
      <c r="B2696" s="1190" t="s">
        <v>1417</v>
      </c>
      <c r="C2696" s="1190" t="s">
        <v>932</v>
      </c>
      <c r="D2696" s="1190">
        <f>140</f>
        <v>140</v>
      </c>
      <c r="E2696" s="1190">
        <v>1</v>
      </c>
      <c r="F2696" s="1191">
        <f>COUNTIFS('CSV FF'!A:A,"Posts",'CSV FF'!B:B,"Timber 90")+COUNTIFS('CSV FF'!A:A,"Posts",'CSV FF'!B:B,"Timber 112")+COUNTIFS('CSV FF'!A:A,"Posts",'CSV FF'!B:B,"Steel")</f>
        <v>0</v>
      </c>
      <c r="G2696" s="1192"/>
      <c r="H2696" s="1193" t="s">
        <v>1299</v>
      </c>
      <c r="I2696" s="1207"/>
      <c r="J2696" s="1194" t="str">
        <f>IF(Table5[[#This Row],[Entered]]&lt;&gt;Table5[[#This Row],[Quantity]],"Check","")</f>
        <v/>
      </c>
    </row>
    <row r="2697" spans="1:10" ht="15" x14ac:dyDescent="0.2">
      <c r="A2697" s="1190" t="s">
        <v>1416</v>
      </c>
      <c r="B2697" s="1190" t="s">
        <v>1417</v>
      </c>
      <c r="C2697" s="1190" t="s">
        <v>932</v>
      </c>
      <c r="D2697" s="1190">
        <f>141</f>
        <v>141</v>
      </c>
      <c r="E2697" s="1190">
        <v>1</v>
      </c>
      <c r="F2697" s="1191">
        <f>COUNTIFS('CSV FF'!A:A,"Posts",'CSV FF'!B:B,"Steel 125")+COUNTIFS('CSV FF'!A:A,"Posts",'CSV FF'!B:B,"Timber 120")</f>
        <v>0</v>
      </c>
      <c r="G2697" s="1192"/>
      <c r="H2697" s="1193" t="s">
        <v>935</v>
      </c>
      <c r="I2697" s="1207"/>
      <c r="J2697" s="1194" t="str">
        <f>IF(Table5[[#This Row],[Entered]]&lt;&gt;Table5[[#This Row],[Quantity]],"Check","")</f>
        <v/>
      </c>
    </row>
    <row r="2698" spans="1:10" ht="15" x14ac:dyDescent="0.2">
      <c r="A2698" s="1190" t="s">
        <v>1416</v>
      </c>
      <c r="B2698" s="1190" t="s">
        <v>1417</v>
      </c>
      <c r="C2698" s="1190" t="s">
        <v>932</v>
      </c>
      <c r="D2698" s="1190">
        <f>145</f>
        <v>145</v>
      </c>
      <c r="E2698" s="1190">
        <v>1</v>
      </c>
      <c r="F2698" s="1191">
        <f>COUNTIFS('CSV FF'!A:A,"Posts",'CSV FF'!B:B,"Bush")</f>
        <v>0</v>
      </c>
      <c r="G2698" s="1192"/>
      <c r="H2698" s="1193" t="s">
        <v>1038</v>
      </c>
      <c r="I2698" s="1207"/>
      <c r="J2698" s="1194" t="str">
        <f>IF(Table5[[#This Row],[Entered]]&lt;&gt;Table5[[#This Row],[Quantity]],"Check","")</f>
        <v/>
      </c>
    </row>
    <row r="2699" spans="1:10" ht="15" x14ac:dyDescent="0.2">
      <c r="A2699" s="1190" t="s">
        <v>1416</v>
      </c>
      <c r="B2699" s="1190" t="s">
        <v>1417</v>
      </c>
      <c r="C2699" s="1190" t="s">
        <v>932</v>
      </c>
      <c r="D2699" s="1190">
        <f>200</f>
        <v>200</v>
      </c>
      <c r="E2699" s="1190">
        <v>1</v>
      </c>
      <c r="F2699" s="1191">
        <f>COUNTIF('CSV FF'!A:A,"Gable")</f>
        <v>0</v>
      </c>
      <c r="G2699" s="1192"/>
      <c r="H2699" s="1193" t="s">
        <v>1167</v>
      </c>
      <c r="I2699" s="1207"/>
      <c r="J2699" s="1194" t="str">
        <f>IF(Table5[[#This Row],[Entered]]&lt;&gt;Table5[[#This Row],[Quantity]],"Check","")</f>
        <v/>
      </c>
    </row>
    <row r="2700" spans="1:10" ht="15" x14ac:dyDescent="0.2">
      <c r="A2700" s="1190" t="s">
        <v>1416</v>
      </c>
      <c r="B2700" s="1190" t="s">
        <v>1417</v>
      </c>
      <c r="C2700" s="1190" t="s">
        <v>932</v>
      </c>
      <c r="D2700" s="1190">
        <f>202</f>
        <v>202</v>
      </c>
      <c r="E2700" s="1190">
        <v>1</v>
      </c>
      <c r="F2700" s="1191">
        <f>COUNTIF('CSV FF'!A:A,"Gable")</f>
        <v>0</v>
      </c>
      <c r="G2700" s="1192"/>
      <c r="H2700" s="1193" t="s">
        <v>1225</v>
      </c>
      <c r="I2700" s="1207"/>
      <c r="J2700" s="1194" t="str">
        <f>IF(Table5[[#This Row],[Entered]]&lt;&gt;Table5[[#This Row],[Quantity]],"Check","")</f>
        <v/>
      </c>
    </row>
    <row r="2701" spans="1:10" ht="15" x14ac:dyDescent="0.2">
      <c r="A2701" s="1190" t="s">
        <v>1416</v>
      </c>
      <c r="B2701" s="1190" t="s">
        <v>1417</v>
      </c>
      <c r="C2701" s="1190" t="s">
        <v>932</v>
      </c>
      <c r="D2701" s="1190">
        <f>260</f>
        <v>260</v>
      </c>
      <c r="E2701" s="1190">
        <v>8</v>
      </c>
      <c r="F2701" s="1191">
        <f>IF('Data Sheet'!$B$14="Steel Roof",F2688,0)</f>
        <v>0</v>
      </c>
      <c r="G2701" s="1192"/>
      <c r="H2701" s="1193" t="s">
        <v>936</v>
      </c>
      <c r="I2701" s="1207"/>
      <c r="J2701" s="1194" t="str">
        <f>IF(Table5[[#This Row],[Entered]]&lt;&gt;Table5[[#This Row],[Quantity]],"Check","")</f>
        <v/>
      </c>
    </row>
    <row r="2702" spans="1:10" ht="15" x14ac:dyDescent="0.2">
      <c r="A2702" s="1190" t="s">
        <v>1416</v>
      </c>
      <c r="B2702" s="1190" t="s">
        <v>1417</v>
      </c>
      <c r="C2702" s="1190" t="s">
        <v>932</v>
      </c>
      <c r="D2702" s="1190">
        <f>261</f>
        <v>261</v>
      </c>
      <c r="E2702" s="1190">
        <v>1</v>
      </c>
      <c r="F2702" s="1191">
        <f>IF(FF_Area&gt;0,IF('Data Sheet'!$B$14="Steel Roof",1,0),0)</f>
        <v>0</v>
      </c>
      <c r="G2702" s="1192"/>
      <c r="H2702" s="1193" t="s">
        <v>937</v>
      </c>
      <c r="I2702" s="1207"/>
      <c r="J2702" s="1194" t="str">
        <f>IF(Table5[[#This Row],[Entered]]&lt;&gt;Table5[[#This Row],[Quantity]],"Check","")</f>
        <v/>
      </c>
    </row>
    <row r="2703" spans="1:10" ht="15" x14ac:dyDescent="0.2">
      <c r="A2703" s="1190" t="s">
        <v>1416</v>
      </c>
      <c r="B2703" s="1190" t="s">
        <v>1417</v>
      </c>
      <c r="C2703" s="1190" t="s">
        <v>932</v>
      </c>
      <c r="D2703" s="1190">
        <f>280</f>
        <v>280</v>
      </c>
      <c r="E2703" s="1190">
        <v>8</v>
      </c>
      <c r="F2703" s="1191">
        <f>CEILING('Data Sheet'!D11+'Data Sheet'!D12,0.1)</f>
        <v>0</v>
      </c>
      <c r="G2703" s="1192"/>
      <c r="H2703" s="1193" t="s">
        <v>938</v>
      </c>
      <c r="I2703" s="1207"/>
      <c r="J2703" s="1194" t="str">
        <f>IF(Table5[[#This Row],[Entered]]&lt;&gt;Table5[[#This Row],[Quantity]],"Check","")</f>
        <v/>
      </c>
    </row>
    <row r="2704" spans="1:10" ht="15" x14ac:dyDescent="0.2">
      <c r="A2704" s="1190" t="s">
        <v>1416</v>
      </c>
      <c r="B2704" s="1190" t="s">
        <v>1417</v>
      </c>
      <c r="C2704" s="1190" t="s">
        <v>932</v>
      </c>
      <c r="D2704" s="1190">
        <f>300</f>
        <v>300</v>
      </c>
      <c r="E2704" s="1190">
        <v>8</v>
      </c>
      <c r="F2704" s="1191" cm="1">
        <f t="array" ref="F2704">ROUNDUP(SUMPRODUCT(--('CSV FF'!A:A="Reverse Brick Veneer"),'CSV FF'!C:C,SUMIF(Lists!$T$2:$T$150,'CSV FF'!E:E,Lists!$W$2:$W$150))/1000,1)+ROUNDUP(SUMPRODUCT(--('CSV FF'!A:A="Studwork"),'CSV FF'!C:C,SUMIF(Lists!$T$2:$T$150,'CSV FF'!E:E,Lists!$W$2:$W$150))/1000,1)</f>
        <v>0</v>
      </c>
      <c r="G2704" s="1192"/>
      <c r="H2704" s="1193" t="s">
        <v>1341</v>
      </c>
      <c r="I2704" s="1207"/>
      <c r="J2704" s="1194" t="str">
        <f>IF(Table5[[#This Row],[Entered]]&lt;&gt;Table5[[#This Row],[Quantity]],"Check","")</f>
        <v/>
      </c>
    </row>
    <row r="2705" spans="1:10" ht="15" x14ac:dyDescent="0.2">
      <c r="A2705" s="1190" t="s">
        <v>1416</v>
      </c>
      <c r="B2705" s="1190" t="s">
        <v>1417</v>
      </c>
      <c r="C2705" s="1190" t="s">
        <v>932</v>
      </c>
      <c r="D2705" s="1190">
        <f>301</f>
        <v>301</v>
      </c>
      <c r="E2705" s="1190">
        <v>8</v>
      </c>
      <c r="F2705" s="1191"/>
      <c r="G2705" s="1192"/>
      <c r="H2705" s="1193" t="s">
        <v>1340</v>
      </c>
      <c r="I2705" s="1207"/>
      <c r="J2705" s="1194" t="str">
        <f>IF(Table5[[#This Row],[Entered]]&lt;&gt;Table5[[#This Row],[Quantity]],"Check","")</f>
        <v/>
      </c>
    </row>
    <row r="2706" spans="1:10" ht="15" x14ac:dyDescent="0.2">
      <c r="A2706" s="1190" t="s">
        <v>1416</v>
      </c>
      <c r="B2706" s="1190" t="s">
        <v>1417</v>
      </c>
      <c r="C2706" s="1190" t="s">
        <v>932</v>
      </c>
      <c r="D2706" s="1190">
        <f>302</f>
        <v>302</v>
      </c>
      <c r="E2706" s="1190">
        <v>8</v>
      </c>
      <c r="F2706" s="1191">
        <f>IF(OR(Brick_type="Timber Frame",Brick_type="Reverse Brick Veneer"),'Plaster Ceilings Insulation'!J27,0)</f>
        <v>0</v>
      </c>
      <c r="G2706" s="1192"/>
      <c r="H2706" s="1193" t="s">
        <v>939</v>
      </c>
      <c r="I2706" s="1207"/>
      <c r="J2706" s="1194" t="str">
        <f>IF(Table5[[#This Row],[Entered]]&lt;&gt;Table5[[#This Row],[Quantity]],"Check","")</f>
        <v/>
      </c>
    </row>
    <row r="2707" spans="1:10" ht="15" x14ac:dyDescent="0.2">
      <c r="A2707" s="1190" t="s">
        <v>1416</v>
      </c>
      <c r="B2707" s="1190" t="s">
        <v>1417</v>
      </c>
      <c r="C2707" s="1190" t="s">
        <v>932</v>
      </c>
      <c r="D2707" s="1190">
        <f>303</f>
        <v>303</v>
      </c>
      <c r="E2707" s="1190">
        <v>8</v>
      </c>
      <c r="F2707" s="1191"/>
      <c r="G2707" s="1192"/>
      <c r="H2707" s="1193" t="s">
        <v>944</v>
      </c>
      <c r="I2707" s="1207"/>
      <c r="J2707" s="1194" t="str">
        <f>IF(Table5[[#This Row],[Entered]]&lt;&gt;Table5[[#This Row],[Quantity]],"Check","")</f>
        <v/>
      </c>
    </row>
    <row r="2708" spans="1:10" ht="15" x14ac:dyDescent="0.2">
      <c r="A2708" s="1190" t="s">
        <v>1416</v>
      </c>
      <c r="B2708" s="1190" t="s">
        <v>1417</v>
      </c>
      <c r="C2708" s="1190" t="s">
        <v>932</v>
      </c>
      <c r="D2708" s="1190">
        <f>310</f>
        <v>310</v>
      </c>
      <c r="E2708" s="1190">
        <v>1</v>
      </c>
      <c r="F2708" s="1191"/>
      <c r="G2708" s="1192"/>
      <c r="H2708" s="1193" t="s">
        <v>1300</v>
      </c>
      <c r="I2708" s="1207"/>
      <c r="J2708" s="1194" t="str">
        <f>IF(Table5[[#This Row],[Entered]]&lt;&gt;Table5[[#This Row],[Quantity]],"Check","")</f>
        <v/>
      </c>
    </row>
    <row r="2709" spans="1:10" ht="15" x14ac:dyDescent="0.2">
      <c r="A2709" s="1190" t="s">
        <v>1416</v>
      </c>
      <c r="B2709" s="1190" t="s">
        <v>1417</v>
      </c>
      <c r="C2709" s="1190" t="s">
        <v>932</v>
      </c>
      <c r="D2709" s="1190">
        <f>311</f>
        <v>311</v>
      </c>
      <c r="E2709" s="1190">
        <v>8</v>
      </c>
      <c r="F2709" s="1191">
        <f>F2688</f>
        <v>0</v>
      </c>
      <c r="G2709" s="1192"/>
      <c r="H2709" s="1193" t="s">
        <v>1368</v>
      </c>
      <c r="I2709" s="1207"/>
      <c r="J2709" s="1194" t="str">
        <f>IF(Table5[[#This Row],[Entered]]&lt;&gt;Table5[[#This Row],[Quantity]],"Check","")</f>
        <v/>
      </c>
    </row>
    <row r="2710" spans="1:10" ht="15" x14ac:dyDescent="0.2">
      <c r="A2710" s="1190" t="s">
        <v>1416</v>
      </c>
      <c r="B2710" s="1190" t="s">
        <v>1417</v>
      </c>
      <c r="C2710" s="1190" t="s">
        <v>932</v>
      </c>
      <c r="D2710" s="1190">
        <f>320</f>
        <v>320</v>
      </c>
      <c r="E2710" s="1190">
        <v>7</v>
      </c>
      <c r="F2710" s="1191">
        <f>ROUNDUP('Roof Formulas FF'!$B$10,1)</f>
        <v>0</v>
      </c>
      <c r="G2710" s="1192"/>
      <c r="H2710" s="1193" t="s">
        <v>940</v>
      </c>
      <c r="I2710" s="1207"/>
      <c r="J2710" s="1194" t="str">
        <f>IF(Table5[[#This Row],[Entered]]&lt;&gt;Table5[[#This Row],[Quantity]],"Check","")</f>
        <v/>
      </c>
    </row>
    <row r="2711" spans="1:10" ht="15" x14ac:dyDescent="0.2">
      <c r="A2711" s="1190" t="s">
        <v>1416</v>
      </c>
      <c r="B2711" s="1190" t="s">
        <v>1417</v>
      </c>
      <c r="C2711" s="1190" t="s">
        <v>932</v>
      </c>
      <c r="D2711" s="1190">
        <f>363</f>
        <v>363</v>
      </c>
      <c r="E2711" s="1190">
        <v>7</v>
      </c>
      <c r="F2711" s="1191">
        <f>ROUND('Brickwork FF'!$P$72/1000,1)</f>
        <v>0</v>
      </c>
      <c r="G2711" s="1192"/>
      <c r="H2711" s="1193" t="s">
        <v>941</v>
      </c>
      <c r="I2711" s="1207"/>
      <c r="J2711" s="1194" t="str">
        <f>IF(Table5[[#This Row],[Entered]]&lt;&gt;Table5[[#This Row],[Quantity]],"Check","")</f>
        <v/>
      </c>
    </row>
    <row r="2712" spans="1:10" ht="15" x14ac:dyDescent="0.2">
      <c r="A2712" s="1190" t="s">
        <v>1416</v>
      </c>
      <c r="B2712" s="1190" t="s">
        <v>1417</v>
      </c>
      <c r="C2712" s="1190" t="s">
        <v>932</v>
      </c>
      <c r="D2712" s="1190">
        <f>365</f>
        <v>365</v>
      </c>
      <c r="E2712" s="1190">
        <v>1</v>
      </c>
      <c r="F2712" s="1191">
        <f>IF(AND('Brickwork FF'!$P$73/1000&gt;0,'Brickwork FF'!$P$73/1000&lt;10),1,0)</f>
        <v>0</v>
      </c>
      <c r="G2712" s="1192"/>
      <c r="H2712" s="1193" t="s">
        <v>942</v>
      </c>
      <c r="I2712" s="1207"/>
      <c r="J2712" s="1194" t="str">
        <f>IF(Table5[[#This Row],[Entered]]&lt;&gt;Table5[[#This Row],[Quantity]],"Check","")</f>
        <v/>
      </c>
    </row>
    <row r="2713" spans="1:10" ht="15" x14ac:dyDescent="0.2">
      <c r="A2713" s="1190" t="s">
        <v>1416</v>
      </c>
      <c r="B2713" s="1190" t="s">
        <v>1417</v>
      </c>
      <c r="C2713" s="1190" t="s">
        <v>932</v>
      </c>
      <c r="D2713" s="1190">
        <f>366</f>
        <v>366</v>
      </c>
      <c r="E2713" s="1190">
        <v>7</v>
      </c>
      <c r="F2713" s="1191">
        <f>ROUND(IF(AND('Brickwork FF'!$P$73/1000&gt;0,'Brickwork FF'!$P$73/1000&gt;10),'Brickwork FF'!$P$73/1000,0),1)</f>
        <v>0</v>
      </c>
      <c r="G2713" s="1192"/>
      <c r="H2713" s="1193" t="s">
        <v>943</v>
      </c>
      <c r="I2713" s="1207"/>
      <c r="J2713" s="1194" t="str">
        <f>IF(Table5[[#This Row],[Entered]]&lt;&gt;Table5[[#This Row],[Quantity]],"Check","")</f>
        <v/>
      </c>
    </row>
    <row r="2714" spans="1:10" ht="15" x14ac:dyDescent="0.2">
      <c r="A2714" s="1190" t="s">
        <v>1416</v>
      </c>
      <c r="B2714" s="1190" t="s">
        <v>1417</v>
      </c>
      <c r="C2714" s="1190" t="s">
        <v>932</v>
      </c>
      <c r="D2714" s="1190">
        <f>370</f>
        <v>370</v>
      </c>
      <c r="E2714" s="1190">
        <v>1</v>
      </c>
      <c r="F2714" s="1191">
        <f>COUNTIF('CSV FF'!A:A,"Rec. Ceiling")</f>
        <v>0</v>
      </c>
      <c r="G2714" s="1192"/>
      <c r="H2714" s="1193" t="s">
        <v>972</v>
      </c>
      <c r="I2714" s="1207"/>
      <c r="J2714" s="1194" t="str">
        <f>IF(Table5[[#This Row],[Entered]]&lt;&gt;Table5[[#This Row],[Quantity]],"Check","")</f>
        <v/>
      </c>
    </row>
    <row r="2715" spans="1:10" ht="15" x14ac:dyDescent="0.2">
      <c r="A2715" s="1190" t="s">
        <v>1416</v>
      </c>
      <c r="B2715" s="1190" t="s">
        <v>1417</v>
      </c>
      <c r="C2715" s="1190" t="s">
        <v>932</v>
      </c>
      <c r="D2715" s="1190">
        <f>372</f>
        <v>372</v>
      </c>
      <c r="E2715" s="1190">
        <v>7</v>
      </c>
      <c r="F2715" s="1191"/>
      <c r="G2715" s="1192"/>
      <c r="H2715" s="1193" t="s">
        <v>977</v>
      </c>
      <c r="I2715" s="1207"/>
      <c r="J2715" s="1194" t="str">
        <f>IF(Table5[[#This Row],[Entered]]&lt;&gt;Table5[[#This Row],[Quantity]],"Check","")</f>
        <v/>
      </c>
    </row>
    <row r="2716" spans="1:10" ht="15" x14ac:dyDescent="0.2">
      <c r="A2716" s="1190" t="s">
        <v>1416</v>
      </c>
      <c r="B2716" s="1190" t="s">
        <v>1417</v>
      </c>
      <c r="C2716" s="1190" t="s">
        <v>932</v>
      </c>
      <c r="D2716" s="1190">
        <f>375</f>
        <v>375</v>
      </c>
      <c r="E2716" s="1190">
        <v>1</v>
      </c>
      <c r="F2716" s="1191"/>
      <c r="G2716" s="1192"/>
      <c r="H2716" s="1193" t="s">
        <v>973</v>
      </c>
      <c r="I2716" s="1207"/>
      <c r="J2716" s="1194" t="str">
        <f>IF(Table5[[#This Row],[Entered]]&lt;&gt;Table5[[#This Row],[Quantity]],"Check","")</f>
        <v/>
      </c>
    </row>
    <row r="2717" spans="1:10" ht="15" x14ac:dyDescent="0.2">
      <c r="A2717" s="1190" t="s">
        <v>1416</v>
      </c>
      <c r="B2717" s="1190" t="s">
        <v>1417</v>
      </c>
      <c r="C2717" s="1190" t="s">
        <v>932</v>
      </c>
      <c r="D2717" s="1190">
        <f>401</f>
        <v>401</v>
      </c>
      <c r="E2717" s="1190">
        <v>8</v>
      </c>
      <c r="F2717" s="1191">
        <f>FF_Roof_Area</f>
        <v>0</v>
      </c>
      <c r="G2717" s="1192"/>
      <c r="H2717" s="1193" t="s">
        <v>1132</v>
      </c>
      <c r="I2717" s="1207"/>
      <c r="J2717" s="1194" t="str">
        <f>IF(Table5[[#This Row],[Entered]]&lt;&gt;Table5[[#This Row],[Quantity]],"Check","")</f>
        <v/>
      </c>
    </row>
    <row r="2718" spans="1:10" ht="15" x14ac:dyDescent="0.2">
      <c r="A2718" s="1190" t="s">
        <v>1416</v>
      </c>
      <c r="B2718" s="1190" t="s">
        <v>1417</v>
      </c>
      <c r="C2718" s="1190" t="s">
        <v>932</v>
      </c>
      <c r="D2718" s="1190">
        <f>410</f>
        <v>410</v>
      </c>
      <c r="E2718" s="1190">
        <v>1</v>
      </c>
      <c r="F2718" s="1191">
        <f>IF(FF_Area&gt;0,IF(Coastal="Yes",1,0),0)</f>
        <v>0</v>
      </c>
      <c r="G2718" s="1192"/>
      <c r="H2718" s="1193" t="s">
        <v>1432</v>
      </c>
      <c r="I2718" s="1207"/>
      <c r="J2718" s="1194" t="str">
        <f>IF(Table5[[#This Row],[Entered]]&lt;&gt;Table5[[#This Row],[Quantity]],"Check","")</f>
        <v/>
      </c>
    </row>
    <row r="2719" spans="1:10" ht="15" x14ac:dyDescent="0.2">
      <c r="A2719" s="1190" t="s">
        <v>1381</v>
      </c>
      <c r="B2719" s="1190" t="s">
        <v>1417</v>
      </c>
      <c r="C2719" s="1190" t="s">
        <v>932</v>
      </c>
      <c r="D2719" s="1190">
        <f>650</f>
        <v>650</v>
      </c>
      <c r="E2719" s="1190">
        <v>7</v>
      </c>
      <c r="F2719" s="1191">
        <f>IF(OR(Brick_typeFF="Timber Frame",Brick_typeFF="Brick Veneer"),ROUNDUP(('Brickwork FF'!$F$4+'Brickwork FF'!$F$69)/1000,1),IF(Brick_type="Reverse Brick Veneer",ROUNDUP(('Brickwork FF'!$F$4)/1000,1),0))</f>
        <v>0</v>
      </c>
      <c r="G2719" s="1192"/>
      <c r="H2719" s="1193" t="s">
        <v>1722</v>
      </c>
      <c r="I2719" s="1207"/>
      <c r="J2719" s="1194" t="str">
        <f>IF(Table5[[#This Row],[Entered]]&lt;&gt;Table5[[#This Row],[Quantity]],"Check","")</f>
        <v/>
      </c>
    </row>
    <row r="2720" spans="1:10" ht="15" x14ac:dyDescent="0.2">
      <c r="A2720" s="1190" t="s">
        <v>1416</v>
      </c>
      <c r="B2720" s="1190" t="s">
        <v>1417</v>
      </c>
      <c r="C2720" s="1190" t="s">
        <v>932</v>
      </c>
      <c r="D2720" s="1190">
        <f>661</f>
        <v>661</v>
      </c>
      <c r="E2720" s="1190">
        <v>1</v>
      </c>
      <c r="F2720" s="1191"/>
      <c r="G2720" s="1192"/>
      <c r="H2720" s="1193" t="s">
        <v>1203</v>
      </c>
      <c r="I2720" s="1207"/>
      <c r="J2720" s="1194" t="str">
        <f>IF(Table5[[#This Row],[Entered]]&lt;&gt;Table5[[#This Row],[Quantity]],"Check","")</f>
        <v/>
      </c>
    </row>
    <row r="2721" spans="1:10" ht="15" x14ac:dyDescent="0.2">
      <c r="A2721" s="1190" t="s">
        <v>1416</v>
      </c>
      <c r="B2721" s="1190" t="s">
        <v>1417</v>
      </c>
      <c r="C2721" s="1190" t="s">
        <v>932</v>
      </c>
      <c r="D2721" s="1190">
        <f>665</f>
        <v>665</v>
      </c>
      <c r="E2721" s="1190">
        <v>1</v>
      </c>
      <c r="F2721" s="1191">
        <f>COUNTIF('CSV FF'!A:A,"Corner Snap*")</f>
        <v>0</v>
      </c>
      <c r="G2721" s="1192"/>
      <c r="H2721" s="1193" t="s">
        <v>1204</v>
      </c>
      <c r="I2721" s="1207"/>
      <c r="J2721" s="1194" t="str">
        <f>IF(Table5[[#This Row],[Entered]]&lt;&gt;Table5[[#This Row],[Quantity]],"Check","")</f>
        <v/>
      </c>
    </row>
    <row r="2722" spans="1:10" ht="15" x14ac:dyDescent="0.2">
      <c r="A2722" s="1190" t="s">
        <v>1416</v>
      </c>
      <c r="B2722" s="1190" t="s">
        <v>1417</v>
      </c>
      <c r="C2722" s="1190" t="s">
        <v>932</v>
      </c>
      <c r="D2722" s="1190">
        <f>666</f>
        <v>666</v>
      </c>
      <c r="E2722" s="1190">
        <v>7</v>
      </c>
      <c r="F2722" s="1191"/>
      <c r="G2722" s="1192"/>
      <c r="H2722" s="1193" t="s">
        <v>1301</v>
      </c>
      <c r="I2722" s="1207"/>
      <c r="J2722" s="1194" t="str">
        <f>IF(Table5[[#This Row],[Entered]]&lt;&gt;Table5[[#This Row],[Quantity]],"Check","")</f>
        <v/>
      </c>
    </row>
    <row r="2723" spans="1:10" ht="15" x14ac:dyDescent="0.2">
      <c r="A2723" s="1190" t="s">
        <v>1416</v>
      </c>
      <c r="B2723" s="1190" t="s">
        <v>1417</v>
      </c>
      <c r="C2723" s="1190" t="s">
        <v>932</v>
      </c>
      <c r="D2723" s="1190">
        <f>9995</f>
        <v>9995</v>
      </c>
      <c r="E2723" s="1190">
        <v>0</v>
      </c>
      <c r="F2723" s="1191"/>
      <c r="G2723" s="1192"/>
      <c r="H2723" s="1193" t="s">
        <v>1029</v>
      </c>
      <c r="I2723" s="1207"/>
      <c r="J2723" s="1194" t="str">
        <f>IF(Table5[[#This Row],[Entered]]&lt;&gt;Table5[[#This Row],[Quantity]],"Check","")</f>
        <v/>
      </c>
    </row>
    <row r="2724" spans="1:10" ht="15" x14ac:dyDescent="0.2">
      <c r="A2724" s="1190" t="s">
        <v>1416</v>
      </c>
      <c r="B2724" s="1190" t="s">
        <v>400</v>
      </c>
      <c r="C2724" s="1190" t="s">
        <v>665</v>
      </c>
      <c r="D2724" s="1190" t="s">
        <v>1475</v>
      </c>
      <c r="E2724" s="1190">
        <v>0</v>
      </c>
      <c r="F2724" s="1191"/>
      <c r="G2724" s="1192"/>
      <c r="H2724" s="1193" t="s">
        <v>1077</v>
      </c>
      <c r="I2724" s="1207"/>
      <c r="J2724" s="1194" t="str">
        <f>IF(Table5[[#This Row],[Entered]]&lt;&gt;Table5[[#This Row],[Quantity]],"Check","")</f>
        <v/>
      </c>
    </row>
    <row r="2725" spans="1:10" ht="15" x14ac:dyDescent="0.2">
      <c r="A2725" s="1194"/>
      <c r="B2725" s="1194"/>
      <c r="C2725" s="1194"/>
      <c r="D2725" s="1194"/>
      <c r="E2725" s="1194"/>
      <c r="F2725" s="827"/>
      <c r="G2725" s="1195"/>
      <c r="H2725" s="1196"/>
      <c r="I2725" s="1258"/>
      <c r="J2725" s="1194" t="str">
        <f>IF(Table5[[#This Row],[Entered]]&lt;&gt;Table5[[#This Row],[Quantity]],"Check","")</f>
        <v/>
      </c>
    </row>
    <row r="2726" spans="1:10" ht="15" x14ac:dyDescent="0.2">
      <c r="A2726" s="1190" t="s">
        <v>396</v>
      </c>
      <c r="B2726" s="1190" t="s">
        <v>399</v>
      </c>
      <c r="C2726" s="1190" t="s">
        <v>2285</v>
      </c>
      <c r="D2726" s="1190">
        <v>5</v>
      </c>
      <c r="E2726" s="1190">
        <v>1</v>
      </c>
      <c r="F2726" s="1197">
        <f>IF(COUNTIFS(Addenda!A:A,"*FUJITSU*",Addenda!A:A,"*8.5*")&gt;0,1,0)</f>
        <v>0</v>
      </c>
      <c r="G2726" s="1192"/>
      <c r="H2726" s="1193" t="s">
        <v>2403</v>
      </c>
      <c r="I2726" s="1207"/>
      <c r="J2726" s="1194" t="str">
        <f>IF(Table5[[#This Row],[Entered]]&lt;&gt;Table5[[#This Row],[Quantity]],"Check","")</f>
        <v/>
      </c>
    </row>
    <row r="2727" spans="1:10" ht="15" x14ac:dyDescent="0.2">
      <c r="A2727" s="1190" t="s">
        <v>396</v>
      </c>
      <c r="B2727" s="1190" t="s">
        <v>399</v>
      </c>
      <c r="C2727" s="1190" t="s">
        <v>2285</v>
      </c>
      <c r="D2727" s="1190">
        <v>6</v>
      </c>
      <c r="E2727" s="1190">
        <v>1</v>
      </c>
      <c r="F2727" s="1197">
        <f>IF(COUNTIFS(Addenda!A:A,"*FUJITSU*",Addenda!A:A,"*9*")&gt;0,1,0)</f>
        <v>0</v>
      </c>
      <c r="G2727" s="1192"/>
      <c r="H2727" s="1193" t="s">
        <v>2404</v>
      </c>
      <c r="I2727" s="1207"/>
      <c r="J2727" s="1194" t="str">
        <f>IF(Table5[[#This Row],[Entered]]&lt;&gt;Table5[[#This Row],[Quantity]],"Check","")</f>
        <v/>
      </c>
    </row>
    <row r="2728" spans="1:10" ht="15" x14ac:dyDescent="0.2">
      <c r="A2728" s="1190" t="s">
        <v>396</v>
      </c>
      <c r="B2728" s="1190" t="s">
        <v>399</v>
      </c>
      <c r="C2728" s="1190" t="s">
        <v>2285</v>
      </c>
      <c r="D2728" s="1190">
        <v>7</v>
      </c>
      <c r="E2728" s="1190">
        <v>1</v>
      </c>
      <c r="F2728" s="1197">
        <f>IF(COUNTIFS(Addenda!A:A,"*FUJITSU*",Addenda!A:A,"*10*")&gt;0,1,0)</f>
        <v>0</v>
      </c>
      <c r="G2728" s="1192"/>
      <c r="H2728" s="1193" t="s">
        <v>2405</v>
      </c>
      <c r="I2728" s="1207"/>
      <c r="J2728" s="1194" t="str">
        <f>IF(Table5[[#This Row],[Entered]]&lt;&gt;Table5[[#This Row],[Quantity]],"Check","")</f>
        <v/>
      </c>
    </row>
    <row r="2729" spans="1:10" ht="15" x14ac:dyDescent="0.2">
      <c r="A2729" s="1190" t="s">
        <v>396</v>
      </c>
      <c r="B2729" s="1190" t="s">
        <v>399</v>
      </c>
      <c r="C2729" s="1190" t="s">
        <v>2285</v>
      </c>
      <c r="D2729" s="1190">
        <v>8</v>
      </c>
      <c r="E2729" s="1190">
        <v>1</v>
      </c>
      <c r="F2729" s="1197">
        <f>IF(COUNTIFS(Addenda!A:A,"*FUJITSU*",Addenda!A:A,"*10.5*")&gt;0,1,0)</f>
        <v>0</v>
      </c>
      <c r="G2729" s="1192"/>
      <c r="H2729" s="1193" t="s">
        <v>2406</v>
      </c>
      <c r="I2729" s="1207"/>
      <c r="J2729" s="1194" t="str">
        <f>IF(Table5[[#This Row],[Entered]]&lt;&gt;Table5[[#This Row],[Quantity]],"Check","")</f>
        <v/>
      </c>
    </row>
    <row r="2730" spans="1:10" ht="15" x14ac:dyDescent="0.2">
      <c r="A2730" s="1190" t="s">
        <v>396</v>
      </c>
      <c r="B2730" s="1190" t="s">
        <v>399</v>
      </c>
      <c r="C2730" s="1190" t="s">
        <v>2285</v>
      </c>
      <c r="D2730" s="1190">
        <v>9</v>
      </c>
      <c r="E2730" s="1190">
        <v>1</v>
      </c>
      <c r="F2730" s="1197">
        <f>IF(COUNTIFS(Addenda!A:A,"*FUJITSU*",Addenda!A:A,"*12.5*")&gt;0,1,0)</f>
        <v>0</v>
      </c>
      <c r="G2730" s="1192"/>
      <c r="H2730" s="1193" t="s">
        <v>2407</v>
      </c>
      <c r="I2730" s="1207"/>
      <c r="J2730" s="1194" t="str">
        <f>IF(Table5[[#This Row],[Entered]]&lt;&gt;Table5[[#This Row],[Quantity]],"Check","")</f>
        <v/>
      </c>
    </row>
    <row r="2731" spans="1:10" ht="15" x14ac:dyDescent="0.2">
      <c r="A2731" s="1190" t="s">
        <v>396</v>
      </c>
      <c r="B2731" s="1190" t="s">
        <v>399</v>
      </c>
      <c r="C2731" s="1190" t="s">
        <v>2285</v>
      </c>
      <c r="D2731" s="1190">
        <v>10</v>
      </c>
      <c r="E2731" s="1190">
        <v>1</v>
      </c>
      <c r="F2731" s="1197">
        <f>IF(COUNTIFS(Addenda!A:A,"*FUJITSU*",Addenda!A:A,"*14*")&gt;0,1,0)</f>
        <v>0</v>
      </c>
      <c r="G2731" s="1192"/>
      <c r="H2731" s="1193" t="s">
        <v>2408</v>
      </c>
      <c r="I2731" s="1207"/>
      <c r="J2731" s="1194" t="str">
        <f>IF(Table5[[#This Row],[Entered]]&lt;&gt;Table5[[#This Row],[Quantity]],"Check","")</f>
        <v/>
      </c>
    </row>
    <row r="2732" spans="1:10" ht="15" x14ac:dyDescent="0.2">
      <c r="A2732" s="1190" t="s">
        <v>396</v>
      </c>
      <c r="B2732" s="1190" t="s">
        <v>399</v>
      </c>
      <c r="C2732" s="1190" t="s">
        <v>2285</v>
      </c>
      <c r="D2732" s="1190">
        <v>11</v>
      </c>
      <c r="E2732" s="1190">
        <v>1</v>
      </c>
      <c r="F2732" s="1197">
        <f>IF(COUNTIFS(Addenda!A:A,"*FUJITSU*",Addenda!A:A,"*15.8*")&gt;0,1,0)</f>
        <v>0</v>
      </c>
      <c r="G2732" s="1192"/>
      <c r="H2732" s="1193" t="s">
        <v>2409</v>
      </c>
      <c r="I2732" s="1207"/>
      <c r="J2732" s="1194" t="str">
        <f>IF(Table5[[#This Row],[Entered]]&lt;&gt;Table5[[#This Row],[Quantity]],"Check","")</f>
        <v/>
      </c>
    </row>
    <row r="2733" spans="1:10" ht="15" x14ac:dyDescent="0.2">
      <c r="A2733" s="1190" t="s">
        <v>396</v>
      </c>
      <c r="B2733" s="1190" t="s">
        <v>399</v>
      </c>
      <c r="C2733" s="1190" t="s">
        <v>2285</v>
      </c>
      <c r="D2733" s="1190">
        <v>20</v>
      </c>
      <c r="E2733" s="1190">
        <v>1</v>
      </c>
      <c r="F2733" s="1197"/>
      <c r="G2733" s="1192"/>
      <c r="H2733" s="1193" t="s">
        <v>2410</v>
      </c>
      <c r="I2733" s="1207"/>
      <c r="J2733" s="1194" t="str">
        <f>IF(Table5[[#This Row],[Entered]]&lt;&gt;Table5[[#This Row],[Quantity]],"Check","")</f>
        <v/>
      </c>
    </row>
    <row r="2734" spans="1:10" ht="15" x14ac:dyDescent="0.2">
      <c r="A2734" s="1190" t="s">
        <v>396</v>
      </c>
      <c r="B2734" s="1190" t="s">
        <v>399</v>
      </c>
      <c r="C2734" s="1190" t="s">
        <v>2285</v>
      </c>
      <c r="D2734" s="1190">
        <v>21</v>
      </c>
      <c r="E2734" s="1190">
        <v>1</v>
      </c>
      <c r="F2734" s="1197"/>
      <c r="G2734" s="1192"/>
      <c r="H2734" s="1193" t="s">
        <v>2411</v>
      </c>
      <c r="I2734" s="1207"/>
      <c r="J2734" s="1194" t="str">
        <f>IF(Table5[[#This Row],[Entered]]&lt;&gt;Table5[[#This Row],[Quantity]],"Check","")</f>
        <v/>
      </c>
    </row>
    <row r="2735" spans="1:10" ht="15" x14ac:dyDescent="0.2">
      <c r="A2735" s="1190" t="s">
        <v>396</v>
      </c>
      <c r="B2735" s="1190" t="s">
        <v>399</v>
      </c>
      <c r="C2735" s="1190" t="s">
        <v>2285</v>
      </c>
      <c r="D2735" s="1190">
        <v>22</v>
      </c>
      <c r="E2735" s="1190">
        <v>1</v>
      </c>
      <c r="F2735" s="1197"/>
      <c r="G2735" s="1192"/>
      <c r="H2735" s="1193" t="s">
        <v>2412</v>
      </c>
      <c r="I2735" s="1207"/>
      <c r="J2735" s="1194" t="str">
        <f>IF(Table5[[#This Row],[Entered]]&lt;&gt;Table5[[#This Row],[Quantity]],"Check","")</f>
        <v/>
      </c>
    </row>
    <row r="2736" spans="1:10" ht="15" x14ac:dyDescent="0.2">
      <c r="A2736" s="1190" t="s">
        <v>396</v>
      </c>
      <c r="B2736" s="1190" t="s">
        <v>399</v>
      </c>
      <c r="C2736" s="1190" t="s">
        <v>2285</v>
      </c>
      <c r="D2736" s="1190">
        <v>23</v>
      </c>
      <c r="E2736" s="1190">
        <v>1</v>
      </c>
      <c r="F2736" s="1197">
        <f>IF(COUNTIFS(Addenda!A:A,"*EZONE*")&gt;0,1,0)</f>
        <v>0</v>
      </c>
      <c r="G2736" s="1192"/>
      <c r="H2736" s="1193" t="s">
        <v>2413</v>
      </c>
      <c r="I2736" s="1207"/>
      <c r="J2736" s="1194" t="str">
        <f>IF(Table5[[#This Row],[Entered]]&lt;&gt;Table5[[#This Row],[Quantity]],"Check","")</f>
        <v/>
      </c>
    </row>
    <row r="2737" spans="1:10" ht="15" x14ac:dyDescent="0.2">
      <c r="A2737" s="1190" t="s">
        <v>396</v>
      </c>
      <c r="B2737" s="1190" t="s">
        <v>399</v>
      </c>
      <c r="C2737" s="1190" t="s">
        <v>2285</v>
      </c>
      <c r="D2737" s="1190">
        <v>25</v>
      </c>
      <c r="E2737" s="1190">
        <v>1</v>
      </c>
      <c r="F2737" s="1197" cm="1">
        <f t="array" ref="F2737">IF(SUM(F2726:F2732)&gt;0,IF(SUM(COUNTIF(Address,{"*HARVEY*","*YARLOOP*","*WAROONA*","*AUSTRALIND*"}))&gt;0,1,0),0)</f>
        <v>0</v>
      </c>
      <c r="G2737" s="1192"/>
      <c r="H2737" s="1193" t="s">
        <v>2414</v>
      </c>
      <c r="I2737" s="1207"/>
      <c r="J2737" s="1194" t="str">
        <f>IF(Table5[[#This Row],[Entered]]&lt;&gt;Table5[[#This Row],[Quantity]],"Check","")</f>
        <v/>
      </c>
    </row>
    <row r="2738" spans="1:10" ht="15" x14ac:dyDescent="0.2">
      <c r="A2738" s="1190" t="s">
        <v>396</v>
      </c>
      <c r="B2738" s="1190" t="s">
        <v>399</v>
      </c>
      <c r="C2738" s="1190" t="s">
        <v>2285</v>
      </c>
      <c r="D2738" s="1190">
        <v>26</v>
      </c>
      <c r="E2738" s="1190">
        <v>1</v>
      </c>
      <c r="F2738" s="1197" cm="1">
        <f t="array" ref="F2738">IF(SUM(F2726:F2732)&gt;0,IF(SUM(COUNTIF(Address,{"*BUNBURY*","*BUSSELTON*","*VASSE*","*COLLIE*","*DONNYBROOK*","*KEALY*","*EATON*"}))&gt;0,1,0),0)</f>
        <v>0</v>
      </c>
      <c r="G2738" s="1192"/>
      <c r="H2738" s="1193" t="s">
        <v>2415</v>
      </c>
      <c r="I2738" s="1207"/>
      <c r="J2738" s="1194" t="str">
        <f>IF(Table5[[#This Row],[Entered]]&lt;&gt;Table5[[#This Row],[Quantity]],"Check","")</f>
        <v/>
      </c>
    </row>
    <row r="2739" spans="1:10" ht="15" x14ac:dyDescent="0.2">
      <c r="A2739" s="1190" t="s">
        <v>396</v>
      </c>
      <c r="B2739" s="1190" t="s">
        <v>399</v>
      </c>
      <c r="C2739" s="1190" t="s">
        <v>2285</v>
      </c>
      <c r="D2739" s="1190">
        <v>27</v>
      </c>
      <c r="E2739" s="1190">
        <v>1</v>
      </c>
      <c r="F2739" s="1197" cm="1">
        <f t="array" ref="F2739">IF(SUM(F2726:F2732)&gt;0,IF(SUM(COUNTIF(Address,{"*NANNUP*","*BRIDGETOWN*","*DUNSBOROUGH*","*YALLINGUP*"}))&gt;0,1,0),0)</f>
        <v>0</v>
      </c>
      <c r="G2739" s="1192"/>
      <c r="H2739" s="1193" t="s">
        <v>2416</v>
      </c>
      <c r="I2739" s="1207"/>
      <c r="J2739" s="1194" t="str">
        <f>IF(Table5[[#This Row],[Entered]]&lt;&gt;Table5[[#This Row],[Quantity]],"Check","")</f>
        <v/>
      </c>
    </row>
    <row r="2740" spans="1:10" ht="15" x14ac:dyDescent="0.2">
      <c r="A2740" s="1190" t="s">
        <v>396</v>
      </c>
      <c r="B2740" s="1190" t="s">
        <v>399</v>
      </c>
      <c r="C2740" s="1190" t="s">
        <v>2285</v>
      </c>
      <c r="D2740" s="1190">
        <v>28</v>
      </c>
      <c r="E2740" s="1190">
        <v>1</v>
      </c>
      <c r="F2740" s="1197" cm="1">
        <f t="array" ref="F2740">IF(SUM(F2726:F2732)&gt;0,IF(SUM(COUNTIF(Address,{"*MARGARET RIVER*","*AUGUSTA*","*MANKIMUP*"}))&gt;0,1,0),0)</f>
        <v>0</v>
      </c>
      <c r="G2740" s="1192"/>
      <c r="H2740" s="1193" t="s">
        <v>2417</v>
      </c>
      <c r="I2740" s="1207"/>
      <c r="J2740" s="1194" t="str">
        <f>IF(Table5[[#This Row],[Entered]]&lt;&gt;Table5[[#This Row],[Quantity]],"Check","")</f>
        <v/>
      </c>
    </row>
    <row r="2741" spans="1:10" ht="15" x14ac:dyDescent="0.2">
      <c r="A2741" s="1190" t="s">
        <v>396</v>
      </c>
      <c r="B2741" s="1190" t="s">
        <v>399</v>
      </c>
      <c r="C2741" s="1190" t="s">
        <v>2285</v>
      </c>
      <c r="D2741" s="1190">
        <v>29</v>
      </c>
      <c r="E2741" s="1190">
        <v>1</v>
      </c>
      <c r="F2741" s="1197" cm="1">
        <f t="array" ref="F2741">IF(SUM(F2726:F2732)&gt;0,IF(SUM(COUNTIF(Address,{"*KOJANUP*","*KATTANING*"}))&gt;0,1,0),0)</f>
        <v>0</v>
      </c>
      <c r="G2741" s="1192"/>
      <c r="H2741" s="1193" t="s">
        <v>2418</v>
      </c>
      <c r="I2741" s="1207"/>
      <c r="J2741" s="1194" t="str">
        <f>IF(Table5[[#This Row],[Entered]]&lt;&gt;Table5[[#This Row],[Quantity]],"Check","")</f>
        <v/>
      </c>
    </row>
    <row r="2742" spans="1:10" ht="15" x14ac:dyDescent="0.2">
      <c r="A2742" s="1190"/>
      <c r="B2742" s="1190"/>
      <c r="C2742" s="1190"/>
      <c r="D2742" s="1190"/>
      <c r="E2742" s="1190"/>
      <c r="F2742" s="1197"/>
      <c r="G2742" s="1192"/>
      <c r="H2742" s="1193"/>
      <c r="I2742" s="1207"/>
      <c r="J2742" s="1194" t="str">
        <f>IF(Table5[[#This Row],[Entered]]&lt;&gt;Table5[[#This Row],[Quantity]],"Check","")</f>
        <v/>
      </c>
    </row>
    <row r="2743" spans="1:10" ht="15" x14ac:dyDescent="0.2">
      <c r="A2743" s="1190" t="s">
        <v>396</v>
      </c>
      <c r="B2743" s="1190" t="s">
        <v>399</v>
      </c>
      <c r="C2743" s="1190" t="s">
        <v>1127</v>
      </c>
      <c r="D2743" s="1190" t="s">
        <v>663</v>
      </c>
      <c r="E2743" s="1190">
        <v>1</v>
      </c>
      <c r="F2743" s="1197"/>
      <c r="G2743" s="1192">
        <v>0</v>
      </c>
      <c r="H2743" s="1193" t="s">
        <v>1128</v>
      </c>
      <c r="I2743" s="1207"/>
      <c r="J2743" s="1194" t="str">
        <f>IF(Table5[[#This Row],[Entered]]&lt;&gt;Table5[[#This Row],[Quantity]],"Check","")</f>
        <v/>
      </c>
    </row>
    <row r="2744" spans="1:10" ht="15" x14ac:dyDescent="0.2">
      <c r="A2744" s="1190" t="s">
        <v>396</v>
      </c>
      <c r="B2744" s="1190" t="s">
        <v>399</v>
      </c>
      <c r="C2744" s="1190" t="s">
        <v>1127</v>
      </c>
      <c r="D2744" s="1190">
        <f>900</f>
        <v>900</v>
      </c>
      <c r="E2744" s="1190">
        <v>1</v>
      </c>
      <c r="F2744" s="1197"/>
      <c r="G2744" s="1192"/>
      <c r="H2744" s="1193" t="s">
        <v>1129</v>
      </c>
      <c r="I2744" s="1207"/>
      <c r="J2744" s="1194" t="str">
        <f>IF(Table5[[#This Row],[Entered]]&lt;&gt;Table5[[#This Row],[Quantity]],"Check","")</f>
        <v/>
      </c>
    </row>
    <row r="2745" spans="1:10" s="1198" customFormat="1" ht="15" x14ac:dyDescent="0.2">
      <c r="A2745" s="1190"/>
      <c r="B2745" s="1190"/>
      <c r="C2745" s="1190"/>
      <c r="D2745" s="1190"/>
      <c r="E2745" s="1190"/>
      <c r="F2745" s="1197"/>
      <c r="G2745" s="1192"/>
      <c r="H2745" s="1193"/>
      <c r="I2745" s="1207"/>
      <c r="J2745" s="1194" t="str">
        <f>IF(Table5[[#This Row],[Entered]]&lt;&gt;Table5[[#This Row],[Quantity]],"Check","")</f>
        <v/>
      </c>
    </row>
    <row r="2746" spans="1:10" s="1198" customFormat="1" ht="15" x14ac:dyDescent="0.2">
      <c r="A2746" s="1190" t="s">
        <v>396</v>
      </c>
      <c r="B2746" s="1190" t="s">
        <v>399</v>
      </c>
      <c r="C2746" s="1190" t="s">
        <v>1130</v>
      </c>
      <c r="D2746" s="1190" t="s">
        <v>663</v>
      </c>
      <c r="E2746" s="1190">
        <v>1</v>
      </c>
      <c r="F2746" s="1197">
        <f>COUNTIFS(Addenda!A:A,"*TECO*")</f>
        <v>0</v>
      </c>
      <c r="G2746" s="1192">
        <v>0</v>
      </c>
      <c r="H2746" s="1193" t="s">
        <v>1131</v>
      </c>
      <c r="I2746" s="1207"/>
      <c r="J2746" s="1194" t="str">
        <f>IF(Table5[[#This Row],[Entered]]&lt;&gt;Table5[[#This Row],[Quantity]],"Check","")</f>
        <v/>
      </c>
    </row>
    <row r="2747" spans="1:10" s="1198" customFormat="1" ht="15" x14ac:dyDescent="0.2">
      <c r="A2747" s="1194"/>
      <c r="B2747" s="1194"/>
      <c r="C2747" s="1194"/>
      <c r="D2747" s="1194"/>
      <c r="E2747" s="1194"/>
      <c r="F2747" s="973"/>
      <c r="G2747" s="1195"/>
      <c r="H2747" s="1196"/>
      <c r="I2747" s="1258"/>
      <c r="J2747" s="1194" t="str">
        <f>IF(Table5[[#This Row],[Entered]]&lt;&gt;Table5[[#This Row],[Quantity]],"Check","")</f>
        <v/>
      </c>
    </row>
    <row r="2748" spans="1:10" s="1198" customFormat="1" ht="15" x14ac:dyDescent="0.2">
      <c r="A2748" s="1190" t="s">
        <v>402</v>
      </c>
      <c r="B2748" s="1190" t="s">
        <v>1612</v>
      </c>
      <c r="C2748" s="1190">
        <v>12717</v>
      </c>
      <c r="D2748" s="1190" t="s">
        <v>1062</v>
      </c>
      <c r="E2748" s="1190">
        <v>1</v>
      </c>
      <c r="F2748" s="1191"/>
      <c r="G2748" s="1192"/>
      <c r="H2748" s="1193" t="s">
        <v>1640</v>
      </c>
      <c r="I2748" s="1207"/>
      <c r="J2748" s="1194" t="str">
        <f>IF(Table5[[#This Row],[Entered]]&lt;&gt;Table5[[#This Row],[Quantity]],"Check","")</f>
        <v/>
      </c>
    </row>
    <row r="2749" spans="1:10" s="1198" customFormat="1" ht="15" x14ac:dyDescent="0.2">
      <c r="A2749" s="1190" t="s">
        <v>402</v>
      </c>
      <c r="B2749" s="1190" t="s">
        <v>1612</v>
      </c>
      <c r="C2749" s="1190">
        <v>12717</v>
      </c>
      <c r="D2749" s="1190" t="s">
        <v>1138</v>
      </c>
      <c r="E2749" s="1190">
        <v>1</v>
      </c>
      <c r="F2749" s="1191"/>
      <c r="G2749" s="1192"/>
      <c r="H2749" s="1193" t="s">
        <v>1641</v>
      </c>
      <c r="I2749" s="1207"/>
      <c r="J2749" s="1194" t="str">
        <f>IF(Table5[[#This Row],[Entered]]&lt;&gt;Table5[[#This Row],[Quantity]],"Check","")</f>
        <v/>
      </c>
    </row>
    <row r="2750" spans="1:10" s="1198" customFormat="1" ht="15" x14ac:dyDescent="0.2">
      <c r="A2750" s="1190" t="s">
        <v>402</v>
      </c>
      <c r="B2750" s="1190" t="s">
        <v>1612</v>
      </c>
      <c r="C2750" s="1190">
        <v>12717</v>
      </c>
      <c r="D2750" s="1190">
        <f>20</f>
        <v>20</v>
      </c>
      <c r="E2750" s="1190">
        <v>1</v>
      </c>
      <c r="F2750" s="1191"/>
      <c r="G2750" s="1192">
        <v>56.51</v>
      </c>
      <c r="H2750" s="1193" t="s">
        <v>1302</v>
      </c>
      <c r="I2750" s="1207"/>
      <c r="J2750" s="1194" t="str">
        <f>IF(Table5[[#This Row],[Entered]]&lt;&gt;Table5[[#This Row],[Quantity]],"Check","")</f>
        <v/>
      </c>
    </row>
    <row r="2751" spans="1:10" s="1198" customFormat="1" ht="15" x14ac:dyDescent="0.2">
      <c r="A2751" s="1190" t="s">
        <v>402</v>
      </c>
      <c r="B2751" s="1190" t="s">
        <v>1612</v>
      </c>
      <c r="C2751" s="1190">
        <v>12717</v>
      </c>
      <c r="D2751" s="1190">
        <f>40</f>
        <v>40</v>
      </c>
      <c r="E2751" s="1190">
        <v>1</v>
      </c>
      <c r="F2751" s="1191"/>
      <c r="G2751" s="1192">
        <v>56.51</v>
      </c>
      <c r="H2751" s="1193" t="s">
        <v>1303</v>
      </c>
      <c r="I2751" s="1207"/>
      <c r="J2751" s="1194" t="str">
        <f>IF(Table5[[#This Row],[Entered]]&lt;&gt;Table5[[#This Row],[Quantity]],"Check","")</f>
        <v/>
      </c>
    </row>
    <row r="2752" spans="1:10" s="1198" customFormat="1" ht="15" x14ac:dyDescent="0.2">
      <c r="A2752" s="1190" t="s">
        <v>402</v>
      </c>
      <c r="B2752" s="1190" t="s">
        <v>1612</v>
      </c>
      <c r="C2752" s="1190">
        <v>12717</v>
      </c>
      <c r="D2752" s="1190">
        <f>60</f>
        <v>60</v>
      </c>
      <c r="E2752" s="1190">
        <v>1</v>
      </c>
      <c r="F2752" s="1191"/>
      <c r="G2752" s="1192">
        <v>56.51</v>
      </c>
      <c r="H2752" s="1193" t="s">
        <v>1304</v>
      </c>
      <c r="I2752" s="1207"/>
      <c r="J2752" s="1194" t="str">
        <f>IF(Table5[[#This Row],[Entered]]&lt;&gt;Table5[[#This Row],[Quantity]],"Check","")</f>
        <v/>
      </c>
    </row>
    <row r="2753" spans="1:10" s="1198" customFormat="1" ht="15" x14ac:dyDescent="0.2">
      <c r="A2753" s="1190" t="s">
        <v>402</v>
      </c>
      <c r="B2753" s="1190" t="s">
        <v>1612</v>
      </c>
      <c r="C2753" s="1190">
        <v>12717</v>
      </c>
      <c r="D2753" s="1190">
        <f>80</f>
        <v>80</v>
      </c>
      <c r="E2753" s="1190">
        <v>1</v>
      </c>
      <c r="F2753" s="1191"/>
      <c r="G2753" s="1192">
        <v>56.51</v>
      </c>
      <c r="H2753" s="1193" t="s">
        <v>1305</v>
      </c>
      <c r="I2753" s="1207"/>
      <c r="J2753" s="1194" t="str">
        <f>IF(Table5[[#This Row],[Entered]]&lt;&gt;Table5[[#This Row],[Quantity]],"Check","")</f>
        <v/>
      </c>
    </row>
    <row r="2754" spans="1:10" s="1198" customFormat="1" ht="15" x14ac:dyDescent="0.2">
      <c r="A2754" s="1190" t="s">
        <v>402</v>
      </c>
      <c r="B2754" s="1190" t="s">
        <v>1612</v>
      </c>
      <c r="C2754" s="1190">
        <v>12717</v>
      </c>
      <c r="D2754" s="1190">
        <f>100</f>
        <v>100</v>
      </c>
      <c r="E2754" s="1190">
        <v>1</v>
      </c>
      <c r="F2754" s="1191"/>
      <c r="G2754" s="1192">
        <v>56.51</v>
      </c>
      <c r="H2754" s="1193" t="s">
        <v>1306</v>
      </c>
      <c r="I2754" s="1207"/>
      <c r="J2754" s="1194" t="str">
        <f>IF(Table5[[#This Row],[Entered]]&lt;&gt;Table5[[#This Row],[Quantity]],"Check","")</f>
        <v/>
      </c>
    </row>
    <row r="2755" spans="1:10" s="1198" customFormat="1" ht="15" x14ac:dyDescent="0.2">
      <c r="A2755" s="1190" t="s">
        <v>402</v>
      </c>
      <c r="B2755" s="1190" t="s">
        <v>1612</v>
      </c>
      <c r="C2755" s="1190">
        <v>12717</v>
      </c>
      <c r="D2755" s="1190">
        <f>120</f>
        <v>120</v>
      </c>
      <c r="E2755" s="1190">
        <v>1</v>
      </c>
      <c r="F2755" s="1191"/>
      <c r="G2755" s="1192">
        <v>56.51</v>
      </c>
      <c r="H2755" s="1193" t="s">
        <v>1307</v>
      </c>
      <c r="I2755" s="1207"/>
      <c r="J2755" s="1194" t="str">
        <f>IF(Table5[[#This Row],[Entered]]&lt;&gt;Table5[[#This Row],[Quantity]],"Check","")</f>
        <v/>
      </c>
    </row>
    <row r="2756" spans="1:10" s="1198" customFormat="1" ht="15" x14ac:dyDescent="0.2">
      <c r="A2756" s="1190" t="s">
        <v>402</v>
      </c>
      <c r="B2756" s="1190" t="s">
        <v>1612</v>
      </c>
      <c r="C2756" s="1190">
        <v>12717</v>
      </c>
      <c r="D2756" s="1190">
        <f>140</f>
        <v>140</v>
      </c>
      <c r="E2756" s="1190">
        <v>1</v>
      </c>
      <c r="F2756" s="1191"/>
      <c r="G2756" s="1192">
        <v>56.51</v>
      </c>
      <c r="H2756" s="1193" t="s">
        <v>1308</v>
      </c>
      <c r="I2756" s="1207"/>
      <c r="J2756" s="1194" t="str">
        <f>IF(Table5[[#This Row],[Entered]]&lt;&gt;Table5[[#This Row],[Quantity]],"Check","")</f>
        <v/>
      </c>
    </row>
    <row r="2757" spans="1:10" s="1198" customFormat="1" ht="15" x14ac:dyDescent="0.2">
      <c r="A2757" s="1190" t="s">
        <v>402</v>
      </c>
      <c r="B2757" s="1190" t="s">
        <v>1612</v>
      </c>
      <c r="C2757" s="1190">
        <v>12717</v>
      </c>
      <c r="D2757" s="1190">
        <f>160</f>
        <v>160</v>
      </c>
      <c r="E2757" s="1190">
        <v>1</v>
      </c>
      <c r="F2757" s="1191"/>
      <c r="G2757" s="1192">
        <v>56.51</v>
      </c>
      <c r="H2757" s="1193" t="s">
        <v>1309</v>
      </c>
      <c r="I2757" s="1207"/>
      <c r="J2757" s="1194" t="str">
        <f>IF(Table5[[#This Row],[Entered]]&lt;&gt;Table5[[#This Row],[Quantity]],"Check","")</f>
        <v/>
      </c>
    </row>
    <row r="2758" spans="1:10" s="1198" customFormat="1" ht="15" x14ac:dyDescent="0.2">
      <c r="A2758" s="1190" t="s">
        <v>402</v>
      </c>
      <c r="B2758" s="1190" t="s">
        <v>1612</v>
      </c>
      <c r="C2758" s="1190">
        <v>12717</v>
      </c>
      <c r="D2758" s="1190">
        <f>180</f>
        <v>180</v>
      </c>
      <c r="E2758" s="1190">
        <v>1</v>
      </c>
      <c r="F2758" s="1191"/>
      <c r="G2758" s="1192">
        <v>56.51</v>
      </c>
      <c r="H2758" s="1193" t="s">
        <v>1310</v>
      </c>
      <c r="I2758" s="1207"/>
      <c r="J2758" s="1194" t="str">
        <f>IF(Table5[[#This Row],[Entered]]&lt;&gt;Table5[[#This Row],[Quantity]],"Check","")</f>
        <v/>
      </c>
    </row>
    <row r="2759" spans="1:10" s="1198" customFormat="1" ht="15" x14ac:dyDescent="0.2">
      <c r="A2759" s="1190" t="s">
        <v>402</v>
      </c>
      <c r="B2759" s="1190" t="s">
        <v>1612</v>
      </c>
      <c r="C2759" s="1190">
        <v>12717</v>
      </c>
      <c r="D2759" s="1190">
        <f>200</f>
        <v>200</v>
      </c>
      <c r="E2759" s="1190">
        <v>1</v>
      </c>
      <c r="F2759" s="1191"/>
      <c r="G2759" s="1192">
        <v>56.51</v>
      </c>
      <c r="H2759" s="1193" t="s">
        <v>1311</v>
      </c>
      <c r="I2759" s="1207"/>
      <c r="J2759" s="1194" t="str">
        <f>IF(Table5[[#This Row],[Entered]]&lt;&gt;Table5[[#This Row],[Quantity]],"Check","")</f>
        <v/>
      </c>
    </row>
    <row r="2760" spans="1:10" s="1198" customFormat="1" ht="15" x14ac:dyDescent="0.2">
      <c r="A2760" s="1190" t="s">
        <v>402</v>
      </c>
      <c r="B2760" s="1190" t="s">
        <v>1612</v>
      </c>
      <c r="C2760" s="1190">
        <v>12717</v>
      </c>
      <c r="D2760" s="1190">
        <f>220</f>
        <v>220</v>
      </c>
      <c r="E2760" s="1190">
        <v>1</v>
      </c>
      <c r="F2760" s="1191"/>
      <c r="G2760" s="1192">
        <v>56.51</v>
      </c>
      <c r="H2760" s="1193" t="s">
        <v>1551</v>
      </c>
      <c r="I2760" s="1207"/>
      <c r="J2760" s="1194" t="str">
        <f>IF(Table5[[#This Row],[Entered]]&lt;&gt;Table5[[#This Row],[Quantity]],"Check","")</f>
        <v/>
      </c>
    </row>
    <row r="2761" spans="1:10" s="1198" customFormat="1" ht="15" x14ac:dyDescent="0.2">
      <c r="A2761" s="1190" t="s">
        <v>402</v>
      </c>
      <c r="B2761" s="1190" t="s">
        <v>1612</v>
      </c>
      <c r="C2761" s="1190">
        <v>12717</v>
      </c>
      <c r="D2761" s="1190">
        <f>240</f>
        <v>240</v>
      </c>
      <c r="E2761" s="1190">
        <v>1</v>
      </c>
      <c r="F2761" s="1191"/>
      <c r="G2761" s="1192">
        <v>56.51</v>
      </c>
      <c r="H2761" s="1193" t="s">
        <v>1552</v>
      </c>
      <c r="I2761" s="1207"/>
      <c r="J2761" s="1194" t="str">
        <f>IF(Table5[[#This Row],[Entered]]&lt;&gt;Table5[[#This Row],[Quantity]],"Check","")</f>
        <v/>
      </c>
    </row>
    <row r="2762" spans="1:10" s="1198" customFormat="1" ht="15" x14ac:dyDescent="0.2">
      <c r="A2762" s="1190" t="s">
        <v>402</v>
      </c>
      <c r="B2762" s="1190" t="s">
        <v>1612</v>
      </c>
      <c r="C2762" s="1190">
        <v>12717</v>
      </c>
      <c r="D2762" s="1190">
        <f>280</f>
        <v>280</v>
      </c>
      <c r="E2762" s="1190">
        <v>1</v>
      </c>
      <c r="F2762" s="1191"/>
      <c r="G2762" s="1192"/>
      <c r="H2762" s="1193" t="s">
        <v>1312</v>
      </c>
      <c r="I2762" s="1207"/>
      <c r="J2762" s="1194" t="str">
        <f>IF(Table5[[#This Row],[Entered]]&lt;&gt;Table5[[#This Row],[Quantity]],"Check","")</f>
        <v/>
      </c>
    </row>
    <row r="2763" spans="1:10" s="1198" customFormat="1" ht="15" x14ac:dyDescent="0.2">
      <c r="A2763" s="1190" t="s">
        <v>402</v>
      </c>
      <c r="B2763" s="1190" t="s">
        <v>1612</v>
      </c>
      <c r="C2763" s="1190">
        <v>12717</v>
      </c>
      <c r="D2763" s="1190" t="s">
        <v>2293</v>
      </c>
      <c r="E2763" s="1190">
        <v>1</v>
      </c>
      <c r="F2763" s="1191"/>
      <c r="G2763" s="1192"/>
      <c r="H2763" s="1193" t="s">
        <v>1574</v>
      </c>
      <c r="I2763" s="1207"/>
      <c r="J2763" s="1194" t="str">
        <f>IF(Table5[[#This Row],[Entered]]&lt;&gt;Table5[[#This Row],[Quantity]],"Check","")</f>
        <v/>
      </c>
    </row>
    <row r="2764" spans="1:10" s="1198" customFormat="1" ht="15" x14ac:dyDescent="0.2">
      <c r="A2764" s="1190" t="s">
        <v>402</v>
      </c>
      <c r="B2764" s="1190" t="s">
        <v>1612</v>
      </c>
      <c r="C2764" s="1190">
        <v>12717</v>
      </c>
      <c r="D2764" s="1190">
        <f>290</f>
        <v>290</v>
      </c>
      <c r="E2764" s="1190">
        <v>1</v>
      </c>
      <c r="F2764" s="1191"/>
      <c r="G2764" s="1192"/>
      <c r="H2764" s="1193" t="s">
        <v>1313</v>
      </c>
      <c r="I2764" s="1207"/>
      <c r="J2764" s="1194" t="str">
        <f>IF(Table5[[#This Row],[Entered]]&lt;&gt;Table5[[#This Row],[Quantity]],"Check","")</f>
        <v/>
      </c>
    </row>
    <row r="2765" spans="1:10" s="1198" customFormat="1" ht="15" x14ac:dyDescent="0.2">
      <c r="A2765" s="1190" t="s">
        <v>402</v>
      </c>
      <c r="B2765" s="1190" t="s">
        <v>1612</v>
      </c>
      <c r="C2765" s="1190">
        <v>12717</v>
      </c>
      <c r="D2765" s="1190" t="s">
        <v>2294</v>
      </c>
      <c r="E2765" s="1190">
        <v>1</v>
      </c>
      <c r="F2765" s="1191"/>
      <c r="G2765" s="1192"/>
      <c r="H2765" s="1193" t="s">
        <v>1575</v>
      </c>
      <c r="I2765" s="1207"/>
      <c r="J2765" s="1194" t="str">
        <f>IF(Table5[[#This Row],[Entered]]&lt;&gt;Table5[[#This Row],[Quantity]],"Check","")</f>
        <v/>
      </c>
    </row>
    <row r="2766" spans="1:10" s="1198" customFormat="1" ht="15" x14ac:dyDescent="0.2">
      <c r="A2766" s="1190" t="s">
        <v>402</v>
      </c>
      <c r="B2766" s="1190" t="s">
        <v>1612</v>
      </c>
      <c r="C2766" s="1190">
        <v>12717</v>
      </c>
      <c r="D2766" s="1190" t="s">
        <v>2295</v>
      </c>
      <c r="E2766" s="1190">
        <v>1</v>
      </c>
      <c r="F2766" s="1191"/>
      <c r="G2766" s="1192"/>
      <c r="H2766" s="1193" t="s">
        <v>1576</v>
      </c>
      <c r="I2766" s="1207"/>
      <c r="J2766" s="1194" t="str">
        <f>IF(Table5[[#This Row],[Entered]]&lt;&gt;Table5[[#This Row],[Quantity]],"Check","")</f>
        <v/>
      </c>
    </row>
    <row r="2767" spans="1:10" s="1198" customFormat="1" ht="15" x14ac:dyDescent="0.2">
      <c r="A2767" s="1190" t="s">
        <v>402</v>
      </c>
      <c r="B2767" s="1190" t="s">
        <v>1612</v>
      </c>
      <c r="C2767" s="1190">
        <v>12717</v>
      </c>
      <c r="D2767" s="1190">
        <f>360</f>
        <v>360</v>
      </c>
      <c r="E2767" s="1190">
        <v>1</v>
      </c>
      <c r="F2767" s="1191"/>
      <c r="G2767" s="1192"/>
      <c r="H2767" s="1193" t="s">
        <v>1314</v>
      </c>
      <c r="I2767" s="1207"/>
      <c r="J2767" s="1194" t="str">
        <f>IF(Table5[[#This Row],[Entered]]&lt;&gt;Table5[[#This Row],[Quantity]],"Check","")</f>
        <v/>
      </c>
    </row>
    <row r="2768" spans="1:10" s="1198" customFormat="1" ht="15" x14ac:dyDescent="0.2">
      <c r="A2768" s="1190" t="s">
        <v>402</v>
      </c>
      <c r="B2768" s="1190" t="s">
        <v>1612</v>
      </c>
      <c r="C2768" s="1190">
        <v>12717</v>
      </c>
      <c r="D2768" s="1190">
        <f>380</f>
        <v>380</v>
      </c>
      <c r="E2768" s="1190">
        <v>1</v>
      </c>
      <c r="F2768" s="1191"/>
      <c r="G2768" s="1192"/>
      <c r="H2768" s="1193" t="s">
        <v>1315</v>
      </c>
      <c r="I2768" s="1207"/>
      <c r="J2768" s="1194" t="str">
        <f>IF(Table5[[#This Row],[Entered]]&lt;&gt;Table5[[#This Row],[Quantity]],"Check","")</f>
        <v/>
      </c>
    </row>
    <row r="2769" spans="1:10" s="1198" customFormat="1" ht="15" x14ac:dyDescent="0.2">
      <c r="A2769" s="1190" t="s">
        <v>402</v>
      </c>
      <c r="B2769" s="1190" t="s">
        <v>1612</v>
      </c>
      <c r="C2769" s="1190">
        <v>12717</v>
      </c>
      <c r="D2769" s="1190">
        <f>400</f>
        <v>400</v>
      </c>
      <c r="E2769" s="1190">
        <v>1</v>
      </c>
      <c r="F2769" s="1191"/>
      <c r="G2769" s="1192"/>
      <c r="H2769" s="1193" t="s">
        <v>1316</v>
      </c>
      <c r="I2769" s="1207"/>
      <c r="J2769" s="1194" t="str">
        <f>IF(Table5[[#This Row],[Entered]]&lt;&gt;Table5[[#This Row],[Quantity]],"Check","")</f>
        <v/>
      </c>
    </row>
    <row r="2770" spans="1:10" s="1198" customFormat="1" ht="15" x14ac:dyDescent="0.2">
      <c r="A2770" s="1190" t="s">
        <v>402</v>
      </c>
      <c r="B2770" s="1190" t="s">
        <v>1612</v>
      </c>
      <c r="C2770" s="1190">
        <v>12717</v>
      </c>
      <c r="D2770" s="1190">
        <f>420</f>
        <v>420</v>
      </c>
      <c r="E2770" s="1190">
        <v>1</v>
      </c>
      <c r="F2770" s="1191"/>
      <c r="G2770" s="1192"/>
      <c r="H2770" s="1193" t="s">
        <v>1317</v>
      </c>
      <c r="I2770" s="1207"/>
      <c r="J2770" s="1194" t="str">
        <f>IF(Table5[[#This Row],[Entered]]&lt;&gt;Table5[[#This Row],[Quantity]],"Check","")</f>
        <v/>
      </c>
    </row>
    <row r="2771" spans="1:10" s="1198" customFormat="1" ht="15" x14ac:dyDescent="0.2">
      <c r="A2771" s="1190" t="s">
        <v>402</v>
      </c>
      <c r="B2771" s="1190" t="s">
        <v>1612</v>
      </c>
      <c r="C2771" s="1190">
        <v>12717</v>
      </c>
      <c r="D2771" s="1190">
        <f>540</f>
        <v>540</v>
      </c>
      <c r="E2771" s="1190">
        <v>1</v>
      </c>
      <c r="F2771" s="1191"/>
      <c r="G2771" s="1192"/>
      <c r="H2771" s="1193" t="s">
        <v>1318</v>
      </c>
      <c r="I2771" s="1207"/>
      <c r="J2771" s="1194" t="str">
        <f>IF(Table5[[#This Row],[Entered]]&lt;&gt;Table5[[#This Row],[Quantity]],"Check","")</f>
        <v/>
      </c>
    </row>
    <row r="2772" spans="1:10" s="1198" customFormat="1" ht="15" x14ac:dyDescent="0.2">
      <c r="A2772" s="1190" t="s">
        <v>402</v>
      </c>
      <c r="B2772" s="1190" t="s">
        <v>1612</v>
      </c>
      <c r="C2772" s="1190">
        <v>12717</v>
      </c>
      <c r="D2772" s="1190">
        <f>541</f>
        <v>541</v>
      </c>
      <c r="E2772" s="1190">
        <v>1</v>
      </c>
      <c r="F2772" s="1191"/>
      <c r="G2772" s="1192"/>
      <c r="H2772" s="1193" t="s">
        <v>1553</v>
      </c>
      <c r="I2772" s="1207"/>
      <c r="J2772" s="1194" t="str">
        <f>IF(Table5[[#This Row],[Entered]]&lt;&gt;Table5[[#This Row],[Quantity]],"Check","")</f>
        <v/>
      </c>
    </row>
    <row r="2773" spans="1:10" s="1198" customFormat="1" ht="15" x14ac:dyDescent="0.2">
      <c r="A2773" s="1190" t="s">
        <v>402</v>
      </c>
      <c r="B2773" s="1190" t="s">
        <v>1612</v>
      </c>
      <c r="C2773" s="1190">
        <v>12717</v>
      </c>
      <c r="D2773" s="1190">
        <f>545</f>
        <v>545</v>
      </c>
      <c r="E2773" s="1190">
        <v>1</v>
      </c>
      <c r="F2773" s="1191"/>
      <c r="G2773" s="1192"/>
      <c r="H2773" s="1193" t="s">
        <v>1319</v>
      </c>
      <c r="I2773" s="1207"/>
      <c r="J2773" s="1194" t="str">
        <f>IF(Table5[[#This Row],[Entered]]&lt;&gt;Table5[[#This Row],[Quantity]],"Check","")</f>
        <v/>
      </c>
    </row>
    <row r="2774" spans="1:10" s="1198" customFormat="1" ht="15" x14ac:dyDescent="0.2">
      <c r="A2774" s="1190" t="s">
        <v>402</v>
      </c>
      <c r="B2774" s="1190" t="s">
        <v>1612</v>
      </c>
      <c r="C2774" s="1190">
        <v>12717</v>
      </c>
      <c r="D2774" s="1190">
        <f>546</f>
        <v>546</v>
      </c>
      <c r="E2774" s="1190">
        <v>1</v>
      </c>
      <c r="F2774" s="1191"/>
      <c r="G2774" s="1192"/>
      <c r="H2774" s="1193" t="s">
        <v>1433</v>
      </c>
      <c r="I2774" s="1207"/>
      <c r="J2774" s="1194" t="str">
        <f>IF(Table5[[#This Row],[Entered]]&lt;&gt;Table5[[#This Row],[Quantity]],"Check","")</f>
        <v/>
      </c>
    </row>
    <row r="2775" spans="1:10" s="1198" customFormat="1" ht="15" x14ac:dyDescent="0.2">
      <c r="A2775" s="1190" t="s">
        <v>402</v>
      </c>
      <c r="B2775" s="1190" t="s">
        <v>1612</v>
      </c>
      <c r="C2775" s="1190">
        <v>12717</v>
      </c>
      <c r="D2775" s="1190">
        <f>1000</f>
        <v>1000</v>
      </c>
      <c r="E2775" s="1190">
        <v>1</v>
      </c>
      <c r="F2775" s="1191"/>
      <c r="G2775" s="1192">
        <v>2.5099999999999998</v>
      </c>
      <c r="H2775" s="1193" t="s">
        <v>1554</v>
      </c>
      <c r="I2775" s="1207"/>
      <c r="J2775" s="1194" t="str">
        <f>IF(Table5[[#This Row],[Entered]]&lt;&gt;Table5[[#This Row],[Quantity]],"Check","")</f>
        <v/>
      </c>
    </row>
    <row r="2776" spans="1:10" s="1198" customFormat="1" ht="15" x14ac:dyDescent="0.2">
      <c r="A2776" s="1190" t="s">
        <v>402</v>
      </c>
      <c r="B2776" s="1190" t="s">
        <v>1612</v>
      </c>
      <c r="C2776" s="1190">
        <v>12717</v>
      </c>
      <c r="D2776" s="1190">
        <f>9100</f>
        <v>9100</v>
      </c>
      <c r="E2776" s="1190">
        <v>1</v>
      </c>
      <c r="F2776" s="1191"/>
      <c r="G2776" s="1192">
        <v>42</v>
      </c>
      <c r="H2776" s="1193" t="s">
        <v>1200</v>
      </c>
      <c r="I2776" s="1207"/>
      <c r="J2776" s="1194" t="str">
        <f>IF(Table5[[#This Row],[Entered]]&lt;&gt;Table5[[#This Row],[Quantity]],"Check","")</f>
        <v/>
      </c>
    </row>
    <row r="2777" spans="1:10" s="1198" customFormat="1" ht="15" x14ac:dyDescent="0.2">
      <c r="A2777" s="1190" t="s">
        <v>402</v>
      </c>
      <c r="B2777" s="1190" t="s">
        <v>1612</v>
      </c>
      <c r="C2777" s="1190">
        <v>12717</v>
      </c>
      <c r="D2777" s="1190">
        <f>9150</f>
        <v>9150</v>
      </c>
      <c r="E2777" s="1190">
        <v>1</v>
      </c>
      <c r="F2777" s="1191"/>
      <c r="G2777" s="1192"/>
      <c r="H2777" s="1193" t="s">
        <v>1201</v>
      </c>
      <c r="I2777" s="1207"/>
      <c r="J2777" s="1194" t="str">
        <f>IF(Table5[[#This Row],[Entered]]&lt;&gt;Table5[[#This Row],[Quantity]],"Check","")</f>
        <v/>
      </c>
    </row>
    <row r="2778" spans="1:10" s="1198" customFormat="1" ht="15" x14ac:dyDescent="0.2">
      <c r="A2778" s="1190" t="s">
        <v>402</v>
      </c>
      <c r="B2778" s="1190" t="s">
        <v>1612</v>
      </c>
      <c r="C2778" s="1190">
        <v>12717</v>
      </c>
      <c r="D2778" s="1190">
        <f>9200</f>
        <v>9200</v>
      </c>
      <c r="E2778" s="1190">
        <v>1</v>
      </c>
      <c r="F2778" s="1191"/>
      <c r="G2778" s="1192"/>
      <c r="H2778" s="1193" t="s">
        <v>670</v>
      </c>
      <c r="I2778" s="1207"/>
      <c r="J2778" s="1194" t="str">
        <f>IF(Table5[[#This Row],[Entered]]&lt;&gt;Table5[[#This Row],[Quantity]],"Check","")</f>
        <v/>
      </c>
    </row>
    <row r="2779" spans="1:10" s="1198" customFormat="1" ht="15" x14ac:dyDescent="0.2">
      <c r="A2779" s="1190" t="s">
        <v>402</v>
      </c>
      <c r="B2779" s="1190" t="s">
        <v>1612</v>
      </c>
      <c r="C2779" s="1190">
        <v>12717</v>
      </c>
      <c r="D2779" s="1190">
        <f>9300</f>
        <v>9300</v>
      </c>
      <c r="E2779" s="1190">
        <v>1</v>
      </c>
      <c r="F2779" s="1191"/>
      <c r="G2779" s="1192"/>
      <c r="H2779" s="1193" t="s">
        <v>669</v>
      </c>
      <c r="I2779" s="1207"/>
      <c r="J2779" s="1194" t="str">
        <f>IF(Table5[[#This Row],[Entered]]&lt;&gt;Table5[[#This Row],[Quantity]],"Check","")</f>
        <v/>
      </c>
    </row>
    <row r="2780" spans="1:10" s="1198" customFormat="1" ht="15" x14ac:dyDescent="0.2">
      <c r="A2780" s="1190" t="s">
        <v>402</v>
      </c>
      <c r="B2780" s="1190" t="s">
        <v>1612</v>
      </c>
      <c r="C2780" s="1190">
        <v>12717</v>
      </c>
      <c r="D2780" s="1190">
        <f>9400</f>
        <v>9400</v>
      </c>
      <c r="E2780" s="1190">
        <v>1</v>
      </c>
      <c r="F2780" s="1191"/>
      <c r="G2780" s="1192"/>
      <c r="H2780" s="1193" t="s">
        <v>948</v>
      </c>
      <c r="I2780" s="1207"/>
      <c r="J2780" s="1194" t="str">
        <f>IF(Table5[[#This Row],[Entered]]&lt;&gt;Table5[[#This Row],[Quantity]],"Check","")</f>
        <v/>
      </c>
    </row>
    <row r="2781" spans="1:10" s="1198" customFormat="1" ht="15" x14ac:dyDescent="0.2">
      <c r="A2781" s="1190" t="s">
        <v>402</v>
      </c>
      <c r="B2781" s="1190" t="s">
        <v>1612</v>
      </c>
      <c r="C2781" s="1190">
        <v>12717</v>
      </c>
      <c r="D2781" s="1190">
        <f>9460</f>
        <v>9460</v>
      </c>
      <c r="E2781" s="1190">
        <v>1</v>
      </c>
      <c r="F2781" s="1191"/>
      <c r="G2781" s="1192"/>
      <c r="H2781" s="1193" t="s">
        <v>1673</v>
      </c>
      <c r="I2781" s="1207"/>
      <c r="J2781" s="1194" t="str">
        <f>IF(Table5[[#This Row],[Entered]]&lt;&gt;Table5[[#This Row],[Quantity]],"Check","")</f>
        <v/>
      </c>
    </row>
    <row r="2782" spans="1:10" s="1198" customFormat="1" ht="15" x14ac:dyDescent="0.2">
      <c r="A2782" s="1190" t="s">
        <v>402</v>
      </c>
      <c r="B2782" s="1190" t="s">
        <v>1612</v>
      </c>
      <c r="C2782" s="1190">
        <v>12717</v>
      </c>
      <c r="D2782" s="1190" t="s">
        <v>2296</v>
      </c>
      <c r="E2782" s="1190">
        <v>1</v>
      </c>
      <c r="F2782" s="1191"/>
      <c r="G2782" s="1192"/>
      <c r="H2782" s="1193" t="s">
        <v>1437</v>
      </c>
      <c r="I2782" s="1207"/>
      <c r="J2782" s="1194" t="str">
        <f>IF(Table5[[#This Row],[Entered]]&lt;&gt;Table5[[#This Row],[Quantity]],"Check","")</f>
        <v/>
      </c>
    </row>
    <row r="2783" spans="1:10" s="1198" customFormat="1" ht="15" x14ac:dyDescent="0.2">
      <c r="A2783" s="1190" t="s">
        <v>402</v>
      </c>
      <c r="B2783" s="1190" t="s">
        <v>1612</v>
      </c>
      <c r="C2783" s="1190">
        <v>12717</v>
      </c>
      <c r="D2783" s="1190">
        <f>9500</f>
        <v>9500</v>
      </c>
      <c r="E2783" s="1190">
        <v>1</v>
      </c>
      <c r="F2783" s="1191"/>
      <c r="G2783" s="1192"/>
      <c r="H2783" s="1193" t="s">
        <v>949</v>
      </c>
      <c r="I2783" s="1207"/>
      <c r="J2783" s="1194" t="str">
        <f>IF(Table5[[#This Row],[Entered]]&lt;&gt;Table5[[#This Row],[Quantity]],"Check","")</f>
        <v/>
      </c>
    </row>
    <row r="2784" spans="1:10" s="1198" customFormat="1" ht="15" x14ac:dyDescent="0.2">
      <c r="A2784" s="1190" t="s">
        <v>402</v>
      </c>
      <c r="B2784" s="1190" t="s">
        <v>1612</v>
      </c>
      <c r="C2784" s="1190">
        <v>12717</v>
      </c>
      <c r="D2784" s="1190">
        <f>9600</f>
        <v>9600</v>
      </c>
      <c r="E2784" s="1190">
        <v>1</v>
      </c>
      <c r="F2784" s="1191"/>
      <c r="G2784" s="1192"/>
      <c r="H2784" s="1193" t="s">
        <v>950</v>
      </c>
      <c r="I2784" s="1207"/>
      <c r="J2784" s="1194" t="str">
        <f>IF(Table5[[#This Row],[Entered]]&lt;&gt;Table5[[#This Row],[Quantity]],"Check","")</f>
        <v/>
      </c>
    </row>
    <row r="2785" spans="1:10" s="1198" customFormat="1" ht="15" x14ac:dyDescent="0.2">
      <c r="A2785" s="1190"/>
      <c r="B2785" s="1190"/>
      <c r="C2785" s="1190"/>
      <c r="D2785" s="1190"/>
      <c r="E2785" s="1190"/>
      <c r="F2785" s="1191"/>
      <c r="G2785" s="1192"/>
      <c r="H2785" s="1193"/>
      <c r="I2785" s="1207"/>
      <c r="J2785" s="1194" t="str">
        <f>IF(Table5[[#This Row],[Entered]]&lt;&gt;Table5[[#This Row],[Quantity]],"Check","")</f>
        <v/>
      </c>
    </row>
    <row r="2786" spans="1:10" s="1198" customFormat="1" ht="15" x14ac:dyDescent="0.2">
      <c r="A2786" s="1190" t="s">
        <v>402</v>
      </c>
      <c r="B2786" s="1190" t="s">
        <v>1419</v>
      </c>
      <c r="C2786" s="1190" t="s">
        <v>959</v>
      </c>
      <c r="D2786" s="1190">
        <f>20</f>
        <v>20</v>
      </c>
      <c r="E2786" s="1190">
        <v>8</v>
      </c>
      <c r="F2786" s="1191">
        <f>IF(Plasterboard?="No",0,IF(OR(Brick_typeFF="Timber Frame",Brick_typeFF="Brick Veneer"),0,'Plaster Ceilings Insulation'!$J$24))</f>
        <v>0</v>
      </c>
      <c r="G2786" s="1192"/>
      <c r="H2786" s="1193" t="s">
        <v>960</v>
      </c>
      <c r="I2786" s="1207"/>
      <c r="J2786" s="1194" t="str">
        <f>IF(Table5[[#This Row],[Entered]]&lt;&gt;Table5[[#This Row],[Quantity]],"Check","")</f>
        <v/>
      </c>
    </row>
    <row r="2787" spans="1:10" s="1198" customFormat="1" ht="15" x14ac:dyDescent="0.2">
      <c r="A2787" s="1190" t="s">
        <v>402</v>
      </c>
      <c r="B2787" s="1190" t="s">
        <v>1419</v>
      </c>
      <c r="C2787" s="1190" t="s">
        <v>959</v>
      </c>
      <c r="D2787" s="1190">
        <f>40</f>
        <v>40</v>
      </c>
      <c r="E2787" s="1190">
        <v>1</v>
      </c>
      <c r="F2787" s="1191">
        <f>IF(Plasterboard?="No",0,IF(OR(Brick_typeFF="Timber Frame",Brick_typeFF="Brick Veneer"),0,COUNTIF('CSV FF'!A:A,"Corner Bead")))</f>
        <v>0</v>
      </c>
      <c r="G2787" s="1192"/>
      <c r="H2787" s="1193" t="s">
        <v>961</v>
      </c>
      <c r="I2787" s="1207"/>
      <c r="J2787" s="1194" t="str">
        <f>IF(Table5[[#This Row],[Entered]]&lt;&gt;Table5[[#This Row],[Quantity]],"Check","")</f>
        <v/>
      </c>
    </row>
    <row r="2788" spans="1:10" s="1198" customFormat="1" ht="15" x14ac:dyDescent="0.2">
      <c r="A2788" s="1190" t="s">
        <v>402</v>
      </c>
      <c r="B2788" s="1190" t="s">
        <v>1419</v>
      </c>
      <c r="C2788" s="1190" t="s">
        <v>959</v>
      </c>
      <c r="D2788" s="1190">
        <f>50</f>
        <v>50</v>
      </c>
      <c r="E2788" s="1190">
        <v>1</v>
      </c>
      <c r="F2788" s="1191">
        <f>COUNTIFS('Lintel Sheet'!C:C,"Render",'Lintel Sheet'!D:D,"Entry",'Lintel Sheet'!$C:$C,"Internal",'Lintel Sheet'!B:B,"First")+COUNTIF('CSV FF'!A:A,"Plastic Bead")</f>
        <v>0</v>
      </c>
      <c r="G2788" s="1192"/>
      <c r="H2788" s="1193" t="s">
        <v>1631</v>
      </c>
      <c r="I2788" s="1207"/>
      <c r="J2788" s="1194" t="str">
        <f>IF(Table5[[#This Row],[Entered]]&lt;&gt;Table5[[#This Row],[Quantity]],"Check","")</f>
        <v/>
      </c>
    </row>
    <row r="2789" spans="1:10" s="1198" customFormat="1" ht="15" x14ac:dyDescent="0.2">
      <c r="A2789" s="1190" t="s">
        <v>402</v>
      </c>
      <c r="B2789" s="1190" t="s">
        <v>1419</v>
      </c>
      <c r="C2789" s="1190" t="s">
        <v>959</v>
      </c>
      <c r="D2789" s="1190">
        <f>60</f>
        <v>60</v>
      </c>
      <c r="E2789" s="1190">
        <v>8</v>
      </c>
      <c r="F2789" s="1191"/>
      <c r="G2789" s="1192"/>
      <c r="H2789" s="1193" t="s">
        <v>962</v>
      </c>
      <c r="I2789" s="1207"/>
      <c r="J2789" s="1194" t="str">
        <f>IF(Table5[[#This Row],[Entered]]&lt;&gt;Table5[[#This Row],[Quantity]],"Check","")</f>
        <v/>
      </c>
    </row>
    <row r="2790" spans="1:10" s="1198" customFormat="1" ht="15" x14ac:dyDescent="0.2">
      <c r="A2790" s="1190" t="s">
        <v>402</v>
      </c>
      <c r="B2790" s="1190" t="s">
        <v>1419</v>
      </c>
      <c r="C2790" s="1190" t="s">
        <v>959</v>
      </c>
      <c r="D2790" s="1190">
        <f>61</f>
        <v>61</v>
      </c>
      <c r="E2790" s="1190">
        <v>0</v>
      </c>
      <c r="F2790" s="1191"/>
      <c r="G2790" s="1192"/>
      <c r="H2790" s="1193" t="s">
        <v>963</v>
      </c>
      <c r="I2790" s="1207"/>
      <c r="J2790" s="1194" t="str">
        <f>IF(Table5[[#This Row],[Entered]]&lt;&gt;Table5[[#This Row],[Quantity]],"Check","")</f>
        <v/>
      </c>
    </row>
    <row r="2791" spans="1:10" s="1198" customFormat="1" ht="15" x14ac:dyDescent="0.2">
      <c r="A2791" s="1190" t="s">
        <v>402</v>
      </c>
      <c r="B2791" s="1190" t="s">
        <v>1419</v>
      </c>
      <c r="C2791" s="1190" t="s">
        <v>959</v>
      </c>
      <c r="D2791" s="1190">
        <f>62</f>
        <v>62</v>
      </c>
      <c r="E2791" s="1190">
        <v>8</v>
      </c>
      <c r="F2791" s="1191">
        <f>IF(AND(Brick_typeFF="Full Render",COUNTIF(Addenda!A:A,"*TEXTURE*")&lt;=5),'Plaster Ceilings Insulation'!$J$27,0)</f>
        <v>0</v>
      </c>
      <c r="G2791" s="1192"/>
      <c r="H2791" s="1193" t="s">
        <v>964</v>
      </c>
      <c r="I2791" s="1207"/>
      <c r="J2791" s="1194" t="str">
        <f>IF(Table5[[#This Row],[Entered]]&lt;&gt;Table5[[#This Row],[Quantity]],"Check","")</f>
        <v/>
      </c>
    </row>
    <row r="2792" spans="1:10" s="1198" customFormat="1" ht="15" x14ac:dyDescent="0.2">
      <c r="A2792" s="1190" t="s">
        <v>402</v>
      </c>
      <c r="B2792" s="1190" t="s">
        <v>1419</v>
      </c>
      <c r="C2792" s="1190" t="s">
        <v>959</v>
      </c>
      <c r="D2792" s="1190">
        <f>65</f>
        <v>65</v>
      </c>
      <c r="E2792" s="1190">
        <v>8</v>
      </c>
      <c r="F2792" s="1191"/>
      <c r="G2792" s="1192"/>
      <c r="H2792" s="1193" t="s">
        <v>1126</v>
      </c>
      <c r="I2792" s="1207"/>
      <c r="J2792" s="1194" t="str">
        <f>IF(Table5[[#This Row],[Entered]]&lt;&gt;Table5[[#This Row],[Quantity]],"Check","")</f>
        <v/>
      </c>
    </row>
    <row r="2793" spans="1:10" s="1198" customFormat="1" ht="15" x14ac:dyDescent="0.2">
      <c r="A2793" s="1190" t="s">
        <v>402</v>
      </c>
      <c r="B2793" s="1190" t="s">
        <v>1419</v>
      </c>
      <c r="C2793" s="1190" t="s">
        <v>959</v>
      </c>
      <c r="D2793" s="1190">
        <f>80</f>
        <v>80</v>
      </c>
      <c r="E2793" s="1190">
        <v>7</v>
      </c>
      <c r="F2793" s="1191">
        <f>ROUNDUP(SUMIF(Name,"Projected Band",'CSV FF'!C:C),1)</f>
        <v>0</v>
      </c>
      <c r="G2793" s="1192"/>
      <c r="H2793" s="1193" t="s">
        <v>1320</v>
      </c>
      <c r="I2793" s="1207"/>
      <c r="J2793" s="1194" t="str">
        <f>IF(Table5[[#This Row],[Entered]]&lt;&gt;Table5[[#This Row],[Quantity]],"Check","")</f>
        <v/>
      </c>
    </row>
    <row r="2794" spans="1:10" s="1198" customFormat="1" ht="15" x14ac:dyDescent="0.2">
      <c r="A2794" s="1190" t="s">
        <v>402</v>
      </c>
      <c r="B2794" s="1190" t="s">
        <v>1419</v>
      </c>
      <c r="C2794" s="1190" t="s">
        <v>959</v>
      </c>
      <c r="D2794" s="1190">
        <f>140</f>
        <v>140</v>
      </c>
      <c r="E2794" s="1190">
        <v>1</v>
      </c>
      <c r="F2794" s="1191">
        <f>COUNTIFS(NameFF,"Pad Footing",MaterialFF,"Render")</f>
        <v>0</v>
      </c>
      <c r="G2794" s="1192"/>
      <c r="H2794" s="1193" t="s">
        <v>1109</v>
      </c>
      <c r="I2794" s="1207"/>
      <c r="J2794" s="1194" t="str">
        <f>IF(Table5[[#This Row],[Entered]]&lt;&gt;Table5[[#This Row],[Quantity]],"Check","")</f>
        <v/>
      </c>
    </row>
    <row r="2795" spans="1:10" s="1198" customFormat="1" ht="15" x14ac:dyDescent="0.2">
      <c r="A2795" s="1190" t="s">
        <v>402</v>
      </c>
      <c r="B2795" s="1190" t="s">
        <v>1419</v>
      </c>
      <c r="C2795" s="1190" t="s">
        <v>959</v>
      </c>
      <c r="D2795" s="1190">
        <f>155</f>
        <v>155</v>
      </c>
      <c r="E2795" s="1190">
        <v>1</v>
      </c>
      <c r="F2795" s="1191">
        <f>SUMIF('Brickwork FF'!$C$39:$C$58,"*Attached*",'Brickwork FF'!$D$39:$D$58)</f>
        <v>0</v>
      </c>
      <c r="G2795" s="1192"/>
      <c r="H2795" s="1193" t="s">
        <v>1086</v>
      </c>
      <c r="I2795" s="1207"/>
      <c r="J2795" s="1194" t="str">
        <f>IF(Table5[[#This Row],[Entered]]&lt;&gt;Table5[[#This Row],[Quantity]],"Check","")</f>
        <v/>
      </c>
    </row>
    <row r="2796" spans="1:10" s="1198" customFormat="1" ht="15" x14ac:dyDescent="0.2">
      <c r="A2796" s="1190" t="s">
        <v>402</v>
      </c>
      <c r="B2796" s="1190" t="s">
        <v>1419</v>
      </c>
      <c r="C2796" s="1190" t="s">
        <v>959</v>
      </c>
      <c r="D2796" s="1190">
        <f>180</f>
        <v>180</v>
      </c>
      <c r="E2796" s="1190">
        <v>1</v>
      </c>
      <c r="F2796" s="1191"/>
      <c r="G2796" s="1192"/>
      <c r="H2796" s="1193" t="s">
        <v>1094</v>
      </c>
      <c r="I2796" s="1207"/>
      <c r="J2796" s="1194" t="str">
        <f>IF(Table5[[#This Row],[Entered]]&lt;&gt;Table5[[#This Row],[Quantity]],"Check","")</f>
        <v/>
      </c>
    </row>
    <row r="2797" spans="1:10" ht="15" x14ac:dyDescent="0.2">
      <c r="A2797" s="1190" t="s">
        <v>402</v>
      </c>
      <c r="B2797" s="1190" t="s">
        <v>1419</v>
      </c>
      <c r="C2797" s="1190" t="s">
        <v>959</v>
      </c>
      <c r="D2797" s="1190">
        <f>340</f>
        <v>340</v>
      </c>
      <c r="E2797" s="1190">
        <v>7</v>
      </c>
      <c r="F2797" s="1191">
        <f>SUMIFS(Lintel_Length,Lintel_Brick,"Render",Lintel_Selection,"*T-Bar*",Lintel_Location,"External",Lintel_Floor,"First")</f>
        <v>0</v>
      </c>
      <c r="G2797" s="1192"/>
      <c r="H2797" s="1193" t="s">
        <v>965</v>
      </c>
      <c r="I2797" s="1207"/>
      <c r="J2797" s="1194" t="str">
        <f>IF(Table5[[#This Row],[Entered]]&lt;&gt;Table5[[#This Row],[Quantity]],"Check","")</f>
        <v/>
      </c>
    </row>
    <row r="2798" spans="1:10" ht="15" x14ac:dyDescent="0.2">
      <c r="A2798" s="1190" t="s">
        <v>402</v>
      </c>
      <c r="B2798" s="1190" t="s">
        <v>1419</v>
      </c>
      <c r="C2798" s="1190" t="s">
        <v>959</v>
      </c>
      <c r="D2798" s="1190">
        <f>9995</f>
        <v>9995</v>
      </c>
      <c r="E2798" s="1190">
        <v>0</v>
      </c>
      <c r="F2798" s="1191">
        <f>IF(F2786+F2792=0,0,1)</f>
        <v>0</v>
      </c>
      <c r="G2798" s="1192"/>
      <c r="H2798" s="1193" t="s">
        <v>1029</v>
      </c>
      <c r="I2798" s="1207"/>
      <c r="J2798" s="1194" t="str">
        <f>IF(Table5[[#This Row],[Entered]]&lt;&gt;Table5[[#This Row],[Quantity]],"Check","")</f>
        <v/>
      </c>
    </row>
    <row r="2799" spans="1:10" ht="15" x14ac:dyDescent="0.2">
      <c r="A2799" s="1190" t="s">
        <v>402</v>
      </c>
      <c r="B2799" s="1190" t="s">
        <v>1419</v>
      </c>
      <c r="C2799" s="1190" t="s">
        <v>959</v>
      </c>
      <c r="D2799" s="1190" t="s">
        <v>1460</v>
      </c>
      <c r="E2799" s="1190">
        <v>0</v>
      </c>
      <c r="F2799" s="1191">
        <f>IF(SUM(F2786:F2798),1,0)</f>
        <v>0</v>
      </c>
      <c r="G2799" s="1192"/>
      <c r="H2799" s="1193" t="s">
        <v>1465</v>
      </c>
      <c r="I2799" s="1207"/>
      <c r="J2799" s="1194" t="str">
        <f>IF(Table5[[#This Row],[Entered]]&lt;&gt;Table5[[#This Row],[Quantity]],"Check","")</f>
        <v/>
      </c>
    </row>
  </sheetData>
  <mergeCells count="1">
    <mergeCell ref="A1:J1"/>
  </mergeCells>
  <phoneticPr fontId="12" type="noConversion"/>
  <conditionalFormatting sqref="G23:G24 G4 G379 G129 G44:G45 G865:G867 G135 G1601 G1865 G1919 G2160 G131 G858 G863 G889 G658 G40 G654">
    <cfRule type="expression" dxfId="286" priority="33">
      <formula>AND(E4=1,F4&gt;0,G4=0)</formula>
    </cfRule>
  </conditionalFormatting>
  <conditionalFormatting sqref="G42">
    <cfRule type="expression" dxfId="285" priority="32">
      <formula>AND(E42=1,F42&gt;0,G42=0)</formula>
    </cfRule>
  </conditionalFormatting>
  <conditionalFormatting sqref="F44 F129 F2160 F1601 F2162 F131 F858">
    <cfRule type="expression" dxfId="284" priority="27">
      <formula>F44=0</formula>
    </cfRule>
  </conditionalFormatting>
  <conditionalFormatting sqref="G616">
    <cfRule type="expression" dxfId="283" priority="26">
      <formula>AND(E616=1,F616&gt;0,G616=0)</formula>
    </cfRule>
  </conditionalFormatting>
  <conditionalFormatting sqref="G791:G794">
    <cfRule type="expression" dxfId="282" priority="24">
      <formula>AND(E791=1,F791&gt;0,G791=0)</formula>
    </cfRule>
  </conditionalFormatting>
  <conditionalFormatting sqref="G795:G796">
    <cfRule type="expression" dxfId="281" priority="23">
      <formula>AND(E795=1,F795&gt;0,G795=0)</formula>
    </cfRule>
  </conditionalFormatting>
  <conditionalFormatting sqref="F1564">
    <cfRule type="expression" dxfId="280" priority="14">
      <formula>AND($G$1564&gt;0,$F$1564="")</formula>
    </cfRule>
    <cfRule type="expression" dxfId="279" priority="15">
      <formula>AND(D1564=1,E1564&gt;0,F1564=0)</formula>
    </cfRule>
  </conditionalFormatting>
  <conditionalFormatting sqref="G495">
    <cfRule type="expression" dxfId="278" priority="12">
      <formula>AND(E495=1,F495&gt;0,G495=0)</formula>
    </cfRule>
  </conditionalFormatting>
  <conditionalFormatting sqref="F135">
    <cfRule type="expression" dxfId="277" priority="11">
      <formula>F135=0</formula>
    </cfRule>
  </conditionalFormatting>
  <conditionalFormatting sqref="G862">
    <cfRule type="expression" dxfId="276" priority="10">
      <formula>AND(E862=1,F862&gt;0,G862=0)</formula>
    </cfRule>
  </conditionalFormatting>
  <conditionalFormatting sqref="G864">
    <cfRule type="expression" dxfId="275" priority="7">
      <formula>AND(E864=1,F864&gt;0,G864=0)</formula>
    </cfRule>
  </conditionalFormatting>
  <conditionalFormatting sqref="G656">
    <cfRule type="expression" dxfId="274" priority="6">
      <formula>AND(E656=1,F656&gt;0,G656=0)</formula>
    </cfRule>
  </conditionalFormatting>
  <conditionalFormatting sqref="G887">
    <cfRule type="expression" dxfId="273" priority="4">
      <formula>AND(E887=1,F887&gt;0,G887=0)</formula>
    </cfRule>
  </conditionalFormatting>
  <conditionalFormatting sqref="G2158">
    <cfRule type="expression" dxfId="272" priority="1">
      <formula>AND(E2158=1,F2158&gt;0,G2158=0)</formula>
    </cfRule>
  </conditionalFormatting>
  <dataValidations disablePrompts="1" count="6">
    <dataValidation type="list" allowBlank="1" showInputMessage="1" showErrorMessage="1" sqref="C243:C256 C220:C241" xr:uid="{A5BDC5FE-9767-4627-9519-F6DFE1A8C45D}">
      <formula1>"02004,"</formula1>
    </dataValidation>
    <dataValidation type="list" allowBlank="1" showInputMessage="1" showErrorMessage="1" sqref="C22 C43" xr:uid="{54D2FFF1-FCFD-4547-88AD-1152C6429FC0}">
      <formula1>"10339,"</formula1>
    </dataValidation>
    <dataValidation type="list" allowBlank="1" showInputMessage="1" showErrorMessage="1" sqref="C23:C24" xr:uid="{0D207050-97DB-4046-9535-C668D41BAC3D}">
      <formula1>"11462, 50001"</formula1>
    </dataValidation>
    <dataValidation type="list" allowBlank="1" showInputMessage="1" showErrorMessage="1" sqref="C21" xr:uid="{5F3AE4A5-F1CF-4B37-B5B3-C119B31D3668}">
      <formula1>"10339, 04423, 11164800"</formula1>
    </dataValidation>
    <dataValidation type="list" allowBlank="1" showInputMessage="1" showErrorMessage="1" sqref="C2158 C862" xr:uid="{9C226C15-94F4-454E-BC37-EBF5841C16FC}">
      <formula1>"04423, 11164800,10339,11164600"</formula1>
    </dataValidation>
    <dataValidation type="list" allowBlank="1" showInputMessage="1" sqref="C42" xr:uid="{ACCC993A-6906-405A-994D-ED6DF6227F91}">
      <formula1>"04423, 11164800,10339,11164600"</formula1>
    </dataValidation>
  </dataValidations>
  <hyperlinks>
    <hyperlink ref="H4" r:id="rId1" xr:uid="{348EB330-3FB5-4632-9ACB-9C14524A0144}"/>
  </hyperlinks>
  <pageMargins left="0.7" right="0.7" top="0.75" bottom="0.75" header="0.3" footer="0.3"/>
  <pageSetup paperSize="9" scale="33"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47493" r:id="rId5" name="Button 37">
              <controlPr defaultSize="0" print="0" autoFill="0" autoPict="0" macro="[0]!CSVtoBUILDX">
                <anchor moveWithCells="1">
                  <from>
                    <xdr:col>0</xdr:col>
                    <xdr:colOff>0</xdr:colOff>
                    <xdr:row>0</xdr:row>
                    <xdr:rowOff>0</xdr:rowOff>
                  </from>
                  <to>
                    <xdr:col>0</xdr:col>
                    <xdr:colOff>514350</xdr:colOff>
                    <xdr:row>0</xdr:row>
                    <xdr:rowOff>228600</xdr:rowOff>
                  </to>
                </anchor>
              </controlPr>
            </control>
          </mc:Choice>
        </mc:AlternateContent>
        <mc:AlternateContent xmlns:mc="http://schemas.openxmlformats.org/markup-compatibility/2006">
          <mc:Choice Requires="x14">
            <control shapeId="147494" r:id="rId6" name="Button 38">
              <controlPr defaultSize="0" print="0" autoFill="0" autoPict="0" macro="[0]!Slab_Filter">
                <anchor moveWithCells="1">
                  <from>
                    <xdr:col>1</xdr:col>
                    <xdr:colOff>152400</xdr:colOff>
                    <xdr:row>0</xdr:row>
                    <xdr:rowOff>0</xdr:rowOff>
                  </from>
                  <to>
                    <xdr:col>1</xdr:col>
                    <xdr:colOff>1152525</xdr:colOff>
                    <xdr:row>0</xdr:row>
                    <xdr:rowOff>228600</xdr:rowOff>
                  </to>
                </anchor>
              </controlPr>
            </control>
          </mc:Choice>
        </mc:AlternateContent>
        <mc:AlternateContent xmlns:mc="http://schemas.openxmlformats.org/markup-compatibility/2006">
          <mc:Choice Requires="x14">
            <control shapeId="147499" r:id="rId7" name="Button 43">
              <controlPr defaultSize="0" print="0" autoFill="0" autoPict="0" macro="[0]!Plate_Filter">
                <anchor moveWithCells="1">
                  <from>
                    <xdr:col>2</xdr:col>
                    <xdr:colOff>152400</xdr:colOff>
                    <xdr:row>0</xdr:row>
                    <xdr:rowOff>0</xdr:rowOff>
                  </from>
                  <to>
                    <xdr:col>3</xdr:col>
                    <xdr:colOff>0</xdr:colOff>
                    <xdr:row>0</xdr:row>
                    <xdr:rowOff>228600</xdr:rowOff>
                  </to>
                </anchor>
              </controlPr>
            </control>
          </mc:Choice>
        </mc:AlternateContent>
        <mc:AlternateContent xmlns:mc="http://schemas.openxmlformats.org/markup-compatibility/2006">
          <mc:Choice Requires="x14">
            <control shapeId="147500" r:id="rId8" name="Button 44">
              <controlPr defaultSize="0" print="0" autoFill="0" autoPict="0" macro="[0]!Clear_Filter">
                <anchor moveWithCells="1">
                  <from>
                    <xdr:col>3</xdr:col>
                    <xdr:colOff>171450</xdr:colOff>
                    <xdr:row>0</xdr:row>
                    <xdr:rowOff>0</xdr:rowOff>
                  </from>
                  <to>
                    <xdr:col>4</xdr:col>
                    <xdr:colOff>0</xdr:colOff>
                    <xdr:row>0</xdr:row>
                    <xdr:rowOff>228600</xdr:rowOff>
                  </to>
                </anchor>
              </controlPr>
            </control>
          </mc:Choice>
        </mc:AlternateContent>
        <mc:AlternateContent xmlns:mc="http://schemas.openxmlformats.org/markup-compatibility/2006">
          <mc:Choice Requires="x14">
            <control shapeId="147502" r:id="rId9" name="Button 46">
              <controlPr defaultSize="0" print="0" autoFill="0" autoPict="0" macro="[0]!PDF_Files.PDF_Files">
                <anchor moveWithCells="1">
                  <from>
                    <xdr:col>0</xdr:col>
                    <xdr:colOff>552450</xdr:colOff>
                    <xdr:row>0</xdr:row>
                    <xdr:rowOff>0</xdr:rowOff>
                  </from>
                  <to>
                    <xdr:col>0</xdr:col>
                    <xdr:colOff>1152525</xdr:colOff>
                    <xdr:row>0</xdr:row>
                    <xdr:rowOff>228600</xdr:rowOff>
                  </to>
                </anchor>
              </controlPr>
            </control>
          </mc:Choice>
        </mc:AlternateContent>
        <mc:AlternateContent xmlns:mc="http://schemas.openxmlformats.org/markup-compatibility/2006">
          <mc:Choice Requires="x14">
            <control shapeId="147533" r:id="rId10" name="Button 77">
              <controlPr defaultSize="0" print="0" autoFill="0" autoPict="0" macro="[0]!WriteTextFile">
                <anchor moveWithCells="1">
                  <from>
                    <xdr:col>7</xdr:col>
                    <xdr:colOff>8982075</xdr:colOff>
                    <xdr:row>0</xdr:row>
                    <xdr:rowOff>0</xdr:rowOff>
                  </from>
                  <to>
                    <xdr:col>8</xdr:col>
                    <xdr:colOff>952500</xdr:colOff>
                    <xdr:row>0</xdr:row>
                    <xdr:rowOff>228600</xdr:rowOff>
                  </to>
                </anchor>
              </controlPr>
            </control>
          </mc:Choice>
        </mc:AlternateContent>
        <mc:AlternateContent xmlns:mc="http://schemas.openxmlformats.org/markup-compatibility/2006">
          <mc:Choice Requires="x14">
            <control shapeId="252829" r:id="rId11" name="Button 1949">
              <controlPr defaultSize="0" print="0" autoFill="0" autoPict="0" macro="[0]!BillEntered">
                <anchor moveWithCells="1">
                  <from>
                    <xdr:col>9</xdr:col>
                    <xdr:colOff>85725</xdr:colOff>
                    <xdr:row>0</xdr:row>
                    <xdr:rowOff>0</xdr:rowOff>
                  </from>
                  <to>
                    <xdr:col>9</xdr:col>
                    <xdr:colOff>1095375</xdr:colOff>
                    <xdr:row>0</xdr:row>
                    <xdr:rowOff>228600</xdr:rowOff>
                  </to>
                </anchor>
              </controlPr>
            </control>
          </mc:Choice>
        </mc:AlternateContent>
      </controls>
    </mc:Choice>
  </mc:AlternateContent>
  <tableParts count="1">
    <tablePart r:id="rId12"/>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pageSetUpPr autoPageBreaks="0"/>
  </sheetPr>
  <dimension ref="A1:H889"/>
  <sheetViews>
    <sheetView tabSelected="1" zoomScale="85" zoomScaleNormal="85" workbookViewId="0"/>
  </sheetViews>
  <sheetFormatPr defaultColWidth="9.140625" defaultRowHeight="12.75" x14ac:dyDescent="0.2"/>
  <cols>
    <col min="1" max="1" width="81.140625" style="1126" customWidth="1"/>
    <col min="2" max="2" width="16.28515625" style="488" bestFit="1" customWidth="1"/>
    <col min="3" max="3" width="42.5703125" style="488" bestFit="1" customWidth="1"/>
    <col min="4" max="4" width="20.7109375" style="488" customWidth="1"/>
    <col min="5" max="5" width="20.42578125" style="488" bestFit="1" customWidth="1"/>
    <col min="6" max="6" width="36.42578125" style="488" bestFit="1" customWidth="1"/>
    <col min="7" max="7" width="37.7109375" style="488" bestFit="1" customWidth="1"/>
    <col min="8" max="8" width="20.7109375" style="488" customWidth="1"/>
    <col min="9" max="25" width="81.140625" style="488" customWidth="1"/>
    <col min="26" max="16384" width="9.140625" style="488"/>
  </cols>
  <sheetData>
    <row r="1" spans="1:8" x14ac:dyDescent="0.2">
      <c r="A1" s="1127"/>
      <c r="B1" s="488" t="s">
        <v>506</v>
      </c>
      <c r="C1" s="490" t="str">
        <f>IF(OR(ISNUMBER(SEARCH("Australind",Address)),ISNUMBER(SEARCH("Bunbury",Address)),ISNUMBER(SEARCH("Boyanup",Address)),ISNUMBER(SEARCH("Millbridge",Address)),ISNUMBER(SEARCH("Dalyellup",Address)),ISNUMBER(SEARCH("Eaton",Address)),ISNUMBER(SEARCH("Dardanup",Address)),ISNUMBER(SEARCH("Donnybrook",Address)),ISNUMBER(SEARCH("Harvey",Address)),ISNUMBER(SEARCH("Capel",Address)),ISNUMBER(SEARCH("Binningup",Address)),ISNUMBER(SEARCH("Brunswick",Address)),ISNUMBER(SEARCH("Burekup",Address)),ISNUMBER(SEARCH("Collie",Address)),ISNUMBER(SEARCH("Roelands",Address)),ISNUMBER(SEARCH("Waroona",Address)),ISNUMBER(SEARCH("Yarloop",Address)),ISNUMBER(SEARCH("Withers",Address)),ISNUMBER(SEARCH("Carey Park",Address))),"Bunbury","Busselton")</f>
        <v>Busselton</v>
      </c>
    </row>
    <row r="2" spans="1:8" x14ac:dyDescent="0.2">
      <c r="A2" s="1127"/>
      <c r="B2" s="489" t="s">
        <v>986</v>
      </c>
      <c r="C2" s="490">
        <f>Eng_Footing</f>
        <v>0</v>
      </c>
    </row>
    <row r="3" spans="1:8" x14ac:dyDescent="0.2">
      <c r="A3" s="1127"/>
      <c r="B3" s="488" t="s">
        <v>987</v>
      </c>
      <c r="C3" s="490"/>
    </row>
    <row r="4" spans="1:8" x14ac:dyDescent="0.2">
      <c r="A4" s="1127"/>
      <c r="B4" s="488" t="s">
        <v>988</v>
      </c>
      <c r="C4" s="490" t="str" cm="1">
        <f t="array" ref="C4">IFERROR(INDEX(A:A,MATCH("* external wall*",A:A,0)+1,1),"")</f>
        <v/>
      </c>
    </row>
    <row r="5" spans="1:8" x14ac:dyDescent="0.2">
      <c r="A5" s="1127"/>
      <c r="B5" s="488" t="s">
        <v>1774</v>
      </c>
      <c r="C5" s="490">
        <f>COUNTIF(Name,"Dummy*")</f>
        <v>0</v>
      </c>
    </row>
    <row r="6" spans="1:8" x14ac:dyDescent="0.2">
      <c r="A6" s="1127"/>
      <c r="B6" s="488" t="s">
        <v>2456</v>
      </c>
      <c r="C6" s="490"/>
      <c r="D6" s="284" t="str">
        <f>IF(COUNTIF(B:B,"Roof Cover: Colorbond*")&gt;0,"Colorbond","")&amp;IF(COUNTIF(B:B,"Roof Cover: Zincalume*")&gt;0,"Zincalume","")</f>
        <v/>
      </c>
    </row>
    <row r="7" spans="1:8" x14ac:dyDescent="0.2">
      <c r="A7" s="1127"/>
      <c r="D7" s="284"/>
    </row>
    <row r="8" spans="1:8" x14ac:dyDescent="0.2">
      <c r="A8" s="1127"/>
      <c r="D8" s="284"/>
    </row>
    <row r="9" spans="1:8" x14ac:dyDescent="0.2">
      <c r="A9" s="1127"/>
    </row>
    <row r="10" spans="1:8" x14ac:dyDescent="0.2">
      <c r="A10" s="1127"/>
    </row>
    <row r="11" spans="1:8" x14ac:dyDescent="0.2">
      <c r="A11" s="1127"/>
      <c r="H11" s="489"/>
    </row>
    <row r="12" spans="1:8" x14ac:dyDescent="0.2">
      <c r="A12" s="1127"/>
      <c r="E12" s="1253" t="s">
        <v>2450</v>
      </c>
      <c r="F12" s="1254" t="s">
        <v>3077</v>
      </c>
      <c r="G12" s="1254" t="str">
        <f ca="1">IFERROR(LEFT(CELL("filename",A1),FIND("[",CELL("filename",A1))-1),"")</f>
        <v/>
      </c>
    </row>
    <row r="13" spans="1:8" x14ac:dyDescent="0.2">
      <c r="A13" s="1127"/>
      <c r="E13" s="1253" t="s">
        <v>2451</v>
      </c>
      <c r="F13" s="1254" t="s">
        <v>3075</v>
      </c>
      <c r="G13" s="1254"/>
    </row>
    <row r="14" spans="1:8" x14ac:dyDescent="0.2">
      <c r="A14" s="1127"/>
      <c r="E14" s="1253" t="s">
        <v>2457</v>
      </c>
      <c r="F14" s="1254" t="str">
        <f>"C:\Users\Main\Desktop\Work"</f>
        <v>C:\Users\Main\Desktop\Work</v>
      </c>
      <c r="G14" s="1254"/>
    </row>
    <row r="15" spans="1:8" ht="26.25" x14ac:dyDescent="0.4">
      <c r="A15" s="1127"/>
      <c r="D15" s="1264" t="str">
        <f>IF(Brick_type="","Enter external wall material type before lintel calculation","")</f>
        <v>Enter external wall material type before lintel calculation</v>
      </c>
    </row>
    <row r="16" spans="1:8" x14ac:dyDescent="0.2">
      <c r="A16" s="1127"/>
      <c r="D16" s="489"/>
    </row>
    <row r="17" spans="1:7" x14ac:dyDescent="0.2">
      <c r="A17" s="1127"/>
      <c r="B17" s="819"/>
      <c r="C17" s="819"/>
    </row>
    <row r="18" spans="1:7" x14ac:dyDescent="0.2">
      <c r="A18" s="1127"/>
      <c r="B18" s="819"/>
      <c r="C18" s="819"/>
    </row>
    <row r="19" spans="1:7" x14ac:dyDescent="0.2">
      <c r="A19" s="1127"/>
      <c r="B19" s="819"/>
      <c r="C19" s="819"/>
    </row>
    <row r="20" spans="1:7" x14ac:dyDescent="0.2">
      <c r="A20" s="1127"/>
      <c r="B20" s="819"/>
      <c r="C20" s="819"/>
    </row>
    <row r="21" spans="1:7" x14ac:dyDescent="0.2">
      <c r="A21" s="1127"/>
      <c r="B21" s="819"/>
      <c r="C21" s="819"/>
    </row>
    <row r="22" spans="1:7" x14ac:dyDescent="0.2">
      <c r="A22" s="1127"/>
      <c r="B22" s="819"/>
      <c r="C22" s="819"/>
    </row>
    <row r="23" spans="1:7" x14ac:dyDescent="0.2">
      <c r="A23" s="1127"/>
    </row>
    <row r="24" spans="1:7" x14ac:dyDescent="0.2">
      <c r="A24" s="1127"/>
      <c r="D24" s="285"/>
      <c r="E24" s="818"/>
      <c r="F24" s="818"/>
      <c r="G24" s="818"/>
    </row>
    <row r="25" spans="1:7" x14ac:dyDescent="0.2">
      <c r="A25" s="1127"/>
      <c r="D25" s="285"/>
      <c r="E25" s="285"/>
      <c r="F25" s="285"/>
      <c r="G25" s="285"/>
    </row>
    <row r="26" spans="1:7" x14ac:dyDescent="0.2">
      <c r="A26" s="1127"/>
      <c r="D26" s="285"/>
      <c r="E26" s="285"/>
      <c r="F26" s="285"/>
      <c r="G26" s="285"/>
    </row>
    <row r="27" spans="1:7" x14ac:dyDescent="0.2">
      <c r="A27" s="1127"/>
      <c r="D27" s="285"/>
      <c r="E27" s="285"/>
      <c r="F27" s="285"/>
      <c r="G27" s="285"/>
    </row>
    <row r="28" spans="1:7" x14ac:dyDescent="0.2">
      <c r="A28" s="1127"/>
      <c r="D28" s="285"/>
      <c r="E28" s="285"/>
      <c r="F28" s="285"/>
      <c r="G28" s="285"/>
    </row>
    <row r="29" spans="1:7" x14ac:dyDescent="0.2">
      <c r="A29" s="1127"/>
    </row>
    <row r="30" spans="1:7" x14ac:dyDescent="0.2">
      <c r="A30" s="1127"/>
    </row>
    <row r="31" spans="1:7" x14ac:dyDescent="0.2">
      <c r="A31" s="1127"/>
    </row>
    <row r="32" spans="1:7" x14ac:dyDescent="0.2">
      <c r="A32" s="1127"/>
    </row>
    <row r="33" spans="1:1" x14ac:dyDescent="0.2">
      <c r="A33" s="1127"/>
    </row>
    <row r="34" spans="1:1" x14ac:dyDescent="0.2">
      <c r="A34" s="1127"/>
    </row>
    <row r="35" spans="1:1" x14ac:dyDescent="0.2">
      <c r="A35" s="1127"/>
    </row>
    <row r="36" spans="1:1" x14ac:dyDescent="0.2">
      <c r="A36" s="1127"/>
    </row>
    <row r="37" spans="1:1" x14ac:dyDescent="0.2">
      <c r="A37" s="1127"/>
    </row>
    <row r="38" spans="1:1" x14ac:dyDescent="0.2">
      <c r="A38" s="1127"/>
    </row>
    <row r="39" spans="1:1" x14ac:dyDescent="0.2">
      <c r="A39" s="1127"/>
    </row>
    <row r="40" spans="1:1" x14ac:dyDescent="0.2">
      <c r="A40" s="1127"/>
    </row>
    <row r="41" spans="1:1" x14ac:dyDescent="0.2">
      <c r="A41" s="1127"/>
    </row>
    <row r="42" spans="1:1" x14ac:dyDescent="0.2">
      <c r="A42" s="1127"/>
    </row>
    <row r="43" spans="1:1" x14ac:dyDescent="0.2">
      <c r="A43" s="1127"/>
    </row>
    <row r="44" spans="1:1" x14ac:dyDescent="0.2">
      <c r="A44" s="1127"/>
    </row>
    <row r="45" spans="1:1" x14ac:dyDescent="0.2">
      <c r="A45" s="1127"/>
    </row>
    <row r="46" spans="1:1" x14ac:dyDescent="0.2">
      <c r="A46" s="1127"/>
    </row>
    <row r="47" spans="1:1" x14ac:dyDescent="0.2">
      <c r="A47" s="1127"/>
    </row>
    <row r="48" spans="1:1" x14ac:dyDescent="0.2">
      <c r="A48" s="1127"/>
    </row>
    <row r="49" spans="1:1" x14ac:dyDescent="0.2">
      <c r="A49" s="1127"/>
    </row>
    <row r="50" spans="1:1" x14ac:dyDescent="0.2">
      <c r="A50" s="1127"/>
    </row>
    <row r="51" spans="1:1" x14ac:dyDescent="0.2">
      <c r="A51" s="1127"/>
    </row>
    <row r="52" spans="1:1" x14ac:dyDescent="0.2">
      <c r="A52" s="1127"/>
    </row>
    <row r="53" spans="1:1" x14ac:dyDescent="0.2">
      <c r="A53" s="1127"/>
    </row>
    <row r="54" spans="1:1" x14ac:dyDescent="0.2">
      <c r="A54" s="1127"/>
    </row>
    <row r="55" spans="1:1" x14ac:dyDescent="0.2">
      <c r="A55" s="1127"/>
    </row>
    <row r="56" spans="1:1" x14ac:dyDescent="0.2">
      <c r="A56" s="1127"/>
    </row>
    <row r="57" spans="1:1" x14ac:dyDescent="0.2">
      <c r="A57" s="1127"/>
    </row>
    <row r="58" spans="1:1" x14ac:dyDescent="0.2">
      <c r="A58" s="1127"/>
    </row>
    <row r="59" spans="1:1" x14ac:dyDescent="0.2">
      <c r="A59" s="1127"/>
    </row>
    <row r="60" spans="1:1" x14ac:dyDescent="0.2">
      <c r="A60" s="1127"/>
    </row>
    <row r="61" spans="1:1" x14ac:dyDescent="0.2">
      <c r="A61" s="1127"/>
    </row>
    <row r="62" spans="1:1" x14ac:dyDescent="0.2">
      <c r="A62" s="1127"/>
    </row>
    <row r="63" spans="1:1" x14ac:dyDescent="0.2">
      <c r="A63" s="1127"/>
    </row>
    <row r="64" spans="1:1" x14ac:dyDescent="0.2">
      <c r="A64" s="1127"/>
    </row>
    <row r="65" spans="1:1" x14ac:dyDescent="0.2">
      <c r="A65" s="1127"/>
    </row>
    <row r="66" spans="1:1" x14ac:dyDescent="0.2">
      <c r="A66" s="1110"/>
    </row>
    <row r="67" spans="1:1" x14ac:dyDescent="0.2">
      <c r="A67" s="1127"/>
    </row>
    <row r="68" spans="1:1" x14ac:dyDescent="0.2">
      <c r="A68" s="1127"/>
    </row>
    <row r="69" spans="1:1" x14ac:dyDescent="0.2">
      <c r="A69" s="1127"/>
    </row>
    <row r="70" spans="1:1" x14ac:dyDescent="0.2">
      <c r="A70" s="1127"/>
    </row>
    <row r="71" spans="1:1" x14ac:dyDescent="0.2">
      <c r="A71" s="1127"/>
    </row>
    <row r="72" spans="1:1" x14ac:dyDescent="0.2">
      <c r="A72" s="1127"/>
    </row>
    <row r="73" spans="1:1" x14ac:dyDescent="0.2">
      <c r="A73" s="1127"/>
    </row>
    <row r="74" spans="1:1" x14ac:dyDescent="0.2">
      <c r="A74" s="1127"/>
    </row>
    <row r="75" spans="1:1" x14ac:dyDescent="0.2">
      <c r="A75" s="1127"/>
    </row>
    <row r="76" spans="1:1" x14ac:dyDescent="0.2">
      <c r="A76" s="1127"/>
    </row>
    <row r="77" spans="1:1" x14ac:dyDescent="0.2">
      <c r="A77" s="1127"/>
    </row>
    <row r="78" spans="1:1" x14ac:dyDescent="0.2">
      <c r="A78" s="1127"/>
    </row>
    <row r="79" spans="1:1" x14ac:dyDescent="0.2">
      <c r="A79" s="1127"/>
    </row>
    <row r="80" spans="1:1" x14ac:dyDescent="0.2">
      <c r="A80" s="1127"/>
    </row>
    <row r="81" spans="1:1" x14ac:dyDescent="0.2">
      <c r="A81" s="1110"/>
    </row>
    <row r="82" spans="1:1" x14ac:dyDescent="0.2">
      <c r="A82" s="1127"/>
    </row>
    <row r="83" spans="1:1" x14ac:dyDescent="0.2">
      <c r="A83" s="1127"/>
    </row>
    <row r="84" spans="1:1" x14ac:dyDescent="0.2">
      <c r="A84" s="1127"/>
    </row>
    <row r="85" spans="1:1" x14ac:dyDescent="0.2">
      <c r="A85" s="1127"/>
    </row>
    <row r="86" spans="1:1" x14ac:dyDescent="0.2">
      <c r="A86" s="1127"/>
    </row>
    <row r="87" spans="1:1" x14ac:dyDescent="0.2">
      <c r="A87" s="1127"/>
    </row>
    <row r="88" spans="1:1" x14ac:dyDescent="0.2">
      <c r="A88" s="1127"/>
    </row>
    <row r="89" spans="1:1" x14ac:dyDescent="0.2">
      <c r="A89" s="1127"/>
    </row>
    <row r="90" spans="1:1" x14ac:dyDescent="0.2">
      <c r="A90" s="1127"/>
    </row>
    <row r="91" spans="1:1" x14ac:dyDescent="0.2">
      <c r="A91" s="1127"/>
    </row>
    <row r="92" spans="1:1" x14ac:dyDescent="0.2">
      <c r="A92" s="1127"/>
    </row>
    <row r="93" spans="1:1" x14ac:dyDescent="0.2">
      <c r="A93" s="1127"/>
    </row>
    <row r="94" spans="1:1" x14ac:dyDescent="0.2">
      <c r="A94" s="1127"/>
    </row>
    <row r="95" spans="1:1" x14ac:dyDescent="0.2">
      <c r="A95" s="1127"/>
    </row>
    <row r="96" spans="1:1" x14ac:dyDescent="0.2">
      <c r="A96" s="1127"/>
    </row>
    <row r="97" spans="1:1" x14ac:dyDescent="0.2">
      <c r="A97" s="1127"/>
    </row>
    <row r="98" spans="1:1" x14ac:dyDescent="0.2">
      <c r="A98" s="1127"/>
    </row>
    <row r="99" spans="1:1" x14ac:dyDescent="0.2">
      <c r="A99" s="1127"/>
    </row>
    <row r="100" spans="1:1" x14ac:dyDescent="0.2">
      <c r="A100" s="1127"/>
    </row>
    <row r="101" spans="1:1" x14ac:dyDescent="0.2">
      <c r="A101" s="1127"/>
    </row>
    <row r="102" spans="1:1" x14ac:dyDescent="0.2">
      <c r="A102" s="1127"/>
    </row>
    <row r="103" spans="1:1" x14ac:dyDescent="0.2">
      <c r="A103" s="1127"/>
    </row>
    <row r="104" spans="1:1" x14ac:dyDescent="0.2">
      <c r="A104" s="1127"/>
    </row>
    <row r="105" spans="1:1" x14ac:dyDescent="0.2">
      <c r="A105" s="1127"/>
    </row>
    <row r="106" spans="1:1" x14ac:dyDescent="0.2">
      <c r="A106" s="1127"/>
    </row>
    <row r="107" spans="1:1" x14ac:dyDescent="0.2">
      <c r="A107" s="1127"/>
    </row>
    <row r="108" spans="1:1" x14ac:dyDescent="0.2">
      <c r="A108" s="1127"/>
    </row>
    <row r="109" spans="1:1" x14ac:dyDescent="0.2">
      <c r="A109" s="1127"/>
    </row>
    <row r="110" spans="1:1" x14ac:dyDescent="0.2">
      <c r="A110" s="1127"/>
    </row>
    <row r="111" spans="1:1" x14ac:dyDescent="0.2">
      <c r="A111" s="1127"/>
    </row>
    <row r="112" spans="1:1" x14ac:dyDescent="0.2">
      <c r="A112" s="1127"/>
    </row>
    <row r="113" spans="1:1" x14ac:dyDescent="0.2">
      <c r="A113" s="1127"/>
    </row>
    <row r="114" spans="1:1" x14ac:dyDescent="0.2">
      <c r="A114" s="1127"/>
    </row>
    <row r="115" spans="1:1" x14ac:dyDescent="0.2">
      <c r="A115" s="1127"/>
    </row>
    <row r="116" spans="1:1" x14ac:dyDescent="0.2">
      <c r="A116" s="1127"/>
    </row>
    <row r="117" spans="1:1" x14ac:dyDescent="0.2">
      <c r="A117" s="1127"/>
    </row>
    <row r="118" spans="1:1" x14ac:dyDescent="0.2">
      <c r="A118" s="1127"/>
    </row>
    <row r="119" spans="1:1" x14ac:dyDescent="0.2">
      <c r="A119" s="1127"/>
    </row>
    <row r="120" spans="1:1" x14ac:dyDescent="0.2">
      <c r="A120" s="1127"/>
    </row>
    <row r="121" spans="1:1" x14ac:dyDescent="0.2">
      <c r="A121" s="1127"/>
    </row>
    <row r="122" spans="1:1" x14ac:dyDescent="0.2">
      <c r="A122" s="1127"/>
    </row>
    <row r="123" spans="1:1" x14ac:dyDescent="0.2">
      <c r="A123" s="1127"/>
    </row>
    <row r="124" spans="1:1" x14ac:dyDescent="0.2">
      <c r="A124" s="1127"/>
    </row>
    <row r="125" spans="1:1" x14ac:dyDescent="0.2">
      <c r="A125" s="1127"/>
    </row>
    <row r="126" spans="1:1" x14ac:dyDescent="0.2">
      <c r="A126" s="1127"/>
    </row>
    <row r="127" spans="1:1" x14ac:dyDescent="0.2">
      <c r="A127" s="1127"/>
    </row>
    <row r="128" spans="1:1" x14ac:dyDescent="0.2">
      <c r="A128" s="1127"/>
    </row>
    <row r="129" spans="1:1" x14ac:dyDescent="0.2">
      <c r="A129" s="1127"/>
    </row>
    <row r="130" spans="1:1" x14ac:dyDescent="0.2">
      <c r="A130" s="1127"/>
    </row>
    <row r="131" spans="1:1" x14ac:dyDescent="0.2">
      <c r="A131" s="1127"/>
    </row>
    <row r="132" spans="1:1" x14ac:dyDescent="0.2">
      <c r="A132" s="1127"/>
    </row>
    <row r="133" spans="1:1" x14ac:dyDescent="0.2">
      <c r="A133" s="1127"/>
    </row>
    <row r="134" spans="1:1" x14ac:dyDescent="0.2">
      <c r="A134" s="1127"/>
    </row>
    <row r="135" spans="1:1" x14ac:dyDescent="0.2">
      <c r="A135" s="1127"/>
    </row>
    <row r="136" spans="1:1" x14ac:dyDescent="0.2">
      <c r="A136" s="1127"/>
    </row>
    <row r="137" spans="1:1" x14ac:dyDescent="0.2">
      <c r="A137" s="1127"/>
    </row>
    <row r="138" spans="1:1" x14ac:dyDescent="0.2">
      <c r="A138" s="1127"/>
    </row>
    <row r="139" spans="1:1" x14ac:dyDescent="0.2">
      <c r="A139" s="1127"/>
    </row>
    <row r="140" spans="1:1" x14ac:dyDescent="0.2">
      <c r="A140" s="1127"/>
    </row>
    <row r="141" spans="1:1" x14ac:dyDescent="0.2">
      <c r="A141" s="1127"/>
    </row>
    <row r="142" spans="1:1" x14ac:dyDescent="0.2">
      <c r="A142" s="1127"/>
    </row>
    <row r="143" spans="1:1" x14ac:dyDescent="0.2">
      <c r="A143" s="1127"/>
    </row>
    <row r="144" spans="1:1" x14ac:dyDescent="0.2">
      <c r="A144" s="1127"/>
    </row>
    <row r="145" spans="1:1" x14ac:dyDescent="0.2">
      <c r="A145" s="1127"/>
    </row>
    <row r="146" spans="1:1" x14ac:dyDescent="0.2">
      <c r="A146" s="1127"/>
    </row>
    <row r="147" spans="1:1" x14ac:dyDescent="0.2">
      <c r="A147" s="1127"/>
    </row>
    <row r="148" spans="1:1" x14ac:dyDescent="0.2">
      <c r="A148" s="1127"/>
    </row>
    <row r="149" spans="1:1" x14ac:dyDescent="0.2">
      <c r="A149" s="1127"/>
    </row>
    <row r="150" spans="1:1" x14ac:dyDescent="0.2">
      <c r="A150" s="1127"/>
    </row>
    <row r="151" spans="1:1" x14ac:dyDescent="0.2">
      <c r="A151" s="1127"/>
    </row>
    <row r="152" spans="1:1" x14ac:dyDescent="0.2">
      <c r="A152" s="1127"/>
    </row>
    <row r="153" spans="1:1" x14ac:dyDescent="0.2">
      <c r="A153" s="1127"/>
    </row>
    <row r="154" spans="1:1" x14ac:dyDescent="0.2">
      <c r="A154" s="1127"/>
    </row>
    <row r="155" spans="1:1" x14ac:dyDescent="0.2">
      <c r="A155" s="1127"/>
    </row>
    <row r="156" spans="1:1" x14ac:dyDescent="0.2">
      <c r="A156" s="1127"/>
    </row>
    <row r="157" spans="1:1" x14ac:dyDescent="0.2">
      <c r="A157" s="1127"/>
    </row>
    <row r="158" spans="1:1" x14ac:dyDescent="0.2">
      <c r="A158" s="1127"/>
    </row>
    <row r="159" spans="1:1" x14ac:dyDescent="0.2">
      <c r="A159" s="1127"/>
    </row>
    <row r="160" spans="1:1" x14ac:dyDescent="0.2">
      <c r="A160" s="1127"/>
    </row>
    <row r="161" spans="1:1" x14ac:dyDescent="0.2">
      <c r="A161" s="1127"/>
    </row>
    <row r="162" spans="1:1" x14ac:dyDescent="0.2">
      <c r="A162" s="1127"/>
    </row>
    <row r="163" spans="1:1" x14ac:dyDescent="0.2">
      <c r="A163" s="1127"/>
    </row>
    <row r="164" spans="1:1" x14ac:dyDescent="0.2">
      <c r="A164" s="1127"/>
    </row>
    <row r="165" spans="1:1" x14ac:dyDescent="0.2">
      <c r="A165" s="1127"/>
    </row>
    <row r="166" spans="1:1" x14ac:dyDescent="0.2">
      <c r="A166" s="1127"/>
    </row>
    <row r="167" spans="1:1" x14ac:dyDescent="0.2">
      <c r="A167" s="1127"/>
    </row>
    <row r="168" spans="1:1" x14ac:dyDescent="0.2">
      <c r="A168" s="1127"/>
    </row>
    <row r="169" spans="1:1" x14ac:dyDescent="0.2">
      <c r="A169" s="1127"/>
    </row>
    <row r="170" spans="1:1" x14ac:dyDescent="0.2">
      <c r="A170" s="1127"/>
    </row>
    <row r="171" spans="1:1" x14ac:dyDescent="0.2">
      <c r="A171" s="1127"/>
    </row>
    <row r="172" spans="1:1" x14ac:dyDescent="0.2">
      <c r="A172" s="1127"/>
    </row>
    <row r="173" spans="1:1" x14ac:dyDescent="0.2">
      <c r="A173" s="1127"/>
    </row>
    <row r="174" spans="1:1" x14ac:dyDescent="0.2">
      <c r="A174" s="1127"/>
    </row>
    <row r="175" spans="1:1" x14ac:dyDescent="0.2">
      <c r="A175" s="1127"/>
    </row>
    <row r="176" spans="1:1" x14ac:dyDescent="0.2">
      <c r="A176" s="1127"/>
    </row>
    <row r="177" spans="1:1" x14ac:dyDescent="0.2">
      <c r="A177" s="1127"/>
    </row>
    <row r="178" spans="1:1" x14ac:dyDescent="0.2">
      <c r="A178" s="1127"/>
    </row>
    <row r="179" spans="1:1" x14ac:dyDescent="0.2">
      <c r="A179" s="1127"/>
    </row>
    <row r="180" spans="1:1" x14ac:dyDescent="0.2">
      <c r="A180" s="1127"/>
    </row>
    <row r="181" spans="1:1" x14ac:dyDescent="0.2">
      <c r="A181" s="1127"/>
    </row>
    <row r="182" spans="1:1" x14ac:dyDescent="0.2">
      <c r="A182" s="1127"/>
    </row>
    <row r="183" spans="1:1" x14ac:dyDescent="0.2">
      <c r="A183" s="1127"/>
    </row>
    <row r="184" spans="1:1" x14ac:dyDescent="0.2">
      <c r="A184" s="1127"/>
    </row>
    <row r="185" spans="1:1" x14ac:dyDescent="0.2">
      <c r="A185" s="1127"/>
    </row>
    <row r="186" spans="1:1" x14ac:dyDescent="0.2">
      <c r="A186" s="1127"/>
    </row>
    <row r="187" spans="1:1" x14ac:dyDescent="0.2">
      <c r="A187" s="1127"/>
    </row>
    <row r="188" spans="1:1" x14ac:dyDescent="0.2">
      <c r="A188" s="1127"/>
    </row>
    <row r="189" spans="1:1" x14ac:dyDescent="0.2">
      <c r="A189" s="1127"/>
    </row>
    <row r="190" spans="1:1" x14ac:dyDescent="0.2">
      <c r="A190" s="1127"/>
    </row>
    <row r="191" spans="1:1" x14ac:dyDescent="0.2">
      <c r="A191" s="1127"/>
    </row>
    <row r="192" spans="1:1" x14ac:dyDescent="0.2">
      <c r="A192" s="1127"/>
    </row>
    <row r="193" spans="1:1" x14ac:dyDescent="0.2">
      <c r="A193" s="1127"/>
    </row>
    <row r="194" spans="1:1" x14ac:dyDescent="0.2">
      <c r="A194" s="1127"/>
    </row>
    <row r="195" spans="1:1" x14ac:dyDescent="0.2">
      <c r="A195" s="1127"/>
    </row>
    <row r="196" spans="1:1" x14ac:dyDescent="0.2">
      <c r="A196" s="1127"/>
    </row>
    <row r="197" spans="1:1" x14ac:dyDescent="0.2">
      <c r="A197" s="1127"/>
    </row>
    <row r="198" spans="1:1" x14ac:dyDescent="0.2">
      <c r="A198" s="1127"/>
    </row>
    <row r="199" spans="1:1" x14ac:dyDescent="0.2">
      <c r="A199" s="1127"/>
    </row>
    <row r="200" spans="1:1" x14ac:dyDescent="0.2">
      <c r="A200" s="1127"/>
    </row>
    <row r="201" spans="1:1" x14ac:dyDescent="0.2">
      <c r="A201" s="1127"/>
    </row>
    <row r="202" spans="1:1" x14ac:dyDescent="0.2">
      <c r="A202" s="1127"/>
    </row>
    <row r="203" spans="1:1" x14ac:dyDescent="0.2">
      <c r="A203" s="1127"/>
    </row>
    <row r="204" spans="1:1" x14ac:dyDescent="0.2">
      <c r="A204" s="1127"/>
    </row>
    <row r="205" spans="1:1" x14ac:dyDescent="0.2">
      <c r="A205" s="1127"/>
    </row>
    <row r="206" spans="1:1" x14ac:dyDescent="0.2">
      <c r="A206" s="1127"/>
    </row>
    <row r="207" spans="1:1" x14ac:dyDescent="0.2">
      <c r="A207" s="1127"/>
    </row>
    <row r="208" spans="1:1" x14ac:dyDescent="0.2">
      <c r="A208" s="1127"/>
    </row>
    <row r="209" spans="1:1" x14ac:dyDescent="0.2">
      <c r="A209" s="1127"/>
    </row>
    <row r="210" spans="1:1" x14ac:dyDescent="0.2">
      <c r="A210" s="1127"/>
    </row>
    <row r="211" spans="1:1" x14ac:dyDescent="0.2">
      <c r="A211" s="1127"/>
    </row>
    <row r="212" spans="1:1" x14ac:dyDescent="0.2">
      <c r="A212" s="1127"/>
    </row>
    <row r="213" spans="1:1" x14ac:dyDescent="0.2">
      <c r="A213" s="1127"/>
    </row>
    <row r="214" spans="1:1" x14ac:dyDescent="0.2">
      <c r="A214" s="1127"/>
    </row>
    <row r="215" spans="1:1" x14ac:dyDescent="0.2">
      <c r="A215" s="1127"/>
    </row>
    <row r="216" spans="1:1" x14ac:dyDescent="0.2">
      <c r="A216" s="1127"/>
    </row>
    <row r="217" spans="1:1" x14ac:dyDescent="0.2">
      <c r="A217" s="1127"/>
    </row>
    <row r="218" spans="1:1" x14ac:dyDescent="0.2">
      <c r="A218" s="1127"/>
    </row>
    <row r="219" spans="1:1" x14ac:dyDescent="0.2">
      <c r="A219" s="1127"/>
    </row>
    <row r="220" spans="1:1" x14ac:dyDescent="0.2">
      <c r="A220" s="1127"/>
    </row>
    <row r="221" spans="1:1" x14ac:dyDescent="0.2">
      <c r="A221" s="1127"/>
    </row>
    <row r="222" spans="1:1" x14ac:dyDescent="0.2">
      <c r="A222" s="1127"/>
    </row>
    <row r="223" spans="1:1" x14ac:dyDescent="0.2">
      <c r="A223" s="1127"/>
    </row>
    <row r="224" spans="1:1" x14ac:dyDescent="0.2">
      <c r="A224" s="1127"/>
    </row>
    <row r="225" spans="1:1" x14ac:dyDescent="0.2">
      <c r="A225" s="1127"/>
    </row>
    <row r="226" spans="1:1" x14ac:dyDescent="0.2">
      <c r="A226" s="1127"/>
    </row>
    <row r="227" spans="1:1" x14ac:dyDescent="0.2">
      <c r="A227" s="1127"/>
    </row>
    <row r="228" spans="1:1" x14ac:dyDescent="0.2">
      <c r="A228" s="1127"/>
    </row>
    <row r="229" spans="1:1" x14ac:dyDescent="0.2">
      <c r="A229" s="1127"/>
    </row>
    <row r="230" spans="1:1" x14ac:dyDescent="0.2">
      <c r="A230" s="1127"/>
    </row>
    <row r="231" spans="1:1" x14ac:dyDescent="0.2">
      <c r="A231" s="1127"/>
    </row>
    <row r="232" spans="1:1" x14ac:dyDescent="0.2">
      <c r="A232" s="1127"/>
    </row>
    <row r="233" spans="1:1" x14ac:dyDescent="0.2">
      <c r="A233" s="1127"/>
    </row>
    <row r="234" spans="1:1" x14ac:dyDescent="0.2">
      <c r="A234" s="1127"/>
    </row>
    <row r="235" spans="1:1" x14ac:dyDescent="0.2">
      <c r="A235" s="1127"/>
    </row>
    <row r="236" spans="1:1" x14ac:dyDescent="0.2">
      <c r="A236" s="1127"/>
    </row>
    <row r="237" spans="1:1" x14ac:dyDescent="0.2">
      <c r="A237" s="1127"/>
    </row>
    <row r="238" spans="1:1" x14ac:dyDescent="0.2">
      <c r="A238" s="1127"/>
    </row>
    <row r="239" spans="1:1" x14ac:dyDescent="0.2">
      <c r="A239" s="1127"/>
    </row>
    <row r="240" spans="1:1" x14ac:dyDescent="0.2">
      <c r="A240" s="1127"/>
    </row>
    <row r="241" spans="1:1" x14ac:dyDescent="0.2">
      <c r="A241" s="1127"/>
    </row>
    <row r="242" spans="1:1" x14ac:dyDescent="0.2">
      <c r="A242" s="1127"/>
    </row>
    <row r="243" spans="1:1" x14ac:dyDescent="0.2">
      <c r="A243" s="1127"/>
    </row>
    <row r="244" spans="1:1" x14ac:dyDescent="0.2">
      <c r="A244" s="1127"/>
    </row>
    <row r="245" spans="1:1" x14ac:dyDescent="0.2">
      <c r="A245" s="1127"/>
    </row>
    <row r="246" spans="1:1" x14ac:dyDescent="0.2">
      <c r="A246" s="1127"/>
    </row>
    <row r="247" spans="1:1" x14ac:dyDescent="0.2">
      <c r="A247" s="1127"/>
    </row>
    <row r="248" spans="1:1" x14ac:dyDescent="0.2">
      <c r="A248" s="1127"/>
    </row>
    <row r="249" spans="1:1" x14ac:dyDescent="0.2">
      <c r="A249" s="1127"/>
    </row>
    <row r="250" spans="1:1" x14ac:dyDescent="0.2">
      <c r="A250" s="1127"/>
    </row>
    <row r="251" spans="1:1" x14ac:dyDescent="0.2">
      <c r="A251" s="1127"/>
    </row>
    <row r="252" spans="1:1" x14ac:dyDescent="0.2">
      <c r="A252" s="1127"/>
    </row>
    <row r="253" spans="1:1" x14ac:dyDescent="0.2">
      <c r="A253" s="1127"/>
    </row>
    <row r="254" spans="1:1" x14ac:dyDescent="0.2">
      <c r="A254" s="1127"/>
    </row>
    <row r="255" spans="1:1" x14ac:dyDescent="0.2">
      <c r="A255" s="1127"/>
    </row>
    <row r="256" spans="1:1" x14ac:dyDescent="0.2">
      <c r="A256" s="1127"/>
    </row>
    <row r="257" spans="1:1" x14ac:dyDescent="0.2">
      <c r="A257" s="1127"/>
    </row>
    <row r="258" spans="1:1" x14ac:dyDescent="0.2">
      <c r="A258" s="1127"/>
    </row>
    <row r="259" spans="1:1" x14ac:dyDescent="0.2">
      <c r="A259" s="1127"/>
    </row>
    <row r="260" spans="1:1" x14ac:dyDescent="0.2">
      <c r="A260" s="1127"/>
    </row>
    <row r="261" spans="1:1" x14ac:dyDescent="0.2">
      <c r="A261" s="1127"/>
    </row>
    <row r="262" spans="1:1" x14ac:dyDescent="0.2">
      <c r="A262" s="1127"/>
    </row>
    <row r="263" spans="1:1" x14ac:dyDescent="0.2">
      <c r="A263" s="1127"/>
    </row>
    <row r="264" spans="1:1" x14ac:dyDescent="0.2">
      <c r="A264" s="1127"/>
    </row>
    <row r="265" spans="1:1" x14ac:dyDescent="0.2">
      <c r="A265" s="1127"/>
    </row>
    <row r="266" spans="1:1" x14ac:dyDescent="0.2">
      <c r="A266" s="1127"/>
    </row>
    <row r="267" spans="1:1" x14ac:dyDescent="0.2">
      <c r="A267" s="1127"/>
    </row>
    <row r="268" spans="1:1" x14ac:dyDescent="0.2">
      <c r="A268" s="1127"/>
    </row>
    <row r="269" spans="1:1" x14ac:dyDescent="0.2">
      <c r="A269" s="1127"/>
    </row>
    <row r="270" spans="1:1" x14ac:dyDescent="0.2">
      <c r="A270" s="1127"/>
    </row>
    <row r="271" spans="1:1" x14ac:dyDescent="0.2">
      <c r="A271" s="1127"/>
    </row>
    <row r="272" spans="1:1" x14ac:dyDescent="0.2">
      <c r="A272" s="1127"/>
    </row>
    <row r="273" spans="1:1" x14ac:dyDescent="0.2">
      <c r="A273" s="1127"/>
    </row>
    <row r="274" spans="1:1" x14ac:dyDescent="0.2">
      <c r="A274" s="1127"/>
    </row>
    <row r="275" spans="1:1" x14ac:dyDescent="0.2">
      <c r="A275" s="1127"/>
    </row>
    <row r="276" spans="1:1" x14ac:dyDescent="0.2">
      <c r="A276" s="1127"/>
    </row>
    <row r="277" spans="1:1" x14ac:dyDescent="0.2">
      <c r="A277" s="1127"/>
    </row>
    <row r="278" spans="1:1" x14ac:dyDescent="0.2">
      <c r="A278" s="1127"/>
    </row>
    <row r="279" spans="1:1" x14ac:dyDescent="0.2">
      <c r="A279" s="1127"/>
    </row>
    <row r="280" spans="1:1" x14ac:dyDescent="0.2">
      <c r="A280" s="1127"/>
    </row>
    <row r="281" spans="1:1" x14ac:dyDescent="0.2">
      <c r="A281" s="1127"/>
    </row>
    <row r="282" spans="1:1" x14ac:dyDescent="0.2">
      <c r="A282" s="1127"/>
    </row>
    <row r="283" spans="1:1" x14ac:dyDescent="0.2">
      <c r="A283" s="1127"/>
    </row>
    <row r="284" spans="1:1" x14ac:dyDescent="0.2">
      <c r="A284" s="1127"/>
    </row>
    <row r="285" spans="1:1" x14ac:dyDescent="0.2">
      <c r="A285" s="1127"/>
    </row>
    <row r="286" spans="1:1" x14ac:dyDescent="0.2">
      <c r="A286" s="1127"/>
    </row>
    <row r="287" spans="1:1" x14ac:dyDescent="0.2">
      <c r="A287" s="1127"/>
    </row>
    <row r="288" spans="1:1" x14ac:dyDescent="0.2">
      <c r="A288" s="1127"/>
    </row>
    <row r="289" spans="1:1" x14ac:dyDescent="0.2">
      <c r="A289" s="1127"/>
    </row>
    <row r="290" spans="1:1" x14ac:dyDescent="0.2">
      <c r="A290" s="1127"/>
    </row>
    <row r="291" spans="1:1" x14ac:dyDescent="0.2">
      <c r="A291" s="1127"/>
    </row>
    <row r="292" spans="1:1" x14ac:dyDescent="0.2">
      <c r="A292" s="1127"/>
    </row>
    <row r="293" spans="1:1" x14ac:dyDescent="0.2">
      <c r="A293" s="1127"/>
    </row>
    <row r="294" spans="1:1" x14ac:dyDescent="0.2">
      <c r="A294" s="1127"/>
    </row>
    <row r="295" spans="1:1" x14ac:dyDescent="0.2">
      <c r="A295" s="1127"/>
    </row>
    <row r="296" spans="1:1" x14ac:dyDescent="0.2">
      <c r="A296" s="1127"/>
    </row>
    <row r="297" spans="1:1" x14ac:dyDescent="0.2">
      <c r="A297" s="1127"/>
    </row>
    <row r="298" spans="1:1" x14ac:dyDescent="0.2">
      <c r="A298" s="1127"/>
    </row>
    <row r="299" spans="1:1" x14ac:dyDescent="0.2">
      <c r="A299" s="1127"/>
    </row>
    <row r="300" spans="1:1" x14ac:dyDescent="0.2">
      <c r="A300" s="1127"/>
    </row>
    <row r="301" spans="1:1" x14ac:dyDescent="0.2">
      <c r="A301" s="1127"/>
    </row>
    <row r="302" spans="1:1" x14ac:dyDescent="0.2">
      <c r="A302" s="1127"/>
    </row>
    <row r="303" spans="1:1" x14ac:dyDescent="0.2">
      <c r="A303" s="1127"/>
    </row>
    <row r="304" spans="1:1" x14ac:dyDescent="0.2">
      <c r="A304" s="1127"/>
    </row>
    <row r="305" spans="1:1" x14ac:dyDescent="0.2">
      <c r="A305" s="1127"/>
    </row>
    <row r="306" spans="1:1" x14ac:dyDescent="0.2">
      <c r="A306" s="1127"/>
    </row>
    <row r="307" spans="1:1" x14ac:dyDescent="0.2">
      <c r="A307" s="1127"/>
    </row>
    <row r="308" spans="1:1" x14ac:dyDescent="0.2">
      <c r="A308" s="1127"/>
    </row>
    <row r="309" spans="1:1" x14ac:dyDescent="0.2">
      <c r="A309" s="1127"/>
    </row>
    <row r="310" spans="1:1" x14ac:dyDescent="0.2">
      <c r="A310" s="1127"/>
    </row>
    <row r="311" spans="1:1" x14ac:dyDescent="0.2">
      <c r="A311" s="1127"/>
    </row>
    <row r="312" spans="1:1" x14ac:dyDescent="0.2">
      <c r="A312" s="1127"/>
    </row>
    <row r="313" spans="1:1" x14ac:dyDescent="0.2">
      <c r="A313" s="1127"/>
    </row>
    <row r="314" spans="1:1" x14ac:dyDescent="0.2">
      <c r="A314" s="1127"/>
    </row>
    <row r="315" spans="1:1" x14ac:dyDescent="0.2">
      <c r="A315" s="1127"/>
    </row>
    <row r="316" spans="1:1" x14ac:dyDescent="0.2">
      <c r="A316" s="1127"/>
    </row>
    <row r="317" spans="1:1" x14ac:dyDescent="0.2">
      <c r="A317" s="1127"/>
    </row>
    <row r="318" spans="1:1" x14ac:dyDescent="0.2">
      <c r="A318" s="1127"/>
    </row>
    <row r="319" spans="1:1" x14ac:dyDescent="0.2">
      <c r="A319" s="1127"/>
    </row>
    <row r="320" spans="1:1" x14ac:dyDescent="0.2">
      <c r="A320" s="1127"/>
    </row>
    <row r="321" spans="1:1" x14ac:dyDescent="0.2">
      <c r="A321" s="1127"/>
    </row>
    <row r="322" spans="1:1" x14ac:dyDescent="0.2">
      <c r="A322" s="1127"/>
    </row>
    <row r="323" spans="1:1" x14ac:dyDescent="0.2">
      <c r="A323" s="1127"/>
    </row>
    <row r="324" spans="1:1" x14ac:dyDescent="0.2">
      <c r="A324" s="1127"/>
    </row>
    <row r="325" spans="1:1" x14ac:dyDescent="0.2">
      <c r="A325" s="1127"/>
    </row>
    <row r="326" spans="1:1" x14ac:dyDescent="0.2">
      <c r="A326" s="1127"/>
    </row>
    <row r="327" spans="1:1" x14ac:dyDescent="0.2">
      <c r="A327" s="1127"/>
    </row>
    <row r="328" spans="1:1" x14ac:dyDescent="0.2">
      <c r="A328" s="1127"/>
    </row>
    <row r="329" spans="1:1" x14ac:dyDescent="0.2">
      <c r="A329" s="1127"/>
    </row>
    <row r="330" spans="1:1" x14ac:dyDescent="0.2">
      <c r="A330" s="1127"/>
    </row>
    <row r="331" spans="1:1" x14ac:dyDescent="0.2">
      <c r="A331" s="1127"/>
    </row>
    <row r="332" spans="1:1" x14ac:dyDescent="0.2">
      <c r="A332" s="1127"/>
    </row>
    <row r="333" spans="1:1" x14ac:dyDescent="0.2">
      <c r="A333" s="1127"/>
    </row>
    <row r="334" spans="1:1" x14ac:dyDescent="0.2">
      <c r="A334" s="1127"/>
    </row>
    <row r="335" spans="1:1" x14ac:dyDescent="0.2">
      <c r="A335" s="1127"/>
    </row>
    <row r="336" spans="1:1" x14ac:dyDescent="0.2">
      <c r="A336" s="1127"/>
    </row>
    <row r="337" spans="1:1" x14ac:dyDescent="0.2">
      <c r="A337" s="1127"/>
    </row>
    <row r="338" spans="1:1" x14ac:dyDescent="0.2">
      <c r="A338" s="1127"/>
    </row>
    <row r="339" spans="1:1" x14ac:dyDescent="0.2">
      <c r="A339" s="1127"/>
    </row>
    <row r="340" spans="1:1" x14ac:dyDescent="0.2">
      <c r="A340" s="1127"/>
    </row>
    <row r="341" spans="1:1" x14ac:dyDescent="0.2">
      <c r="A341" s="1127"/>
    </row>
    <row r="342" spans="1:1" x14ac:dyDescent="0.2">
      <c r="A342" s="1127"/>
    </row>
    <row r="343" spans="1:1" x14ac:dyDescent="0.2">
      <c r="A343" s="1127"/>
    </row>
    <row r="344" spans="1:1" x14ac:dyDescent="0.2">
      <c r="A344" s="1127"/>
    </row>
    <row r="345" spans="1:1" x14ac:dyDescent="0.2">
      <c r="A345" s="1127"/>
    </row>
    <row r="346" spans="1:1" x14ac:dyDescent="0.2">
      <c r="A346" s="1127"/>
    </row>
    <row r="347" spans="1:1" x14ac:dyDescent="0.2">
      <c r="A347" s="1127"/>
    </row>
    <row r="348" spans="1:1" x14ac:dyDescent="0.2">
      <c r="A348" s="1127"/>
    </row>
    <row r="349" spans="1:1" x14ac:dyDescent="0.2">
      <c r="A349" s="1127"/>
    </row>
    <row r="350" spans="1:1" x14ac:dyDescent="0.2">
      <c r="A350" s="1127"/>
    </row>
    <row r="351" spans="1:1" x14ac:dyDescent="0.2">
      <c r="A351" s="1127"/>
    </row>
    <row r="352" spans="1:1" x14ac:dyDescent="0.2">
      <c r="A352" s="1127"/>
    </row>
    <row r="353" spans="1:1" x14ac:dyDescent="0.2">
      <c r="A353" s="1127"/>
    </row>
    <row r="354" spans="1:1" x14ac:dyDescent="0.2">
      <c r="A354" s="1127"/>
    </row>
    <row r="355" spans="1:1" x14ac:dyDescent="0.2">
      <c r="A355" s="1127"/>
    </row>
    <row r="356" spans="1:1" x14ac:dyDescent="0.2">
      <c r="A356" s="1127"/>
    </row>
    <row r="357" spans="1:1" x14ac:dyDescent="0.2">
      <c r="A357" s="1127"/>
    </row>
    <row r="358" spans="1:1" x14ac:dyDescent="0.2">
      <c r="A358" s="1127"/>
    </row>
    <row r="359" spans="1:1" x14ac:dyDescent="0.2">
      <c r="A359" s="1127"/>
    </row>
    <row r="360" spans="1:1" x14ac:dyDescent="0.2">
      <c r="A360" s="1127"/>
    </row>
    <row r="361" spans="1:1" x14ac:dyDescent="0.2">
      <c r="A361" s="1127"/>
    </row>
    <row r="362" spans="1:1" x14ac:dyDescent="0.2">
      <c r="A362" s="1127"/>
    </row>
    <row r="363" spans="1:1" x14ac:dyDescent="0.2">
      <c r="A363" s="1127"/>
    </row>
    <row r="364" spans="1:1" x14ac:dyDescent="0.2">
      <c r="A364" s="1127"/>
    </row>
    <row r="365" spans="1:1" x14ac:dyDescent="0.2">
      <c r="A365" s="1127"/>
    </row>
    <row r="366" spans="1:1" x14ac:dyDescent="0.2">
      <c r="A366" s="1127"/>
    </row>
    <row r="367" spans="1:1" x14ac:dyDescent="0.2">
      <c r="A367" s="1127"/>
    </row>
    <row r="368" spans="1:1" x14ac:dyDescent="0.2">
      <c r="A368" s="1127"/>
    </row>
    <row r="369" spans="1:1" x14ac:dyDescent="0.2">
      <c r="A369" s="1127"/>
    </row>
    <row r="370" spans="1:1" x14ac:dyDescent="0.2">
      <c r="A370" s="1127"/>
    </row>
    <row r="371" spans="1:1" x14ac:dyDescent="0.2">
      <c r="A371" s="1127"/>
    </row>
    <row r="372" spans="1:1" x14ac:dyDescent="0.2">
      <c r="A372" s="1127"/>
    </row>
    <row r="373" spans="1:1" x14ac:dyDescent="0.2">
      <c r="A373" s="1127"/>
    </row>
    <row r="374" spans="1:1" x14ac:dyDescent="0.2">
      <c r="A374" s="1127"/>
    </row>
    <row r="375" spans="1:1" x14ac:dyDescent="0.2">
      <c r="A375" s="1127"/>
    </row>
    <row r="376" spans="1:1" x14ac:dyDescent="0.2">
      <c r="A376" s="1127"/>
    </row>
    <row r="377" spans="1:1" x14ac:dyDescent="0.2">
      <c r="A377" s="1127"/>
    </row>
    <row r="378" spans="1:1" x14ac:dyDescent="0.2">
      <c r="A378" s="1127"/>
    </row>
    <row r="379" spans="1:1" x14ac:dyDescent="0.2">
      <c r="A379" s="1127"/>
    </row>
    <row r="380" spans="1:1" x14ac:dyDescent="0.2">
      <c r="A380" s="1127"/>
    </row>
    <row r="381" spans="1:1" x14ac:dyDescent="0.2">
      <c r="A381" s="1127"/>
    </row>
    <row r="382" spans="1:1" x14ac:dyDescent="0.2">
      <c r="A382" s="1127"/>
    </row>
    <row r="383" spans="1:1" x14ac:dyDescent="0.2">
      <c r="A383" s="1127"/>
    </row>
    <row r="384" spans="1:1" x14ac:dyDescent="0.2">
      <c r="A384" s="1127"/>
    </row>
    <row r="385" spans="1:1" x14ac:dyDescent="0.2">
      <c r="A385" s="1127"/>
    </row>
    <row r="386" spans="1:1" x14ac:dyDescent="0.2">
      <c r="A386" s="1127"/>
    </row>
    <row r="387" spans="1:1" x14ac:dyDescent="0.2">
      <c r="A387" s="1127"/>
    </row>
    <row r="388" spans="1:1" x14ac:dyDescent="0.2">
      <c r="A388" s="1127"/>
    </row>
    <row r="389" spans="1:1" x14ac:dyDescent="0.2">
      <c r="A389" s="1127"/>
    </row>
    <row r="390" spans="1:1" x14ac:dyDescent="0.2">
      <c r="A390" s="1127"/>
    </row>
    <row r="391" spans="1:1" x14ac:dyDescent="0.2">
      <c r="A391" s="1127"/>
    </row>
    <row r="392" spans="1:1" x14ac:dyDescent="0.2">
      <c r="A392" s="1127"/>
    </row>
    <row r="393" spans="1:1" x14ac:dyDescent="0.2">
      <c r="A393" s="1127"/>
    </row>
    <row r="394" spans="1:1" x14ac:dyDescent="0.2">
      <c r="A394" s="1127"/>
    </row>
    <row r="395" spans="1:1" x14ac:dyDescent="0.2">
      <c r="A395" s="1127"/>
    </row>
    <row r="396" spans="1:1" x14ac:dyDescent="0.2">
      <c r="A396" s="1127"/>
    </row>
    <row r="397" spans="1:1" x14ac:dyDescent="0.2">
      <c r="A397" s="1127"/>
    </row>
    <row r="398" spans="1:1" x14ac:dyDescent="0.2">
      <c r="A398" s="1127"/>
    </row>
    <row r="399" spans="1:1" x14ac:dyDescent="0.2">
      <c r="A399" s="1127"/>
    </row>
    <row r="400" spans="1:1" x14ac:dyDescent="0.2">
      <c r="A400" s="1127"/>
    </row>
    <row r="401" spans="1:1" x14ac:dyDescent="0.2">
      <c r="A401" s="1127"/>
    </row>
    <row r="402" spans="1:1" x14ac:dyDescent="0.2">
      <c r="A402" s="1127"/>
    </row>
    <row r="403" spans="1:1" x14ac:dyDescent="0.2">
      <c r="A403" s="1127"/>
    </row>
    <row r="404" spans="1:1" x14ac:dyDescent="0.2">
      <c r="A404" s="1127"/>
    </row>
    <row r="405" spans="1:1" x14ac:dyDescent="0.2">
      <c r="A405" s="1127"/>
    </row>
    <row r="406" spans="1:1" x14ac:dyDescent="0.2">
      <c r="A406" s="1127"/>
    </row>
    <row r="407" spans="1:1" x14ac:dyDescent="0.2">
      <c r="A407" s="1127"/>
    </row>
    <row r="408" spans="1:1" x14ac:dyDescent="0.2">
      <c r="A408" s="1127"/>
    </row>
    <row r="409" spans="1:1" x14ac:dyDescent="0.2">
      <c r="A409" s="1127"/>
    </row>
    <row r="410" spans="1:1" x14ac:dyDescent="0.2">
      <c r="A410" s="1127"/>
    </row>
    <row r="411" spans="1:1" x14ac:dyDescent="0.2">
      <c r="A411" s="1127"/>
    </row>
    <row r="412" spans="1:1" x14ac:dyDescent="0.2">
      <c r="A412" s="1127"/>
    </row>
    <row r="413" spans="1:1" x14ac:dyDescent="0.2">
      <c r="A413" s="1127"/>
    </row>
    <row r="414" spans="1:1" x14ac:dyDescent="0.2">
      <c r="A414" s="1127"/>
    </row>
    <row r="415" spans="1:1" x14ac:dyDescent="0.2">
      <c r="A415" s="1127"/>
    </row>
    <row r="416" spans="1:1" x14ac:dyDescent="0.2">
      <c r="A416" s="1127"/>
    </row>
    <row r="417" spans="1:1" x14ac:dyDescent="0.2">
      <c r="A417" s="1127"/>
    </row>
    <row r="418" spans="1:1" x14ac:dyDescent="0.2">
      <c r="A418" s="1127"/>
    </row>
    <row r="419" spans="1:1" x14ac:dyDescent="0.2">
      <c r="A419" s="1127"/>
    </row>
    <row r="420" spans="1:1" x14ac:dyDescent="0.2">
      <c r="A420" s="1127"/>
    </row>
    <row r="421" spans="1:1" x14ac:dyDescent="0.2">
      <c r="A421" s="1127"/>
    </row>
    <row r="422" spans="1:1" x14ac:dyDescent="0.2">
      <c r="A422" s="1127"/>
    </row>
    <row r="423" spans="1:1" x14ac:dyDescent="0.2">
      <c r="A423" s="1127"/>
    </row>
    <row r="424" spans="1:1" x14ac:dyDescent="0.2">
      <c r="A424" s="1127"/>
    </row>
    <row r="425" spans="1:1" x14ac:dyDescent="0.2">
      <c r="A425" s="1127"/>
    </row>
    <row r="426" spans="1:1" x14ac:dyDescent="0.2">
      <c r="A426" s="1127"/>
    </row>
    <row r="427" spans="1:1" x14ac:dyDescent="0.2">
      <c r="A427" s="1127"/>
    </row>
    <row r="428" spans="1:1" x14ac:dyDescent="0.2">
      <c r="A428" s="1127"/>
    </row>
    <row r="429" spans="1:1" x14ac:dyDescent="0.2">
      <c r="A429" s="1127"/>
    </row>
    <row r="430" spans="1:1" x14ac:dyDescent="0.2">
      <c r="A430" s="1127"/>
    </row>
    <row r="431" spans="1:1" x14ac:dyDescent="0.2">
      <c r="A431" s="1127"/>
    </row>
    <row r="432" spans="1:1" x14ac:dyDescent="0.2">
      <c r="A432" s="1127"/>
    </row>
    <row r="433" spans="1:1" x14ac:dyDescent="0.2">
      <c r="A433" s="1127"/>
    </row>
    <row r="434" spans="1:1" x14ac:dyDescent="0.2">
      <c r="A434" s="1127"/>
    </row>
    <row r="435" spans="1:1" x14ac:dyDescent="0.2">
      <c r="A435" s="1127"/>
    </row>
    <row r="436" spans="1:1" x14ac:dyDescent="0.2">
      <c r="A436" s="1127"/>
    </row>
    <row r="437" spans="1:1" x14ac:dyDescent="0.2">
      <c r="A437" s="1127"/>
    </row>
    <row r="438" spans="1:1" x14ac:dyDescent="0.2">
      <c r="A438" s="1127"/>
    </row>
    <row r="439" spans="1:1" x14ac:dyDescent="0.2">
      <c r="A439" s="1127"/>
    </row>
    <row r="440" spans="1:1" x14ac:dyDescent="0.2">
      <c r="A440" s="1127"/>
    </row>
    <row r="441" spans="1:1" x14ac:dyDescent="0.2">
      <c r="A441" s="1127"/>
    </row>
    <row r="442" spans="1:1" x14ac:dyDescent="0.2">
      <c r="A442" s="1127"/>
    </row>
    <row r="443" spans="1:1" x14ac:dyDescent="0.2">
      <c r="A443" s="1127"/>
    </row>
    <row r="444" spans="1:1" x14ac:dyDescent="0.2">
      <c r="A444" s="1127"/>
    </row>
    <row r="445" spans="1:1" x14ac:dyDescent="0.2">
      <c r="A445" s="1127"/>
    </row>
    <row r="446" spans="1:1" x14ac:dyDescent="0.2">
      <c r="A446" s="1127"/>
    </row>
    <row r="447" spans="1:1" x14ac:dyDescent="0.2">
      <c r="A447" s="1127"/>
    </row>
    <row r="448" spans="1:1" x14ac:dyDescent="0.2">
      <c r="A448" s="1127"/>
    </row>
    <row r="449" spans="1:1" x14ac:dyDescent="0.2">
      <c r="A449" s="1127"/>
    </row>
    <row r="450" spans="1:1" x14ac:dyDescent="0.2">
      <c r="A450" s="1127"/>
    </row>
    <row r="451" spans="1:1" x14ac:dyDescent="0.2">
      <c r="A451" s="1127"/>
    </row>
    <row r="452" spans="1:1" x14ac:dyDescent="0.2">
      <c r="A452" s="1127"/>
    </row>
    <row r="453" spans="1:1" x14ac:dyDescent="0.2">
      <c r="A453" s="1127"/>
    </row>
    <row r="454" spans="1:1" x14ac:dyDescent="0.2">
      <c r="A454" s="1127"/>
    </row>
    <row r="455" spans="1:1" x14ac:dyDescent="0.2">
      <c r="A455" s="1127"/>
    </row>
    <row r="456" spans="1:1" x14ac:dyDescent="0.2">
      <c r="A456" s="1127"/>
    </row>
    <row r="457" spans="1:1" x14ac:dyDescent="0.2">
      <c r="A457" s="1127"/>
    </row>
    <row r="458" spans="1:1" x14ac:dyDescent="0.2">
      <c r="A458" s="1127"/>
    </row>
    <row r="459" spans="1:1" x14ac:dyDescent="0.2">
      <c r="A459" s="1127"/>
    </row>
    <row r="460" spans="1:1" x14ac:dyDescent="0.2">
      <c r="A460" s="1127"/>
    </row>
    <row r="461" spans="1:1" x14ac:dyDescent="0.2">
      <c r="A461" s="1127"/>
    </row>
    <row r="462" spans="1:1" x14ac:dyDescent="0.2">
      <c r="A462" s="1127"/>
    </row>
    <row r="463" spans="1:1" x14ac:dyDescent="0.2">
      <c r="A463" s="1127"/>
    </row>
    <row r="464" spans="1:1" x14ac:dyDescent="0.2">
      <c r="A464" s="1127"/>
    </row>
    <row r="465" spans="1:1" x14ac:dyDescent="0.2">
      <c r="A465" s="1127"/>
    </row>
    <row r="466" spans="1:1" x14ac:dyDescent="0.2">
      <c r="A466" s="1127"/>
    </row>
    <row r="467" spans="1:1" x14ac:dyDescent="0.2">
      <c r="A467" s="1127"/>
    </row>
    <row r="468" spans="1:1" x14ac:dyDescent="0.2">
      <c r="A468" s="1127"/>
    </row>
    <row r="469" spans="1:1" x14ac:dyDescent="0.2">
      <c r="A469" s="1127"/>
    </row>
    <row r="470" spans="1:1" x14ac:dyDescent="0.2">
      <c r="A470" s="1127"/>
    </row>
    <row r="471" spans="1:1" x14ac:dyDescent="0.2">
      <c r="A471" s="1127"/>
    </row>
    <row r="472" spans="1:1" x14ac:dyDescent="0.2">
      <c r="A472" s="1127"/>
    </row>
    <row r="473" spans="1:1" x14ac:dyDescent="0.2">
      <c r="A473" s="1127"/>
    </row>
    <row r="474" spans="1:1" x14ac:dyDescent="0.2">
      <c r="A474" s="1127"/>
    </row>
    <row r="475" spans="1:1" x14ac:dyDescent="0.2">
      <c r="A475" s="1127"/>
    </row>
    <row r="476" spans="1:1" x14ac:dyDescent="0.2">
      <c r="A476" s="1127"/>
    </row>
    <row r="477" spans="1:1" x14ac:dyDescent="0.2">
      <c r="A477" s="1127"/>
    </row>
    <row r="478" spans="1:1" x14ac:dyDescent="0.2">
      <c r="A478" s="1127"/>
    </row>
    <row r="479" spans="1:1" x14ac:dyDescent="0.2">
      <c r="A479" s="1127"/>
    </row>
    <row r="480" spans="1:1" x14ac:dyDescent="0.2">
      <c r="A480" s="1127"/>
    </row>
    <row r="481" spans="1:1" x14ac:dyDescent="0.2">
      <c r="A481" s="1127"/>
    </row>
    <row r="482" spans="1:1" x14ac:dyDescent="0.2">
      <c r="A482" s="1127"/>
    </row>
    <row r="483" spans="1:1" x14ac:dyDescent="0.2">
      <c r="A483" s="1127"/>
    </row>
    <row r="484" spans="1:1" x14ac:dyDescent="0.2">
      <c r="A484" s="1127"/>
    </row>
    <row r="485" spans="1:1" x14ac:dyDescent="0.2">
      <c r="A485" s="1127"/>
    </row>
    <row r="486" spans="1:1" x14ac:dyDescent="0.2">
      <c r="A486" s="1127"/>
    </row>
    <row r="487" spans="1:1" x14ac:dyDescent="0.2">
      <c r="A487" s="1127"/>
    </row>
    <row r="488" spans="1:1" x14ac:dyDescent="0.2">
      <c r="A488" s="1127"/>
    </row>
    <row r="489" spans="1:1" x14ac:dyDescent="0.2">
      <c r="A489" s="1127"/>
    </row>
    <row r="490" spans="1:1" x14ac:dyDescent="0.2">
      <c r="A490" s="1127"/>
    </row>
    <row r="491" spans="1:1" x14ac:dyDescent="0.2">
      <c r="A491" s="1127"/>
    </row>
    <row r="492" spans="1:1" x14ac:dyDescent="0.2">
      <c r="A492" s="1127"/>
    </row>
    <row r="493" spans="1:1" x14ac:dyDescent="0.2">
      <c r="A493" s="1127"/>
    </row>
    <row r="494" spans="1:1" x14ac:dyDescent="0.2">
      <c r="A494" s="1127"/>
    </row>
    <row r="495" spans="1:1" x14ac:dyDescent="0.2">
      <c r="A495" s="1127"/>
    </row>
    <row r="496" spans="1:1" x14ac:dyDescent="0.2">
      <c r="A496" s="1127"/>
    </row>
    <row r="497" spans="1:1" x14ac:dyDescent="0.2">
      <c r="A497" s="1127"/>
    </row>
    <row r="498" spans="1:1" x14ac:dyDescent="0.2">
      <c r="A498" s="1127"/>
    </row>
    <row r="499" spans="1:1" x14ac:dyDescent="0.2">
      <c r="A499" s="1127"/>
    </row>
    <row r="500" spans="1:1" x14ac:dyDescent="0.2">
      <c r="A500" s="1127"/>
    </row>
    <row r="501" spans="1:1" x14ac:dyDescent="0.2">
      <c r="A501" s="1127"/>
    </row>
    <row r="502" spans="1:1" x14ac:dyDescent="0.2">
      <c r="A502" s="1127"/>
    </row>
    <row r="503" spans="1:1" x14ac:dyDescent="0.2">
      <c r="A503" s="1127"/>
    </row>
    <row r="504" spans="1:1" x14ac:dyDescent="0.2">
      <c r="A504" s="1127"/>
    </row>
    <row r="505" spans="1:1" x14ac:dyDescent="0.2">
      <c r="A505" s="1127"/>
    </row>
    <row r="506" spans="1:1" x14ac:dyDescent="0.2">
      <c r="A506" s="1127"/>
    </row>
    <row r="507" spans="1:1" x14ac:dyDescent="0.2">
      <c r="A507" s="1127"/>
    </row>
    <row r="508" spans="1:1" x14ac:dyDescent="0.2">
      <c r="A508" s="1127"/>
    </row>
    <row r="509" spans="1:1" x14ac:dyDescent="0.2">
      <c r="A509" s="1127"/>
    </row>
    <row r="510" spans="1:1" x14ac:dyDescent="0.2">
      <c r="A510" s="1127"/>
    </row>
    <row r="511" spans="1:1" x14ac:dyDescent="0.2">
      <c r="A511" s="1127"/>
    </row>
    <row r="512" spans="1:1" x14ac:dyDescent="0.2">
      <c r="A512" s="1127"/>
    </row>
    <row r="513" spans="1:1" x14ac:dyDescent="0.2">
      <c r="A513" s="1127"/>
    </row>
    <row r="514" spans="1:1" x14ac:dyDescent="0.2">
      <c r="A514" s="1127"/>
    </row>
    <row r="515" spans="1:1" x14ac:dyDescent="0.2">
      <c r="A515" s="1127"/>
    </row>
    <row r="516" spans="1:1" x14ac:dyDescent="0.2">
      <c r="A516" s="1127"/>
    </row>
    <row r="517" spans="1:1" x14ac:dyDescent="0.2">
      <c r="A517" s="1127"/>
    </row>
    <row r="518" spans="1:1" x14ac:dyDescent="0.2">
      <c r="A518" s="1127"/>
    </row>
    <row r="519" spans="1:1" x14ac:dyDescent="0.2">
      <c r="A519" s="1127"/>
    </row>
    <row r="520" spans="1:1" x14ac:dyDescent="0.2">
      <c r="A520" s="1127"/>
    </row>
    <row r="521" spans="1:1" x14ac:dyDescent="0.2">
      <c r="A521" s="1127"/>
    </row>
    <row r="522" spans="1:1" x14ac:dyDescent="0.2">
      <c r="A522" s="1127"/>
    </row>
    <row r="523" spans="1:1" x14ac:dyDescent="0.2">
      <c r="A523" s="1127"/>
    </row>
    <row r="524" spans="1:1" x14ac:dyDescent="0.2">
      <c r="A524" s="1127"/>
    </row>
    <row r="525" spans="1:1" x14ac:dyDescent="0.2">
      <c r="A525" s="1127"/>
    </row>
    <row r="526" spans="1:1" x14ac:dyDescent="0.2">
      <c r="A526" s="1127"/>
    </row>
    <row r="527" spans="1:1" x14ac:dyDescent="0.2">
      <c r="A527" s="1127"/>
    </row>
    <row r="528" spans="1:1" x14ac:dyDescent="0.2">
      <c r="A528" s="1127"/>
    </row>
    <row r="529" spans="1:1" x14ac:dyDescent="0.2">
      <c r="A529" s="1127"/>
    </row>
    <row r="530" spans="1:1" x14ac:dyDescent="0.2">
      <c r="A530" s="1127"/>
    </row>
    <row r="531" spans="1:1" x14ac:dyDescent="0.2">
      <c r="A531" s="1127"/>
    </row>
    <row r="532" spans="1:1" x14ac:dyDescent="0.2">
      <c r="A532" s="1127"/>
    </row>
    <row r="533" spans="1:1" x14ac:dyDescent="0.2">
      <c r="A533" s="1127"/>
    </row>
    <row r="534" spans="1:1" x14ac:dyDescent="0.2">
      <c r="A534" s="1127"/>
    </row>
    <row r="535" spans="1:1" x14ac:dyDescent="0.2">
      <c r="A535" s="1127"/>
    </row>
    <row r="536" spans="1:1" x14ac:dyDescent="0.2">
      <c r="A536" s="1127"/>
    </row>
    <row r="537" spans="1:1" x14ac:dyDescent="0.2">
      <c r="A537" s="1127"/>
    </row>
    <row r="538" spans="1:1" x14ac:dyDescent="0.2">
      <c r="A538" s="1127"/>
    </row>
    <row r="539" spans="1:1" x14ac:dyDescent="0.2">
      <c r="A539" s="1127"/>
    </row>
    <row r="540" spans="1:1" x14ac:dyDescent="0.2">
      <c r="A540" s="1127"/>
    </row>
    <row r="541" spans="1:1" x14ac:dyDescent="0.2">
      <c r="A541" s="1127"/>
    </row>
    <row r="542" spans="1:1" x14ac:dyDescent="0.2">
      <c r="A542" s="1127"/>
    </row>
    <row r="543" spans="1:1" x14ac:dyDescent="0.2">
      <c r="A543" s="1127"/>
    </row>
    <row r="544" spans="1:1" x14ac:dyDescent="0.2">
      <c r="A544" s="1127"/>
    </row>
    <row r="545" spans="1:1" x14ac:dyDescent="0.2">
      <c r="A545" s="1127"/>
    </row>
    <row r="546" spans="1:1" x14ac:dyDescent="0.2">
      <c r="A546" s="1127"/>
    </row>
    <row r="547" spans="1:1" x14ac:dyDescent="0.2">
      <c r="A547" s="1127"/>
    </row>
    <row r="548" spans="1:1" x14ac:dyDescent="0.2">
      <c r="A548" s="1127"/>
    </row>
    <row r="549" spans="1:1" x14ac:dyDescent="0.2">
      <c r="A549" s="1127"/>
    </row>
    <row r="550" spans="1:1" x14ac:dyDescent="0.2">
      <c r="A550" s="1127"/>
    </row>
    <row r="551" spans="1:1" x14ac:dyDescent="0.2">
      <c r="A551" s="1127"/>
    </row>
    <row r="552" spans="1:1" x14ac:dyDescent="0.2">
      <c r="A552" s="1127"/>
    </row>
    <row r="553" spans="1:1" x14ac:dyDescent="0.2">
      <c r="A553" s="1127"/>
    </row>
    <row r="554" spans="1:1" x14ac:dyDescent="0.2">
      <c r="A554" s="1127"/>
    </row>
    <row r="555" spans="1:1" x14ac:dyDescent="0.2">
      <c r="A555" s="1127"/>
    </row>
    <row r="556" spans="1:1" x14ac:dyDescent="0.2">
      <c r="A556" s="1127"/>
    </row>
    <row r="557" spans="1:1" x14ac:dyDescent="0.2">
      <c r="A557" s="1127"/>
    </row>
    <row r="558" spans="1:1" x14ac:dyDescent="0.2">
      <c r="A558" s="1127"/>
    </row>
    <row r="559" spans="1:1" x14ac:dyDescent="0.2">
      <c r="A559" s="1127"/>
    </row>
    <row r="560" spans="1:1" x14ac:dyDescent="0.2">
      <c r="A560" s="1127"/>
    </row>
    <row r="561" spans="1:1" x14ac:dyDescent="0.2">
      <c r="A561" s="1127"/>
    </row>
    <row r="562" spans="1:1" x14ac:dyDescent="0.2">
      <c r="A562" s="1127"/>
    </row>
    <row r="563" spans="1:1" x14ac:dyDescent="0.2">
      <c r="A563" s="1127"/>
    </row>
    <row r="564" spans="1:1" x14ac:dyDescent="0.2">
      <c r="A564" s="1127"/>
    </row>
    <row r="565" spans="1:1" x14ac:dyDescent="0.2">
      <c r="A565" s="1127"/>
    </row>
    <row r="566" spans="1:1" x14ac:dyDescent="0.2">
      <c r="A566" s="1127"/>
    </row>
    <row r="567" spans="1:1" x14ac:dyDescent="0.2">
      <c r="A567" s="1127"/>
    </row>
    <row r="568" spans="1:1" x14ac:dyDescent="0.2">
      <c r="A568" s="1127"/>
    </row>
    <row r="569" spans="1:1" x14ac:dyDescent="0.2">
      <c r="A569" s="1127"/>
    </row>
    <row r="570" spans="1:1" x14ac:dyDescent="0.2">
      <c r="A570" s="1127"/>
    </row>
    <row r="571" spans="1:1" x14ac:dyDescent="0.2">
      <c r="A571" s="1127"/>
    </row>
    <row r="572" spans="1:1" x14ac:dyDescent="0.2">
      <c r="A572" s="1127"/>
    </row>
    <row r="573" spans="1:1" x14ac:dyDescent="0.2">
      <c r="A573" s="1127"/>
    </row>
    <row r="574" spans="1:1" x14ac:dyDescent="0.2">
      <c r="A574" s="1127"/>
    </row>
    <row r="575" spans="1:1" x14ac:dyDescent="0.2">
      <c r="A575" s="1127"/>
    </row>
    <row r="576" spans="1:1" x14ac:dyDescent="0.2">
      <c r="A576" s="1127"/>
    </row>
    <row r="577" spans="1:1" x14ac:dyDescent="0.2">
      <c r="A577" s="1127"/>
    </row>
    <row r="578" spans="1:1" x14ac:dyDescent="0.2">
      <c r="A578" s="1127"/>
    </row>
    <row r="579" spans="1:1" x14ac:dyDescent="0.2">
      <c r="A579" s="1127"/>
    </row>
    <row r="580" spans="1:1" x14ac:dyDescent="0.2">
      <c r="A580" s="1127"/>
    </row>
    <row r="581" spans="1:1" x14ac:dyDescent="0.2">
      <c r="A581" s="1127"/>
    </row>
    <row r="582" spans="1:1" x14ac:dyDescent="0.2">
      <c r="A582" s="1127"/>
    </row>
    <row r="583" spans="1:1" x14ac:dyDescent="0.2">
      <c r="A583" s="1127"/>
    </row>
    <row r="584" spans="1:1" x14ac:dyDescent="0.2">
      <c r="A584" s="1127"/>
    </row>
    <row r="585" spans="1:1" x14ac:dyDescent="0.2">
      <c r="A585" s="1127"/>
    </row>
    <row r="586" spans="1:1" x14ac:dyDescent="0.2">
      <c r="A586" s="1127"/>
    </row>
    <row r="587" spans="1:1" x14ac:dyDescent="0.2">
      <c r="A587" s="1127"/>
    </row>
    <row r="588" spans="1:1" x14ac:dyDescent="0.2">
      <c r="A588" s="1127"/>
    </row>
    <row r="589" spans="1:1" x14ac:dyDescent="0.2">
      <c r="A589" s="1127"/>
    </row>
    <row r="590" spans="1:1" x14ac:dyDescent="0.2">
      <c r="A590" s="1127"/>
    </row>
    <row r="591" spans="1:1" x14ac:dyDescent="0.2">
      <c r="A591" s="1127"/>
    </row>
    <row r="592" spans="1:1" x14ac:dyDescent="0.2">
      <c r="A592" s="1127"/>
    </row>
    <row r="593" spans="1:1" x14ac:dyDescent="0.2">
      <c r="A593" s="1127"/>
    </row>
    <row r="594" spans="1:1" x14ac:dyDescent="0.2">
      <c r="A594" s="1127"/>
    </row>
    <row r="595" spans="1:1" x14ac:dyDescent="0.2">
      <c r="A595" s="1127"/>
    </row>
    <row r="596" spans="1:1" x14ac:dyDescent="0.2">
      <c r="A596" s="1127"/>
    </row>
    <row r="597" spans="1:1" x14ac:dyDescent="0.2">
      <c r="A597" s="1127"/>
    </row>
    <row r="598" spans="1:1" x14ac:dyDescent="0.2">
      <c r="A598" s="1127"/>
    </row>
    <row r="599" spans="1:1" x14ac:dyDescent="0.2">
      <c r="A599" s="1127"/>
    </row>
    <row r="600" spans="1:1" x14ac:dyDescent="0.2">
      <c r="A600" s="1127"/>
    </row>
    <row r="601" spans="1:1" x14ac:dyDescent="0.2">
      <c r="A601" s="1127"/>
    </row>
    <row r="602" spans="1:1" x14ac:dyDescent="0.2">
      <c r="A602" s="1127"/>
    </row>
    <row r="603" spans="1:1" x14ac:dyDescent="0.2">
      <c r="A603" s="1127"/>
    </row>
    <row r="604" spans="1:1" x14ac:dyDescent="0.2">
      <c r="A604" s="1127"/>
    </row>
    <row r="605" spans="1:1" x14ac:dyDescent="0.2">
      <c r="A605" s="1127"/>
    </row>
    <row r="606" spans="1:1" x14ac:dyDescent="0.2">
      <c r="A606" s="1127"/>
    </row>
    <row r="607" spans="1:1" x14ac:dyDescent="0.2">
      <c r="A607" s="1127"/>
    </row>
    <row r="608" spans="1:1" x14ac:dyDescent="0.2">
      <c r="A608" s="1127"/>
    </row>
    <row r="609" spans="1:1" x14ac:dyDescent="0.2">
      <c r="A609" s="1127"/>
    </row>
    <row r="610" spans="1:1" x14ac:dyDescent="0.2">
      <c r="A610" s="1127"/>
    </row>
    <row r="611" spans="1:1" x14ac:dyDescent="0.2">
      <c r="A611" s="1127"/>
    </row>
    <row r="612" spans="1:1" x14ac:dyDescent="0.2">
      <c r="A612" s="1127"/>
    </row>
    <row r="613" spans="1:1" x14ac:dyDescent="0.2">
      <c r="A613" s="1127"/>
    </row>
    <row r="614" spans="1:1" x14ac:dyDescent="0.2">
      <c r="A614" s="1127"/>
    </row>
    <row r="615" spans="1:1" x14ac:dyDescent="0.2">
      <c r="A615" s="1127"/>
    </row>
    <row r="616" spans="1:1" x14ac:dyDescent="0.2">
      <c r="A616" s="1127"/>
    </row>
    <row r="617" spans="1:1" x14ac:dyDescent="0.2">
      <c r="A617" s="1127"/>
    </row>
    <row r="618" spans="1:1" x14ac:dyDescent="0.2">
      <c r="A618" s="1127"/>
    </row>
    <row r="619" spans="1:1" x14ac:dyDescent="0.2">
      <c r="A619" s="1127"/>
    </row>
    <row r="620" spans="1:1" x14ac:dyDescent="0.2">
      <c r="A620" s="1127"/>
    </row>
    <row r="621" spans="1:1" x14ac:dyDescent="0.2">
      <c r="A621" s="1127"/>
    </row>
    <row r="622" spans="1:1" x14ac:dyDescent="0.2">
      <c r="A622" s="1127"/>
    </row>
    <row r="623" spans="1:1" x14ac:dyDescent="0.2">
      <c r="A623" s="1127"/>
    </row>
    <row r="624" spans="1:1" x14ac:dyDescent="0.2">
      <c r="A624" s="1127"/>
    </row>
    <row r="625" spans="1:1" x14ac:dyDescent="0.2">
      <c r="A625" s="1127"/>
    </row>
    <row r="626" spans="1:1" x14ac:dyDescent="0.2">
      <c r="A626" s="1127"/>
    </row>
    <row r="627" spans="1:1" x14ac:dyDescent="0.2">
      <c r="A627" s="1127"/>
    </row>
    <row r="628" spans="1:1" x14ac:dyDescent="0.2">
      <c r="A628" s="1127"/>
    </row>
    <row r="629" spans="1:1" x14ac:dyDescent="0.2">
      <c r="A629" s="1127"/>
    </row>
    <row r="630" spans="1:1" x14ac:dyDescent="0.2">
      <c r="A630" s="1127"/>
    </row>
    <row r="631" spans="1:1" x14ac:dyDescent="0.2">
      <c r="A631" s="1127"/>
    </row>
    <row r="632" spans="1:1" x14ac:dyDescent="0.2">
      <c r="A632" s="1127"/>
    </row>
    <row r="633" spans="1:1" x14ac:dyDescent="0.2">
      <c r="A633" s="1127"/>
    </row>
    <row r="634" spans="1:1" x14ac:dyDescent="0.2">
      <c r="A634" s="1127"/>
    </row>
    <row r="635" spans="1:1" x14ac:dyDescent="0.2">
      <c r="A635" s="1127"/>
    </row>
    <row r="636" spans="1:1" x14ac:dyDescent="0.2">
      <c r="A636" s="1127"/>
    </row>
    <row r="637" spans="1:1" x14ac:dyDescent="0.2">
      <c r="A637" s="1127"/>
    </row>
    <row r="638" spans="1:1" x14ac:dyDescent="0.2">
      <c r="A638" s="1127"/>
    </row>
    <row r="639" spans="1:1" x14ac:dyDescent="0.2">
      <c r="A639" s="1127"/>
    </row>
    <row r="640" spans="1:1" x14ac:dyDescent="0.2">
      <c r="A640" s="1127"/>
    </row>
    <row r="641" spans="1:1" x14ac:dyDescent="0.2">
      <c r="A641" s="1127"/>
    </row>
    <row r="642" spans="1:1" x14ac:dyDescent="0.2">
      <c r="A642" s="1127"/>
    </row>
    <row r="643" spans="1:1" x14ac:dyDescent="0.2">
      <c r="A643" s="1127"/>
    </row>
    <row r="644" spans="1:1" x14ac:dyDescent="0.2">
      <c r="A644" s="1127"/>
    </row>
    <row r="645" spans="1:1" x14ac:dyDescent="0.2">
      <c r="A645" s="1127"/>
    </row>
    <row r="646" spans="1:1" x14ac:dyDescent="0.2">
      <c r="A646" s="1127"/>
    </row>
    <row r="647" spans="1:1" x14ac:dyDescent="0.2">
      <c r="A647" s="1127"/>
    </row>
    <row r="648" spans="1:1" x14ac:dyDescent="0.2">
      <c r="A648" s="1127"/>
    </row>
    <row r="649" spans="1:1" x14ac:dyDescent="0.2">
      <c r="A649" s="1127"/>
    </row>
    <row r="650" spans="1:1" x14ac:dyDescent="0.2">
      <c r="A650" s="1127"/>
    </row>
    <row r="651" spans="1:1" x14ac:dyDescent="0.2">
      <c r="A651" s="1127"/>
    </row>
    <row r="652" spans="1:1" x14ac:dyDescent="0.2">
      <c r="A652" s="1127"/>
    </row>
    <row r="653" spans="1:1" x14ac:dyDescent="0.2">
      <c r="A653" s="1127"/>
    </row>
    <row r="654" spans="1:1" x14ac:dyDescent="0.2">
      <c r="A654" s="1127"/>
    </row>
    <row r="655" spans="1:1" x14ac:dyDescent="0.2">
      <c r="A655" s="1127"/>
    </row>
    <row r="656" spans="1:1" x14ac:dyDescent="0.2">
      <c r="A656" s="1127"/>
    </row>
    <row r="657" spans="1:1" x14ac:dyDescent="0.2">
      <c r="A657" s="1127"/>
    </row>
    <row r="658" spans="1:1" x14ac:dyDescent="0.2">
      <c r="A658" s="1127"/>
    </row>
    <row r="659" spans="1:1" x14ac:dyDescent="0.2">
      <c r="A659" s="1127"/>
    </row>
    <row r="660" spans="1:1" x14ac:dyDescent="0.2">
      <c r="A660" s="1127"/>
    </row>
    <row r="661" spans="1:1" x14ac:dyDescent="0.2">
      <c r="A661" s="1127"/>
    </row>
    <row r="662" spans="1:1" x14ac:dyDescent="0.2">
      <c r="A662" s="1127"/>
    </row>
    <row r="663" spans="1:1" x14ac:dyDescent="0.2">
      <c r="A663" s="1127"/>
    </row>
    <row r="664" spans="1:1" x14ac:dyDescent="0.2">
      <c r="A664" s="1127"/>
    </row>
    <row r="665" spans="1:1" x14ac:dyDescent="0.2">
      <c r="A665" s="1127"/>
    </row>
    <row r="666" spans="1:1" x14ac:dyDescent="0.2">
      <c r="A666" s="1127"/>
    </row>
    <row r="667" spans="1:1" x14ac:dyDescent="0.2">
      <c r="A667" s="1127"/>
    </row>
    <row r="668" spans="1:1" x14ac:dyDescent="0.2">
      <c r="A668" s="1127"/>
    </row>
    <row r="669" spans="1:1" x14ac:dyDescent="0.2">
      <c r="A669" s="1127"/>
    </row>
    <row r="670" spans="1:1" x14ac:dyDescent="0.2">
      <c r="A670" s="1127"/>
    </row>
    <row r="671" spans="1:1" x14ac:dyDescent="0.2">
      <c r="A671" s="1127"/>
    </row>
    <row r="672" spans="1:1" x14ac:dyDescent="0.2">
      <c r="A672" s="1127"/>
    </row>
    <row r="673" spans="1:1" x14ac:dyDescent="0.2">
      <c r="A673" s="1127"/>
    </row>
    <row r="674" spans="1:1" x14ac:dyDescent="0.2">
      <c r="A674" s="1127"/>
    </row>
    <row r="675" spans="1:1" x14ac:dyDescent="0.2">
      <c r="A675" s="1127"/>
    </row>
    <row r="676" spans="1:1" x14ac:dyDescent="0.2">
      <c r="A676" s="1127"/>
    </row>
    <row r="677" spans="1:1" x14ac:dyDescent="0.2">
      <c r="A677" s="1127"/>
    </row>
    <row r="678" spans="1:1" x14ac:dyDescent="0.2">
      <c r="A678" s="1127"/>
    </row>
    <row r="679" spans="1:1" x14ac:dyDescent="0.2">
      <c r="A679" s="1127"/>
    </row>
    <row r="680" spans="1:1" x14ac:dyDescent="0.2">
      <c r="A680" s="1127"/>
    </row>
    <row r="681" spans="1:1" x14ac:dyDescent="0.2">
      <c r="A681" s="1127"/>
    </row>
    <row r="682" spans="1:1" x14ac:dyDescent="0.2">
      <c r="A682" s="1127"/>
    </row>
    <row r="683" spans="1:1" x14ac:dyDescent="0.2">
      <c r="A683" s="1127"/>
    </row>
    <row r="684" spans="1:1" x14ac:dyDescent="0.2">
      <c r="A684" s="1127"/>
    </row>
    <row r="685" spans="1:1" x14ac:dyDescent="0.2">
      <c r="A685" s="1127"/>
    </row>
    <row r="686" spans="1:1" x14ac:dyDescent="0.2">
      <c r="A686" s="1127"/>
    </row>
    <row r="687" spans="1:1" x14ac:dyDescent="0.2">
      <c r="A687" s="1127"/>
    </row>
    <row r="688" spans="1:1" x14ac:dyDescent="0.2">
      <c r="A688" s="1127"/>
    </row>
    <row r="689" spans="1:1" x14ac:dyDescent="0.2">
      <c r="A689" s="1127"/>
    </row>
    <row r="690" spans="1:1" x14ac:dyDescent="0.2">
      <c r="A690" s="1127"/>
    </row>
    <row r="691" spans="1:1" x14ac:dyDescent="0.2">
      <c r="A691" s="1127"/>
    </row>
    <row r="692" spans="1:1" x14ac:dyDescent="0.2">
      <c r="A692" s="1127"/>
    </row>
    <row r="693" spans="1:1" x14ac:dyDescent="0.2">
      <c r="A693" s="1127"/>
    </row>
    <row r="694" spans="1:1" x14ac:dyDescent="0.2">
      <c r="A694" s="1127"/>
    </row>
    <row r="695" spans="1:1" x14ac:dyDescent="0.2">
      <c r="A695" s="1127"/>
    </row>
    <row r="696" spans="1:1" x14ac:dyDescent="0.2">
      <c r="A696" s="1127"/>
    </row>
    <row r="697" spans="1:1" x14ac:dyDescent="0.2">
      <c r="A697" s="1127"/>
    </row>
    <row r="698" spans="1:1" x14ac:dyDescent="0.2">
      <c r="A698" s="1127"/>
    </row>
    <row r="699" spans="1:1" x14ac:dyDescent="0.2">
      <c r="A699" s="1127"/>
    </row>
    <row r="700" spans="1:1" x14ac:dyDescent="0.2">
      <c r="A700" s="1127"/>
    </row>
    <row r="701" spans="1:1" x14ac:dyDescent="0.2">
      <c r="A701" s="1127"/>
    </row>
    <row r="702" spans="1:1" x14ac:dyDescent="0.2">
      <c r="A702" s="1127"/>
    </row>
    <row r="703" spans="1:1" x14ac:dyDescent="0.2">
      <c r="A703" s="1127"/>
    </row>
    <row r="704" spans="1:1" x14ac:dyDescent="0.2">
      <c r="A704" s="1127"/>
    </row>
    <row r="705" spans="1:1" x14ac:dyDescent="0.2">
      <c r="A705" s="1127"/>
    </row>
    <row r="706" spans="1:1" x14ac:dyDescent="0.2">
      <c r="A706" s="1127"/>
    </row>
    <row r="707" spans="1:1" x14ac:dyDescent="0.2">
      <c r="A707" s="1127"/>
    </row>
    <row r="708" spans="1:1" x14ac:dyDescent="0.2">
      <c r="A708" s="1127"/>
    </row>
    <row r="709" spans="1:1" x14ac:dyDescent="0.2">
      <c r="A709" s="1127"/>
    </row>
    <row r="710" spans="1:1" x14ac:dyDescent="0.2">
      <c r="A710" s="1127"/>
    </row>
    <row r="711" spans="1:1" x14ac:dyDescent="0.2">
      <c r="A711" s="1127"/>
    </row>
    <row r="712" spans="1:1" x14ac:dyDescent="0.2">
      <c r="A712" s="1127"/>
    </row>
    <row r="713" spans="1:1" x14ac:dyDescent="0.2">
      <c r="A713" s="1127"/>
    </row>
    <row r="714" spans="1:1" x14ac:dyDescent="0.2">
      <c r="A714" s="1127"/>
    </row>
    <row r="715" spans="1:1" x14ac:dyDescent="0.2">
      <c r="A715" s="1127"/>
    </row>
    <row r="716" spans="1:1" x14ac:dyDescent="0.2">
      <c r="A716" s="1127"/>
    </row>
    <row r="717" spans="1:1" x14ac:dyDescent="0.2">
      <c r="A717" s="1127"/>
    </row>
    <row r="718" spans="1:1" x14ac:dyDescent="0.2">
      <c r="A718" s="1127"/>
    </row>
    <row r="719" spans="1:1" x14ac:dyDescent="0.2">
      <c r="A719" s="1127"/>
    </row>
    <row r="720" spans="1:1" x14ac:dyDescent="0.2">
      <c r="A720" s="1127"/>
    </row>
    <row r="721" spans="1:1" x14ac:dyDescent="0.2">
      <c r="A721" s="1127"/>
    </row>
    <row r="722" spans="1:1" x14ac:dyDescent="0.2">
      <c r="A722" s="1127"/>
    </row>
    <row r="723" spans="1:1" x14ac:dyDescent="0.2">
      <c r="A723" s="1127"/>
    </row>
    <row r="724" spans="1:1" x14ac:dyDescent="0.2">
      <c r="A724" s="1127"/>
    </row>
    <row r="725" spans="1:1" x14ac:dyDescent="0.2">
      <c r="A725" s="1127"/>
    </row>
    <row r="726" spans="1:1" x14ac:dyDescent="0.2">
      <c r="A726" s="1127"/>
    </row>
    <row r="727" spans="1:1" x14ac:dyDescent="0.2">
      <c r="A727" s="1127"/>
    </row>
    <row r="728" spans="1:1" x14ac:dyDescent="0.2">
      <c r="A728" s="1127"/>
    </row>
    <row r="729" spans="1:1" x14ac:dyDescent="0.2">
      <c r="A729" s="1127"/>
    </row>
    <row r="730" spans="1:1" x14ac:dyDescent="0.2">
      <c r="A730" s="1127"/>
    </row>
    <row r="731" spans="1:1" x14ac:dyDescent="0.2">
      <c r="A731" s="1127"/>
    </row>
    <row r="732" spans="1:1" x14ac:dyDescent="0.2">
      <c r="A732" s="1127"/>
    </row>
    <row r="733" spans="1:1" x14ac:dyDescent="0.2">
      <c r="A733" s="1127"/>
    </row>
    <row r="734" spans="1:1" x14ac:dyDescent="0.2">
      <c r="A734" s="1127"/>
    </row>
    <row r="735" spans="1:1" x14ac:dyDescent="0.2">
      <c r="A735" s="1127"/>
    </row>
    <row r="736" spans="1:1" x14ac:dyDescent="0.2">
      <c r="A736" s="1127"/>
    </row>
    <row r="737" spans="1:1" x14ac:dyDescent="0.2">
      <c r="A737" s="1127"/>
    </row>
    <row r="738" spans="1:1" x14ac:dyDescent="0.2">
      <c r="A738" s="1127"/>
    </row>
    <row r="739" spans="1:1" x14ac:dyDescent="0.2">
      <c r="A739" s="1127"/>
    </row>
    <row r="740" spans="1:1" x14ac:dyDescent="0.2">
      <c r="A740" s="1127"/>
    </row>
    <row r="741" spans="1:1" x14ac:dyDescent="0.2">
      <c r="A741" s="1127"/>
    </row>
    <row r="742" spans="1:1" x14ac:dyDescent="0.2">
      <c r="A742" s="1127"/>
    </row>
    <row r="743" spans="1:1" x14ac:dyDescent="0.2">
      <c r="A743" s="1127"/>
    </row>
    <row r="744" spans="1:1" x14ac:dyDescent="0.2">
      <c r="A744" s="1127"/>
    </row>
    <row r="745" spans="1:1" x14ac:dyDescent="0.2">
      <c r="A745" s="1127"/>
    </row>
    <row r="746" spans="1:1" x14ac:dyDescent="0.2">
      <c r="A746" s="1127"/>
    </row>
    <row r="747" spans="1:1" x14ac:dyDescent="0.2">
      <c r="A747" s="1127"/>
    </row>
    <row r="748" spans="1:1" x14ac:dyDescent="0.2">
      <c r="A748" s="1127"/>
    </row>
    <row r="749" spans="1:1" x14ac:dyDescent="0.2">
      <c r="A749" s="1127"/>
    </row>
    <row r="750" spans="1:1" x14ac:dyDescent="0.2">
      <c r="A750" s="1127"/>
    </row>
    <row r="751" spans="1:1" x14ac:dyDescent="0.2">
      <c r="A751" s="1127"/>
    </row>
    <row r="752" spans="1:1" x14ac:dyDescent="0.2">
      <c r="A752" s="1127"/>
    </row>
    <row r="753" spans="1:1" x14ac:dyDescent="0.2">
      <c r="A753" s="1127"/>
    </row>
    <row r="754" spans="1:1" x14ac:dyDescent="0.2">
      <c r="A754" s="1127"/>
    </row>
    <row r="755" spans="1:1" x14ac:dyDescent="0.2">
      <c r="A755" s="1127"/>
    </row>
    <row r="756" spans="1:1" x14ac:dyDescent="0.2">
      <c r="A756" s="1127"/>
    </row>
    <row r="757" spans="1:1" x14ac:dyDescent="0.2">
      <c r="A757" s="1127"/>
    </row>
    <row r="758" spans="1:1" x14ac:dyDescent="0.2">
      <c r="A758" s="1127"/>
    </row>
    <row r="759" spans="1:1" x14ac:dyDescent="0.2">
      <c r="A759" s="1127"/>
    </row>
    <row r="760" spans="1:1" x14ac:dyDescent="0.2">
      <c r="A760" s="1127"/>
    </row>
    <row r="761" spans="1:1" x14ac:dyDescent="0.2">
      <c r="A761" s="1127"/>
    </row>
    <row r="762" spans="1:1" x14ac:dyDescent="0.2">
      <c r="A762" s="1127"/>
    </row>
    <row r="763" spans="1:1" x14ac:dyDescent="0.2">
      <c r="A763" s="1127"/>
    </row>
    <row r="764" spans="1:1" x14ac:dyDescent="0.2">
      <c r="A764" s="1127"/>
    </row>
    <row r="765" spans="1:1" x14ac:dyDescent="0.2">
      <c r="A765" s="1127"/>
    </row>
    <row r="766" spans="1:1" x14ac:dyDescent="0.2">
      <c r="A766" s="1127"/>
    </row>
    <row r="767" spans="1:1" x14ac:dyDescent="0.2">
      <c r="A767" s="1127"/>
    </row>
    <row r="768" spans="1:1" x14ac:dyDescent="0.2">
      <c r="A768" s="1127"/>
    </row>
    <row r="769" spans="1:1" x14ac:dyDescent="0.2">
      <c r="A769" s="1127"/>
    </row>
    <row r="770" spans="1:1" x14ac:dyDescent="0.2">
      <c r="A770" s="1127"/>
    </row>
    <row r="771" spans="1:1" x14ac:dyDescent="0.2">
      <c r="A771" s="1127"/>
    </row>
    <row r="772" spans="1:1" x14ac:dyDescent="0.2">
      <c r="A772" s="1127"/>
    </row>
    <row r="773" spans="1:1" x14ac:dyDescent="0.2">
      <c r="A773" s="1127"/>
    </row>
    <row r="774" spans="1:1" x14ac:dyDescent="0.2">
      <c r="A774" s="1127"/>
    </row>
    <row r="775" spans="1:1" x14ac:dyDescent="0.2">
      <c r="A775" s="1127"/>
    </row>
    <row r="776" spans="1:1" x14ac:dyDescent="0.2">
      <c r="A776" s="1127"/>
    </row>
    <row r="777" spans="1:1" x14ac:dyDescent="0.2">
      <c r="A777" s="1127"/>
    </row>
    <row r="778" spans="1:1" x14ac:dyDescent="0.2">
      <c r="A778" s="1127"/>
    </row>
    <row r="779" spans="1:1" x14ac:dyDescent="0.2">
      <c r="A779" s="1127"/>
    </row>
    <row r="780" spans="1:1" x14ac:dyDescent="0.2">
      <c r="A780" s="1127"/>
    </row>
    <row r="781" spans="1:1" x14ac:dyDescent="0.2">
      <c r="A781" s="1127"/>
    </row>
    <row r="782" spans="1:1" x14ac:dyDescent="0.2">
      <c r="A782" s="1127"/>
    </row>
    <row r="783" spans="1:1" x14ac:dyDescent="0.2">
      <c r="A783" s="1127"/>
    </row>
    <row r="784" spans="1:1" x14ac:dyDescent="0.2">
      <c r="A784" s="1127"/>
    </row>
    <row r="785" spans="1:1" x14ac:dyDescent="0.2">
      <c r="A785" s="1127"/>
    </row>
    <row r="786" spans="1:1" x14ac:dyDescent="0.2">
      <c r="A786" s="1127"/>
    </row>
    <row r="787" spans="1:1" x14ac:dyDescent="0.2">
      <c r="A787" s="1127"/>
    </row>
    <row r="788" spans="1:1" x14ac:dyDescent="0.2">
      <c r="A788" s="1127"/>
    </row>
    <row r="789" spans="1:1" x14ac:dyDescent="0.2">
      <c r="A789" s="1127"/>
    </row>
    <row r="790" spans="1:1" x14ac:dyDescent="0.2">
      <c r="A790" s="1127"/>
    </row>
    <row r="791" spans="1:1" x14ac:dyDescent="0.2">
      <c r="A791" s="1127"/>
    </row>
    <row r="792" spans="1:1" x14ac:dyDescent="0.2">
      <c r="A792" s="1127"/>
    </row>
    <row r="793" spans="1:1" x14ac:dyDescent="0.2">
      <c r="A793" s="1127"/>
    </row>
    <row r="794" spans="1:1" x14ac:dyDescent="0.2">
      <c r="A794" s="1127"/>
    </row>
    <row r="795" spans="1:1" x14ac:dyDescent="0.2">
      <c r="A795" s="1127"/>
    </row>
    <row r="796" spans="1:1" x14ac:dyDescent="0.2">
      <c r="A796" s="1127"/>
    </row>
    <row r="797" spans="1:1" x14ac:dyDescent="0.2">
      <c r="A797" s="1127"/>
    </row>
    <row r="798" spans="1:1" x14ac:dyDescent="0.2">
      <c r="A798" s="1127"/>
    </row>
    <row r="799" spans="1:1" x14ac:dyDescent="0.2">
      <c r="A799" s="1127"/>
    </row>
    <row r="800" spans="1:1" x14ac:dyDescent="0.2">
      <c r="A800" s="1127"/>
    </row>
    <row r="801" spans="1:1" x14ac:dyDescent="0.2">
      <c r="A801" s="1127"/>
    </row>
    <row r="802" spans="1:1" x14ac:dyDescent="0.2">
      <c r="A802" s="1127"/>
    </row>
    <row r="803" spans="1:1" x14ac:dyDescent="0.2">
      <c r="A803" s="1127"/>
    </row>
    <row r="804" spans="1:1" x14ac:dyDescent="0.2">
      <c r="A804" s="1127"/>
    </row>
    <row r="805" spans="1:1" x14ac:dyDescent="0.2">
      <c r="A805" s="1127"/>
    </row>
    <row r="806" spans="1:1" x14ac:dyDescent="0.2">
      <c r="A806" s="1127"/>
    </row>
    <row r="807" spans="1:1" x14ac:dyDescent="0.2">
      <c r="A807" s="1127"/>
    </row>
    <row r="808" spans="1:1" x14ac:dyDescent="0.2">
      <c r="A808" s="1127"/>
    </row>
    <row r="809" spans="1:1" x14ac:dyDescent="0.2">
      <c r="A809" s="1127"/>
    </row>
    <row r="810" spans="1:1" x14ac:dyDescent="0.2">
      <c r="A810" s="1127"/>
    </row>
    <row r="811" spans="1:1" x14ac:dyDescent="0.2">
      <c r="A811" s="1127"/>
    </row>
    <row r="812" spans="1:1" x14ac:dyDescent="0.2">
      <c r="A812" s="1127"/>
    </row>
    <row r="813" spans="1:1" x14ac:dyDescent="0.2">
      <c r="A813" s="1127"/>
    </row>
    <row r="814" spans="1:1" x14ac:dyDescent="0.2">
      <c r="A814" s="1127"/>
    </row>
    <row r="815" spans="1:1" x14ac:dyDescent="0.2">
      <c r="A815" s="1127"/>
    </row>
    <row r="816" spans="1:1" x14ac:dyDescent="0.2">
      <c r="A816" s="1127"/>
    </row>
    <row r="817" spans="1:1" x14ac:dyDescent="0.2">
      <c r="A817" s="1127"/>
    </row>
    <row r="818" spans="1:1" x14ac:dyDescent="0.2">
      <c r="A818" s="1127"/>
    </row>
    <row r="819" spans="1:1" x14ac:dyDescent="0.2">
      <c r="A819" s="1127"/>
    </row>
    <row r="820" spans="1:1" x14ac:dyDescent="0.2">
      <c r="A820" s="1127"/>
    </row>
    <row r="821" spans="1:1" x14ac:dyDescent="0.2">
      <c r="A821" s="1127"/>
    </row>
    <row r="822" spans="1:1" x14ac:dyDescent="0.2">
      <c r="A822" s="1127"/>
    </row>
    <row r="823" spans="1:1" x14ac:dyDescent="0.2">
      <c r="A823" s="1127"/>
    </row>
    <row r="824" spans="1:1" x14ac:dyDescent="0.2">
      <c r="A824" s="1127"/>
    </row>
    <row r="825" spans="1:1" x14ac:dyDescent="0.2">
      <c r="A825" s="1127"/>
    </row>
    <row r="826" spans="1:1" x14ac:dyDescent="0.2">
      <c r="A826" s="1127"/>
    </row>
    <row r="827" spans="1:1" x14ac:dyDescent="0.2">
      <c r="A827" s="1127"/>
    </row>
    <row r="828" spans="1:1" x14ac:dyDescent="0.2">
      <c r="A828" s="1127"/>
    </row>
    <row r="829" spans="1:1" x14ac:dyDescent="0.2">
      <c r="A829" s="1127"/>
    </row>
    <row r="830" spans="1:1" x14ac:dyDescent="0.2">
      <c r="A830" s="1127"/>
    </row>
    <row r="831" spans="1:1" x14ac:dyDescent="0.2">
      <c r="A831" s="1127"/>
    </row>
    <row r="832" spans="1:1" x14ac:dyDescent="0.2">
      <c r="A832" s="1127"/>
    </row>
    <row r="833" spans="1:1" x14ac:dyDescent="0.2">
      <c r="A833" s="1127"/>
    </row>
    <row r="834" spans="1:1" x14ac:dyDescent="0.2">
      <c r="A834" s="1127"/>
    </row>
    <row r="835" spans="1:1" x14ac:dyDescent="0.2">
      <c r="A835" s="1127"/>
    </row>
    <row r="836" spans="1:1" x14ac:dyDescent="0.2">
      <c r="A836" s="1127"/>
    </row>
    <row r="837" spans="1:1" x14ac:dyDescent="0.2">
      <c r="A837" s="1127"/>
    </row>
    <row r="838" spans="1:1" x14ac:dyDescent="0.2">
      <c r="A838" s="1127"/>
    </row>
    <row r="839" spans="1:1" x14ac:dyDescent="0.2">
      <c r="A839" s="1127"/>
    </row>
    <row r="840" spans="1:1" x14ac:dyDescent="0.2">
      <c r="A840" s="1127"/>
    </row>
    <row r="841" spans="1:1" x14ac:dyDescent="0.2">
      <c r="A841" s="1127"/>
    </row>
    <row r="842" spans="1:1" x14ac:dyDescent="0.2">
      <c r="A842" s="1127"/>
    </row>
    <row r="843" spans="1:1" x14ac:dyDescent="0.2">
      <c r="A843" s="1127"/>
    </row>
    <row r="844" spans="1:1" x14ac:dyDescent="0.2">
      <c r="A844" s="1127"/>
    </row>
    <row r="845" spans="1:1" x14ac:dyDescent="0.2">
      <c r="A845" s="1127"/>
    </row>
    <row r="846" spans="1:1" x14ac:dyDescent="0.2">
      <c r="A846" s="1127"/>
    </row>
    <row r="847" spans="1:1" x14ac:dyDescent="0.2">
      <c r="A847" s="1127"/>
    </row>
    <row r="848" spans="1:1" x14ac:dyDescent="0.2">
      <c r="A848" s="1127"/>
    </row>
    <row r="849" spans="1:1" x14ac:dyDescent="0.2">
      <c r="A849" s="1127"/>
    </row>
    <row r="850" spans="1:1" x14ac:dyDescent="0.2">
      <c r="A850" s="1127"/>
    </row>
    <row r="851" spans="1:1" x14ac:dyDescent="0.2">
      <c r="A851" s="1127"/>
    </row>
    <row r="852" spans="1:1" x14ac:dyDescent="0.2">
      <c r="A852" s="1127"/>
    </row>
    <row r="853" spans="1:1" x14ac:dyDescent="0.2">
      <c r="A853" s="1127"/>
    </row>
    <row r="854" spans="1:1" x14ac:dyDescent="0.2">
      <c r="A854" s="1127"/>
    </row>
    <row r="855" spans="1:1" x14ac:dyDescent="0.2">
      <c r="A855" s="1127"/>
    </row>
    <row r="856" spans="1:1" x14ac:dyDescent="0.2">
      <c r="A856" s="1127"/>
    </row>
    <row r="857" spans="1:1" x14ac:dyDescent="0.2">
      <c r="A857" s="1127"/>
    </row>
    <row r="858" spans="1:1" x14ac:dyDescent="0.2">
      <c r="A858" s="1127"/>
    </row>
    <row r="859" spans="1:1" x14ac:dyDescent="0.2">
      <c r="A859" s="1127"/>
    </row>
    <row r="860" spans="1:1" x14ac:dyDescent="0.2">
      <c r="A860" s="1127"/>
    </row>
    <row r="861" spans="1:1" x14ac:dyDescent="0.2">
      <c r="A861" s="1127"/>
    </row>
    <row r="862" spans="1:1" x14ac:dyDescent="0.2">
      <c r="A862" s="1127"/>
    </row>
    <row r="863" spans="1:1" x14ac:dyDescent="0.2">
      <c r="A863" s="1127"/>
    </row>
    <row r="864" spans="1:1" x14ac:dyDescent="0.2">
      <c r="A864" s="1127"/>
    </row>
    <row r="865" spans="1:1" x14ac:dyDescent="0.2">
      <c r="A865" s="1127"/>
    </row>
    <row r="866" spans="1:1" x14ac:dyDescent="0.2">
      <c r="A866" s="1127"/>
    </row>
    <row r="867" spans="1:1" x14ac:dyDescent="0.2">
      <c r="A867" s="1127"/>
    </row>
    <row r="868" spans="1:1" x14ac:dyDescent="0.2">
      <c r="A868" s="1127"/>
    </row>
    <row r="869" spans="1:1" x14ac:dyDescent="0.2">
      <c r="A869" s="1127"/>
    </row>
    <row r="870" spans="1:1" x14ac:dyDescent="0.2">
      <c r="A870" s="1127"/>
    </row>
    <row r="871" spans="1:1" x14ac:dyDescent="0.2">
      <c r="A871" s="1127"/>
    </row>
    <row r="872" spans="1:1" x14ac:dyDescent="0.2">
      <c r="A872" s="1127"/>
    </row>
    <row r="873" spans="1:1" x14ac:dyDescent="0.2">
      <c r="A873" s="1127"/>
    </row>
    <row r="874" spans="1:1" x14ac:dyDescent="0.2">
      <c r="A874" s="1127"/>
    </row>
    <row r="875" spans="1:1" x14ac:dyDescent="0.2">
      <c r="A875" s="1127"/>
    </row>
    <row r="876" spans="1:1" x14ac:dyDescent="0.2">
      <c r="A876" s="1127"/>
    </row>
    <row r="877" spans="1:1" x14ac:dyDescent="0.2">
      <c r="A877" s="1127"/>
    </row>
    <row r="878" spans="1:1" x14ac:dyDescent="0.2">
      <c r="A878" s="1127"/>
    </row>
    <row r="879" spans="1:1" x14ac:dyDescent="0.2">
      <c r="A879" s="1127"/>
    </row>
    <row r="880" spans="1:1" x14ac:dyDescent="0.2">
      <c r="A880" s="1127"/>
    </row>
    <row r="881" spans="1:1" x14ac:dyDescent="0.2">
      <c r="A881" s="1127"/>
    </row>
    <row r="882" spans="1:1" x14ac:dyDescent="0.2">
      <c r="A882" s="1127"/>
    </row>
    <row r="883" spans="1:1" x14ac:dyDescent="0.2">
      <c r="A883" s="1127"/>
    </row>
    <row r="884" spans="1:1" x14ac:dyDescent="0.2">
      <c r="A884" s="1127"/>
    </row>
    <row r="885" spans="1:1" x14ac:dyDescent="0.2">
      <c r="A885" s="1127"/>
    </row>
    <row r="886" spans="1:1" x14ac:dyDescent="0.2">
      <c r="A886" s="1127"/>
    </row>
    <row r="887" spans="1:1" x14ac:dyDescent="0.2">
      <c r="A887" s="1127"/>
    </row>
    <row r="888" spans="1:1" x14ac:dyDescent="0.2">
      <c r="A888" s="1127"/>
    </row>
    <row r="889" spans="1:1" x14ac:dyDescent="0.2">
      <c r="A889" s="1127"/>
    </row>
  </sheetData>
  <sheetProtection selectLockedCells="1"/>
  <phoneticPr fontId="67" type="noConversion"/>
  <conditionalFormatting sqref="C3:C4">
    <cfRule type="cellIs" dxfId="258" priority="1" operator="equal">
      <formula>""</formula>
    </cfRule>
  </conditionalFormatting>
  <conditionalFormatting sqref="C6">
    <cfRule type="cellIs" dxfId="257" priority="2" operator="equal">
      <formula>""</formula>
    </cfRule>
  </conditionalFormatting>
  <dataValidations disablePrompts="1" count="2">
    <dataValidation type="list" allowBlank="1" showInputMessage="1" showErrorMessage="1" sqref="C3" xr:uid="{03A3B20F-95BC-4AFF-8DC7-C8D08C6D788D}">
      <formula1>"Zincalume, Colorbond"</formula1>
    </dataValidation>
    <dataValidation type="list" allowBlank="1" sqref="C6" xr:uid="{43E0A73C-7946-480A-92E1-6C0455122D2B}">
      <formula1>"Yes,No"</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7348" r:id="rId4" name="Button 4">
              <controlPr defaultSize="0" print="0" autoFill="0" autoPict="0" macro="[0]!Addenda2">
                <anchor moveWithCells="1">
                  <from>
                    <xdr:col>2</xdr:col>
                    <xdr:colOff>666750</xdr:colOff>
                    <xdr:row>10</xdr:row>
                    <xdr:rowOff>28575</xdr:rowOff>
                  </from>
                  <to>
                    <xdr:col>2</xdr:col>
                    <xdr:colOff>2819400</xdr:colOff>
                    <xdr:row>12</xdr:row>
                    <xdr:rowOff>66675</xdr:rowOff>
                  </to>
                </anchor>
              </controlPr>
            </control>
          </mc:Choice>
        </mc:AlternateContent>
        <mc:AlternateContent xmlns:mc="http://schemas.openxmlformats.org/markup-compatibility/2006">
          <mc:Choice Requires="x14">
            <control shapeId="57351" r:id="rId5" name="Button 7">
              <controlPr defaultSize="0" print="0" autoFill="0" autoPict="0" macro="[0]!Addenda.Lintels" altText="Lintel Calculations">
                <anchor moveWithCells="1">
                  <from>
                    <xdr:col>2</xdr:col>
                    <xdr:colOff>666750</xdr:colOff>
                    <xdr:row>13</xdr:row>
                    <xdr:rowOff>38100</xdr:rowOff>
                  </from>
                  <to>
                    <xdr:col>2</xdr:col>
                    <xdr:colOff>2819400</xdr:colOff>
                    <xdr:row>14</xdr:row>
                    <xdr:rowOff>228600</xdr:rowOff>
                  </to>
                </anchor>
              </controlPr>
            </control>
          </mc:Choice>
        </mc:AlternateContent>
        <mc:AlternateContent xmlns:mc="http://schemas.openxmlformats.org/markup-compatibility/2006">
          <mc:Choice Requires="x14">
            <control shapeId="57353" r:id="rId6" name="Button 9">
              <controlPr defaultSize="0" print="0" autoFill="0" autoPict="0" macro="[0]!CreateFolder">
                <anchor>
                  <from>
                    <xdr:col>2</xdr:col>
                    <xdr:colOff>676275</xdr:colOff>
                    <xdr:row>7</xdr:row>
                    <xdr:rowOff>19050</xdr:rowOff>
                  </from>
                  <to>
                    <xdr:col>2</xdr:col>
                    <xdr:colOff>2819400</xdr:colOff>
                    <xdr:row>9</xdr:row>
                    <xdr:rowOff>47625</xdr:rowOff>
                  </to>
                </anchor>
              </controlPr>
            </control>
          </mc:Choice>
        </mc:AlternateContent>
        <mc:AlternateContent xmlns:mc="http://schemas.openxmlformats.org/markup-compatibility/2006">
          <mc:Choice Requires="x14">
            <control shapeId="57357" r:id="rId7" name="Button 13">
              <controlPr defaultSize="0" print="0" autoFill="0" autoPict="0" macro="[0]!ImportPDF">
                <anchor>
                  <from>
                    <xdr:col>1</xdr:col>
                    <xdr:colOff>9525</xdr:colOff>
                    <xdr:row>7</xdr:row>
                    <xdr:rowOff>9525</xdr:rowOff>
                  </from>
                  <to>
                    <xdr:col>1</xdr:col>
                    <xdr:colOff>552450</xdr:colOff>
                    <xdr:row>8</xdr:row>
                    <xdr:rowOff>85725</xdr:rowOff>
                  </to>
                </anchor>
              </controlPr>
            </control>
          </mc:Choice>
        </mc:AlternateContent>
        <mc:AlternateContent xmlns:mc="http://schemas.openxmlformats.org/markup-compatibility/2006">
          <mc:Choice Requires="x14">
            <control shapeId="57360" r:id="rId8" name="Button 16">
              <controlPr defaultSize="0" print="0" autoFill="0" autoPict="0" macro="[0]!ClearQuantsPad">
                <anchor>
                  <from>
                    <xdr:col>2</xdr:col>
                    <xdr:colOff>676275</xdr:colOff>
                    <xdr:row>15</xdr:row>
                    <xdr:rowOff>28575</xdr:rowOff>
                  </from>
                  <to>
                    <xdr:col>2</xdr:col>
                    <xdr:colOff>2819400</xdr:colOff>
                    <xdr:row>17</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1">
    <tabColor rgb="FFFFC000" tint="1"/>
  </sheetPr>
  <dimension ref="A1"/>
  <sheetViews>
    <sheetView workbookViewId="0">
      <pane ySplit="1" topLeftCell="A2" activePane="bottomLeft" state="frozen"/>
      <selection pane="bottomLeft" activeCell="A2" sqref="A2"/>
    </sheetView>
  </sheetViews>
  <sheetFormatPr defaultRowHeight="12.75" x14ac:dyDescent="0.2"/>
  <cols>
    <col min="1" max="1" width="20" bestFit="1" customWidth="1"/>
  </cols>
  <sheetData/>
  <dataConsolidate>
    <dataRefs count="1">
      <dataRef ref="A1:E1048576" sheet="CSV GF"/>
    </dataRefs>
  </dataConsolidate>
  <phoneticPr fontId="12" type="noConversion"/>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7761" r:id="rId4" name="Button 1">
              <controlPr defaultSize="0" print="0" autoFill="0" autoPict="0" macro="[0]!ImportCSV">
                <anchor>
                  <from>
                    <xdr:col>5</xdr:col>
                    <xdr:colOff>47625</xdr:colOff>
                    <xdr:row>0</xdr:row>
                    <xdr:rowOff>9525</xdr:rowOff>
                  </from>
                  <to>
                    <xdr:col>6</xdr:col>
                    <xdr:colOff>523875</xdr:colOff>
                    <xdr:row>0</xdr:row>
                    <xdr:rowOff>152400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4"/>
  <dimension ref="A1:L2617"/>
  <sheetViews>
    <sheetView workbookViewId="0"/>
  </sheetViews>
  <sheetFormatPr defaultRowHeight="12.75" x14ac:dyDescent="0.2"/>
  <cols>
    <col min="1" max="1" width="17.42578125" style="38" bestFit="1" customWidth="1"/>
    <col min="2" max="2" width="12.85546875" style="38" customWidth="1"/>
    <col min="3" max="3" width="7.28515625" style="38" customWidth="1"/>
    <col min="4" max="4" width="6.28515625" style="38" customWidth="1"/>
    <col min="5" max="5" width="9.140625" style="38" customWidth="1"/>
    <col min="6" max="6" width="5.28515625" style="410" customWidth="1"/>
    <col min="12" max="12" width="10.85546875" bestFit="1" customWidth="1"/>
  </cols>
  <sheetData>
    <row r="1" spans="1:12" s="3" customFormat="1" x14ac:dyDescent="0.2">
      <c r="A1" s="387"/>
      <c r="B1" s="385"/>
      <c r="C1" s="385"/>
      <c r="D1" s="385"/>
      <c r="E1" s="385"/>
      <c r="F1" s="407"/>
    </row>
    <row r="2" spans="1:12" x14ac:dyDescent="0.2">
      <c r="A2" s="388"/>
      <c r="B2" s="386"/>
      <c r="C2" s="386"/>
      <c r="D2" s="386"/>
      <c r="E2" s="386"/>
      <c r="F2" s="408"/>
      <c r="G2" s="3"/>
      <c r="H2" s="3"/>
      <c r="I2" s="3"/>
      <c r="J2" s="3"/>
      <c r="K2" s="3"/>
      <c r="L2" s="3"/>
    </row>
    <row r="3" spans="1:12" x14ac:dyDescent="0.2">
      <c r="A3" s="388"/>
      <c r="B3" s="386"/>
      <c r="C3" s="386"/>
      <c r="D3" s="386"/>
      <c r="E3" s="386"/>
      <c r="F3" s="408"/>
      <c r="G3" s="3"/>
      <c r="H3" s="3"/>
      <c r="I3" s="3"/>
      <c r="J3" s="3"/>
      <c r="K3" s="3"/>
      <c r="L3" s="3"/>
    </row>
    <row r="4" spans="1:12" x14ac:dyDescent="0.2">
      <c r="A4" s="388"/>
      <c r="B4" s="386"/>
      <c r="C4" s="386"/>
      <c r="D4" s="386"/>
      <c r="E4" s="386"/>
      <c r="F4" s="408"/>
      <c r="G4" s="3"/>
      <c r="H4" s="3"/>
      <c r="I4" s="3"/>
      <c r="J4" s="3"/>
      <c r="K4" s="3"/>
      <c r="L4" s="3"/>
    </row>
    <row r="5" spans="1:12" x14ac:dyDescent="0.2">
      <c r="A5" s="388"/>
      <c r="B5" s="386"/>
      <c r="C5" s="386"/>
      <c r="D5" s="386"/>
      <c r="E5" s="386"/>
      <c r="F5" s="408"/>
      <c r="G5" s="3"/>
      <c r="H5" s="3"/>
      <c r="I5" s="3"/>
      <c r="J5" s="3"/>
      <c r="K5" s="3"/>
      <c r="L5" s="3"/>
    </row>
    <row r="6" spans="1:12" x14ac:dyDescent="0.2">
      <c r="A6" s="388"/>
      <c r="B6" s="386"/>
      <c r="C6" s="386"/>
      <c r="D6" s="386"/>
      <c r="E6" s="386"/>
      <c r="F6" s="408"/>
    </row>
    <row r="7" spans="1:12" x14ac:dyDescent="0.2">
      <c r="A7" s="388"/>
      <c r="B7" s="386"/>
      <c r="C7" s="386"/>
      <c r="D7" s="386"/>
      <c r="E7" s="386"/>
      <c r="F7" s="408"/>
    </row>
    <row r="8" spans="1:12" x14ac:dyDescent="0.2">
      <c r="A8" s="388"/>
      <c r="B8" s="386"/>
      <c r="C8" s="386"/>
      <c r="D8" s="386"/>
      <c r="E8" s="386"/>
      <c r="F8" s="408"/>
    </row>
    <row r="9" spans="1:12" x14ac:dyDescent="0.2">
      <c r="A9" s="388"/>
      <c r="B9" s="386"/>
      <c r="C9" s="386"/>
      <c r="D9" s="386"/>
      <c r="E9" s="386"/>
      <c r="F9" s="408"/>
    </row>
    <row r="10" spans="1:12" x14ac:dyDescent="0.2">
      <c r="A10" s="389"/>
      <c r="B10" s="386"/>
      <c r="C10" s="386"/>
      <c r="D10" s="386"/>
      <c r="E10" s="386"/>
      <c r="F10" s="409"/>
    </row>
    <row r="11" spans="1:12" x14ac:dyDescent="0.2">
      <c r="A11" s="388"/>
      <c r="B11" s="386"/>
      <c r="C11" s="386"/>
      <c r="D11" s="386"/>
      <c r="E11" s="386"/>
      <c r="F11" s="408"/>
    </row>
    <row r="12" spans="1:12" x14ac:dyDescent="0.2">
      <c r="A12" s="388"/>
      <c r="B12" s="386"/>
      <c r="C12" s="386"/>
      <c r="D12" s="386"/>
      <c r="E12" s="386"/>
      <c r="F12" s="408"/>
    </row>
    <row r="13" spans="1:12" x14ac:dyDescent="0.2">
      <c r="A13" s="388"/>
      <c r="B13" s="386"/>
      <c r="C13" s="386"/>
      <c r="D13" s="386"/>
      <c r="E13" s="386"/>
      <c r="F13" s="408"/>
    </row>
    <row r="14" spans="1:12" x14ac:dyDescent="0.2">
      <c r="A14" s="388"/>
      <c r="B14" s="386"/>
      <c r="C14" s="386"/>
      <c r="D14" s="386"/>
      <c r="E14" s="386"/>
      <c r="F14" s="408"/>
    </row>
    <row r="15" spans="1:12" x14ac:dyDescent="0.2">
      <c r="A15" s="388"/>
      <c r="B15" s="386"/>
      <c r="C15" s="386"/>
      <c r="D15" s="386"/>
      <c r="E15" s="386"/>
      <c r="F15" s="408"/>
    </row>
    <row r="16" spans="1:12" x14ac:dyDescent="0.2">
      <c r="A16" s="388"/>
      <c r="B16" s="386"/>
      <c r="C16" s="386"/>
      <c r="D16" s="386"/>
      <c r="E16" s="386"/>
      <c r="F16" s="408"/>
    </row>
    <row r="17" spans="1:6" x14ac:dyDescent="0.2">
      <c r="A17" s="388"/>
      <c r="B17" s="386"/>
      <c r="C17" s="386"/>
      <c r="D17" s="386"/>
      <c r="E17" s="386"/>
      <c r="F17" s="408"/>
    </row>
    <row r="18" spans="1:6" x14ac:dyDescent="0.2">
      <c r="A18" s="388"/>
      <c r="B18" s="386"/>
      <c r="C18" s="386"/>
      <c r="D18" s="386"/>
      <c r="E18" s="386"/>
      <c r="F18" s="408"/>
    </row>
    <row r="19" spans="1:6" x14ac:dyDescent="0.2">
      <c r="A19" s="388"/>
      <c r="B19" s="386"/>
      <c r="C19" s="386"/>
      <c r="D19" s="386"/>
      <c r="E19" s="386"/>
      <c r="F19" s="408"/>
    </row>
    <row r="20" spans="1:6" x14ac:dyDescent="0.2">
      <c r="A20" s="388"/>
      <c r="B20" s="386"/>
      <c r="C20" s="386"/>
      <c r="D20" s="386"/>
      <c r="E20" s="386"/>
      <c r="F20" s="408"/>
    </row>
    <row r="21" spans="1:6" x14ac:dyDescent="0.2">
      <c r="A21" s="388"/>
      <c r="B21" s="386"/>
      <c r="C21" s="386"/>
      <c r="D21" s="386"/>
      <c r="E21" s="386"/>
      <c r="F21" s="408"/>
    </row>
    <row r="22" spans="1:6" x14ac:dyDescent="0.2">
      <c r="A22" s="388"/>
      <c r="B22" s="386"/>
      <c r="C22" s="386"/>
      <c r="D22" s="386"/>
      <c r="E22" s="386"/>
      <c r="F22" s="408"/>
    </row>
    <row r="23" spans="1:6" x14ac:dyDescent="0.2">
      <c r="A23" s="388"/>
      <c r="B23" s="386"/>
      <c r="C23" s="386"/>
      <c r="D23" s="386"/>
      <c r="E23" s="386"/>
      <c r="F23" s="408"/>
    </row>
    <row r="24" spans="1:6" x14ac:dyDescent="0.2">
      <c r="A24" s="388"/>
      <c r="B24" s="386"/>
      <c r="C24" s="386"/>
      <c r="D24" s="386"/>
      <c r="E24" s="386"/>
      <c r="F24" s="408"/>
    </row>
    <row r="25" spans="1:6" x14ac:dyDescent="0.2">
      <c r="A25" s="388"/>
      <c r="B25" s="386"/>
      <c r="C25" s="386"/>
      <c r="D25" s="386"/>
      <c r="E25" s="386"/>
      <c r="F25" s="408"/>
    </row>
    <row r="26" spans="1:6" x14ac:dyDescent="0.2">
      <c r="A26" s="388"/>
      <c r="B26" s="386"/>
      <c r="C26" s="386"/>
      <c r="D26" s="386"/>
      <c r="E26" s="386"/>
      <c r="F26" s="408"/>
    </row>
    <row r="27" spans="1:6" x14ac:dyDescent="0.2">
      <c r="A27" s="388"/>
      <c r="B27" s="386"/>
      <c r="C27" s="386"/>
      <c r="D27" s="386"/>
      <c r="E27" s="386"/>
      <c r="F27" s="408"/>
    </row>
    <row r="28" spans="1:6" x14ac:dyDescent="0.2">
      <c r="A28" s="388"/>
      <c r="B28" s="386"/>
      <c r="C28" s="386"/>
      <c r="D28" s="386"/>
      <c r="E28" s="386"/>
      <c r="F28" s="408"/>
    </row>
    <row r="29" spans="1:6" x14ac:dyDescent="0.2">
      <c r="A29" s="388"/>
      <c r="B29" s="386"/>
      <c r="C29" s="386"/>
      <c r="D29" s="386"/>
      <c r="E29" s="386"/>
      <c r="F29" s="408"/>
    </row>
    <row r="30" spans="1:6" x14ac:dyDescent="0.2">
      <c r="A30" s="388"/>
      <c r="B30" s="386"/>
      <c r="C30" s="386"/>
      <c r="D30" s="386"/>
      <c r="E30" s="386"/>
      <c r="F30" s="408"/>
    </row>
    <row r="31" spans="1:6" x14ac:dyDescent="0.2">
      <c r="A31" s="388"/>
      <c r="B31" s="386"/>
      <c r="C31" s="386"/>
      <c r="D31" s="386"/>
      <c r="E31" s="386"/>
      <c r="F31" s="408"/>
    </row>
    <row r="32" spans="1:6" x14ac:dyDescent="0.2">
      <c r="A32" s="388"/>
      <c r="B32" s="386"/>
      <c r="C32" s="386"/>
      <c r="D32" s="386"/>
      <c r="E32" s="386"/>
      <c r="F32" s="408"/>
    </row>
    <row r="33" spans="1:6" x14ac:dyDescent="0.2">
      <c r="A33" s="388"/>
      <c r="B33" s="386"/>
      <c r="C33" s="386"/>
      <c r="D33" s="386"/>
      <c r="E33" s="386"/>
      <c r="F33" s="408"/>
    </row>
    <row r="34" spans="1:6" x14ac:dyDescent="0.2">
      <c r="A34" s="388"/>
      <c r="B34" s="386"/>
      <c r="C34" s="386"/>
      <c r="D34" s="386"/>
      <c r="E34" s="386"/>
      <c r="F34" s="408"/>
    </row>
    <row r="35" spans="1:6" x14ac:dyDescent="0.2">
      <c r="A35" s="388"/>
      <c r="B35" s="386"/>
      <c r="C35" s="386"/>
      <c r="D35" s="386"/>
      <c r="E35" s="386"/>
      <c r="F35" s="408"/>
    </row>
    <row r="36" spans="1:6" x14ac:dyDescent="0.2">
      <c r="A36" s="388"/>
      <c r="B36" s="386"/>
      <c r="C36" s="386"/>
      <c r="D36" s="386"/>
      <c r="E36" s="386"/>
      <c r="F36" s="408"/>
    </row>
    <row r="37" spans="1:6" x14ac:dyDescent="0.2">
      <c r="A37" s="388"/>
      <c r="B37" s="386"/>
      <c r="C37" s="386"/>
      <c r="D37" s="386"/>
      <c r="E37" s="386"/>
      <c r="F37" s="408"/>
    </row>
    <row r="38" spans="1:6" x14ac:dyDescent="0.2">
      <c r="A38" s="388"/>
      <c r="B38" s="386"/>
      <c r="C38" s="386"/>
      <c r="D38" s="386"/>
      <c r="E38" s="386"/>
      <c r="F38" s="408"/>
    </row>
    <row r="39" spans="1:6" x14ac:dyDescent="0.2">
      <c r="A39" s="388"/>
      <c r="B39" s="386"/>
      <c r="C39" s="386"/>
      <c r="D39" s="386"/>
      <c r="E39" s="386"/>
      <c r="F39" s="408"/>
    </row>
    <row r="40" spans="1:6" x14ac:dyDescent="0.2">
      <c r="A40" s="388"/>
      <c r="B40" s="386"/>
      <c r="C40" s="386"/>
      <c r="D40" s="386"/>
      <c r="E40" s="386"/>
      <c r="F40" s="408"/>
    </row>
    <row r="41" spans="1:6" x14ac:dyDescent="0.2">
      <c r="A41" s="388"/>
      <c r="B41" s="386"/>
      <c r="C41" s="386"/>
      <c r="D41" s="386"/>
      <c r="E41" s="386"/>
      <c r="F41" s="408"/>
    </row>
    <row r="42" spans="1:6" x14ac:dyDescent="0.2">
      <c r="A42" s="388"/>
      <c r="B42" s="386"/>
      <c r="C42" s="386"/>
      <c r="D42" s="386"/>
      <c r="E42" s="386"/>
      <c r="F42" s="408"/>
    </row>
    <row r="43" spans="1:6" x14ac:dyDescent="0.2">
      <c r="A43" s="388"/>
      <c r="B43" s="386"/>
      <c r="C43" s="386"/>
      <c r="D43" s="386"/>
      <c r="E43" s="386"/>
      <c r="F43" s="408"/>
    </row>
    <row r="44" spans="1:6" x14ac:dyDescent="0.2">
      <c r="A44" s="389"/>
      <c r="B44" s="386"/>
      <c r="C44" s="386"/>
      <c r="D44" s="386"/>
      <c r="E44" s="386"/>
      <c r="F44" s="409"/>
    </row>
    <row r="45" spans="1:6" x14ac:dyDescent="0.2">
      <c r="A45" s="388"/>
      <c r="B45" s="386"/>
      <c r="C45" s="386"/>
      <c r="D45" s="386"/>
      <c r="E45" s="386"/>
      <c r="F45" s="408"/>
    </row>
    <row r="46" spans="1:6" x14ac:dyDescent="0.2">
      <c r="A46" s="388"/>
      <c r="B46" s="386"/>
      <c r="C46" s="386"/>
      <c r="D46" s="386"/>
      <c r="E46" s="386"/>
      <c r="F46" s="408"/>
    </row>
    <row r="47" spans="1:6" x14ac:dyDescent="0.2">
      <c r="A47" s="388"/>
      <c r="B47" s="386"/>
      <c r="C47" s="386"/>
      <c r="D47" s="386"/>
      <c r="E47" s="386"/>
      <c r="F47" s="408"/>
    </row>
    <row r="48" spans="1:6" x14ac:dyDescent="0.2">
      <c r="A48" s="388"/>
      <c r="B48" s="386"/>
      <c r="C48" s="386"/>
      <c r="D48" s="386"/>
      <c r="E48" s="386"/>
      <c r="F48" s="408"/>
    </row>
    <row r="49" spans="1:6" x14ac:dyDescent="0.2">
      <c r="A49" s="388"/>
      <c r="B49" s="386"/>
      <c r="C49" s="386"/>
      <c r="D49" s="386"/>
      <c r="E49" s="386"/>
      <c r="F49" s="408"/>
    </row>
    <row r="50" spans="1:6" x14ac:dyDescent="0.2">
      <c r="A50" s="388"/>
      <c r="B50" s="386"/>
      <c r="C50" s="386"/>
      <c r="D50" s="386"/>
      <c r="E50" s="386"/>
      <c r="F50" s="408"/>
    </row>
    <row r="51" spans="1:6" x14ac:dyDescent="0.2">
      <c r="A51" s="388"/>
      <c r="B51" s="386"/>
      <c r="C51" s="386"/>
      <c r="D51" s="386"/>
      <c r="E51" s="386"/>
      <c r="F51" s="408"/>
    </row>
    <row r="52" spans="1:6" x14ac:dyDescent="0.2">
      <c r="A52" s="388"/>
      <c r="B52" s="386"/>
      <c r="C52" s="386"/>
      <c r="D52" s="386"/>
      <c r="E52" s="386"/>
      <c r="F52" s="408"/>
    </row>
    <row r="53" spans="1:6" x14ac:dyDescent="0.2">
      <c r="A53" s="388"/>
      <c r="B53" s="386"/>
      <c r="C53" s="386"/>
      <c r="D53" s="386"/>
      <c r="E53" s="386"/>
      <c r="F53" s="408"/>
    </row>
    <row r="54" spans="1:6" x14ac:dyDescent="0.2">
      <c r="A54" s="388"/>
      <c r="B54" s="386"/>
      <c r="C54" s="386"/>
      <c r="D54" s="386"/>
      <c r="E54" s="386"/>
      <c r="F54" s="408"/>
    </row>
    <row r="55" spans="1:6" x14ac:dyDescent="0.2">
      <c r="A55" s="388"/>
      <c r="B55" s="386"/>
      <c r="C55" s="386"/>
      <c r="D55" s="386"/>
      <c r="E55" s="386"/>
      <c r="F55" s="408"/>
    </row>
    <row r="56" spans="1:6" x14ac:dyDescent="0.2">
      <c r="A56" s="388"/>
      <c r="B56" s="386"/>
      <c r="C56" s="386"/>
      <c r="D56" s="386"/>
      <c r="E56" s="386"/>
      <c r="F56" s="408"/>
    </row>
    <row r="57" spans="1:6" x14ac:dyDescent="0.2">
      <c r="A57" s="388"/>
      <c r="B57" s="386"/>
      <c r="C57" s="386"/>
      <c r="D57" s="386"/>
      <c r="E57" s="386"/>
      <c r="F57" s="408"/>
    </row>
    <row r="58" spans="1:6" x14ac:dyDescent="0.2">
      <c r="A58" s="388"/>
      <c r="B58" s="386"/>
      <c r="C58" s="386"/>
      <c r="D58" s="386"/>
      <c r="E58" s="386"/>
      <c r="F58" s="408"/>
    </row>
    <row r="59" spans="1:6" x14ac:dyDescent="0.2">
      <c r="A59" s="388"/>
      <c r="B59" s="386"/>
      <c r="C59" s="386"/>
      <c r="D59" s="386"/>
      <c r="E59" s="386"/>
      <c r="F59" s="408"/>
    </row>
    <row r="60" spans="1:6" x14ac:dyDescent="0.2">
      <c r="A60" s="388"/>
      <c r="B60" s="386"/>
      <c r="C60" s="386"/>
      <c r="D60" s="386"/>
      <c r="E60" s="386"/>
      <c r="F60" s="408"/>
    </row>
    <row r="61" spans="1:6" x14ac:dyDescent="0.2">
      <c r="A61" s="388"/>
      <c r="B61" s="386"/>
      <c r="C61" s="386"/>
      <c r="D61" s="386"/>
      <c r="E61" s="386"/>
      <c r="F61" s="408"/>
    </row>
    <row r="62" spans="1:6" x14ac:dyDescent="0.2">
      <c r="A62" s="388"/>
      <c r="B62" s="386"/>
      <c r="C62" s="386"/>
      <c r="D62" s="386"/>
      <c r="E62" s="386"/>
      <c r="F62" s="408"/>
    </row>
    <row r="63" spans="1:6" x14ac:dyDescent="0.2">
      <c r="A63" s="388"/>
      <c r="B63" s="386"/>
      <c r="C63" s="386"/>
      <c r="D63" s="386"/>
      <c r="E63" s="386"/>
      <c r="F63" s="408"/>
    </row>
    <row r="64" spans="1:6" x14ac:dyDescent="0.2">
      <c r="A64" s="388"/>
      <c r="B64" s="386"/>
      <c r="C64" s="386"/>
      <c r="D64" s="386"/>
      <c r="E64" s="386"/>
      <c r="F64" s="408"/>
    </row>
    <row r="65" spans="1:6" x14ac:dyDescent="0.2">
      <c r="A65" s="388"/>
      <c r="B65" s="386"/>
      <c r="C65" s="386"/>
      <c r="D65" s="386"/>
      <c r="E65" s="386"/>
      <c r="F65" s="408"/>
    </row>
    <row r="66" spans="1:6" x14ac:dyDescent="0.2">
      <c r="A66" s="388"/>
      <c r="B66" s="386"/>
      <c r="C66" s="386"/>
      <c r="D66" s="386"/>
      <c r="E66" s="386"/>
      <c r="F66" s="408"/>
    </row>
    <row r="67" spans="1:6" x14ac:dyDescent="0.2">
      <c r="A67" s="388"/>
      <c r="B67" s="386"/>
      <c r="C67" s="386"/>
      <c r="D67" s="386"/>
      <c r="E67" s="386"/>
      <c r="F67" s="408"/>
    </row>
    <row r="68" spans="1:6" x14ac:dyDescent="0.2">
      <c r="A68" s="388"/>
      <c r="B68" s="386"/>
      <c r="C68" s="386"/>
      <c r="D68" s="386"/>
      <c r="E68" s="386"/>
      <c r="F68" s="408"/>
    </row>
    <row r="69" spans="1:6" x14ac:dyDescent="0.2">
      <c r="A69" s="388"/>
      <c r="B69" s="386"/>
      <c r="C69" s="386"/>
      <c r="D69" s="386"/>
      <c r="E69" s="386"/>
      <c r="F69" s="408"/>
    </row>
    <row r="70" spans="1:6" x14ac:dyDescent="0.2">
      <c r="A70" s="388"/>
      <c r="B70" s="386"/>
      <c r="C70" s="386"/>
      <c r="D70" s="386"/>
      <c r="E70" s="386"/>
      <c r="F70" s="408"/>
    </row>
    <row r="71" spans="1:6" x14ac:dyDescent="0.2">
      <c r="A71" s="388"/>
      <c r="B71" s="386"/>
      <c r="C71" s="386"/>
      <c r="D71" s="386"/>
      <c r="E71" s="386"/>
      <c r="F71" s="408"/>
    </row>
    <row r="72" spans="1:6" x14ac:dyDescent="0.2">
      <c r="A72" s="388"/>
      <c r="B72" s="386"/>
      <c r="C72" s="386"/>
      <c r="D72" s="386"/>
      <c r="E72" s="386"/>
      <c r="F72" s="408"/>
    </row>
    <row r="73" spans="1:6" x14ac:dyDescent="0.2">
      <c r="A73" s="388"/>
      <c r="B73" s="386"/>
      <c r="C73" s="386"/>
      <c r="D73" s="386"/>
      <c r="E73" s="386"/>
      <c r="F73" s="408"/>
    </row>
    <row r="74" spans="1:6" x14ac:dyDescent="0.2">
      <c r="A74" s="388"/>
      <c r="B74" s="386"/>
      <c r="C74" s="386"/>
      <c r="D74" s="386"/>
      <c r="E74" s="386"/>
      <c r="F74" s="408"/>
    </row>
    <row r="75" spans="1:6" x14ac:dyDescent="0.2">
      <c r="A75" s="388"/>
      <c r="B75" s="386"/>
      <c r="C75" s="386"/>
      <c r="D75" s="386"/>
      <c r="E75" s="386"/>
      <c r="F75" s="408"/>
    </row>
    <row r="76" spans="1:6" x14ac:dyDescent="0.2">
      <c r="A76" s="388"/>
      <c r="B76" s="386"/>
      <c r="C76" s="386"/>
      <c r="D76" s="386"/>
      <c r="E76" s="386"/>
      <c r="F76" s="408"/>
    </row>
    <row r="77" spans="1:6" x14ac:dyDescent="0.2">
      <c r="A77" s="388"/>
      <c r="B77" s="386"/>
      <c r="C77" s="386"/>
      <c r="D77" s="386"/>
      <c r="E77" s="386"/>
      <c r="F77" s="408"/>
    </row>
    <row r="78" spans="1:6" x14ac:dyDescent="0.2">
      <c r="A78" s="388"/>
      <c r="B78" s="386"/>
      <c r="C78" s="386"/>
      <c r="D78" s="386"/>
      <c r="E78" s="386"/>
      <c r="F78" s="408"/>
    </row>
    <row r="79" spans="1:6" x14ac:dyDescent="0.2">
      <c r="A79" s="388"/>
      <c r="B79" s="386"/>
      <c r="C79" s="386"/>
      <c r="D79" s="386"/>
      <c r="E79" s="386"/>
      <c r="F79" s="408"/>
    </row>
    <row r="80" spans="1:6" x14ac:dyDescent="0.2">
      <c r="A80" s="388"/>
      <c r="B80" s="386"/>
      <c r="C80" s="386"/>
      <c r="D80" s="386"/>
      <c r="E80" s="386"/>
      <c r="F80" s="408"/>
    </row>
    <row r="81" spans="1:6" x14ac:dyDescent="0.2">
      <c r="A81" s="389"/>
      <c r="B81" s="386"/>
      <c r="C81" s="386"/>
      <c r="D81" s="386"/>
      <c r="E81" s="386"/>
      <c r="F81" s="408"/>
    </row>
    <row r="82" spans="1:6" x14ac:dyDescent="0.2">
      <c r="A82" s="388"/>
      <c r="B82" s="386"/>
      <c r="C82" s="386"/>
      <c r="D82" s="386"/>
      <c r="E82" s="386"/>
      <c r="F82" s="408"/>
    </row>
    <row r="83" spans="1:6" x14ac:dyDescent="0.2">
      <c r="A83" s="388"/>
      <c r="B83" s="386"/>
      <c r="C83" s="386"/>
      <c r="D83" s="386"/>
      <c r="E83" s="386"/>
      <c r="F83" s="408"/>
    </row>
    <row r="84" spans="1:6" x14ac:dyDescent="0.2">
      <c r="A84" s="388"/>
      <c r="B84" s="386"/>
      <c r="C84" s="386"/>
      <c r="D84" s="386"/>
      <c r="E84" s="386"/>
      <c r="F84" s="408"/>
    </row>
    <row r="85" spans="1:6" x14ac:dyDescent="0.2">
      <c r="A85" s="388"/>
      <c r="B85" s="386"/>
      <c r="C85" s="386"/>
      <c r="D85" s="386"/>
      <c r="E85" s="386"/>
      <c r="F85" s="408"/>
    </row>
    <row r="86" spans="1:6" x14ac:dyDescent="0.2">
      <c r="A86" s="388"/>
      <c r="B86" s="386"/>
      <c r="C86" s="386"/>
      <c r="D86" s="386"/>
      <c r="E86" s="386"/>
      <c r="F86" s="408"/>
    </row>
    <row r="87" spans="1:6" x14ac:dyDescent="0.2">
      <c r="A87" s="388"/>
      <c r="B87" s="386"/>
      <c r="C87" s="386"/>
      <c r="D87" s="386"/>
      <c r="E87" s="386"/>
      <c r="F87" s="408"/>
    </row>
    <row r="88" spans="1:6" x14ac:dyDescent="0.2">
      <c r="A88" s="388"/>
      <c r="B88" s="386"/>
      <c r="C88" s="386"/>
      <c r="D88" s="386"/>
      <c r="E88" s="386"/>
      <c r="F88" s="408"/>
    </row>
    <row r="89" spans="1:6" x14ac:dyDescent="0.2">
      <c r="A89" s="388"/>
      <c r="B89" s="386"/>
      <c r="C89" s="386"/>
      <c r="D89" s="386"/>
      <c r="E89" s="386"/>
      <c r="F89" s="408"/>
    </row>
    <row r="90" spans="1:6" x14ac:dyDescent="0.2">
      <c r="A90" s="388"/>
      <c r="B90" s="386"/>
      <c r="C90" s="386"/>
      <c r="D90" s="386"/>
      <c r="E90" s="386"/>
      <c r="F90" s="408"/>
    </row>
    <row r="91" spans="1:6" x14ac:dyDescent="0.2">
      <c r="A91" s="388"/>
      <c r="B91" s="386"/>
      <c r="C91" s="386"/>
      <c r="D91" s="386"/>
      <c r="E91" s="386"/>
      <c r="F91" s="408"/>
    </row>
    <row r="92" spans="1:6" x14ac:dyDescent="0.2">
      <c r="A92" s="388"/>
      <c r="B92" s="386"/>
      <c r="C92" s="386"/>
      <c r="D92" s="386"/>
      <c r="E92" s="386"/>
      <c r="F92" s="408"/>
    </row>
    <row r="93" spans="1:6" x14ac:dyDescent="0.2">
      <c r="A93" s="388"/>
      <c r="B93" s="386"/>
      <c r="C93" s="386"/>
      <c r="D93" s="386"/>
      <c r="E93" s="386"/>
      <c r="F93" s="408"/>
    </row>
    <row r="94" spans="1:6" x14ac:dyDescent="0.2">
      <c r="A94" s="388"/>
      <c r="B94" s="386"/>
      <c r="C94" s="386"/>
      <c r="D94" s="386"/>
      <c r="E94" s="386"/>
      <c r="F94" s="408"/>
    </row>
    <row r="95" spans="1:6" x14ac:dyDescent="0.2">
      <c r="A95" s="388"/>
      <c r="B95" s="386"/>
      <c r="C95" s="386"/>
      <c r="D95" s="386"/>
      <c r="E95" s="386"/>
      <c r="F95" s="408"/>
    </row>
    <row r="96" spans="1:6" x14ac:dyDescent="0.2">
      <c r="A96" s="388"/>
      <c r="B96" s="386"/>
      <c r="C96" s="386"/>
      <c r="D96" s="386"/>
      <c r="E96" s="386"/>
      <c r="F96" s="408"/>
    </row>
    <row r="97" spans="1:6" x14ac:dyDescent="0.2">
      <c r="A97" s="388"/>
      <c r="B97" s="386"/>
      <c r="C97" s="386"/>
      <c r="D97" s="386"/>
      <c r="E97" s="386"/>
      <c r="F97" s="408"/>
    </row>
    <row r="98" spans="1:6" x14ac:dyDescent="0.2">
      <c r="A98" s="388"/>
      <c r="B98" s="386"/>
      <c r="C98" s="386"/>
      <c r="D98" s="386"/>
      <c r="E98" s="386"/>
      <c r="F98" s="408"/>
    </row>
    <row r="99" spans="1:6" x14ac:dyDescent="0.2">
      <c r="A99" s="388"/>
      <c r="B99" s="386"/>
      <c r="C99" s="386"/>
      <c r="D99" s="386"/>
      <c r="E99" s="386"/>
      <c r="F99" s="408"/>
    </row>
    <row r="100" spans="1:6" x14ac:dyDescent="0.2">
      <c r="A100" s="388"/>
      <c r="B100" s="386"/>
      <c r="C100" s="386"/>
      <c r="D100" s="386"/>
      <c r="E100" s="386"/>
      <c r="F100" s="408"/>
    </row>
    <row r="101" spans="1:6" x14ac:dyDescent="0.2">
      <c r="A101" s="388"/>
      <c r="B101" s="386"/>
      <c r="C101" s="386"/>
      <c r="D101" s="386"/>
      <c r="E101" s="386"/>
      <c r="F101" s="408"/>
    </row>
    <row r="102" spans="1:6" x14ac:dyDescent="0.2">
      <c r="A102" s="388"/>
      <c r="B102" s="386"/>
      <c r="C102" s="386"/>
      <c r="D102" s="386"/>
      <c r="E102" s="386"/>
      <c r="F102" s="408"/>
    </row>
    <row r="103" spans="1:6" x14ac:dyDescent="0.2">
      <c r="A103" s="388"/>
      <c r="B103" s="386"/>
      <c r="C103" s="386"/>
      <c r="D103" s="386"/>
      <c r="E103" s="386"/>
      <c r="F103" s="408"/>
    </row>
    <row r="104" spans="1:6" x14ac:dyDescent="0.2">
      <c r="A104" s="388"/>
      <c r="B104" s="386"/>
      <c r="C104" s="386"/>
      <c r="D104" s="386"/>
      <c r="E104" s="386"/>
      <c r="F104" s="408"/>
    </row>
    <row r="105" spans="1:6" x14ac:dyDescent="0.2">
      <c r="A105" s="388"/>
      <c r="B105" s="386"/>
      <c r="C105" s="386"/>
      <c r="D105" s="386"/>
      <c r="E105" s="386"/>
      <c r="F105" s="408"/>
    </row>
    <row r="106" spans="1:6" x14ac:dyDescent="0.2">
      <c r="A106" s="388"/>
      <c r="B106" s="386"/>
      <c r="C106" s="386"/>
      <c r="D106" s="386"/>
      <c r="E106" s="386"/>
      <c r="F106" s="408"/>
    </row>
    <row r="107" spans="1:6" x14ac:dyDescent="0.2">
      <c r="A107" s="388"/>
      <c r="B107" s="386"/>
      <c r="C107" s="386"/>
      <c r="D107" s="386"/>
      <c r="E107" s="386"/>
      <c r="F107" s="408"/>
    </row>
    <row r="108" spans="1:6" x14ac:dyDescent="0.2">
      <c r="A108" s="388"/>
      <c r="B108" s="386"/>
      <c r="C108" s="386"/>
      <c r="D108" s="386"/>
      <c r="E108" s="386"/>
      <c r="F108" s="408"/>
    </row>
    <row r="109" spans="1:6" x14ac:dyDescent="0.2">
      <c r="A109" s="388"/>
      <c r="B109" s="386"/>
      <c r="C109" s="386"/>
      <c r="D109" s="386"/>
      <c r="E109" s="386"/>
      <c r="F109" s="408"/>
    </row>
    <row r="110" spans="1:6" x14ac:dyDescent="0.2">
      <c r="A110" s="388"/>
      <c r="B110" s="386"/>
      <c r="C110" s="386"/>
      <c r="D110" s="386"/>
      <c r="E110" s="386"/>
      <c r="F110" s="408"/>
    </row>
    <row r="111" spans="1:6" x14ac:dyDescent="0.2">
      <c r="A111" s="388"/>
      <c r="B111" s="386"/>
      <c r="C111" s="386"/>
      <c r="D111" s="386"/>
      <c r="E111" s="386"/>
      <c r="F111" s="408"/>
    </row>
    <row r="112" spans="1:6" x14ac:dyDescent="0.2">
      <c r="A112" s="388"/>
      <c r="B112" s="386"/>
      <c r="C112" s="386"/>
      <c r="D112" s="386"/>
      <c r="E112" s="386"/>
      <c r="F112" s="408"/>
    </row>
    <row r="113" spans="1:6" x14ac:dyDescent="0.2">
      <c r="A113" s="388"/>
      <c r="B113" s="386"/>
      <c r="C113" s="386"/>
      <c r="D113" s="386"/>
      <c r="E113" s="386"/>
      <c r="F113" s="408"/>
    </row>
    <row r="114" spans="1:6" x14ac:dyDescent="0.2">
      <c r="A114" s="388"/>
      <c r="B114" s="386"/>
      <c r="C114" s="386"/>
      <c r="D114" s="386"/>
      <c r="E114" s="386"/>
      <c r="F114" s="408"/>
    </row>
    <row r="115" spans="1:6" x14ac:dyDescent="0.2">
      <c r="A115" s="388"/>
      <c r="B115" s="386"/>
      <c r="C115" s="386"/>
      <c r="D115" s="386"/>
      <c r="E115" s="386"/>
      <c r="F115" s="408"/>
    </row>
    <row r="116" spans="1:6" x14ac:dyDescent="0.2">
      <c r="A116" s="388"/>
      <c r="B116" s="386"/>
      <c r="C116" s="386"/>
      <c r="D116" s="386"/>
      <c r="E116" s="386"/>
      <c r="F116" s="408"/>
    </row>
    <row r="117" spans="1:6" x14ac:dyDescent="0.2">
      <c r="A117" s="388"/>
      <c r="B117" s="386"/>
      <c r="C117" s="386"/>
      <c r="D117" s="386"/>
      <c r="E117" s="386"/>
      <c r="F117" s="408"/>
    </row>
    <row r="118" spans="1:6" x14ac:dyDescent="0.2">
      <c r="A118" s="388"/>
      <c r="B118" s="386"/>
      <c r="C118" s="386"/>
      <c r="D118" s="386"/>
      <c r="E118" s="386"/>
      <c r="F118" s="408"/>
    </row>
    <row r="119" spans="1:6" x14ac:dyDescent="0.2">
      <c r="A119" s="388"/>
      <c r="B119" s="386"/>
      <c r="C119" s="386"/>
      <c r="D119" s="386"/>
      <c r="E119" s="386"/>
      <c r="F119" s="408"/>
    </row>
    <row r="120" spans="1:6" x14ac:dyDescent="0.2">
      <c r="A120" s="388"/>
      <c r="B120" s="386"/>
      <c r="C120" s="386"/>
      <c r="D120" s="386"/>
      <c r="E120" s="386"/>
      <c r="F120" s="408"/>
    </row>
    <row r="121" spans="1:6" x14ac:dyDescent="0.2">
      <c r="A121" s="388"/>
      <c r="B121" s="386"/>
      <c r="C121" s="386"/>
      <c r="D121" s="386"/>
      <c r="E121" s="386"/>
      <c r="F121" s="408"/>
    </row>
    <row r="122" spans="1:6" x14ac:dyDescent="0.2">
      <c r="A122" s="388"/>
      <c r="B122" s="386"/>
      <c r="C122" s="386"/>
      <c r="D122" s="386"/>
      <c r="E122" s="386"/>
      <c r="F122" s="408"/>
    </row>
    <row r="123" spans="1:6" x14ac:dyDescent="0.2">
      <c r="A123" s="388"/>
      <c r="B123" s="386"/>
      <c r="C123" s="386"/>
      <c r="D123" s="386"/>
      <c r="E123" s="386"/>
      <c r="F123" s="408"/>
    </row>
    <row r="124" spans="1:6" x14ac:dyDescent="0.2">
      <c r="A124" s="388"/>
      <c r="B124" s="386"/>
      <c r="C124" s="386"/>
      <c r="D124" s="386"/>
      <c r="E124" s="386"/>
      <c r="F124" s="408"/>
    </row>
    <row r="125" spans="1:6" x14ac:dyDescent="0.2">
      <c r="A125" s="388"/>
      <c r="B125" s="386"/>
      <c r="C125" s="386"/>
      <c r="D125" s="386"/>
      <c r="E125" s="386"/>
      <c r="F125" s="408"/>
    </row>
    <row r="126" spans="1:6" x14ac:dyDescent="0.2">
      <c r="A126" s="388"/>
      <c r="B126" s="386"/>
      <c r="C126" s="386"/>
      <c r="D126" s="386"/>
      <c r="E126" s="386"/>
      <c r="F126" s="408"/>
    </row>
    <row r="127" spans="1:6" x14ac:dyDescent="0.2">
      <c r="A127" s="388"/>
      <c r="B127" s="386"/>
      <c r="C127" s="386"/>
      <c r="D127" s="386"/>
      <c r="E127" s="386"/>
      <c r="F127" s="408"/>
    </row>
    <row r="128" spans="1:6" x14ac:dyDescent="0.2">
      <c r="A128" s="388"/>
      <c r="B128" s="386"/>
      <c r="C128" s="386"/>
      <c r="D128" s="386"/>
      <c r="E128" s="386"/>
      <c r="F128" s="408"/>
    </row>
    <row r="129" spans="1:6" x14ac:dyDescent="0.2">
      <c r="A129" s="388"/>
      <c r="B129" s="386"/>
      <c r="C129" s="386"/>
      <c r="D129" s="386"/>
      <c r="E129" s="386"/>
      <c r="F129" s="408"/>
    </row>
    <row r="130" spans="1:6" x14ac:dyDescent="0.2">
      <c r="A130" s="388"/>
      <c r="B130" s="386"/>
      <c r="C130" s="386"/>
      <c r="D130" s="386"/>
      <c r="E130" s="386"/>
      <c r="F130" s="408"/>
    </row>
    <row r="131" spans="1:6" x14ac:dyDescent="0.2">
      <c r="A131" s="388"/>
      <c r="B131" s="386"/>
      <c r="C131" s="386"/>
      <c r="D131" s="386"/>
      <c r="E131" s="386"/>
      <c r="F131" s="408"/>
    </row>
    <row r="132" spans="1:6" x14ac:dyDescent="0.2">
      <c r="A132" s="388"/>
      <c r="B132" s="386"/>
      <c r="C132" s="386"/>
      <c r="D132" s="386"/>
      <c r="E132" s="386"/>
      <c r="F132" s="408"/>
    </row>
    <row r="133" spans="1:6" x14ac:dyDescent="0.2">
      <c r="A133" s="388"/>
      <c r="B133" s="386"/>
      <c r="C133" s="386"/>
      <c r="D133" s="386"/>
      <c r="E133" s="386"/>
      <c r="F133" s="408"/>
    </row>
    <row r="134" spans="1:6" x14ac:dyDescent="0.2">
      <c r="A134" s="388"/>
      <c r="B134" s="386"/>
      <c r="C134" s="386"/>
      <c r="D134" s="386"/>
      <c r="E134" s="386"/>
      <c r="F134" s="408"/>
    </row>
    <row r="135" spans="1:6" x14ac:dyDescent="0.2">
      <c r="A135" s="388"/>
      <c r="B135" s="386"/>
      <c r="C135" s="386"/>
      <c r="D135" s="386"/>
      <c r="E135" s="386"/>
      <c r="F135" s="408"/>
    </row>
    <row r="136" spans="1:6" x14ac:dyDescent="0.2">
      <c r="A136" s="388"/>
      <c r="B136" s="386"/>
      <c r="C136" s="386"/>
      <c r="D136" s="386"/>
      <c r="E136" s="386"/>
      <c r="F136" s="408"/>
    </row>
    <row r="137" spans="1:6" x14ac:dyDescent="0.2">
      <c r="A137" s="388"/>
      <c r="B137" s="386"/>
      <c r="C137" s="386"/>
      <c r="D137" s="386"/>
      <c r="E137" s="386"/>
      <c r="F137" s="408"/>
    </row>
    <row r="138" spans="1:6" x14ac:dyDescent="0.2">
      <c r="A138" s="388"/>
      <c r="B138" s="386"/>
      <c r="C138" s="386"/>
      <c r="D138" s="386"/>
      <c r="E138" s="386"/>
      <c r="F138" s="408"/>
    </row>
    <row r="139" spans="1:6" x14ac:dyDescent="0.2">
      <c r="A139" s="388"/>
      <c r="B139" s="386"/>
      <c r="C139" s="386"/>
      <c r="D139" s="386"/>
      <c r="E139" s="386"/>
      <c r="F139" s="408"/>
    </row>
    <row r="140" spans="1:6" x14ac:dyDescent="0.2">
      <c r="A140" s="388"/>
      <c r="B140" s="386"/>
      <c r="C140" s="386"/>
      <c r="D140" s="386"/>
      <c r="E140" s="386"/>
      <c r="F140" s="408"/>
    </row>
    <row r="141" spans="1:6" x14ac:dyDescent="0.2">
      <c r="A141" s="388"/>
      <c r="B141" s="386"/>
      <c r="C141" s="386"/>
      <c r="D141" s="386"/>
      <c r="E141" s="386"/>
      <c r="F141" s="408"/>
    </row>
    <row r="142" spans="1:6" x14ac:dyDescent="0.2">
      <c r="A142" s="388"/>
      <c r="B142" s="386"/>
      <c r="C142" s="386"/>
      <c r="D142" s="386"/>
      <c r="E142" s="386"/>
      <c r="F142" s="408"/>
    </row>
    <row r="143" spans="1:6" x14ac:dyDescent="0.2">
      <c r="A143" s="388"/>
      <c r="B143" s="386"/>
      <c r="C143" s="386"/>
      <c r="D143" s="386"/>
      <c r="E143" s="386"/>
      <c r="F143" s="408"/>
    </row>
    <row r="144" spans="1:6" x14ac:dyDescent="0.2">
      <c r="A144" s="388"/>
      <c r="B144" s="386"/>
      <c r="C144" s="386"/>
      <c r="D144" s="386"/>
      <c r="E144" s="386"/>
      <c r="F144" s="408"/>
    </row>
    <row r="145" spans="1:6" x14ac:dyDescent="0.2">
      <c r="A145" s="388"/>
      <c r="B145" s="386"/>
      <c r="C145" s="386"/>
      <c r="D145" s="386"/>
      <c r="E145" s="386"/>
      <c r="F145" s="408"/>
    </row>
    <row r="146" spans="1:6" x14ac:dyDescent="0.2">
      <c r="A146" s="388"/>
      <c r="B146" s="386"/>
      <c r="C146" s="386"/>
      <c r="D146" s="386"/>
      <c r="E146" s="386"/>
      <c r="F146" s="408"/>
    </row>
    <row r="147" spans="1:6" x14ac:dyDescent="0.2">
      <c r="A147" s="388"/>
      <c r="B147" s="386"/>
      <c r="C147" s="386"/>
      <c r="D147" s="386"/>
      <c r="E147" s="386"/>
      <c r="F147" s="408"/>
    </row>
    <row r="148" spans="1:6" x14ac:dyDescent="0.2">
      <c r="A148" s="388"/>
      <c r="B148" s="386"/>
      <c r="C148" s="386"/>
      <c r="D148" s="386"/>
      <c r="E148" s="386"/>
      <c r="F148" s="408"/>
    </row>
    <row r="149" spans="1:6" x14ac:dyDescent="0.2">
      <c r="A149" s="388"/>
      <c r="B149" s="386"/>
      <c r="C149" s="386"/>
      <c r="D149" s="386"/>
      <c r="E149" s="386"/>
      <c r="F149" s="408"/>
    </row>
    <row r="150" spans="1:6" x14ac:dyDescent="0.2">
      <c r="A150" s="388"/>
      <c r="B150" s="386"/>
      <c r="C150" s="386"/>
      <c r="D150" s="386"/>
      <c r="E150" s="386"/>
      <c r="F150" s="408"/>
    </row>
    <row r="151" spans="1:6" x14ac:dyDescent="0.2">
      <c r="A151" s="388"/>
      <c r="B151" s="386"/>
      <c r="C151" s="386"/>
      <c r="D151" s="386"/>
      <c r="E151" s="386"/>
      <c r="F151" s="408"/>
    </row>
    <row r="152" spans="1:6" x14ac:dyDescent="0.2">
      <c r="A152" s="388"/>
      <c r="B152" s="386"/>
      <c r="C152" s="386"/>
      <c r="D152" s="386"/>
      <c r="E152" s="386"/>
      <c r="F152" s="408"/>
    </row>
    <row r="153" spans="1:6" x14ac:dyDescent="0.2">
      <c r="A153" s="388"/>
      <c r="B153" s="386"/>
      <c r="C153" s="386"/>
      <c r="D153" s="386"/>
      <c r="E153" s="386"/>
      <c r="F153" s="408"/>
    </row>
    <row r="154" spans="1:6" x14ac:dyDescent="0.2">
      <c r="A154" s="388"/>
      <c r="B154" s="386"/>
      <c r="C154" s="386"/>
      <c r="D154" s="386"/>
      <c r="E154" s="386"/>
      <c r="F154" s="408"/>
    </row>
    <row r="155" spans="1:6" x14ac:dyDescent="0.2">
      <c r="A155" s="388"/>
      <c r="B155" s="386"/>
      <c r="C155" s="386"/>
      <c r="D155" s="386"/>
      <c r="E155" s="386"/>
      <c r="F155" s="408"/>
    </row>
    <row r="156" spans="1:6" x14ac:dyDescent="0.2">
      <c r="A156" s="388"/>
      <c r="B156" s="386"/>
      <c r="C156" s="386"/>
      <c r="D156" s="386"/>
      <c r="E156" s="386"/>
      <c r="F156" s="408"/>
    </row>
    <row r="157" spans="1:6" x14ac:dyDescent="0.2">
      <c r="A157" s="388"/>
      <c r="B157" s="386"/>
      <c r="C157" s="386"/>
      <c r="D157" s="386"/>
      <c r="E157" s="386"/>
      <c r="F157" s="408"/>
    </row>
    <row r="158" spans="1:6" x14ac:dyDescent="0.2">
      <c r="A158" s="388"/>
      <c r="B158" s="386"/>
      <c r="C158" s="386"/>
      <c r="D158" s="386"/>
      <c r="E158" s="386"/>
      <c r="F158" s="408"/>
    </row>
    <row r="159" spans="1:6" x14ac:dyDescent="0.2">
      <c r="A159" s="388"/>
      <c r="B159" s="386"/>
      <c r="C159" s="386"/>
      <c r="D159" s="386"/>
      <c r="E159" s="386"/>
      <c r="F159" s="408"/>
    </row>
    <row r="160" spans="1:6" x14ac:dyDescent="0.2">
      <c r="A160" s="388"/>
      <c r="B160" s="386"/>
      <c r="C160" s="386"/>
      <c r="D160" s="386"/>
      <c r="E160" s="386"/>
      <c r="F160" s="408"/>
    </row>
    <row r="161" spans="1:6" x14ac:dyDescent="0.2">
      <c r="A161" s="388"/>
      <c r="B161" s="386"/>
      <c r="C161" s="386"/>
      <c r="D161" s="386"/>
      <c r="E161" s="386"/>
      <c r="F161" s="408"/>
    </row>
    <row r="162" spans="1:6" x14ac:dyDescent="0.2">
      <c r="A162" s="388"/>
      <c r="B162" s="386"/>
      <c r="C162" s="386"/>
      <c r="D162" s="386"/>
      <c r="E162" s="386"/>
      <c r="F162" s="408"/>
    </row>
    <row r="163" spans="1:6" x14ac:dyDescent="0.2">
      <c r="A163" s="388"/>
      <c r="B163" s="386"/>
      <c r="C163" s="386"/>
      <c r="D163" s="386"/>
      <c r="E163" s="386"/>
      <c r="F163" s="408"/>
    </row>
    <row r="164" spans="1:6" x14ac:dyDescent="0.2">
      <c r="A164" s="388"/>
      <c r="B164" s="386"/>
      <c r="C164" s="386"/>
      <c r="D164" s="386"/>
      <c r="E164" s="386"/>
      <c r="F164" s="408"/>
    </row>
    <row r="165" spans="1:6" x14ac:dyDescent="0.2">
      <c r="A165" s="388"/>
      <c r="B165" s="386"/>
      <c r="C165" s="386"/>
      <c r="D165" s="386"/>
      <c r="E165" s="386"/>
      <c r="F165" s="408"/>
    </row>
    <row r="166" spans="1:6" x14ac:dyDescent="0.2">
      <c r="A166" s="388"/>
      <c r="B166" s="386"/>
      <c r="C166" s="386"/>
      <c r="D166" s="386"/>
      <c r="E166" s="386"/>
      <c r="F166" s="408"/>
    </row>
    <row r="167" spans="1:6" x14ac:dyDescent="0.2">
      <c r="A167" s="388"/>
      <c r="B167" s="386"/>
      <c r="C167" s="386"/>
      <c r="D167" s="386"/>
      <c r="E167" s="386"/>
      <c r="F167" s="408"/>
    </row>
    <row r="168" spans="1:6" x14ac:dyDescent="0.2">
      <c r="A168" s="388"/>
      <c r="B168" s="386"/>
      <c r="C168" s="386"/>
      <c r="D168" s="386"/>
      <c r="E168" s="386"/>
      <c r="F168" s="408"/>
    </row>
    <row r="169" spans="1:6" x14ac:dyDescent="0.2">
      <c r="A169" s="388"/>
      <c r="B169" s="386"/>
      <c r="C169" s="386"/>
      <c r="D169" s="386"/>
      <c r="E169" s="386"/>
      <c r="F169" s="408"/>
    </row>
    <row r="170" spans="1:6" x14ac:dyDescent="0.2">
      <c r="A170" s="388"/>
      <c r="B170" s="386"/>
      <c r="C170" s="386"/>
      <c r="D170" s="386"/>
      <c r="E170" s="386"/>
      <c r="F170" s="408"/>
    </row>
    <row r="171" spans="1:6" x14ac:dyDescent="0.2">
      <c r="A171" s="388"/>
      <c r="B171" s="386"/>
      <c r="C171" s="386"/>
      <c r="D171" s="386"/>
      <c r="E171" s="386"/>
      <c r="F171" s="408"/>
    </row>
    <row r="172" spans="1:6" x14ac:dyDescent="0.2">
      <c r="A172" s="388"/>
      <c r="B172" s="386"/>
      <c r="C172" s="386"/>
      <c r="D172" s="386"/>
      <c r="E172" s="386"/>
      <c r="F172" s="408"/>
    </row>
    <row r="173" spans="1:6" x14ac:dyDescent="0.2">
      <c r="A173" s="388"/>
      <c r="B173" s="386"/>
      <c r="C173" s="386"/>
      <c r="D173" s="386"/>
      <c r="E173" s="386"/>
      <c r="F173" s="408"/>
    </row>
    <row r="174" spans="1:6" x14ac:dyDescent="0.2">
      <c r="A174" s="388"/>
      <c r="B174" s="386"/>
      <c r="C174" s="386"/>
      <c r="D174" s="386"/>
      <c r="E174" s="386"/>
      <c r="F174" s="408"/>
    </row>
    <row r="175" spans="1:6" x14ac:dyDescent="0.2">
      <c r="A175" s="388"/>
      <c r="B175" s="386"/>
      <c r="C175" s="386"/>
      <c r="D175" s="386"/>
      <c r="E175" s="386"/>
      <c r="F175" s="408"/>
    </row>
    <row r="176" spans="1:6" x14ac:dyDescent="0.2">
      <c r="A176" s="388"/>
      <c r="B176" s="386"/>
      <c r="C176" s="386"/>
      <c r="D176" s="386"/>
      <c r="E176" s="386"/>
      <c r="F176" s="408"/>
    </row>
    <row r="177" spans="1:6" x14ac:dyDescent="0.2">
      <c r="A177" s="388"/>
      <c r="B177" s="386"/>
      <c r="C177" s="386"/>
      <c r="D177" s="386"/>
      <c r="E177" s="386"/>
      <c r="F177" s="408"/>
    </row>
    <row r="178" spans="1:6" x14ac:dyDescent="0.2">
      <c r="A178" s="388"/>
      <c r="B178" s="386"/>
      <c r="C178" s="386"/>
      <c r="D178" s="386"/>
      <c r="E178" s="386"/>
      <c r="F178" s="408"/>
    </row>
    <row r="179" spans="1:6" x14ac:dyDescent="0.2">
      <c r="A179" s="388"/>
      <c r="B179" s="386"/>
      <c r="C179" s="386"/>
      <c r="D179" s="386"/>
      <c r="E179" s="386"/>
      <c r="F179" s="408"/>
    </row>
    <row r="180" spans="1:6" x14ac:dyDescent="0.2">
      <c r="A180" s="388"/>
      <c r="B180" s="386"/>
      <c r="C180" s="386"/>
      <c r="D180" s="386"/>
      <c r="E180" s="386"/>
      <c r="F180" s="408"/>
    </row>
    <row r="181" spans="1:6" x14ac:dyDescent="0.2">
      <c r="A181" s="388"/>
      <c r="B181" s="386"/>
      <c r="C181" s="386"/>
      <c r="D181" s="386"/>
      <c r="E181" s="386"/>
      <c r="F181" s="408"/>
    </row>
    <row r="182" spans="1:6" x14ac:dyDescent="0.2">
      <c r="A182" s="388"/>
      <c r="B182" s="386"/>
      <c r="C182" s="386"/>
      <c r="D182" s="386"/>
      <c r="E182" s="386"/>
      <c r="F182" s="408"/>
    </row>
    <row r="183" spans="1:6" x14ac:dyDescent="0.2">
      <c r="A183" s="388"/>
      <c r="B183" s="386"/>
      <c r="C183" s="386"/>
      <c r="D183" s="386"/>
      <c r="E183" s="386"/>
      <c r="F183" s="408"/>
    </row>
    <row r="184" spans="1:6" x14ac:dyDescent="0.2">
      <c r="A184" s="388"/>
      <c r="B184" s="386"/>
      <c r="C184" s="386"/>
      <c r="D184" s="386"/>
      <c r="E184" s="386"/>
      <c r="F184" s="408"/>
    </row>
    <row r="185" spans="1:6" x14ac:dyDescent="0.2">
      <c r="A185" s="388"/>
      <c r="B185" s="386"/>
      <c r="C185" s="386"/>
      <c r="D185" s="386"/>
      <c r="E185" s="386"/>
      <c r="F185" s="408"/>
    </row>
    <row r="186" spans="1:6" x14ac:dyDescent="0.2">
      <c r="A186" s="388"/>
      <c r="B186" s="386"/>
      <c r="C186" s="386"/>
      <c r="D186" s="386"/>
      <c r="E186" s="386"/>
      <c r="F186" s="408"/>
    </row>
    <row r="187" spans="1:6" x14ac:dyDescent="0.2">
      <c r="A187" s="388"/>
      <c r="B187" s="386"/>
      <c r="C187" s="386"/>
      <c r="D187" s="386"/>
      <c r="E187" s="386"/>
      <c r="F187" s="408"/>
    </row>
    <row r="188" spans="1:6" x14ac:dyDescent="0.2">
      <c r="A188" s="388"/>
      <c r="B188" s="386"/>
      <c r="C188" s="386"/>
      <c r="D188" s="386"/>
      <c r="E188" s="386"/>
      <c r="F188" s="408"/>
    </row>
    <row r="189" spans="1:6" x14ac:dyDescent="0.2">
      <c r="A189" s="388"/>
      <c r="B189" s="386"/>
      <c r="C189" s="386"/>
      <c r="D189" s="386"/>
      <c r="E189" s="386"/>
      <c r="F189" s="408"/>
    </row>
    <row r="190" spans="1:6" x14ac:dyDescent="0.2">
      <c r="A190" s="388"/>
      <c r="B190" s="386"/>
      <c r="C190" s="386"/>
      <c r="D190" s="386"/>
      <c r="E190" s="386"/>
      <c r="F190" s="408"/>
    </row>
    <row r="191" spans="1:6" x14ac:dyDescent="0.2">
      <c r="A191" s="388"/>
      <c r="B191" s="386"/>
      <c r="C191" s="386"/>
      <c r="D191" s="386"/>
      <c r="E191" s="386"/>
      <c r="F191" s="408"/>
    </row>
    <row r="192" spans="1:6" x14ac:dyDescent="0.2">
      <c r="A192" s="388"/>
      <c r="B192" s="386"/>
      <c r="C192" s="386"/>
      <c r="D192" s="386"/>
      <c r="E192" s="386"/>
      <c r="F192" s="408"/>
    </row>
    <row r="193" spans="1:6" x14ac:dyDescent="0.2">
      <c r="A193" s="388"/>
      <c r="B193" s="386"/>
      <c r="C193" s="386"/>
      <c r="D193" s="386"/>
      <c r="E193" s="386"/>
      <c r="F193" s="408"/>
    </row>
    <row r="194" spans="1:6" x14ac:dyDescent="0.2">
      <c r="A194" s="388"/>
      <c r="B194" s="386"/>
      <c r="C194" s="386"/>
      <c r="D194" s="386"/>
      <c r="E194" s="386"/>
      <c r="F194" s="408"/>
    </row>
    <row r="195" spans="1:6" x14ac:dyDescent="0.2">
      <c r="A195" s="388"/>
      <c r="B195" s="386"/>
      <c r="C195" s="386"/>
      <c r="D195" s="386"/>
      <c r="E195" s="386"/>
      <c r="F195" s="408"/>
    </row>
    <row r="196" spans="1:6" x14ac:dyDescent="0.2">
      <c r="A196" s="388"/>
      <c r="B196" s="386"/>
      <c r="C196" s="386"/>
      <c r="D196" s="386"/>
      <c r="E196" s="386"/>
      <c r="F196" s="408"/>
    </row>
    <row r="197" spans="1:6" x14ac:dyDescent="0.2">
      <c r="A197" s="388"/>
      <c r="B197" s="386"/>
      <c r="C197" s="386"/>
      <c r="D197" s="386"/>
      <c r="E197" s="386"/>
      <c r="F197" s="408"/>
    </row>
    <row r="198" spans="1:6" x14ac:dyDescent="0.2">
      <c r="A198" s="388"/>
      <c r="B198" s="386"/>
      <c r="C198" s="386"/>
      <c r="D198" s="386"/>
      <c r="E198" s="386"/>
      <c r="F198" s="408"/>
    </row>
    <row r="199" spans="1:6" x14ac:dyDescent="0.2">
      <c r="A199" s="388"/>
      <c r="B199" s="386"/>
      <c r="C199" s="386"/>
      <c r="D199" s="386"/>
      <c r="E199" s="386"/>
      <c r="F199" s="408"/>
    </row>
    <row r="200" spans="1:6" x14ac:dyDescent="0.2">
      <c r="A200" s="388"/>
      <c r="B200" s="386"/>
      <c r="C200" s="386"/>
      <c r="D200" s="386"/>
      <c r="E200" s="386"/>
      <c r="F200" s="408"/>
    </row>
    <row r="201" spans="1:6" x14ac:dyDescent="0.2">
      <c r="A201" s="388"/>
      <c r="B201" s="386"/>
      <c r="C201" s="386"/>
      <c r="D201" s="386"/>
      <c r="E201" s="386"/>
      <c r="F201" s="408"/>
    </row>
    <row r="202" spans="1:6" x14ac:dyDescent="0.2">
      <c r="A202" s="388"/>
      <c r="B202" s="386"/>
      <c r="C202" s="386"/>
      <c r="D202" s="386"/>
      <c r="E202" s="386"/>
      <c r="F202" s="408"/>
    </row>
    <row r="203" spans="1:6" x14ac:dyDescent="0.2">
      <c r="A203" s="388"/>
      <c r="B203" s="386"/>
      <c r="C203" s="386"/>
      <c r="D203" s="386"/>
      <c r="E203" s="386"/>
      <c r="F203" s="408"/>
    </row>
    <row r="204" spans="1:6" x14ac:dyDescent="0.2">
      <c r="A204" s="388"/>
      <c r="B204" s="386"/>
      <c r="C204" s="386"/>
      <c r="D204" s="386"/>
      <c r="E204" s="386"/>
      <c r="F204" s="408"/>
    </row>
    <row r="205" spans="1:6" x14ac:dyDescent="0.2">
      <c r="A205" s="388"/>
      <c r="B205" s="386"/>
      <c r="C205" s="386"/>
      <c r="D205" s="386"/>
      <c r="E205" s="386"/>
      <c r="F205" s="408"/>
    </row>
    <row r="206" spans="1:6" x14ac:dyDescent="0.2">
      <c r="A206" s="388"/>
      <c r="B206" s="386"/>
      <c r="C206" s="386"/>
      <c r="D206" s="386"/>
      <c r="E206" s="386"/>
      <c r="F206" s="408"/>
    </row>
    <row r="207" spans="1:6" x14ac:dyDescent="0.2">
      <c r="A207" s="388"/>
      <c r="B207" s="386"/>
      <c r="C207" s="386"/>
      <c r="D207" s="386"/>
      <c r="E207" s="386"/>
      <c r="F207" s="408"/>
    </row>
    <row r="208" spans="1:6" x14ac:dyDescent="0.2">
      <c r="A208" s="388"/>
      <c r="B208" s="386"/>
      <c r="C208" s="386"/>
      <c r="D208" s="386"/>
      <c r="E208" s="386"/>
      <c r="F208" s="408"/>
    </row>
    <row r="209" spans="1:6" x14ac:dyDescent="0.2">
      <c r="A209" s="388"/>
      <c r="B209" s="386"/>
      <c r="C209" s="386"/>
      <c r="D209" s="386"/>
      <c r="E209" s="386"/>
      <c r="F209" s="408"/>
    </row>
    <row r="210" spans="1:6" x14ac:dyDescent="0.2">
      <c r="A210" s="388"/>
      <c r="B210" s="386"/>
      <c r="C210" s="386"/>
      <c r="D210" s="386"/>
      <c r="E210" s="386"/>
      <c r="F210" s="408"/>
    </row>
    <row r="211" spans="1:6" x14ac:dyDescent="0.2">
      <c r="A211" s="388"/>
      <c r="B211" s="386"/>
      <c r="C211" s="386"/>
      <c r="D211" s="386"/>
      <c r="E211" s="386"/>
      <c r="F211" s="408"/>
    </row>
    <row r="212" spans="1:6" x14ac:dyDescent="0.2">
      <c r="A212" s="388"/>
      <c r="B212" s="386"/>
      <c r="C212" s="386"/>
      <c r="D212" s="386"/>
      <c r="E212" s="386"/>
      <c r="F212" s="408"/>
    </row>
    <row r="213" spans="1:6" x14ac:dyDescent="0.2">
      <c r="A213" s="388"/>
      <c r="B213" s="386"/>
      <c r="C213" s="386"/>
      <c r="D213" s="386"/>
      <c r="E213" s="386"/>
      <c r="F213" s="408"/>
    </row>
    <row r="214" spans="1:6" x14ac:dyDescent="0.2">
      <c r="A214" s="388"/>
      <c r="B214" s="386"/>
      <c r="C214" s="386"/>
      <c r="D214" s="386"/>
      <c r="E214" s="386"/>
      <c r="F214" s="408"/>
    </row>
    <row r="215" spans="1:6" x14ac:dyDescent="0.2">
      <c r="A215" s="388"/>
      <c r="B215" s="386"/>
      <c r="C215" s="386"/>
      <c r="D215" s="386"/>
      <c r="E215" s="386"/>
      <c r="F215" s="408"/>
    </row>
    <row r="216" spans="1:6" x14ac:dyDescent="0.2">
      <c r="A216" s="388"/>
      <c r="B216" s="386"/>
      <c r="C216" s="386"/>
      <c r="D216" s="386"/>
      <c r="E216" s="386"/>
      <c r="F216" s="408"/>
    </row>
    <row r="217" spans="1:6" x14ac:dyDescent="0.2">
      <c r="A217" s="388"/>
      <c r="B217" s="386"/>
      <c r="C217" s="386"/>
      <c r="D217" s="386"/>
      <c r="E217" s="386"/>
      <c r="F217" s="408"/>
    </row>
    <row r="218" spans="1:6" x14ac:dyDescent="0.2">
      <c r="A218" s="388"/>
      <c r="B218" s="386"/>
      <c r="C218" s="386"/>
      <c r="D218" s="386"/>
      <c r="E218" s="386"/>
      <c r="F218" s="408"/>
    </row>
    <row r="219" spans="1:6" x14ac:dyDescent="0.2">
      <c r="A219" s="388"/>
      <c r="B219" s="386"/>
      <c r="C219" s="386"/>
      <c r="D219" s="386"/>
      <c r="E219" s="386"/>
      <c r="F219" s="408"/>
    </row>
    <row r="220" spans="1:6" x14ac:dyDescent="0.2">
      <c r="A220" s="388"/>
      <c r="B220" s="386"/>
      <c r="C220" s="386"/>
      <c r="D220" s="386"/>
      <c r="E220" s="386"/>
      <c r="F220" s="408"/>
    </row>
    <row r="221" spans="1:6" x14ac:dyDescent="0.2">
      <c r="A221" s="388"/>
      <c r="B221" s="386"/>
      <c r="C221" s="386"/>
      <c r="D221" s="386"/>
      <c r="E221" s="386"/>
      <c r="F221" s="408"/>
    </row>
    <row r="222" spans="1:6" x14ac:dyDescent="0.2">
      <c r="A222" s="388"/>
      <c r="B222" s="386"/>
      <c r="C222" s="386"/>
      <c r="D222" s="386"/>
      <c r="E222" s="386"/>
      <c r="F222" s="408"/>
    </row>
    <row r="223" spans="1:6" x14ac:dyDescent="0.2">
      <c r="A223" s="388"/>
      <c r="B223" s="386"/>
      <c r="C223" s="386"/>
      <c r="D223" s="386"/>
      <c r="E223" s="386"/>
      <c r="F223" s="408"/>
    </row>
    <row r="224" spans="1:6" x14ac:dyDescent="0.2">
      <c r="A224" s="388"/>
      <c r="B224" s="386"/>
      <c r="C224" s="386"/>
      <c r="D224" s="386"/>
      <c r="E224" s="386"/>
      <c r="F224" s="408"/>
    </row>
    <row r="225" spans="1:6" x14ac:dyDescent="0.2">
      <c r="A225" s="388"/>
      <c r="B225" s="386"/>
      <c r="C225" s="386"/>
      <c r="D225" s="386"/>
      <c r="E225" s="386"/>
      <c r="F225" s="408"/>
    </row>
    <row r="226" spans="1:6" x14ac:dyDescent="0.2">
      <c r="A226" s="388"/>
      <c r="B226" s="386"/>
      <c r="C226" s="386"/>
      <c r="D226" s="386"/>
      <c r="E226" s="386"/>
      <c r="F226" s="408"/>
    </row>
    <row r="227" spans="1:6" x14ac:dyDescent="0.2">
      <c r="A227" s="388"/>
      <c r="B227" s="386"/>
      <c r="C227" s="386"/>
      <c r="D227" s="386"/>
      <c r="E227" s="386"/>
      <c r="F227" s="408"/>
    </row>
    <row r="228" spans="1:6" x14ac:dyDescent="0.2">
      <c r="A228" s="388"/>
      <c r="B228" s="386"/>
      <c r="C228" s="386"/>
      <c r="D228" s="386"/>
      <c r="E228" s="386"/>
      <c r="F228" s="408"/>
    </row>
    <row r="229" spans="1:6" x14ac:dyDescent="0.2">
      <c r="A229" s="388"/>
      <c r="B229" s="386"/>
      <c r="C229" s="386"/>
      <c r="D229" s="386"/>
      <c r="E229" s="386"/>
      <c r="F229" s="408"/>
    </row>
    <row r="230" spans="1:6" x14ac:dyDescent="0.2">
      <c r="A230" s="388"/>
      <c r="B230" s="386"/>
      <c r="C230" s="386"/>
      <c r="D230" s="386"/>
      <c r="E230" s="386"/>
      <c r="F230" s="408"/>
    </row>
    <row r="231" spans="1:6" x14ac:dyDescent="0.2">
      <c r="A231" s="388"/>
      <c r="B231" s="386"/>
      <c r="C231" s="386"/>
      <c r="D231" s="386"/>
      <c r="E231" s="386"/>
      <c r="F231" s="408"/>
    </row>
    <row r="232" spans="1:6" x14ac:dyDescent="0.2">
      <c r="A232" s="388"/>
      <c r="B232" s="386"/>
      <c r="C232" s="386"/>
      <c r="D232" s="386"/>
      <c r="E232" s="386"/>
      <c r="F232" s="408"/>
    </row>
    <row r="233" spans="1:6" x14ac:dyDescent="0.2">
      <c r="A233" s="388"/>
      <c r="B233" s="386"/>
      <c r="C233" s="386"/>
      <c r="D233" s="386"/>
      <c r="E233" s="386"/>
      <c r="F233" s="408"/>
    </row>
    <row r="234" spans="1:6" x14ac:dyDescent="0.2">
      <c r="A234" s="388"/>
      <c r="B234" s="386"/>
      <c r="C234" s="386"/>
      <c r="D234" s="386"/>
      <c r="E234" s="386"/>
      <c r="F234" s="408"/>
    </row>
    <row r="235" spans="1:6" x14ac:dyDescent="0.2">
      <c r="A235" s="388"/>
      <c r="B235" s="386"/>
      <c r="C235" s="386"/>
      <c r="D235" s="386"/>
      <c r="E235" s="386"/>
      <c r="F235" s="408"/>
    </row>
    <row r="236" spans="1:6" x14ac:dyDescent="0.2">
      <c r="A236" s="388"/>
      <c r="B236" s="386"/>
      <c r="C236" s="386"/>
      <c r="D236" s="386"/>
      <c r="E236" s="386"/>
      <c r="F236" s="408"/>
    </row>
    <row r="237" spans="1:6" x14ac:dyDescent="0.2">
      <c r="A237" s="388"/>
      <c r="B237" s="386"/>
      <c r="C237" s="386"/>
      <c r="D237" s="386"/>
      <c r="E237" s="386"/>
      <c r="F237" s="408"/>
    </row>
    <row r="238" spans="1:6" x14ac:dyDescent="0.2">
      <c r="A238" s="388"/>
      <c r="B238" s="386"/>
      <c r="C238" s="386"/>
      <c r="D238" s="386"/>
      <c r="E238" s="386"/>
      <c r="F238" s="408"/>
    </row>
    <row r="239" spans="1:6" x14ac:dyDescent="0.2">
      <c r="A239" s="388"/>
      <c r="B239" s="386"/>
      <c r="C239" s="386"/>
      <c r="D239" s="386"/>
      <c r="E239" s="386"/>
      <c r="F239" s="408"/>
    </row>
    <row r="240" spans="1:6" x14ac:dyDescent="0.2">
      <c r="A240" s="388"/>
      <c r="B240" s="386"/>
      <c r="C240" s="386"/>
      <c r="D240" s="386"/>
      <c r="E240" s="386"/>
      <c r="F240" s="408"/>
    </row>
    <row r="241" spans="1:6" x14ac:dyDescent="0.2">
      <c r="A241" s="388"/>
      <c r="B241" s="386"/>
      <c r="C241" s="386"/>
      <c r="D241" s="386"/>
      <c r="E241" s="386"/>
      <c r="F241" s="408"/>
    </row>
    <row r="242" spans="1:6" x14ac:dyDescent="0.2">
      <c r="A242" s="388"/>
      <c r="B242" s="386"/>
      <c r="C242" s="386"/>
      <c r="D242" s="386"/>
      <c r="E242" s="386"/>
      <c r="F242" s="408"/>
    </row>
    <row r="243" spans="1:6" x14ac:dyDescent="0.2">
      <c r="A243" s="388"/>
      <c r="B243" s="386"/>
      <c r="C243" s="386"/>
      <c r="D243" s="386"/>
      <c r="E243" s="386"/>
      <c r="F243" s="408"/>
    </row>
    <row r="244" spans="1:6" x14ac:dyDescent="0.2">
      <c r="A244" s="388"/>
      <c r="B244" s="386"/>
      <c r="C244" s="386"/>
      <c r="D244" s="386"/>
      <c r="E244" s="386"/>
      <c r="F244" s="408"/>
    </row>
    <row r="245" spans="1:6" x14ac:dyDescent="0.2">
      <c r="A245" s="388"/>
      <c r="B245" s="386"/>
      <c r="C245" s="386"/>
      <c r="D245" s="386"/>
      <c r="E245" s="386"/>
      <c r="F245" s="408"/>
    </row>
    <row r="246" spans="1:6" x14ac:dyDescent="0.2">
      <c r="A246" s="388"/>
      <c r="B246" s="386"/>
      <c r="C246" s="386"/>
      <c r="D246" s="386"/>
      <c r="E246" s="386"/>
      <c r="F246" s="408"/>
    </row>
    <row r="247" spans="1:6" x14ac:dyDescent="0.2">
      <c r="A247" s="388"/>
      <c r="B247" s="386"/>
      <c r="C247" s="386"/>
      <c r="D247" s="386"/>
      <c r="E247" s="386"/>
      <c r="F247" s="408"/>
    </row>
    <row r="248" spans="1:6" x14ac:dyDescent="0.2">
      <c r="A248" s="388"/>
      <c r="B248" s="386"/>
      <c r="C248" s="386"/>
      <c r="D248" s="386"/>
      <c r="E248" s="386"/>
      <c r="F248" s="408"/>
    </row>
    <row r="249" spans="1:6" x14ac:dyDescent="0.2">
      <c r="A249" s="388"/>
      <c r="B249" s="386"/>
      <c r="C249" s="386"/>
      <c r="D249" s="386"/>
      <c r="E249" s="386"/>
      <c r="F249" s="408"/>
    </row>
    <row r="250" spans="1:6" x14ac:dyDescent="0.2">
      <c r="A250" s="388"/>
      <c r="B250" s="386"/>
      <c r="C250" s="386"/>
      <c r="D250" s="386"/>
      <c r="E250" s="386"/>
      <c r="F250" s="408"/>
    </row>
    <row r="251" spans="1:6" x14ac:dyDescent="0.2">
      <c r="A251" s="388"/>
      <c r="B251" s="386"/>
      <c r="C251" s="386"/>
      <c r="D251" s="386"/>
      <c r="E251" s="386"/>
      <c r="F251" s="408"/>
    </row>
    <row r="252" spans="1:6" x14ac:dyDescent="0.2">
      <c r="A252" s="388"/>
      <c r="B252" s="386"/>
      <c r="C252" s="386"/>
      <c r="D252" s="386"/>
      <c r="E252" s="386"/>
      <c r="F252" s="408"/>
    </row>
    <row r="253" spans="1:6" x14ac:dyDescent="0.2">
      <c r="A253" s="388"/>
      <c r="B253" s="386"/>
      <c r="C253" s="386"/>
      <c r="D253" s="386"/>
      <c r="E253" s="386"/>
      <c r="F253" s="408"/>
    </row>
    <row r="254" spans="1:6" x14ac:dyDescent="0.2">
      <c r="A254" s="388"/>
      <c r="B254" s="386"/>
      <c r="C254" s="386"/>
      <c r="D254" s="386"/>
      <c r="E254" s="386"/>
      <c r="F254" s="408"/>
    </row>
    <row r="255" spans="1:6" x14ac:dyDescent="0.2">
      <c r="A255" s="388"/>
      <c r="B255" s="386"/>
      <c r="C255" s="386"/>
      <c r="D255" s="386"/>
      <c r="E255" s="386"/>
      <c r="F255" s="408"/>
    </row>
    <row r="256" spans="1:6" x14ac:dyDescent="0.2">
      <c r="A256" s="388"/>
      <c r="B256" s="386"/>
      <c r="C256" s="386"/>
      <c r="D256" s="386"/>
      <c r="E256" s="386"/>
      <c r="F256" s="408"/>
    </row>
    <row r="257" spans="1:6" x14ac:dyDescent="0.2">
      <c r="A257" s="388"/>
      <c r="B257" s="386"/>
      <c r="C257" s="386"/>
      <c r="D257" s="386"/>
      <c r="E257" s="386"/>
      <c r="F257" s="408"/>
    </row>
    <row r="258" spans="1:6" x14ac:dyDescent="0.2">
      <c r="A258" s="388"/>
      <c r="B258" s="386"/>
      <c r="C258" s="386"/>
      <c r="D258" s="386"/>
      <c r="E258" s="386"/>
      <c r="F258" s="408"/>
    </row>
    <row r="259" spans="1:6" x14ac:dyDescent="0.2">
      <c r="A259" s="388"/>
      <c r="B259" s="386"/>
      <c r="C259" s="386"/>
      <c r="D259" s="386"/>
      <c r="E259" s="386"/>
      <c r="F259" s="408"/>
    </row>
    <row r="260" spans="1:6" x14ac:dyDescent="0.2">
      <c r="A260" s="388"/>
      <c r="B260" s="386"/>
      <c r="C260" s="386"/>
      <c r="D260" s="386"/>
      <c r="E260" s="386"/>
      <c r="F260" s="408"/>
    </row>
    <row r="261" spans="1:6" x14ac:dyDescent="0.2">
      <c r="A261" s="388"/>
      <c r="B261" s="386"/>
      <c r="C261" s="386"/>
      <c r="D261" s="386"/>
      <c r="E261" s="386"/>
      <c r="F261" s="408"/>
    </row>
    <row r="262" spans="1:6" x14ac:dyDescent="0.2">
      <c r="A262" s="388"/>
      <c r="B262" s="386"/>
      <c r="C262" s="386"/>
      <c r="D262" s="386"/>
      <c r="E262" s="386"/>
      <c r="F262" s="408"/>
    </row>
    <row r="263" spans="1:6" x14ac:dyDescent="0.2">
      <c r="A263" s="389"/>
      <c r="B263" s="386"/>
      <c r="C263" s="386"/>
      <c r="D263" s="386"/>
      <c r="E263" s="386"/>
      <c r="F263" s="408"/>
    </row>
    <row r="264" spans="1:6" x14ac:dyDescent="0.2">
      <c r="A264" s="389"/>
      <c r="B264" s="386"/>
      <c r="C264" s="386"/>
      <c r="D264" s="386"/>
      <c r="E264" s="386"/>
      <c r="F264" s="408"/>
    </row>
    <row r="265" spans="1:6" x14ac:dyDescent="0.2">
      <c r="A265" s="389"/>
      <c r="B265" s="386"/>
      <c r="C265" s="386"/>
      <c r="D265" s="386"/>
      <c r="E265" s="386"/>
      <c r="F265" s="408"/>
    </row>
    <row r="266" spans="1:6" x14ac:dyDescent="0.2">
      <c r="A266" s="389"/>
      <c r="B266" s="386"/>
      <c r="C266" s="386"/>
      <c r="D266" s="386"/>
      <c r="E266" s="386"/>
      <c r="F266" s="408"/>
    </row>
    <row r="267" spans="1:6" x14ac:dyDescent="0.2">
      <c r="A267" s="389"/>
      <c r="B267" s="386"/>
      <c r="C267" s="386"/>
      <c r="D267" s="386"/>
      <c r="E267" s="386"/>
      <c r="F267" s="408"/>
    </row>
    <row r="268" spans="1:6" x14ac:dyDescent="0.2">
      <c r="A268" s="389"/>
      <c r="B268" s="386"/>
      <c r="C268" s="386"/>
      <c r="D268" s="386"/>
      <c r="E268" s="386"/>
      <c r="F268" s="408"/>
    </row>
    <row r="269" spans="1:6" x14ac:dyDescent="0.2">
      <c r="A269" s="389"/>
      <c r="B269" s="386"/>
      <c r="C269" s="386"/>
      <c r="D269" s="386"/>
      <c r="E269" s="386"/>
      <c r="F269" s="408"/>
    </row>
    <row r="270" spans="1:6" x14ac:dyDescent="0.2">
      <c r="A270" s="389"/>
      <c r="B270" s="386"/>
      <c r="C270" s="386"/>
      <c r="D270" s="386"/>
      <c r="E270" s="386"/>
      <c r="F270" s="408"/>
    </row>
    <row r="271" spans="1:6" x14ac:dyDescent="0.2">
      <c r="A271" s="388"/>
      <c r="B271" s="386"/>
      <c r="C271" s="386"/>
      <c r="D271" s="386"/>
      <c r="E271" s="386"/>
      <c r="F271" s="408"/>
    </row>
    <row r="272" spans="1:6" x14ac:dyDescent="0.2">
      <c r="A272" s="388"/>
      <c r="B272" s="386"/>
      <c r="C272" s="386"/>
      <c r="D272" s="386"/>
      <c r="E272" s="386"/>
      <c r="F272" s="408"/>
    </row>
    <row r="273" spans="1:6" x14ac:dyDescent="0.2">
      <c r="A273" s="388"/>
      <c r="B273" s="386"/>
      <c r="C273" s="386"/>
      <c r="D273" s="386"/>
      <c r="E273" s="386"/>
      <c r="F273" s="408"/>
    </row>
    <row r="274" spans="1:6" x14ac:dyDescent="0.2">
      <c r="A274" s="388"/>
      <c r="B274" s="386"/>
      <c r="C274" s="386"/>
      <c r="D274" s="386"/>
      <c r="E274" s="386"/>
      <c r="F274" s="408"/>
    </row>
    <row r="275" spans="1:6" x14ac:dyDescent="0.2">
      <c r="A275" s="388"/>
      <c r="B275" s="386"/>
      <c r="C275" s="386"/>
      <c r="D275" s="386"/>
      <c r="E275" s="386"/>
      <c r="F275" s="408"/>
    </row>
    <row r="276" spans="1:6" x14ac:dyDescent="0.2">
      <c r="A276" s="388"/>
      <c r="B276" s="386"/>
      <c r="C276" s="386"/>
      <c r="D276" s="386"/>
      <c r="E276" s="386"/>
      <c r="F276" s="408"/>
    </row>
    <row r="277" spans="1:6" x14ac:dyDescent="0.2">
      <c r="A277" s="388"/>
      <c r="B277" s="386"/>
      <c r="C277" s="386"/>
      <c r="D277" s="386"/>
      <c r="E277" s="386"/>
      <c r="F277" s="408"/>
    </row>
    <row r="278" spans="1:6" x14ac:dyDescent="0.2">
      <c r="A278" s="388"/>
      <c r="B278" s="386"/>
      <c r="C278" s="386"/>
      <c r="D278" s="386"/>
      <c r="E278" s="386"/>
      <c r="F278" s="408"/>
    </row>
    <row r="279" spans="1:6" x14ac:dyDescent="0.2">
      <c r="A279" s="388"/>
      <c r="B279" s="386"/>
      <c r="C279" s="386"/>
      <c r="D279" s="386"/>
      <c r="E279" s="386"/>
      <c r="F279" s="408"/>
    </row>
    <row r="280" spans="1:6" x14ac:dyDescent="0.2">
      <c r="A280" s="388"/>
      <c r="B280" s="386"/>
      <c r="C280" s="386"/>
      <c r="D280" s="386"/>
      <c r="E280" s="386"/>
      <c r="F280" s="408"/>
    </row>
    <row r="281" spans="1:6" x14ac:dyDescent="0.2">
      <c r="A281" s="388"/>
      <c r="B281" s="386"/>
      <c r="C281" s="386"/>
      <c r="D281" s="386"/>
      <c r="E281" s="386"/>
      <c r="F281" s="408"/>
    </row>
    <row r="282" spans="1:6" x14ac:dyDescent="0.2">
      <c r="A282" s="388"/>
      <c r="B282" s="386"/>
      <c r="C282" s="386"/>
      <c r="D282" s="386"/>
      <c r="E282" s="386"/>
      <c r="F282" s="408"/>
    </row>
    <row r="283" spans="1:6" x14ac:dyDescent="0.2">
      <c r="A283" s="388"/>
      <c r="B283" s="386"/>
      <c r="C283" s="386"/>
      <c r="D283" s="386"/>
      <c r="E283" s="386"/>
      <c r="F283" s="408"/>
    </row>
    <row r="284" spans="1:6" x14ac:dyDescent="0.2">
      <c r="A284" s="388"/>
      <c r="B284" s="386"/>
      <c r="C284" s="386"/>
      <c r="D284" s="386"/>
      <c r="E284" s="386"/>
      <c r="F284" s="408"/>
    </row>
    <row r="285" spans="1:6" x14ac:dyDescent="0.2">
      <c r="A285" s="388"/>
      <c r="B285" s="386"/>
      <c r="C285" s="386"/>
      <c r="D285" s="386"/>
      <c r="E285" s="386"/>
      <c r="F285" s="408"/>
    </row>
    <row r="286" spans="1:6" x14ac:dyDescent="0.2">
      <c r="A286" s="388"/>
      <c r="B286" s="386"/>
      <c r="C286" s="386"/>
      <c r="D286" s="386"/>
      <c r="E286" s="386"/>
      <c r="F286" s="408"/>
    </row>
    <row r="287" spans="1:6" x14ac:dyDescent="0.2">
      <c r="A287" s="388"/>
      <c r="B287" s="386"/>
      <c r="C287" s="386"/>
      <c r="D287" s="386"/>
      <c r="E287" s="386"/>
      <c r="F287" s="408"/>
    </row>
    <row r="288" spans="1:6" x14ac:dyDescent="0.2">
      <c r="A288" s="388"/>
      <c r="B288" s="386"/>
      <c r="C288" s="386"/>
      <c r="D288" s="386"/>
      <c r="E288" s="386"/>
      <c r="F288" s="408"/>
    </row>
    <row r="289" spans="1:6" x14ac:dyDescent="0.2">
      <c r="A289" s="388"/>
      <c r="B289" s="386"/>
      <c r="C289" s="386"/>
      <c r="D289" s="386"/>
      <c r="E289" s="386"/>
      <c r="F289" s="408"/>
    </row>
    <row r="290" spans="1:6" x14ac:dyDescent="0.2">
      <c r="A290" s="388"/>
      <c r="B290" s="386"/>
      <c r="C290" s="386"/>
      <c r="D290" s="386"/>
      <c r="E290" s="386"/>
      <c r="F290" s="408"/>
    </row>
    <row r="291" spans="1:6" x14ac:dyDescent="0.2">
      <c r="A291" s="388"/>
      <c r="B291" s="386"/>
      <c r="C291" s="386"/>
      <c r="D291" s="386"/>
      <c r="E291" s="386"/>
      <c r="F291" s="408"/>
    </row>
    <row r="292" spans="1:6" x14ac:dyDescent="0.2">
      <c r="A292" s="388"/>
      <c r="B292" s="386"/>
      <c r="C292" s="386"/>
      <c r="D292" s="386"/>
      <c r="E292" s="386"/>
      <c r="F292" s="408"/>
    </row>
    <row r="293" spans="1:6" x14ac:dyDescent="0.2">
      <c r="A293" s="388"/>
      <c r="B293" s="386"/>
      <c r="C293" s="386"/>
      <c r="D293" s="386"/>
      <c r="E293" s="386"/>
      <c r="F293" s="408"/>
    </row>
    <row r="294" spans="1:6" x14ac:dyDescent="0.2">
      <c r="A294" s="388"/>
      <c r="B294" s="386"/>
      <c r="C294" s="386"/>
      <c r="D294" s="386"/>
      <c r="E294" s="386"/>
      <c r="F294" s="408"/>
    </row>
    <row r="295" spans="1:6" x14ac:dyDescent="0.2">
      <c r="A295" s="388"/>
      <c r="B295" s="386"/>
      <c r="C295" s="386"/>
      <c r="D295" s="386"/>
      <c r="E295" s="386"/>
      <c r="F295" s="408"/>
    </row>
    <row r="296" spans="1:6" x14ac:dyDescent="0.2">
      <c r="A296" s="388"/>
      <c r="B296" s="386"/>
      <c r="C296" s="386"/>
      <c r="D296" s="386"/>
      <c r="E296" s="386"/>
      <c r="F296" s="408"/>
    </row>
    <row r="297" spans="1:6" x14ac:dyDescent="0.2">
      <c r="A297" s="388"/>
      <c r="B297" s="386"/>
      <c r="C297" s="386"/>
      <c r="D297" s="386"/>
      <c r="E297" s="386"/>
      <c r="F297" s="408"/>
    </row>
    <row r="298" spans="1:6" x14ac:dyDescent="0.2">
      <c r="A298" s="388"/>
      <c r="B298" s="386"/>
      <c r="C298" s="386"/>
      <c r="D298" s="386"/>
      <c r="E298" s="386"/>
      <c r="F298" s="408"/>
    </row>
    <row r="299" spans="1:6" x14ac:dyDescent="0.2">
      <c r="A299" s="388"/>
      <c r="B299" s="386"/>
      <c r="C299" s="386"/>
      <c r="D299" s="386"/>
      <c r="E299" s="386"/>
      <c r="F299" s="408"/>
    </row>
    <row r="300" spans="1:6" x14ac:dyDescent="0.2">
      <c r="A300" s="388"/>
      <c r="B300" s="386"/>
      <c r="C300" s="386"/>
      <c r="D300" s="386"/>
      <c r="E300" s="386"/>
      <c r="F300" s="408"/>
    </row>
    <row r="301" spans="1:6" x14ac:dyDescent="0.2">
      <c r="A301" s="388"/>
      <c r="B301" s="386"/>
      <c r="C301" s="386"/>
      <c r="D301" s="386"/>
      <c r="E301" s="386"/>
      <c r="F301" s="408"/>
    </row>
    <row r="302" spans="1:6" x14ac:dyDescent="0.2">
      <c r="A302" s="388"/>
      <c r="B302" s="386"/>
      <c r="C302" s="386"/>
      <c r="D302" s="386"/>
      <c r="E302" s="386"/>
      <c r="F302" s="408"/>
    </row>
    <row r="303" spans="1:6" x14ac:dyDescent="0.2">
      <c r="A303" s="388"/>
      <c r="B303" s="386"/>
      <c r="C303" s="386"/>
      <c r="D303" s="386"/>
      <c r="E303" s="386"/>
      <c r="F303" s="408"/>
    </row>
    <row r="304" spans="1:6" x14ac:dyDescent="0.2">
      <c r="A304" s="388"/>
      <c r="B304" s="386"/>
      <c r="C304" s="386"/>
      <c r="D304" s="386"/>
      <c r="E304" s="386"/>
      <c r="F304" s="408"/>
    </row>
    <row r="305" spans="1:6" x14ac:dyDescent="0.2">
      <c r="A305" s="388"/>
      <c r="B305" s="386"/>
      <c r="C305" s="386"/>
      <c r="D305" s="386"/>
      <c r="E305" s="386"/>
      <c r="F305" s="408"/>
    </row>
    <row r="306" spans="1:6" x14ac:dyDescent="0.2">
      <c r="A306" s="388"/>
      <c r="B306" s="386"/>
      <c r="C306" s="386"/>
      <c r="D306" s="386"/>
      <c r="E306" s="386"/>
      <c r="F306" s="408"/>
    </row>
    <row r="307" spans="1:6" x14ac:dyDescent="0.2">
      <c r="A307" s="388"/>
      <c r="B307" s="386"/>
      <c r="C307" s="386"/>
      <c r="D307" s="386"/>
      <c r="E307" s="386"/>
      <c r="F307" s="408"/>
    </row>
    <row r="308" spans="1:6" x14ac:dyDescent="0.2">
      <c r="A308" s="388"/>
      <c r="B308" s="386"/>
      <c r="C308" s="386"/>
      <c r="D308" s="386"/>
      <c r="E308" s="386"/>
      <c r="F308" s="408"/>
    </row>
    <row r="309" spans="1:6" x14ac:dyDescent="0.2">
      <c r="A309" s="388"/>
      <c r="B309" s="386"/>
      <c r="C309" s="386"/>
      <c r="D309" s="386"/>
      <c r="E309" s="386"/>
      <c r="F309" s="408"/>
    </row>
    <row r="310" spans="1:6" x14ac:dyDescent="0.2">
      <c r="A310" s="388"/>
      <c r="B310" s="386"/>
      <c r="C310" s="386"/>
      <c r="D310" s="386"/>
      <c r="E310" s="386"/>
      <c r="F310" s="408"/>
    </row>
    <row r="311" spans="1:6" x14ac:dyDescent="0.2">
      <c r="A311" s="388"/>
      <c r="B311" s="386"/>
      <c r="C311" s="386"/>
      <c r="D311" s="386"/>
      <c r="E311" s="386"/>
      <c r="F311" s="408"/>
    </row>
    <row r="312" spans="1:6" x14ac:dyDescent="0.2">
      <c r="A312" s="388"/>
      <c r="B312" s="386"/>
      <c r="C312" s="386"/>
      <c r="D312" s="386"/>
      <c r="E312" s="386"/>
      <c r="F312" s="408"/>
    </row>
    <row r="313" spans="1:6" x14ac:dyDescent="0.2">
      <c r="A313" s="388"/>
      <c r="B313" s="386"/>
      <c r="C313" s="386"/>
      <c r="D313" s="386"/>
      <c r="E313" s="386"/>
      <c r="F313" s="408"/>
    </row>
    <row r="314" spans="1:6" x14ac:dyDescent="0.2">
      <c r="A314" s="388"/>
      <c r="B314" s="386"/>
      <c r="C314" s="386"/>
      <c r="D314" s="386"/>
      <c r="E314" s="386"/>
      <c r="F314" s="408"/>
    </row>
    <row r="315" spans="1:6" x14ac:dyDescent="0.2">
      <c r="A315" s="388"/>
      <c r="B315" s="386"/>
      <c r="C315" s="386"/>
      <c r="D315" s="386"/>
      <c r="E315" s="386"/>
      <c r="F315" s="408"/>
    </row>
    <row r="316" spans="1:6" x14ac:dyDescent="0.2">
      <c r="A316" s="388"/>
      <c r="B316" s="386"/>
      <c r="C316" s="386"/>
      <c r="D316" s="386"/>
      <c r="E316" s="386"/>
      <c r="F316" s="408"/>
    </row>
    <row r="317" spans="1:6" x14ac:dyDescent="0.2">
      <c r="A317" s="388"/>
      <c r="B317" s="386"/>
      <c r="C317" s="386"/>
      <c r="D317" s="386"/>
      <c r="E317" s="386"/>
      <c r="F317" s="408"/>
    </row>
    <row r="318" spans="1:6" x14ac:dyDescent="0.2">
      <c r="A318" s="388"/>
      <c r="B318" s="386"/>
      <c r="C318" s="386"/>
      <c r="D318" s="386"/>
      <c r="E318" s="386"/>
      <c r="F318" s="408"/>
    </row>
    <row r="319" spans="1:6" x14ac:dyDescent="0.2">
      <c r="A319" s="388"/>
      <c r="B319" s="386"/>
      <c r="C319" s="386"/>
      <c r="D319" s="386"/>
      <c r="E319" s="386"/>
      <c r="F319" s="408"/>
    </row>
    <row r="320" spans="1:6" x14ac:dyDescent="0.2">
      <c r="A320" s="388"/>
      <c r="B320" s="386"/>
      <c r="C320" s="386"/>
      <c r="D320" s="386"/>
      <c r="E320" s="386"/>
      <c r="F320" s="408"/>
    </row>
    <row r="321" spans="1:6" x14ac:dyDescent="0.2">
      <c r="A321" s="388"/>
      <c r="B321" s="386"/>
      <c r="C321" s="386"/>
      <c r="D321" s="386"/>
      <c r="E321" s="386"/>
      <c r="F321" s="408"/>
    </row>
    <row r="322" spans="1:6" x14ac:dyDescent="0.2">
      <c r="A322" s="388"/>
      <c r="B322" s="386"/>
      <c r="C322" s="386"/>
      <c r="D322" s="386"/>
      <c r="E322" s="386"/>
      <c r="F322" s="408"/>
    </row>
    <row r="323" spans="1:6" x14ac:dyDescent="0.2">
      <c r="A323" s="388"/>
      <c r="B323" s="386"/>
      <c r="C323" s="386"/>
      <c r="D323" s="386"/>
      <c r="E323" s="386"/>
      <c r="F323" s="408"/>
    </row>
    <row r="324" spans="1:6" x14ac:dyDescent="0.2">
      <c r="A324" s="388"/>
      <c r="B324" s="386"/>
      <c r="C324" s="386"/>
      <c r="D324" s="386"/>
      <c r="E324" s="386"/>
      <c r="F324" s="408"/>
    </row>
    <row r="325" spans="1:6" x14ac:dyDescent="0.2">
      <c r="A325" s="388"/>
      <c r="B325" s="386"/>
      <c r="C325" s="386"/>
      <c r="D325" s="386"/>
      <c r="E325" s="386"/>
      <c r="F325" s="408"/>
    </row>
    <row r="326" spans="1:6" x14ac:dyDescent="0.2">
      <c r="A326" s="388"/>
      <c r="B326" s="386"/>
      <c r="C326" s="386"/>
      <c r="D326" s="386"/>
      <c r="E326" s="386"/>
      <c r="F326" s="408"/>
    </row>
    <row r="327" spans="1:6" x14ac:dyDescent="0.2">
      <c r="A327" s="388"/>
      <c r="B327" s="386"/>
      <c r="C327" s="386"/>
      <c r="D327" s="386"/>
      <c r="E327" s="386"/>
      <c r="F327" s="408"/>
    </row>
    <row r="328" spans="1:6" x14ac:dyDescent="0.2">
      <c r="A328" s="388"/>
      <c r="B328" s="386"/>
      <c r="C328" s="386"/>
      <c r="D328" s="386"/>
      <c r="E328" s="386"/>
      <c r="F328" s="408"/>
    </row>
    <row r="329" spans="1:6" x14ac:dyDescent="0.2">
      <c r="A329" s="388"/>
      <c r="B329" s="386"/>
      <c r="C329" s="386"/>
      <c r="D329" s="386"/>
      <c r="E329" s="386"/>
      <c r="F329" s="408"/>
    </row>
    <row r="330" spans="1:6" x14ac:dyDescent="0.2">
      <c r="A330" s="388"/>
      <c r="B330" s="386"/>
      <c r="C330" s="386"/>
      <c r="D330" s="386"/>
      <c r="E330" s="386"/>
      <c r="F330" s="408"/>
    </row>
    <row r="331" spans="1:6" x14ac:dyDescent="0.2">
      <c r="A331" s="388"/>
      <c r="B331" s="386"/>
      <c r="C331" s="386"/>
      <c r="D331" s="386"/>
      <c r="E331" s="386"/>
      <c r="F331" s="408"/>
    </row>
    <row r="332" spans="1:6" x14ac:dyDescent="0.2">
      <c r="A332" s="388"/>
      <c r="B332" s="386"/>
      <c r="C332" s="386"/>
      <c r="D332" s="386"/>
      <c r="E332" s="386"/>
      <c r="F332" s="408"/>
    </row>
    <row r="333" spans="1:6" x14ac:dyDescent="0.2">
      <c r="A333" s="388"/>
      <c r="B333" s="386"/>
      <c r="C333" s="386"/>
      <c r="D333" s="386"/>
      <c r="E333" s="386"/>
      <c r="F333" s="408"/>
    </row>
    <row r="334" spans="1:6" x14ac:dyDescent="0.2">
      <c r="A334" s="388"/>
      <c r="B334" s="386"/>
      <c r="C334" s="386"/>
      <c r="D334" s="386"/>
      <c r="E334" s="386"/>
      <c r="F334" s="408"/>
    </row>
    <row r="335" spans="1:6" x14ac:dyDescent="0.2">
      <c r="A335" s="388"/>
      <c r="B335" s="386"/>
      <c r="C335" s="386"/>
      <c r="D335" s="386"/>
      <c r="E335" s="386"/>
      <c r="F335" s="408"/>
    </row>
    <row r="336" spans="1:6" x14ac:dyDescent="0.2">
      <c r="A336" s="388"/>
      <c r="B336" s="386"/>
      <c r="C336" s="386"/>
      <c r="D336" s="386"/>
      <c r="E336" s="386"/>
      <c r="F336" s="408"/>
    </row>
    <row r="337" spans="1:6" x14ac:dyDescent="0.2">
      <c r="A337" s="388"/>
      <c r="B337" s="386"/>
      <c r="C337" s="386"/>
      <c r="D337" s="386"/>
      <c r="E337" s="386"/>
      <c r="F337" s="408"/>
    </row>
    <row r="338" spans="1:6" x14ac:dyDescent="0.2">
      <c r="A338" s="388"/>
      <c r="B338" s="386"/>
      <c r="C338" s="386"/>
      <c r="D338" s="386"/>
      <c r="E338" s="386"/>
      <c r="F338" s="408"/>
    </row>
    <row r="339" spans="1:6" x14ac:dyDescent="0.2">
      <c r="A339" s="388"/>
      <c r="B339" s="386"/>
      <c r="C339" s="386"/>
      <c r="D339" s="386"/>
      <c r="E339" s="386"/>
      <c r="F339" s="408"/>
    </row>
    <row r="340" spans="1:6" x14ac:dyDescent="0.2">
      <c r="A340" s="388"/>
      <c r="B340" s="386"/>
      <c r="C340" s="386"/>
      <c r="D340" s="386"/>
      <c r="E340" s="386"/>
      <c r="F340" s="408"/>
    </row>
    <row r="341" spans="1:6" x14ac:dyDescent="0.2">
      <c r="A341" s="388"/>
      <c r="B341" s="386"/>
      <c r="C341" s="386"/>
      <c r="D341" s="386"/>
      <c r="E341" s="386"/>
      <c r="F341" s="408"/>
    </row>
    <row r="342" spans="1:6" x14ac:dyDescent="0.2">
      <c r="A342" s="388"/>
      <c r="B342" s="386"/>
      <c r="C342" s="386"/>
      <c r="D342" s="386"/>
      <c r="E342" s="386"/>
      <c r="F342" s="408"/>
    </row>
    <row r="343" spans="1:6" x14ac:dyDescent="0.2">
      <c r="A343" s="388"/>
      <c r="B343" s="386"/>
      <c r="C343" s="386"/>
      <c r="D343" s="386"/>
      <c r="E343" s="386"/>
      <c r="F343" s="408"/>
    </row>
    <row r="344" spans="1:6" x14ac:dyDescent="0.2">
      <c r="A344" s="388"/>
      <c r="B344" s="386"/>
      <c r="C344" s="386"/>
      <c r="D344" s="386"/>
      <c r="E344" s="386"/>
      <c r="F344" s="408"/>
    </row>
    <row r="345" spans="1:6" x14ac:dyDescent="0.2">
      <c r="A345" s="388"/>
      <c r="B345" s="386"/>
      <c r="C345" s="386"/>
      <c r="D345" s="386"/>
      <c r="E345" s="386"/>
      <c r="F345" s="408"/>
    </row>
    <row r="346" spans="1:6" x14ac:dyDescent="0.2">
      <c r="A346" s="388"/>
      <c r="B346" s="386"/>
      <c r="C346" s="386"/>
      <c r="D346" s="386"/>
      <c r="E346" s="386"/>
      <c r="F346" s="408"/>
    </row>
    <row r="347" spans="1:6" x14ac:dyDescent="0.2">
      <c r="A347" s="388"/>
      <c r="B347" s="386"/>
      <c r="C347" s="386"/>
      <c r="D347" s="386"/>
      <c r="E347" s="386"/>
      <c r="F347" s="408"/>
    </row>
    <row r="348" spans="1:6" x14ac:dyDescent="0.2">
      <c r="A348" s="388"/>
      <c r="B348" s="386"/>
      <c r="C348" s="386"/>
      <c r="D348" s="386"/>
      <c r="E348" s="386"/>
      <c r="F348" s="408"/>
    </row>
    <row r="349" spans="1:6" x14ac:dyDescent="0.2">
      <c r="A349" s="388"/>
      <c r="B349" s="386"/>
      <c r="C349" s="386"/>
      <c r="D349" s="386"/>
      <c r="E349" s="386"/>
      <c r="F349" s="408"/>
    </row>
    <row r="350" spans="1:6" x14ac:dyDescent="0.2">
      <c r="A350" s="388"/>
      <c r="B350" s="386"/>
      <c r="C350" s="386"/>
      <c r="D350" s="386"/>
      <c r="E350" s="386"/>
      <c r="F350" s="408"/>
    </row>
    <row r="351" spans="1:6" x14ac:dyDescent="0.2">
      <c r="A351" s="388"/>
      <c r="B351" s="386"/>
      <c r="C351" s="386"/>
      <c r="D351" s="386"/>
      <c r="E351" s="386"/>
      <c r="F351" s="408"/>
    </row>
    <row r="352" spans="1:6" x14ac:dyDescent="0.2">
      <c r="A352" s="388"/>
      <c r="B352" s="386"/>
      <c r="C352" s="386"/>
      <c r="D352" s="386"/>
      <c r="E352" s="386"/>
      <c r="F352" s="408"/>
    </row>
    <row r="353" spans="1:6" x14ac:dyDescent="0.2">
      <c r="A353" s="388"/>
      <c r="B353" s="386"/>
      <c r="C353" s="386"/>
      <c r="D353" s="386"/>
      <c r="E353" s="386"/>
      <c r="F353" s="408"/>
    </row>
    <row r="354" spans="1:6" x14ac:dyDescent="0.2">
      <c r="A354" s="388"/>
      <c r="B354" s="386"/>
      <c r="C354" s="386"/>
      <c r="D354" s="386"/>
      <c r="E354" s="386"/>
      <c r="F354" s="408"/>
    </row>
    <row r="355" spans="1:6" x14ac:dyDescent="0.2">
      <c r="A355" s="388"/>
      <c r="B355" s="386"/>
      <c r="C355" s="386"/>
      <c r="D355" s="386"/>
      <c r="E355" s="386"/>
      <c r="F355" s="408"/>
    </row>
    <row r="356" spans="1:6" x14ac:dyDescent="0.2">
      <c r="A356" s="388"/>
      <c r="B356" s="386"/>
      <c r="C356" s="386"/>
      <c r="D356" s="386"/>
      <c r="E356" s="386"/>
      <c r="F356" s="408"/>
    </row>
    <row r="357" spans="1:6" x14ac:dyDescent="0.2">
      <c r="A357" s="388"/>
      <c r="B357" s="386"/>
      <c r="C357" s="386"/>
      <c r="D357" s="386"/>
      <c r="E357" s="386"/>
      <c r="F357" s="408"/>
    </row>
    <row r="358" spans="1:6" x14ac:dyDescent="0.2">
      <c r="A358" s="388"/>
      <c r="B358" s="386"/>
      <c r="C358" s="386"/>
      <c r="D358" s="386"/>
      <c r="E358" s="386"/>
      <c r="F358" s="408"/>
    </row>
    <row r="359" spans="1:6" x14ac:dyDescent="0.2">
      <c r="A359" s="388"/>
      <c r="B359" s="386"/>
      <c r="C359" s="386"/>
      <c r="D359" s="386"/>
      <c r="E359" s="386"/>
      <c r="F359" s="408"/>
    </row>
    <row r="360" spans="1:6" x14ac:dyDescent="0.2">
      <c r="A360" s="388"/>
      <c r="B360" s="386"/>
      <c r="C360" s="386"/>
      <c r="D360" s="386"/>
      <c r="E360" s="386"/>
      <c r="F360" s="408"/>
    </row>
    <row r="361" spans="1:6" x14ac:dyDescent="0.2">
      <c r="A361" s="388"/>
      <c r="B361" s="386"/>
      <c r="C361" s="386"/>
      <c r="D361" s="386"/>
      <c r="E361" s="386"/>
      <c r="F361" s="408"/>
    </row>
    <row r="362" spans="1:6" x14ac:dyDescent="0.2">
      <c r="A362" s="388"/>
      <c r="B362" s="386"/>
      <c r="C362" s="386"/>
      <c r="D362" s="386"/>
      <c r="E362" s="386"/>
      <c r="F362" s="408"/>
    </row>
    <row r="363" spans="1:6" x14ac:dyDescent="0.2">
      <c r="A363" s="388"/>
      <c r="B363" s="386"/>
      <c r="C363" s="386"/>
      <c r="D363" s="386"/>
      <c r="E363" s="386"/>
      <c r="F363" s="408"/>
    </row>
    <row r="364" spans="1:6" x14ac:dyDescent="0.2">
      <c r="A364" s="388"/>
      <c r="B364" s="386"/>
      <c r="C364" s="386"/>
      <c r="D364" s="386"/>
      <c r="E364" s="386"/>
      <c r="F364" s="408"/>
    </row>
    <row r="365" spans="1:6" x14ac:dyDescent="0.2">
      <c r="A365" s="388"/>
      <c r="B365" s="386"/>
      <c r="C365" s="386"/>
      <c r="D365" s="386"/>
      <c r="E365" s="386"/>
      <c r="F365" s="408"/>
    </row>
    <row r="366" spans="1:6" x14ac:dyDescent="0.2">
      <c r="A366" s="388"/>
      <c r="B366" s="386"/>
      <c r="C366" s="386"/>
      <c r="D366" s="386"/>
      <c r="E366" s="386"/>
      <c r="F366" s="408"/>
    </row>
    <row r="367" spans="1:6" x14ac:dyDescent="0.2">
      <c r="A367" s="388"/>
      <c r="B367" s="386"/>
      <c r="C367" s="386"/>
      <c r="D367" s="386"/>
      <c r="E367" s="386"/>
      <c r="F367" s="408"/>
    </row>
    <row r="368" spans="1:6" x14ac:dyDescent="0.2">
      <c r="A368" s="388"/>
      <c r="B368" s="386"/>
      <c r="C368" s="386"/>
      <c r="D368" s="386"/>
      <c r="E368" s="386"/>
      <c r="F368" s="408"/>
    </row>
    <row r="369" spans="1:6" x14ac:dyDescent="0.2">
      <c r="A369" s="388"/>
      <c r="B369" s="386"/>
      <c r="C369" s="386"/>
      <c r="D369" s="386"/>
      <c r="E369" s="386"/>
      <c r="F369" s="408"/>
    </row>
    <row r="370" spans="1:6" x14ac:dyDescent="0.2">
      <c r="A370" s="388"/>
      <c r="B370" s="386"/>
      <c r="C370" s="386"/>
      <c r="D370" s="386"/>
      <c r="E370" s="386"/>
      <c r="F370" s="408"/>
    </row>
    <row r="371" spans="1:6" x14ac:dyDescent="0.2">
      <c r="A371" s="388"/>
      <c r="B371" s="386"/>
      <c r="C371" s="386"/>
      <c r="D371" s="386"/>
      <c r="E371" s="386"/>
      <c r="F371" s="408"/>
    </row>
    <row r="372" spans="1:6" x14ac:dyDescent="0.2">
      <c r="A372" s="388"/>
      <c r="B372" s="386"/>
      <c r="C372" s="386"/>
      <c r="D372" s="386"/>
      <c r="E372" s="386"/>
      <c r="F372" s="408"/>
    </row>
    <row r="373" spans="1:6" x14ac:dyDescent="0.2">
      <c r="A373" s="388"/>
      <c r="B373" s="386"/>
      <c r="C373" s="386"/>
      <c r="D373" s="386"/>
      <c r="E373" s="386"/>
      <c r="F373" s="408"/>
    </row>
    <row r="374" spans="1:6" x14ac:dyDescent="0.2">
      <c r="A374" s="388"/>
      <c r="B374" s="386"/>
      <c r="C374" s="386"/>
      <c r="D374" s="386"/>
      <c r="E374" s="386"/>
      <c r="F374" s="408"/>
    </row>
    <row r="375" spans="1:6" x14ac:dyDescent="0.2">
      <c r="A375" s="388"/>
      <c r="B375" s="386"/>
      <c r="C375" s="386"/>
      <c r="D375" s="386"/>
      <c r="E375" s="386"/>
      <c r="F375" s="408"/>
    </row>
    <row r="376" spans="1:6" x14ac:dyDescent="0.2">
      <c r="A376" s="388"/>
      <c r="B376" s="386"/>
      <c r="C376" s="386"/>
      <c r="D376" s="386"/>
      <c r="E376" s="386"/>
      <c r="F376" s="408"/>
    </row>
    <row r="377" spans="1:6" x14ac:dyDescent="0.2">
      <c r="A377" s="388"/>
      <c r="B377" s="386"/>
      <c r="C377" s="386"/>
      <c r="D377" s="386"/>
      <c r="E377" s="386"/>
      <c r="F377" s="408"/>
    </row>
    <row r="378" spans="1:6" x14ac:dyDescent="0.2">
      <c r="A378" s="388"/>
      <c r="B378" s="386"/>
      <c r="C378" s="386"/>
      <c r="D378" s="386"/>
      <c r="E378" s="386"/>
      <c r="F378" s="408"/>
    </row>
    <row r="379" spans="1:6" x14ac:dyDescent="0.2">
      <c r="A379" s="388"/>
      <c r="B379" s="386"/>
      <c r="C379" s="386"/>
      <c r="D379" s="386"/>
      <c r="E379" s="386"/>
      <c r="F379" s="408"/>
    </row>
    <row r="380" spans="1:6" x14ac:dyDescent="0.2">
      <c r="A380" s="388"/>
      <c r="B380" s="386"/>
      <c r="C380" s="386"/>
      <c r="D380" s="386"/>
      <c r="E380" s="386"/>
      <c r="F380" s="408"/>
    </row>
    <row r="381" spans="1:6" x14ac:dyDescent="0.2">
      <c r="A381" s="388"/>
      <c r="B381" s="386"/>
      <c r="C381" s="386"/>
      <c r="D381" s="386"/>
      <c r="E381" s="386"/>
      <c r="F381" s="408"/>
    </row>
    <row r="382" spans="1:6" x14ac:dyDescent="0.2">
      <c r="A382" s="388"/>
      <c r="B382" s="386"/>
      <c r="C382" s="386"/>
      <c r="D382" s="386"/>
      <c r="E382" s="386"/>
      <c r="F382" s="408"/>
    </row>
    <row r="383" spans="1:6" x14ac:dyDescent="0.2">
      <c r="A383" s="388"/>
      <c r="B383" s="386"/>
      <c r="C383" s="386"/>
      <c r="D383" s="386"/>
      <c r="E383" s="386"/>
      <c r="F383" s="408"/>
    </row>
    <row r="384" spans="1:6" x14ac:dyDescent="0.2">
      <c r="A384" s="388"/>
      <c r="B384" s="386"/>
      <c r="C384" s="386"/>
      <c r="D384" s="386"/>
      <c r="E384" s="386"/>
      <c r="F384" s="408"/>
    </row>
    <row r="385" spans="1:6" x14ac:dyDescent="0.2">
      <c r="A385" s="388"/>
      <c r="B385" s="386"/>
      <c r="C385" s="386"/>
      <c r="D385" s="386"/>
      <c r="E385" s="386"/>
      <c r="F385" s="408"/>
    </row>
    <row r="386" spans="1:6" x14ac:dyDescent="0.2">
      <c r="A386" s="388"/>
      <c r="B386" s="386"/>
      <c r="C386" s="386"/>
      <c r="D386" s="386"/>
      <c r="E386" s="386"/>
      <c r="F386" s="408"/>
    </row>
    <row r="387" spans="1:6" x14ac:dyDescent="0.2">
      <c r="A387" s="388"/>
      <c r="B387" s="386"/>
      <c r="C387" s="386"/>
      <c r="D387" s="386"/>
      <c r="E387" s="386"/>
      <c r="F387" s="408"/>
    </row>
    <row r="388" spans="1:6" x14ac:dyDescent="0.2">
      <c r="A388" s="388"/>
      <c r="B388" s="386"/>
      <c r="C388" s="386"/>
      <c r="D388" s="386"/>
      <c r="E388" s="386"/>
      <c r="F388" s="408"/>
    </row>
    <row r="389" spans="1:6" x14ac:dyDescent="0.2">
      <c r="A389" s="388"/>
      <c r="B389" s="386"/>
      <c r="C389" s="386"/>
      <c r="D389" s="386"/>
      <c r="E389" s="386"/>
      <c r="F389" s="408"/>
    </row>
    <row r="390" spans="1:6" x14ac:dyDescent="0.2">
      <c r="A390" s="388"/>
      <c r="B390" s="386"/>
      <c r="C390" s="386"/>
      <c r="D390" s="386"/>
      <c r="E390" s="386"/>
      <c r="F390" s="408"/>
    </row>
    <row r="391" spans="1:6" x14ac:dyDescent="0.2">
      <c r="A391" s="388"/>
      <c r="B391" s="386"/>
      <c r="C391" s="386"/>
      <c r="D391" s="386"/>
      <c r="E391" s="386"/>
      <c r="F391" s="408"/>
    </row>
    <row r="392" spans="1:6" x14ac:dyDescent="0.2">
      <c r="A392" s="388"/>
      <c r="B392" s="386"/>
      <c r="C392" s="386"/>
      <c r="D392" s="386"/>
      <c r="E392" s="386"/>
      <c r="F392" s="408"/>
    </row>
    <row r="393" spans="1:6" x14ac:dyDescent="0.2">
      <c r="A393" s="388"/>
      <c r="B393" s="386"/>
      <c r="C393" s="386"/>
      <c r="D393" s="386"/>
      <c r="E393" s="386"/>
      <c r="F393" s="408"/>
    </row>
    <row r="394" spans="1:6" x14ac:dyDescent="0.2">
      <c r="A394" s="388"/>
      <c r="B394" s="386"/>
      <c r="C394" s="386"/>
      <c r="D394" s="386"/>
      <c r="E394" s="386"/>
      <c r="F394" s="408"/>
    </row>
    <row r="395" spans="1:6" x14ac:dyDescent="0.2">
      <c r="A395" s="388"/>
      <c r="B395" s="386"/>
      <c r="C395" s="386"/>
      <c r="D395" s="386"/>
      <c r="E395" s="386"/>
      <c r="F395" s="408"/>
    </row>
    <row r="396" spans="1:6" x14ac:dyDescent="0.2">
      <c r="A396" s="388"/>
      <c r="B396" s="386"/>
      <c r="C396" s="386"/>
      <c r="D396" s="386"/>
      <c r="E396" s="386"/>
      <c r="F396" s="408"/>
    </row>
    <row r="397" spans="1:6" x14ac:dyDescent="0.2">
      <c r="A397" s="388"/>
      <c r="B397" s="386"/>
      <c r="C397" s="386"/>
      <c r="D397" s="386"/>
      <c r="E397" s="386"/>
      <c r="F397" s="408"/>
    </row>
    <row r="398" spans="1:6" x14ac:dyDescent="0.2">
      <c r="A398" s="388"/>
      <c r="B398" s="386"/>
      <c r="C398" s="386"/>
      <c r="D398" s="386"/>
      <c r="E398" s="386"/>
      <c r="F398" s="408"/>
    </row>
    <row r="399" spans="1:6" x14ac:dyDescent="0.2">
      <c r="A399" s="388"/>
      <c r="B399" s="386"/>
      <c r="C399" s="386"/>
      <c r="D399" s="386"/>
      <c r="E399" s="386"/>
      <c r="F399" s="408"/>
    </row>
    <row r="400" spans="1:6" x14ac:dyDescent="0.2">
      <c r="A400" s="388"/>
      <c r="B400" s="386"/>
      <c r="C400" s="386"/>
      <c r="D400" s="386"/>
      <c r="E400" s="386"/>
      <c r="F400" s="408"/>
    </row>
    <row r="401" spans="1:12" x14ac:dyDescent="0.2">
      <c r="A401" s="388"/>
      <c r="B401" s="386"/>
      <c r="C401" s="386"/>
      <c r="D401" s="386"/>
      <c r="E401" s="386"/>
      <c r="F401" s="408"/>
    </row>
    <row r="402" spans="1:12" x14ac:dyDescent="0.2">
      <c r="A402" s="388"/>
      <c r="B402" s="386"/>
      <c r="C402" s="386"/>
      <c r="D402" s="386"/>
      <c r="E402" s="386"/>
      <c r="F402" s="408"/>
    </row>
    <row r="403" spans="1:12" x14ac:dyDescent="0.2">
      <c r="A403" s="388"/>
      <c r="B403" s="386"/>
      <c r="C403" s="386"/>
      <c r="D403" s="386"/>
      <c r="E403" s="386"/>
      <c r="F403" s="408"/>
    </row>
    <row r="404" spans="1:12" x14ac:dyDescent="0.2">
      <c r="A404" s="388"/>
      <c r="B404" s="386"/>
      <c r="C404" s="386"/>
      <c r="D404" s="386"/>
      <c r="E404" s="386"/>
      <c r="F404" s="408"/>
    </row>
    <row r="405" spans="1:12" x14ac:dyDescent="0.2">
      <c r="A405" s="388"/>
      <c r="B405" s="386"/>
      <c r="C405" s="386"/>
      <c r="D405" s="386"/>
      <c r="E405" s="386"/>
      <c r="F405" s="408"/>
    </row>
    <row r="406" spans="1:12" x14ac:dyDescent="0.2">
      <c r="A406" s="388"/>
      <c r="B406" s="386"/>
      <c r="C406" s="386"/>
      <c r="D406" s="386"/>
      <c r="E406" s="386"/>
      <c r="F406" s="408"/>
    </row>
    <row r="407" spans="1:12" x14ac:dyDescent="0.2">
      <c r="A407" s="388"/>
      <c r="B407" s="386"/>
      <c r="C407" s="386"/>
      <c r="D407" s="386"/>
      <c r="E407" s="386"/>
      <c r="F407" s="408"/>
    </row>
    <row r="408" spans="1:12" x14ac:dyDescent="0.2">
      <c r="A408" s="388"/>
      <c r="B408" s="386"/>
      <c r="C408" s="386"/>
      <c r="D408" s="386"/>
      <c r="E408" s="386"/>
      <c r="F408" s="408"/>
    </row>
    <row r="409" spans="1:12" x14ac:dyDescent="0.2">
      <c r="A409" s="388"/>
      <c r="B409" s="386"/>
      <c r="C409" s="386"/>
      <c r="D409" s="386"/>
      <c r="E409" s="386"/>
      <c r="F409" s="408"/>
      <c r="H409" s="599"/>
      <c r="I409" s="413"/>
      <c r="J409" s="87"/>
      <c r="L409" s="600"/>
    </row>
    <row r="410" spans="1:12" x14ac:dyDescent="0.2">
      <c r="A410" s="388"/>
      <c r="B410" s="386"/>
      <c r="C410" s="386"/>
      <c r="D410" s="386"/>
      <c r="E410" s="386"/>
      <c r="F410" s="408"/>
      <c r="H410" s="599"/>
      <c r="I410" s="413"/>
      <c r="J410" s="87"/>
      <c r="L410" s="600"/>
    </row>
    <row r="411" spans="1:12" x14ac:dyDescent="0.2">
      <c r="A411" s="388"/>
      <c r="B411" s="386"/>
      <c r="C411" s="386"/>
      <c r="D411" s="386"/>
      <c r="E411" s="386"/>
      <c r="F411" s="408"/>
      <c r="H411" s="599"/>
      <c r="I411" s="413"/>
      <c r="J411" s="87"/>
      <c r="L411" s="600"/>
    </row>
    <row r="412" spans="1:12" x14ac:dyDescent="0.2">
      <c r="A412" s="388"/>
      <c r="B412" s="386"/>
      <c r="C412" s="386"/>
      <c r="D412" s="386"/>
      <c r="E412" s="386"/>
      <c r="F412" s="408"/>
      <c r="H412" s="599"/>
      <c r="I412" s="413"/>
      <c r="J412" s="87"/>
      <c r="L412" s="600"/>
    </row>
    <row r="413" spans="1:12" x14ac:dyDescent="0.2">
      <c r="A413" s="388"/>
      <c r="B413" s="386"/>
      <c r="C413" s="386"/>
      <c r="D413" s="386"/>
      <c r="E413" s="386"/>
      <c r="F413" s="408"/>
    </row>
    <row r="414" spans="1:12" x14ac:dyDescent="0.2">
      <c r="A414" s="388"/>
      <c r="B414" s="386"/>
      <c r="C414" s="386"/>
      <c r="D414" s="386"/>
      <c r="E414" s="386"/>
      <c r="F414" s="408"/>
      <c r="H414" s="599"/>
      <c r="I414" s="470"/>
    </row>
    <row r="415" spans="1:12" x14ac:dyDescent="0.2">
      <c r="A415" s="388"/>
      <c r="B415" s="386"/>
      <c r="C415" s="386"/>
      <c r="D415" s="386"/>
      <c r="E415" s="386"/>
      <c r="F415" s="408"/>
      <c r="H415" s="599"/>
      <c r="I415" s="470"/>
    </row>
    <row r="416" spans="1:12" x14ac:dyDescent="0.2">
      <c r="A416" s="388"/>
      <c r="B416" s="386"/>
      <c r="C416" s="386"/>
      <c r="D416" s="386"/>
      <c r="E416" s="386"/>
      <c r="F416" s="408"/>
      <c r="H416" s="599"/>
      <c r="I416" s="470"/>
    </row>
    <row r="417" spans="1:6" x14ac:dyDescent="0.2">
      <c r="A417" s="388"/>
      <c r="B417" s="386"/>
      <c r="C417" s="386"/>
      <c r="D417" s="386"/>
      <c r="E417" s="386"/>
      <c r="F417" s="408"/>
    </row>
    <row r="418" spans="1:6" x14ac:dyDescent="0.2">
      <c r="A418" s="388"/>
      <c r="B418" s="386"/>
      <c r="C418" s="386"/>
      <c r="D418" s="386"/>
      <c r="E418" s="386"/>
      <c r="F418" s="408"/>
    </row>
    <row r="419" spans="1:6" x14ac:dyDescent="0.2">
      <c r="A419" s="388"/>
      <c r="B419" s="386"/>
      <c r="C419" s="386"/>
      <c r="D419" s="386"/>
      <c r="E419" s="386"/>
      <c r="F419" s="408"/>
    </row>
    <row r="420" spans="1:6" x14ac:dyDescent="0.2">
      <c r="A420" s="388"/>
      <c r="B420" s="386"/>
      <c r="C420" s="386"/>
      <c r="D420" s="386"/>
      <c r="E420" s="386"/>
      <c r="F420" s="408"/>
    </row>
    <row r="421" spans="1:6" x14ac:dyDescent="0.2">
      <c r="A421" s="388"/>
      <c r="B421" s="386"/>
      <c r="C421" s="386"/>
      <c r="D421" s="386"/>
      <c r="E421" s="386"/>
      <c r="F421" s="408"/>
    </row>
    <row r="422" spans="1:6" x14ac:dyDescent="0.2">
      <c r="A422" s="388"/>
      <c r="B422" s="386"/>
      <c r="C422" s="386"/>
      <c r="D422" s="386"/>
      <c r="E422" s="386"/>
      <c r="F422" s="408"/>
    </row>
    <row r="423" spans="1:6" x14ac:dyDescent="0.2">
      <c r="A423" s="388"/>
      <c r="B423" s="386"/>
      <c r="C423" s="386"/>
      <c r="D423" s="386"/>
      <c r="E423" s="386"/>
      <c r="F423" s="408"/>
    </row>
    <row r="424" spans="1:6" x14ac:dyDescent="0.2">
      <c r="A424" s="388"/>
      <c r="B424" s="386"/>
      <c r="C424" s="386"/>
      <c r="D424" s="386"/>
      <c r="E424" s="386"/>
      <c r="F424" s="408"/>
    </row>
    <row r="425" spans="1:6" x14ac:dyDescent="0.2">
      <c r="A425" s="388"/>
      <c r="B425" s="386"/>
      <c r="C425" s="386"/>
      <c r="D425" s="386"/>
      <c r="E425" s="386"/>
      <c r="F425" s="408"/>
    </row>
    <row r="426" spans="1:6" x14ac:dyDescent="0.2">
      <c r="A426" s="388"/>
      <c r="B426" s="386"/>
      <c r="C426" s="386"/>
      <c r="D426" s="386"/>
      <c r="E426" s="386"/>
      <c r="F426" s="408"/>
    </row>
    <row r="427" spans="1:6" x14ac:dyDescent="0.2">
      <c r="A427" s="388"/>
      <c r="B427" s="386"/>
      <c r="C427" s="386"/>
      <c r="D427" s="386"/>
      <c r="E427" s="386"/>
      <c r="F427" s="408"/>
    </row>
    <row r="428" spans="1:6" x14ac:dyDescent="0.2">
      <c r="A428" s="388"/>
      <c r="B428" s="386"/>
      <c r="C428" s="386"/>
      <c r="D428" s="386"/>
      <c r="E428" s="386"/>
      <c r="F428" s="408"/>
    </row>
    <row r="429" spans="1:6" x14ac:dyDescent="0.2">
      <c r="A429" s="388"/>
      <c r="B429" s="386"/>
      <c r="C429" s="386"/>
      <c r="D429" s="386"/>
      <c r="E429" s="386"/>
      <c r="F429" s="408"/>
    </row>
    <row r="430" spans="1:6" x14ac:dyDescent="0.2">
      <c r="A430" s="388"/>
      <c r="B430" s="386"/>
      <c r="C430" s="386"/>
      <c r="D430" s="386"/>
      <c r="E430" s="386"/>
      <c r="F430" s="408"/>
    </row>
    <row r="431" spans="1:6" x14ac:dyDescent="0.2">
      <c r="A431" s="388"/>
      <c r="B431" s="386"/>
      <c r="C431" s="386"/>
      <c r="D431" s="386"/>
      <c r="E431" s="386"/>
      <c r="F431" s="408"/>
    </row>
    <row r="432" spans="1:6" x14ac:dyDescent="0.2">
      <c r="A432" s="388"/>
      <c r="B432" s="386"/>
      <c r="C432" s="386"/>
      <c r="D432" s="386"/>
      <c r="E432" s="386"/>
      <c r="F432" s="408"/>
    </row>
    <row r="433" spans="1:6" x14ac:dyDescent="0.2">
      <c r="A433" s="388"/>
      <c r="B433" s="386"/>
      <c r="C433" s="386"/>
      <c r="D433" s="386"/>
      <c r="E433" s="386"/>
      <c r="F433" s="408"/>
    </row>
    <row r="434" spans="1:6" x14ac:dyDescent="0.2">
      <c r="A434" s="388"/>
      <c r="B434" s="386"/>
      <c r="C434" s="386"/>
      <c r="D434" s="386"/>
      <c r="E434" s="386"/>
      <c r="F434" s="408"/>
    </row>
    <row r="435" spans="1:6" x14ac:dyDescent="0.2">
      <c r="A435" s="388"/>
      <c r="B435" s="386"/>
      <c r="C435" s="386"/>
      <c r="D435" s="386"/>
      <c r="E435" s="386"/>
      <c r="F435" s="408"/>
    </row>
    <row r="436" spans="1:6" x14ac:dyDescent="0.2">
      <c r="A436" s="388"/>
      <c r="B436" s="386"/>
      <c r="C436" s="386"/>
      <c r="D436" s="386"/>
      <c r="E436" s="386"/>
      <c r="F436" s="408"/>
    </row>
    <row r="437" spans="1:6" x14ac:dyDescent="0.2">
      <c r="A437" s="388"/>
      <c r="B437" s="386"/>
      <c r="C437" s="386"/>
      <c r="D437" s="386"/>
      <c r="E437" s="386"/>
      <c r="F437" s="408"/>
    </row>
    <row r="438" spans="1:6" x14ac:dyDescent="0.2">
      <c r="A438" s="388"/>
      <c r="B438" s="386"/>
      <c r="C438" s="386"/>
      <c r="D438" s="386"/>
      <c r="E438" s="386"/>
      <c r="F438" s="408"/>
    </row>
    <row r="439" spans="1:6" x14ac:dyDescent="0.2">
      <c r="A439" s="388"/>
      <c r="B439" s="386"/>
      <c r="C439" s="386"/>
      <c r="D439" s="386"/>
      <c r="E439" s="386"/>
      <c r="F439" s="408"/>
    </row>
    <row r="440" spans="1:6" x14ac:dyDescent="0.2">
      <c r="A440" s="388"/>
      <c r="B440" s="386"/>
      <c r="C440" s="386"/>
      <c r="D440" s="386"/>
      <c r="E440" s="386"/>
      <c r="F440" s="408"/>
    </row>
    <row r="441" spans="1:6" x14ac:dyDescent="0.2">
      <c r="A441" s="388"/>
      <c r="B441" s="386"/>
      <c r="C441" s="386"/>
      <c r="D441" s="386"/>
      <c r="E441" s="386"/>
      <c r="F441" s="408"/>
    </row>
    <row r="442" spans="1:6" x14ac:dyDescent="0.2">
      <c r="A442" s="388"/>
      <c r="B442" s="386"/>
      <c r="C442" s="386"/>
      <c r="D442" s="386"/>
      <c r="E442" s="386"/>
      <c r="F442" s="408"/>
    </row>
    <row r="443" spans="1:6" x14ac:dyDescent="0.2">
      <c r="A443" s="388"/>
      <c r="B443" s="386"/>
      <c r="C443" s="386"/>
      <c r="D443" s="386"/>
      <c r="E443" s="386"/>
      <c r="F443" s="408"/>
    </row>
    <row r="444" spans="1:6" x14ac:dyDescent="0.2">
      <c r="A444" s="388"/>
      <c r="B444" s="386"/>
      <c r="C444" s="386"/>
      <c r="D444" s="386"/>
      <c r="E444" s="386"/>
      <c r="F444" s="408"/>
    </row>
    <row r="445" spans="1:6" x14ac:dyDescent="0.2">
      <c r="A445" s="388"/>
      <c r="B445" s="386"/>
      <c r="C445" s="386"/>
      <c r="D445" s="386"/>
      <c r="E445" s="386"/>
      <c r="F445" s="408"/>
    </row>
    <row r="446" spans="1:6" x14ac:dyDescent="0.2">
      <c r="A446" s="388"/>
      <c r="B446" s="386"/>
      <c r="C446" s="386"/>
      <c r="D446" s="386"/>
      <c r="E446" s="386"/>
      <c r="F446" s="408"/>
    </row>
    <row r="447" spans="1:6" x14ac:dyDescent="0.2">
      <c r="A447" s="388"/>
      <c r="B447" s="386"/>
      <c r="C447" s="386"/>
      <c r="D447" s="386"/>
      <c r="E447" s="386"/>
      <c r="F447" s="408"/>
    </row>
    <row r="448" spans="1:6" x14ac:dyDescent="0.2">
      <c r="A448" s="388"/>
      <c r="B448" s="386"/>
      <c r="C448" s="386"/>
      <c r="D448" s="386"/>
      <c r="E448" s="386"/>
      <c r="F448" s="408"/>
    </row>
    <row r="449" spans="1:6" x14ac:dyDescent="0.2">
      <c r="A449" s="388"/>
      <c r="B449" s="386"/>
      <c r="C449" s="386"/>
      <c r="D449" s="386"/>
      <c r="E449" s="386"/>
      <c r="F449" s="408"/>
    </row>
    <row r="450" spans="1:6" x14ac:dyDescent="0.2">
      <c r="A450" s="388"/>
      <c r="B450" s="386"/>
      <c r="C450" s="386"/>
      <c r="D450" s="386"/>
      <c r="E450" s="386"/>
      <c r="F450" s="408"/>
    </row>
    <row r="451" spans="1:6" x14ac:dyDescent="0.2">
      <c r="A451" s="388"/>
      <c r="B451" s="386"/>
      <c r="C451" s="386"/>
      <c r="D451" s="386"/>
      <c r="E451" s="386"/>
      <c r="F451" s="408"/>
    </row>
    <row r="452" spans="1:6" x14ac:dyDescent="0.2">
      <c r="A452" s="388"/>
      <c r="B452" s="386"/>
      <c r="C452" s="386"/>
      <c r="D452" s="386"/>
      <c r="E452" s="386"/>
      <c r="F452" s="408"/>
    </row>
    <row r="453" spans="1:6" x14ac:dyDescent="0.2">
      <c r="A453" s="388"/>
      <c r="B453" s="386"/>
      <c r="C453" s="386"/>
      <c r="D453" s="386"/>
      <c r="E453" s="386"/>
      <c r="F453" s="408"/>
    </row>
    <row r="454" spans="1:6" x14ac:dyDescent="0.2">
      <c r="A454" s="388"/>
      <c r="B454" s="386"/>
      <c r="C454" s="386"/>
      <c r="D454" s="386"/>
      <c r="E454" s="386"/>
      <c r="F454" s="408"/>
    </row>
    <row r="455" spans="1:6" x14ac:dyDescent="0.2">
      <c r="A455" s="388"/>
      <c r="B455" s="386"/>
      <c r="C455" s="386"/>
      <c r="D455" s="386"/>
      <c r="E455" s="386"/>
      <c r="F455" s="408"/>
    </row>
    <row r="456" spans="1:6" x14ac:dyDescent="0.2">
      <c r="A456" s="388"/>
      <c r="B456" s="386"/>
      <c r="C456" s="386"/>
      <c r="D456" s="386"/>
      <c r="E456" s="386"/>
      <c r="F456" s="408"/>
    </row>
    <row r="457" spans="1:6" x14ac:dyDescent="0.2">
      <c r="A457" s="388"/>
      <c r="B457" s="386"/>
      <c r="C457" s="386"/>
      <c r="D457" s="386"/>
      <c r="E457" s="386"/>
      <c r="F457" s="408"/>
    </row>
    <row r="458" spans="1:6" x14ac:dyDescent="0.2">
      <c r="A458" s="388"/>
      <c r="B458" s="386"/>
      <c r="C458" s="386"/>
      <c r="D458" s="386"/>
      <c r="E458" s="386"/>
      <c r="F458" s="408"/>
    </row>
    <row r="459" spans="1:6" x14ac:dyDescent="0.2">
      <c r="A459" s="388"/>
      <c r="B459" s="386"/>
      <c r="C459" s="386"/>
      <c r="D459" s="386"/>
      <c r="E459" s="386"/>
      <c r="F459" s="408"/>
    </row>
    <row r="460" spans="1:6" x14ac:dyDescent="0.2">
      <c r="A460" s="388"/>
      <c r="B460" s="386"/>
      <c r="C460" s="386"/>
      <c r="D460" s="386"/>
      <c r="E460" s="386"/>
      <c r="F460" s="408"/>
    </row>
    <row r="461" spans="1:6" x14ac:dyDescent="0.2">
      <c r="A461" s="388"/>
      <c r="B461" s="386"/>
      <c r="C461" s="386"/>
      <c r="D461" s="386"/>
      <c r="E461" s="386"/>
      <c r="F461" s="408"/>
    </row>
    <row r="462" spans="1:6" x14ac:dyDescent="0.2">
      <c r="A462" s="388"/>
      <c r="B462" s="386"/>
      <c r="C462" s="386"/>
      <c r="D462" s="386"/>
      <c r="E462" s="386"/>
      <c r="F462" s="408"/>
    </row>
    <row r="463" spans="1:6" x14ac:dyDescent="0.2">
      <c r="A463" s="388"/>
      <c r="B463" s="386"/>
      <c r="C463" s="386"/>
      <c r="D463" s="386"/>
      <c r="E463" s="386"/>
      <c r="F463" s="408"/>
    </row>
    <row r="464" spans="1:6" x14ac:dyDescent="0.2">
      <c r="A464" s="388"/>
      <c r="B464" s="386"/>
      <c r="C464" s="386"/>
      <c r="D464" s="386"/>
      <c r="E464" s="386"/>
      <c r="F464" s="408"/>
    </row>
    <row r="465" spans="1:6" x14ac:dyDescent="0.2">
      <c r="A465" s="388"/>
      <c r="B465" s="386"/>
      <c r="C465" s="386"/>
      <c r="D465" s="386"/>
      <c r="E465" s="386"/>
      <c r="F465" s="408"/>
    </row>
    <row r="466" spans="1:6" x14ac:dyDescent="0.2">
      <c r="A466" s="388"/>
      <c r="B466" s="386"/>
      <c r="C466" s="386"/>
      <c r="D466" s="386"/>
      <c r="E466" s="386"/>
      <c r="F466" s="408"/>
    </row>
    <row r="467" spans="1:6" x14ac:dyDescent="0.2">
      <c r="A467" s="388"/>
      <c r="B467" s="386"/>
      <c r="C467" s="386"/>
      <c r="D467" s="386"/>
      <c r="E467" s="386"/>
      <c r="F467" s="408"/>
    </row>
    <row r="468" spans="1:6" x14ac:dyDescent="0.2">
      <c r="A468" s="388"/>
      <c r="B468" s="386"/>
      <c r="C468" s="386"/>
      <c r="D468" s="386"/>
      <c r="E468" s="386"/>
      <c r="F468" s="408"/>
    </row>
    <row r="469" spans="1:6" x14ac:dyDescent="0.2">
      <c r="A469" s="388"/>
      <c r="B469" s="386"/>
      <c r="C469" s="386"/>
      <c r="D469" s="386"/>
      <c r="E469" s="386"/>
      <c r="F469" s="408"/>
    </row>
    <row r="470" spans="1:6" x14ac:dyDescent="0.2">
      <c r="A470" s="388"/>
      <c r="B470" s="386"/>
      <c r="C470" s="386"/>
      <c r="D470" s="386"/>
      <c r="E470" s="386"/>
      <c r="F470" s="408"/>
    </row>
    <row r="471" spans="1:6" x14ac:dyDescent="0.2">
      <c r="A471" s="388"/>
      <c r="B471" s="386"/>
      <c r="C471" s="386"/>
      <c r="D471" s="386"/>
      <c r="E471" s="386"/>
      <c r="F471" s="408"/>
    </row>
    <row r="472" spans="1:6" x14ac:dyDescent="0.2">
      <c r="A472" s="388"/>
      <c r="B472" s="386"/>
      <c r="C472" s="386"/>
      <c r="D472" s="386"/>
      <c r="E472" s="386"/>
      <c r="F472" s="408"/>
    </row>
    <row r="473" spans="1:6" x14ac:dyDescent="0.2">
      <c r="A473" s="388"/>
      <c r="B473" s="386"/>
      <c r="C473" s="386"/>
      <c r="D473" s="386"/>
      <c r="E473" s="386"/>
      <c r="F473" s="408"/>
    </row>
    <row r="474" spans="1:6" x14ac:dyDescent="0.2">
      <c r="A474" s="388"/>
      <c r="B474" s="386"/>
      <c r="C474" s="386"/>
      <c r="D474" s="386"/>
      <c r="E474" s="386"/>
      <c r="F474" s="408"/>
    </row>
    <row r="475" spans="1:6" x14ac:dyDescent="0.2">
      <c r="A475" s="388"/>
      <c r="B475" s="386"/>
      <c r="C475" s="386"/>
      <c r="D475" s="386"/>
      <c r="E475" s="386"/>
      <c r="F475" s="408"/>
    </row>
    <row r="476" spans="1:6" x14ac:dyDescent="0.2">
      <c r="A476" s="388"/>
      <c r="B476" s="386"/>
      <c r="C476" s="386"/>
      <c r="D476" s="386"/>
      <c r="E476" s="386"/>
      <c r="F476" s="408"/>
    </row>
    <row r="477" spans="1:6" x14ac:dyDescent="0.2">
      <c r="A477" s="388"/>
      <c r="B477" s="386"/>
      <c r="C477" s="386"/>
      <c r="D477" s="386"/>
      <c r="E477" s="386"/>
      <c r="F477" s="408"/>
    </row>
    <row r="478" spans="1:6" x14ac:dyDescent="0.2">
      <c r="A478" s="388"/>
      <c r="B478" s="386"/>
      <c r="C478" s="386"/>
      <c r="D478" s="386"/>
      <c r="E478" s="386"/>
      <c r="F478" s="408"/>
    </row>
    <row r="479" spans="1:6" x14ac:dyDescent="0.2">
      <c r="A479" s="388"/>
      <c r="B479" s="386"/>
      <c r="C479" s="386"/>
      <c r="D479" s="386"/>
      <c r="E479" s="386"/>
      <c r="F479" s="408"/>
    </row>
    <row r="480" spans="1:6" x14ac:dyDescent="0.2">
      <c r="A480" s="388"/>
      <c r="B480" s="386"/>
      <c r="C480" s="386"/>
      <c r="D480" s="386"/>
      <c r="E480" s="386"/>
      <c r="F480" s="408"/>
    </row>
    <row r="481" spans="1:6" x14ac:dyDescent="0.2">
      <c r="A481" s="388"/>
      <c r="B481" s="386"/>
      <c r="C481" s="386"/>
      <c r="D481" s="386"/>
      <c r="E481" s="386"/>
      <c r="F481" s="408"/>
    </row>
    <row r="482" spans="1:6" x14ac:dyDescent="0.2">
      <c r="A482" s="388"/>
      <c r="B482" s="386"/>
      <c r="C482" s="386"/>
      <c r="D482" s="386"/>
      <c r="E482" s="386"/>
      <c r="F482" s="408"/>
    </row>
    <row r="483" spans="1:6" x14ac:dyDescent="0.2">
      <c r="A483" s="388"/>
      <c r="B483" s="386"/>
      <c r="C483" s="386"/>
      <c r="D483" s="386"/>
      <c r="E483" s="386"/>
      <c r="F483" s="408"/>
    </row>
    <row r="484" spans="1:6" x14ac:dyDescent="0.2">
      <c r="A484" s="388"/>
      <c r="B484" s="386"/>
      <c r="C484" s="386"/>
      <c r="D484" s="386"/>
      <c r="E484" s="386"/>
      <c r="F484" s="408"/>
    </row>
    <row r="485" spans="1:6" x14ac:dyDescent="0.2">
      <c r="A485" s="388"/>
      <c r="B485" s="386"/>
      <c r="C485" s="386"/>
      <c r="D485" s="386"/>
      <c r="E485" s="386"/>
      <c r="F485" s="408"/>
    </row>
    <row r="486" spans="1:6" x14ac:dyDescent="0.2">
      <c r="A486" s="388"/>
      <c r="B486" s="386"/>
      <c r="C486" s="386"/>
      <c r="D486" s="386"/>
      <c r="E486" s="386"/>
      <c r="F486" s="408"/>
    </row>
    <row r="487" spans="1:6" x14ac:dyDescent="0.2">
      <c r="A487" s="388"/>
      <c r="B487" s="386"/>
      <c r="C487" s="386"/>
      <c r="D487" s="386"/>
      <c r="E487" s="386"/>
      <c r="F487" s="408"/>
    </row>
    <row r="488" spans="1:6" x14ac:dyDescent="0.2">
      <c r="A488" s="388"/>
      <c r="B488" s="386"/>
      <c r="C488" s="386"/>
      <c r="D488" s="386"/>
      <c r="E488" s="386"/>
      <c r="F488" s="408"/>
    </row>
    <row r="489" spans="1:6" x14ac:dyDescent="0.2">
      <c r="A489" s="388"/>
      <c r="B489" s="386"/>
      <c r="C489" s="386"/>
      <c r="D489" s="386"/>
      <c r="E489" s="386"/>
      <c r="F489" s="408"/>
    </row>
    <row r="490" spans="1:6" x14ac:dyDescent="0.2">
      <c r="A490" s="388"/>
      <c r="B490" s="386"/>
      <c r="C490" s="386"/>
      <c r="D490" s="386"/>
      <c r="E490" s="386"/>
      <c r="F490" s="408"/>
    </row>
    <row r="491" spans="1:6" x14ac:dyDescent="0.2">
      <c r="A491" s="388"/>
      <c r="B491" s="386"/>
      <c r="C491" s="386"/>
      <c r="D491" s="386"/>
      <c r="E491" s="386"/>
      <c r="F491" s="408"/>
    </row>
    <row r="492" spans="1:6" x14ac:dyDescent="0.2">
      <c r="A492" s="388"/>
      <c r="B492" s="386"/>
      <c r="C492" s="386"/>
      <c r="D492" s="386"/>
      <c r="E492" s="386"/>
      <c r="F492" s="408"/>
    </row>
    <row r="493" spans="1:6" x14ac:dyDescent="0.2">
      <c r="A493" s="388"/>
      <c r="B493" s="386"/>
      <c r="C493" s="386"/>
      <c r="D493" s="386"/>
      <c r="E493" s="386"/>
      <c r="F493" s="408"/>
    </row>
    <row r="494" spans="1:6" x14ac:dyDescent="0.2">
      <c r="A494" s="388"/>
      <c r="B494" s="386"/>
      <c r="C494" s="386"/>
      <c r="D494" s="386"/>
      <c r="E494" s="386"/>
      <c r="F494" s="408"/>
    </row>
    <row r="495" spans="1:6" x14ac:dyDescent="0.2">
      <c r="A495" s="388"/>
      <c r="B495" s="386"/>
      <c r="C495" s="386"/>
      <c r="D495" s="386"/>
      <c r="E495" s="386"/>
      <c r="F495" s="408"/>
    </row>
    <row r="496" spans="1:6" x14ac:dyDescent="0.2">
      <c r="A496" s="388"/>
      <c r="B496" s="386"/>
      <c r="C496" s="386"/>
      <c r="D496" s="386"/>
      <c r="E496" s="386"/>
      <c r="F496" s="408"/>
    </row>
    <row r="497" spans="1:6" x14ac:dyDescent="0.2">
      <c r="A497" s="388"/>
      <c r="B497" s="386"/>
      <c r="C497" s="386"/>
      <c r="D497" s="386"/>
      <c r="E497" s="386"/>
      <c r="F497" s="408"/>
    </row>
    <row r="498" spans="1:6" x14ac:dyDescent="0.2">
      <c r="A498" s="388"/>
      <c r="B498" s="386"/>
      <c r="C498" s="386"/>
      <c r="D498" s="386"/>
      <c r="E498" s="386"/>
      <c r="F498" s="408"/>
    </row>
    <row r="499" spans="1:6" x14ac:dyDescent="0.2">
      <c r="A499" s="388"/>
      <c r="B499" s="386"/>
      <c r="C499" s="386"/>
      <c r="D499" s="386"/>
      <c r="E499" s="386"/>
      <c r="F499" s="408"/>
    </row>
    <row r="500" spans="1:6" x14ac:dyDescent="0.2">
      <c r="A500" s="388"/>
      <c r="B500" s="386"/>
      <c r="C500" s="386"/>
      <c r="D500" s="386"/>
      <c r="E500" s="386"/>
      <c r="F500" s="408"/>
    </row>
    <row r="501" spans="1:6" x14ac:dyDescent="0.2">
      <c r="A501" s="388"/>
      <c r="B501" s="386"/>
      <c r="C501" s="386"/>
      <c r="D501" s="386"/>
      <c r="E501" s="386"/>
      <c r="F501" s="408"/>
    </row>
    <row r="502" spans="1:6" x14ac:dyDescent="0.2">
      <c r="A502" s="388"/>
      <c r="B502" s="386"/>
      <c r="C502" s="386"/>
      <c r="D502" s="386"/>
      <c r="E502" s="386"/>
      <c r="F502" s="408"/>
    </row>
    <row r="503" spans="1:6" x14ac:dyDescent="0.2">
      <c r="A503" s="388"/>
      <c r="B503" s="386"/>
      <c r="C503" s="386"/>
      <c r="D503" s="386"/>
      <c r="E503" s="386"/>
      <c r="F503" s="408"/>
    </row>
    <row r="504" spans="1:6" x14ac:dyDescent="0.2">
      <c r="A504" s="388"/>
      <c r="B504" s="386"/>
      <c r="C504" s="386"/>
      <c r="D504" s="386"/>
      <c r="E504" s="386"/>
      <c r="F504" s="408"/>
    </row>
    <row r="505" spans="1:6" x14ac:dyDescent="0.2">
      <c r="A505" s="388"/>
      <c r="B505" s="386"/>
      <c r="C505" s="386"/>
      <c r="D505" s="386"/>
      <c r="E505" s="386"/>
      <c r="F505" s="408"/>
    </row>
    <row r="506" spans="1:6" x14ac:dyDescent="0.2">
      <c r="A506" s="388"/>
      <c r="B506" s="386"/>
      <c r="C506" s="386"/>
      <c r="D506" s="386"/>
      <c r="E506" s="386"/>
      <c r="F506" s="408"/>
    </row>
    <row r="507" spans="1:6" x14ac:dyDescent="0.2">
      <c r="A507" s="388"/>
      <c r="B507" s="386"/>
      <c r="C507" s="386"/>
      <c r="D507" s="386"/>
      <c r="E507" s="386"/>
      <c r="F507" s="408"/>
    </row>
    <row r="508" spans="1:6" x14ac:dyDescent="0.2">
      <c r="A508" s="388"/>
      <c r="B508" s="386"/>
      <c r="C508" s="386"/>
      <c r="D508" s="386"/>
      <c r="E508" s="386"/>
      <c r="F508" s="408"/>
    </row>
    <row r="509" spans="1:6" x14ac:dyDescent="0.2">
      <c r="A509" s="388"/>
      <c r="B509" s="386"/>
      <c r="C509" s="386"/>
      <c r="D509" s="386"/>
      <c r="E509" s="386"/>
      <c r="F509" s="408"/>
    </row>
    <row r="510" spans="1:6" x14ac:dyDescent="0.2">
      <c r="A510" s="388"/>
      <c r="B510" s="386"/>
      <c r="C510" s="386"/>
      <c r="D510" s="386"/>
      <c r="E510" s="386"/>
      <c r="F510" s="408"/>
    </row>
    <row r="511" spans="1:6" x14ac:dyDescent="0.2">
      <c r="A511" s="388"/>
      <c r="B511" s="386"/>
      <c r="C511" s="386"/>
      <c r="D511" s="386"/>
      <c r="E511" s="386"/>
      <c r="F511" s="408"/>
    </row>
    <row r="512" spans="1:6" x14ac:dyDescent="0.2">
      <c r="A512" s="388"/>
      <c r="B512" s="386"/>
      <c r="C512" s="386"/>
      <c r="D512" s="386"/>
      <c r="E512" s="386"/>
      <c r="F512" s="408"/>
    </row>
    <row r="513" spans="1:6" x14ac:dyDescent="0.2">
      <c r="A513" s="388"/>
      <c r="B513" s="386"/>
      <c r="C513" s="386"/>
      <c r="D513" s="386"/>
      <c r="E513" s="386"/>
      <c r="F513" s="408"/>
    </row>
    <row r="514" spans="1:6" x14ac:dyDescent="0.2">
      <c r="A514" s="388"/>
      <c r="B514" s="386"/>
      <c r="C514" s="386"/>
      <c r="D514" s="386"/>
      <c r="E514" s="386"/>
      <c r="F514" s="408"/>
    </row>
    <row r="515" spans="1:6" x14ac:dyDescent="0.2">
      <c r="A515" s="388"/>
      <c r="B515" s="386"/>
      <c r="C515" s="386"/>
      <c r="D515" s="386"/>
      <c r="E515" s="386"/>
      <c r="F515" s="408"/>
    </row>
    <row r="516" spans="1:6" x14ac:dyDescent="0.2">
      <c r="A516" s="388"/>
      <c r="B516" s="386"/>
      <c r="C516" s="386"/>
      <c r="D516" s="386"/>
      <c r="E516" s="386"/>
      <c r="F516" s="408"/>
    </row>
    <row r="517" spans="1:6" x14ac:dyDescent="0.2">
      <c r="A517" s="388"/>
      <c r="B517" s="386"/>
      <c r="C517" s="386"/>
      <c r="D517" s="386"/>
      <c r="E517" s="386"/>
      <c r="F517" s="408"/>
    </row>
    <row r="518" spans="1:6" x14ac:dyDescent="0.2">
      <c r="A518" s="388"/>
      <c r="B518" s="386"/>
      <c r="C518" s="386"/>
      <c r="D518" s="386"/>
      <c r="E518" s="386"/>
      <c r="F518" s="408"/>
    </row>
    <row r="519" spans="1:6" x14ac:dyDescent="0.2">
      <c r="A519" s="388"/>
      <c r="B519" s="386"/>
      <c r="C519" s="386"/>
      <c r="D519" s="386"/>
      <c r="E519" s="386"/>
      <c r="F519" s="408"/>
    </row>
    <row r="520" spans="1:6" x14ac:dyDescent="0.2">
      <c r="A520" s="388"/>
      <c r="B520" s="386"/>
      <c r="C520" s="386"/>
      <c r="D520" s="386"/>
      <c r="E520" s="386"/>
      <c r="F520" s="408"/>
    </row>
    <row r="521" spans="1:6" x14ac:dyDescent="0.2">
      <c r="A521" s="388"/>
      <c r="B521" s="386"/>
      <c r="C521" s="386"/>
      <c r="D521" s="386"/>
      <c r="E521" s="386"/>
      <c r="F521" s="408"/>
    </row>
    <row r="522" spans="1:6" x14ac:dyDescent="0.2">
      <c r="A522" s="388"/>
      <c r="B522" s="386"/>
      <c r="C522" s="386"/>
      <c r="D522" s="386"/>
      <c r="E522" s="386"/>
      <c r="F522" s="408"/>
    </row>
    <row r="523" spans="1:6" x14ac:dyDescent="0.2">
      <c r="A523" s="388"/>
      <c r="B523" s="386"/>
      <c r="C523" s="386"/>
      <c r="D523" s="386"/>
      <c r="E523" s="386"/>
      <c r="F523" s="408"/>
    </row>
    <row r="524" spans="1:6" x14ac:dyDescent="0.2">
      <c r="A524" s="388"/>
      <c r="B524" s="386"/>
      <c r="C524" s="386"/>
      <c r="D524" s="386"/>
      <c r="E524" s="386"/>
      <c r="F524" s="408"/>
    </row>
    <row r="525" spans="1:6" x14ac:dyDescent="0.2">
      <c r="A525" s="388"/>
      <c r="B525" s="386"/>
      <c r="C525" s="386"/>
      <c r="D525" s="386"/>
      <c r="E525" s="386"/>
      <c r="F525" s="408"/>
    </row>
    <row r="526" spans="1:6" x14ac:dyDescent="0.2">
      <c r="A526" s="388"/>
      <c r="B526" s="386"/>
      <c r="C526" s="386"/>
      <c r="D526" s="386"/>
      <c r="E526" s="386"/>
      <c r="F526" s="408"/>
    </row>
    <row r="527" spans="1:6" x14ac:dyDescent="0.2">
      <c r="A527" s="388"/>
      <c r="B527" s="386"/>
      <c r="C527" s="386"/>
      <c r="D527" s="386"/>
      <c r="E527" s="386"/>
      <c r="F527" s="408"/>
    </row>
    <row r="528" spans="1:6" x14ac:dyDescent="0.2">
      <c r="A528" s="388"/>
      <c r="B528" s="386"/>
      <c r="C528" s="386"/>
      <c r="D528" s="386"/>
      <c r="E528" s="386"/>
      <c r="F528" s="408"/>
    </row>
    <row r="529" spans="1:6" x14ac:dyDescent="0.2">
      <c r="A529" s="388"/>
      <c r="B529" s="386"/>
      <c r="C529" s="386"/>
      <c r="D529" s="386"/>
      <c r="E529" s="386"/>
      <c r="F529" s="408"/>
    </row>
    <row r="530" spans="1:6" x14ac:dyDescent="0.2">
      <c r="A530" s="388"/>
      <c r="B530" s="386"/>
      <c r="C530" s="386"/>
      <c r="D530" s="386"/>
      <c r="E530" s="386"/>
      <c r="F530" s="408"/>
    </row>
    <row r="531" spans="1:6" x14ac:dyDescent="0.2">
      <c r="A531" s="388"/>
      <c r="B531" s="386"/>
      <c r="C531" s="386"/>
      <c r="D531" s="386"/>
      <c r="E531" s="386"/>
      <c r="F531" s="408"/>
    </row>
    <row r="532" spans="1:6" x14ac:dyDescent="0.2">
      <c r="A532" s="388"/>
      <c r="B532" s="386"/>
      <c r="C532" s="386"/>
      <c r="D532" s="386"/>
      <c r="E532" s="386"/>
      <c r="F532" s="408"/>
    </row>
    <row r="533" spans="1:6" x14ac:dyDescent="0.2">
      <c r="A533" s="388"/>
      <c r="B533" s="386"/>
      <c r="C533" s="386"/>
      <c r="D533" s="386"/>
      <c r="E533" s="386"/>
      <c r="F533" s="408"/>
    </row>
    <row r="534" spans="1:6" x14ac:dyDescent="0.2">
      <c r="A534" s="388"/>
      <c r="B534" s="386"/>
      <c r="C534" s="386"/>
      <c r="D534" s="386"/>
      <c r="E534" s="386"/>
      <c r="F534" s="408"/>
    </row>
    <row r="535" spans="1:6" x14ac:dyDescent="0.2">
      <c r="A535" s="388"/>
      <c r="B535" s="386"/>
      <c r="C535" s="386"/>
      <c r="D535" s="386"/>
      <c r="E535" s="386"/>
      <c r="F535" s="408"/>
    </row>
    <row r="536" spans="1:6" x14ac:dyDescent="0.2">
      <c r="A536" s="388"/>
      <c r="B536" s="386"/>
      <c r="C536" s="386"/>
      <c r="D536" s="386"/>
      <c r="E536" s="386"/>
      <c r="F536" s="408"/>
    </row>
    <row r="537" spans="1:6" x14ac:dyDescent="0.2">
      <c r="A537" s="388"/>
      <c r="B537" s="386"/>
      <c r="C537" s="386"/>
      <c r="D537" s="386"/>
      <c r="E537" s="386"/>
      <c r="F537" s="408"/>
    </row>
    <row r="538" spans="1:6" x14ac:dyDescent="0.2">
      <c r="A538" s="388"/>
      <c r="B538" s="386"/>
      <c r="C538" s="386"/>
      <c r="D538" s="386"/>
      <c r="E538" s="386"/>
      <c r="F538" s="408"/>
    </row>
    <row r="539" spans="1:6" x14ac:dyDescent="0.2">
      <c r="A539" s="388"/>
      <c r="B539" s="386"/>
      <c r="C539" s="386"/>
      <c r="D539" s="386"/>
      <c r="E539" s="386"/>
      <c r="F539" s="408"/>
    </row>
    <row r="540" spans="1:6" x14ac:dyDescent="0.2">
      <c r="A540" s="388"/>
      <c r="B540" s="386"/>
      <c r="C540" s="386"/>
      <c r="D540" s="386"/>
      <c r="E540" s="386"/>
      <c r="F540" s="408"/>
    </row>
    <row r="541" spans="1:6" x14ac:dyDescent="0.2">
      <c r="A541" s="388"/>
      <c r="B541" s="386"/>
      <c r="C541" s="386"/>
      <c r="D541" s="386"/>
      <c r="E541" s="386"/>
      <c r="F541" s="408"/>
    </row>
    <row r="542" spans="1:6" x14ac:dyDescent="0.2">
      <c r="A542" s="388"/>
      <c r="B542" s="386"/>
      <c r="C542" s="386"/>
      <c r="D542" s="386"/>
      <c r="E542" s="386"/>
      <c r="F542" s="408"/>
    </row>
    <row r="543" spans="1:6" x14ac:dyDescent="0.2">
      <c r="A543" s="388"/>
      <c r="B543" s="386"/>
      <c r="C543" s="386"/>
      <c r="D543" s="386"/>
      <c r="E543" s="386"/>
      <c r="F543" s="408"/>
    </row>
    <row r="544" spans="1:6" x14ac:dyDescent="0.2">
      <c r="A544" s="388"/>
      <c r="B544" s="386"/>
      <c r="C544" s="386"/>
      <c r="D544" s="386"/>
      <c r="E544" s="386"/>
      <c r="F544" s="408"/>
    </row>
    <row r="545" spans="1:6" x14ac:dyDescent="0.2">
      <c r="A545" s="388"/>
      <c r="B545" s="386"/>
      <c r="C545" s="386"/>
      <c r="D545" s="386"/>
      <c r="E545" s="386"/>
      <c r="F545" s="408"/>
    </row>
    <row r="546" spans="1:6" x14ac:dyDescent="0.2">
      <c r="A546" s="388"/>
      <c r="B546" s="386"/>
      <c r="C546" s="386"/>
      <c r="D546" s="386"/>
      <c r="E546" s="386"/>
      <c r="F546" s="408"/>
    </row>
    <row r="547" spans="1:6" x14ac:dyDescent="0.2">
      <c r="A547" s="388"/>
      <c r="B547" s="386"/>
      <c r="C547" s="386"/>
      <c r="D547" s="386"/>
      <c r="E547" s="386"/>
      <c r="F547" s="408"/>
    </row>
    <row r="548" spans="1:6" x14ac:dyDescent="0.2">
      <c r="A548" s="388"/>
      <c r="B548" s="386"/>
      <c r="C548" s="386"/>
      <c r="D548" s="386"/>
      <c r="E548" s="386"/>
      <c r="F548" s="408"/>
    </row>
    <row r="549" spans="1:6" x14ac:dyDescent="0.2">
      <c r="A549" s="388"/>
      <c r="B549" s="386"/>
      <c r="C549" s="386"/>
      <c r="D549" s="386"/>
      <c r="E549" s="386"/>
      <c r="F549" s="408"/>
    </row>
    <row r="550" spans="1:6" x14ac:dyDescent="0.2">
      <c r="A550" s="388"/>
      <c r="B550" s="386"/>
      <c r="C550" s="386"/>
      <c r="D550" s="386"/>
      <c r="E550" s="386"/>
      <c r="F550" s="408"/>
    </row>
    <row r="551" spans="1:6" x14ac:dyDescent="0.2">
      <c r="A551" s="388"/>
      <c r="B551" s="386"/>
      <c r="C551" s="386"/>
      <c r="D551" s="386"/>
      <c r="E551" s="386"/>
      <c r="F551" s="408"/>
    </row>
    <row r="552" spans="1:6" x14ac:dyDescent="0.2">
      <c r="A552" s="388"/>
      <c r="B552" s="386"/>
      <c r="C552" s="386"/>
      <c r="D552" s="386"/>
      <c r="E552" s="386"/>
      <c r="F552" s="408"/>
    </row>
    <row r="553" spans="1:6" x14ac:dyDescent="0.2">
      <c r="A553" s="388"/>
      <c r="B553" s="386"/>
      <c r="C553" s="386"/>
      <c r="D553" s="386"/>
      <c r="E553" s="386"/>
      <c r="F553" s="408"/>
    </row>
    <row r="554" spans="1:6" x14ac:dyDescent="0.2">
      <c r="A554" s="388"/>
      <c r="B554" s="386"/>
      <c r="C554" s="386"/>
      <c r="D554" s="386"/>
      <c r="E554" s="386"/>
      <c r="F554" s="408"/>
    </row>
    <row r="555" spans="1:6" x14ac:dyDescent="0.2">
      <c r="A555" s="388"/>
      <c r="B555" s="386"/>
      <c r="C555" s="386"/>
      <c r="D555" s="386"/>
      <c r="E555" s="386"/>
      <c r="F555" s="408"/>
    </row>
    <row r="556" spans="1:6" x14ac:dyDescent="0.2">
      <c r="A556" s="388"/>
      <c r="B556" s="386"/>
      <c r="C556" s="386"/>
      <c r="D556" s="386"/>
      <c r="E556" s="386"/>
      <c r="F556" s="408"/>
    </row>
    <row r="557" spans="1:6" x14ac:dyDescent="0.2">
      <c r="A557" s="388"/>
      <c r="B557" s="386"/>
      <c r="C557" s="386"/>
      <c r="D557" s="386"/>
      <c r="E557" s="386"/>
      <c r="F557" s="408"/>
    </row>
    <row r="558" spans="1:6" x14ac:dyDescent="0.2">
      <c r="A558" s="388"/>
      <c r="B558" s="386"/>
      <c r="C558" s="386"/>
      <c r="D558" s="386"/>
      <c r="E558" s="386"/>
      <c r="F558" s="408"/>
    </row>
    <row r="559" spans="1:6" x14ac:dyDescent="0.2">
      <c r="A559" s="388"/>
      <c r="B559" s="386"/>
      <c r="C559" s="386"/>
      <c r="D559" s="386"/>
      <c r="E559" s="386"/>
      <c r="F559" s="408"/>
    </row>
    <row r="560" spans="1:6" x14ac:dyDescent="0.2">
      <c r="A560" s="388"/>
      <c r="B560" s="386"/>
      <c r="C560" s="386"/>
      <c r="D560" s="386"/>
      <c r="E560" s="386"/>
      <c r="F560" s="408"/>
    </row>
    <row r="561" spans="1:6" x14ac:dyDescent="0.2">
      <c r="A561" s="388"/>
      <c r="B561" s="386"/>
      <c r="C561" s="386"/>
      <c r="D561" s="386"/>
      <c r="E561" s="386"/>
      <c r="F561" s="408"/>
    </row>
    <row r="562" spans="1:6" x14ac:dyDescent="0.2">
      <c r="A562" s="388"/>
      <c r="B562" s="386"/>
      <c r="C562" s="386"/>
      <c r="D562" s="386"/>
      <c r="E562" s="386"/>
      <c r="F562" s="408"/>
    </row>
    <row r="563" spans="1:6" x14ac:dyDescent="0.2">
      <c r="A563" s="388"/>
      <c r="B563" s="386"/>
      <c r="C563" s="386"/>
      <c r="D563" s="386"/>
      <c r="E563" s="386"/>
      <c r="F563" s="408"/>
    </row>
    <row r="564" spans="1:6" x14ac:dyDescent="0.2">
      <c r="A564" s="388"/>
      <c r="B564" s="386"/>
      <c r="C564" s="386"/>
      <c r="D564" s="386"/>
      <c r="E564" s="386"/>
      <c r="F564" s="408"/>
    </row>
    <row r="565" spans="1:6" x14ac:dyDescent="0.2">
      <c r="A565" s="388"/>
      <c r="B565" s="386"/>
      <c r="C565" s="386"/>
      <c r="D565" s="386"/>
      <c r="E565" s="386"/>
      <c r="F565" s="408"/>
    </row>
    <row r="566" spans="1:6" x14ac:dyDescent="0.2">
      <c r="A566" s="388"/>
      <c r="B566" s="386"/>
      <c r="C566" s="386"/>
      <c r="D566" s="386"/>
      <c r="E566" s="386"/>
      <c r="F566" s="408"/>
    </row>
    <row r="567" spans="1:6" x14ac:dyDescent="0.2">
      <c r="A567" s="388"/>
      <c r="B567" s="386"/>
      <c r="C567" s="386"/>
      <c r="D567" s="386"/>
      <c r="E567" s="386"/>
      <c r="F567" s="408"/>
    </row>
    <row r="568" spans="1:6" x14ac:dyDescent="0.2">
      <c r="A568" s="388"/>
      <c r="B568" s="386"/>
      <c r="C568" s="386"/>
      <c r="D568" s="386"/>
      <c r="E568" s="386"/>
      <c r="F568" s="408"/>
    </row>
    <row r="569" spans="1:6" x14ac:dyDescent="0.2">
      <c r="A569" s="388"/>
      <c r="B569" s="386"/>
      <c r="C569" s="386"/>
      <c r="D569" s="386"/>
      <c r="E569" s="386"/>
      <c r="F569" s="408"/>
    </row>
    <row r="570" spans="1:6" x14ac:dyDescent="0.2">
      <c r="A570" s="388"/>
      <c r="B570" s="386"/>
      <c r="C570" s="386"/>
      <c r="D570" s="386"/>
      <c r="E570" s="386"/>
      <c r="F570" s="408"/>
    </row>
    <row r="571" spans="1:6" x14ac:dyDescent="0.2">
      <c r="A571" s="388"/>
      <c r="B571" s="386"/>
      <c r="C571" s="386"/>
      <c r="D571" s="386"/>
      <c r="E571" s="386"/>
      <c r="F571" s="408"/>
    </row>
    <row r="572" spans="1:6" x14ac:dyDescent="0.2">
      <c r="A572" s="388"/>
      <c r="B572" s="386"/>
      <c r="C572" s="386"/>
      <c r="D572" s="386"/>
      <c r="E572" s="386"/>
      <c r="F572" s="408"/>
    </row>
    <row r="573" spans="1:6" x14ac:dyDescent="0.2">
      <c r="A573" s="388"/>
      <c r="B573" s="386"/>
      <c r="C573" s="386"/>
      <c r="D573" s="386"/>
      <c r="E573" s="386"/>
      <c r="F573" s="408"/>
    </row>
    <row r="574" spans="1:6" x14ac:dyDescent="0.2">
      <c r="A574" s="388"/>
      <c r="B574" s="386"/>
      <c r="C574" s="386"/>
      <c r="D574" s="386"/>
      <c r="E574" s="386"/>
      <c r="F574" s="408"/>
    </row>
    <row r="575" spans="1:6" x14ac:dyDescent="0.2">
      <c r="A575" s="388"/>
      <c r="B575" s="386"/>
      <c r="C575" s="386"/>
      <c r="D575" s="386"/>
      <c r="E575" s="386"/>
      <c r="F575" s="408"/>
    </row>
    <row r="576" spans="1:6" x14ac:dyDescent="0.2">
      <c r="A576" s="388"/>
      <c r="B576" s="386"/>
      <c r="C576" s="386"/>
      <c r="D576" s="386"/>
      <c r="E576" s="386"/>
      <c r="F576" s="408"/>
    </row>
    <row r="577" spans="1:6" x14ac:dyDescent="0.2">
      <c r="A577" s="388"/>
      <c r="B577" s="386"/>
      <c r="C577" s="386"/>
      <c r="D577" s="386"/>
      <c r="E577" s="386"/>
      <c r="F577" s="408"/>
    </row>
    <row r="578" spans="1:6" x14ac:dyDescent="0.2">
      <c r="A578" s="388"/>
      <c r="B578" s="386"/>
      <c r="C578" s="386"/>
      <c r="D578" s="386"/>
      <c r="E578" s="386"/>
      <c r="F578" s="408"/>
    </row>
    <row r="579" spans="1:6" x14ac:dyDescent="0.2">
      <c r="A579" s="388"/>
      <c r="B579" s="386"/>
      <c r="C579" s="386"/>
      <c r="D579" s="386"/>
      <c r="E579" s="386"/>
      <c r="F579" s="408"/>
    </row>
    <row r="580" spans="1:6" x14ac:dyDescent="0.2">
      <c r="A580" s="388"/>
      <c r="B580" s="386"/>
      <c r="C580" s="386"/>
      <c r="D580" s="386"/>
      <c r="E580" s="386"/>
      <c r="F580" s="408"/>
    </row>
    <row r="581" spans="1:6" x14ac:dyDescent="0.2">
      <c r="A581" s="388"/>
      <c r="B581" s="386"/>
      <c r="C581" s="386"/>
      <c r="D581" s="386"/>
      <c r="E581" s="386"/>
      <c r="F581" s="408"/>
    </row>
    <row r="582" spans="1:6" x14ac:dyDescent="0.2">
      <c r="A582" s="388"/>
      <c r="B582" s="386"/>
      <c r="C582" s="386"/>
      <c r="D582" s="386"/>
      <c r="E582" s="386"/>
      <c r="F582" s="408"/>
    </row>
    <row r="583" spans="1:6" x14ac:dyDescent="0.2">
      <c r="A583" s="388"/>
      <c r="B583" s="386"/>
      <c r="C583" s="386"/>
      <c r="D583" s="386"/>
      <c r="E583" s="386"/>
      <c r="F583" s="408"/>
    </row>
    <row r="584" spans="1:6" x14ac:dyDescent="0.2">
      <c r="A584" s="388"/>
      <c r="B584" s="386"/>
      <c r="C584" s="386"/>
      <c r="D584" s="386"/>
      <c r="E584" s="386"/>
      <c r="F584" s="408"/>
    </row>
    <row r="585" spans="1:6" x14ac:dyDescent="0.2">
      <c r="A585" s="388"/>
      <c r="B585" s="386"/>
      <c r="C585" s="386"/>
      <c r="D585" s="386"/>
      <c r="E585" s="386"/>
      <c r="F585" s="408"/>
    </row>
    <row r="586" spans="1:6" x14ac:dyDescent="0.2">
      <c r="A586" s="388"/>
      <c r="B586" s="386"/>
      <c r="C586" s="386"/>
      <c r="D586" s="386"/>
      <c r="E586" s="386"/>
      <c r="F586" s="408"/>
    </row>
    <row r="587" spans="1:6" x14ac:dyDescent="0.2">
      <c r="A587" s="388"/>
      <c r="B587" s="386"/>
      <c r="C587" s="386"/>
      <c r="D587" s="386"/>
      <c r="E587" s="386"/>
      <c r="F587" s="408"/>
    </row>
    <row r="588" spans="1:6" x14ac:dyDescent="0.2">
      <c r="A588" s="388"/>
      <c r="B588" s="386"/>
      <c r="C588" s="386"/>
      <c r="D588" s="386"/>
      <c r="E588" s="386"/>
      <c r="F588" s="408"/>
    </row>
    <row r="589" spans="1:6" x14ac:dyDescent="0.2">
      <c r="A589" s="388"/>
      <c r="B589" s="386"/>
      <c r="C589" s="386"/>
      <c r="D589" s="386"/>
      <c r="E589" s="386"/>
      <c r="F589" s="408"/>
    </row>
    <row r="590" spans="1:6" x14ac:dyDescent="0.2">
      <c r="A590" s="388"/>
      <c r="B590" s="386"/>
      <c r="C590" s="386"/>
      <c r="D590" s="386"/>
      <c r="E590" s="386"/>
      <c r="F590" s="408"/>
    </row>
    <row r="591" spans="1:6" x14ac:dyDescent="0.2">
      <c r="A591" s="388"/>
      <c r="B591" s="386"/>
      <c r="C591" s="386"/>
      <c r="D591" s="386"/>
      <c r="E591" s="386"/>
      <c r="F591" s="408"/>
    </row>
    <row r="592" spans="1:6" x14ac:dyDescent="0.2">
      <c r="A592" s="388"/>
      <c r="B592" s="386"/>
      <c r="C592" s="386"/>
      <c r="D592" s="386"/>
      <c r="E592" s="386"/>
      <c r="F592" s="408"/>
    </row>
    <row r="593" spans="1:6" x14ac:dyDescent="0.2">
      <c r="A593" s="388"/>
      <c r="B593" s="386"/>
      <c r="C593" s="386"/>
      <c r="D593" s="386"/>
      <c r="E593" s="386"/>
      <c r="F593" s="408"/>
    </row>
    <row r="594" spans="1:6" x14ac:dyDescent="0.2">
      <c r="A594" s="388"/>
      <c r="B594" s="386"/>
      <c r="C594" s="386"/>
      <c r="D594" s="386"/>
      <c r="E594" s="386"/>
      <c r="F594" s="408"/>
    </row>
    <row r="595" spans="1:6" x14ac:dyDescent="0.2">
      <c r="A595" s="388"/>
      <c r="B595" s="386"/>
      <c r="C595" s="386"/>
      <c r="D595" s="386"/>
      <c r="E595" s="386"/>
      <c r="F595" s="408"/>
    </row>
    <row r="596" spans="1:6" x14ac:dyDescent="0.2">
      <c r="A596" s="388"/>
      <c r="B596" s="386"/>
      <c r="C596" s="386"/>
      <c r="D596" s="386"/>
      <c r="E596" s="386"/>
      <c r="F596" s="408"/>
    </row>
    <row r="597" spans="1:6" x14ac:dyDescent="0.2">
      <c r="A597" s="388"/>
      <c r="B597" s="386"/>
      <c r="C597" s="386"/>
      <c r="D597" s="386"/>
      <c r="E597" s="386"/>
      <c r="F597" s="408"/>
    </row>
    <row r="598" spans="1:6" x14ac:dyDescent="0.2">
      <c r="A598" s="388"/>
      <c r="B598" s="386"/>
      <c r="C598" s="386"/>
      <c r="D598" s="386"/>
      <c r="E598" s="386"/>
      <c r="F598" s="408"/>
    </row>
    <row r="599" spans="1:6" x14ac:dyDescent="0.2">
      <c r="A599" s="388"/>
      <c r="B599" s="386"/>
      <c r="C599" s="386"/>
      <c r="D599" s="386"/>
      <c r="E599" s="386"/>
      <c r="F599" s="408"/>
    </row>
    <row r="600" spans="1:6" x14ac:dyDescent="0.2">
      <c r="A600" s="388"/>
      <c r="B600" s="386"/>
      <c r="C600" s="386"/>
      <c r="D600" s="386"/>
      <c r="E600" s="386"/>
      <c r="F600" s="408"/>
    </row>
    <row r="601" spans="1:6" x14ac:dyDescent="0.2">
      <c r="A601" s="388"/>
      <c r="B601" s="386"/>
      <c r="C601" s="386"/>
      <c r="D601" s="386"/>
      <c r="E601" s="386"/>
      <c r="F601" s="408"/>
    </row>
    <row r="602" spans="1:6" x14ac:dyDescent="0.2">
      <c r="A602" s="388"/>
      <c r="B602" s="386"/>
      <c r="C602" s="386"/>
      <c r="D602" s="386"/>
      <c r="E602" s="386"/>
      <c r="F602" s="408"/>
    </row>
    <row r="603" spans="1:6" x14ac:dyDescent="0.2">
      <c r="A603" s="388"/>
      <c r="B603" s="386"/>
      <c r="C603" s="386"/>
      <c r="D603" s="386"/>
      <c r="E603" s="386"/>
      <c r="F603" s="408"/>
    </row>
    <row r="604" spans="1:6" x14ac:dyDescent="0.2">
      <c r="A604" s="388"/>
      <c r="B604" s="386"/>
      <c r="C604" s="386"/>
      <c r="D604" s="386"/>
      <c r="E604" s="386"/>
      <c r="F604" s="408"/>
    </row>
    <row r="605" spans="1:6" x14ac:dyDescent="0.2">
      <c r="A605" s="388"/>
      <c r="B605" s="386"/>
      <c r="C605" s="386"/>
      <c r="D605" s="386"/>
      <c r="E605" s="386"/>
      <c r="F605" s="408"/>
    </row>
    <row r="606" spans="1:6" x14ac:dyDescent="0.2">
      <c r="A606" s="388"/>
      <c r="B606" s="386"/>
      <c r="C606" s="386"/>
      <c r="D606" s="386"/>
      <c r="E606" s="386"/>
      <c r="F606" s="408"/>
    </row>
    <row r="607" spans="1:6" x14ac:dyDescent="0.2">
      <c r="A607" s="388"/>
      <c r="B607" s="386"/>
      <c r="C607" s="386"/>
      <c r="D607" s="386"/>
      <c r="E607" s="386"/>
      <c r="F607" s="408"/>
    </row>
    <row r="608" spans="1:6" x14ac:dyDescent="0.2">
      <c r="A608" s="388"/>
      <c r="B608" s="386"/>
      <c r="C608" s="386"/>
      <c r="D608" s="386"/>
      <c r="E608" s="386"/>
      <c r="F608" s="408"/>
    </row>
    <row r="609" spans="1:6" x14ac:dyDescent="0.2">
      <c r="A609" s="388"/>
      <c r="B609" s="386"/>
      <c r="C609" s="386"/>
      <c r="D609" s="386"/>
      <c r="E609" s="386"/>
      <c r="F609" s="408"/>
    </row>
    <row r="610" spans="1:6" x14ac:dyDescent="0.2">
      <c r="A610" s="388"/>
      <c r="B610" s="386"/>
      <c r="C610" s="386"/>
      <c r="D610" s="386"/>
      <c r="E610" s="386"/>
      <c r="F610" s="408"/>
    </row>
    <row r="611" spans="1:6" x14ac:dyDescent="0.2">
      <c r="A611" s="388"/>
      <c r="B611" s="386"/>
      <c r="C611" s="386"/>
      <c r="D611" s="386"/>
      <c r="E611" s="386"/>
      <c r="F611" s="408"/>
    </row>
    <row r="612" spans="1:6" x14ac:dyDescent="0.2">
      <c r="A612" s="388"/>
      <c r="B612" s="386"/>
      <c r="C612" s="386"/>
      <c r="D612" s="386"/>
      <c r="E612" s="386"/>
      <c r="F612" s="408"/>
    </row>
    <row r="613" spans="1:6" x14ac:dyDescent="0.2">
      <c r="A613" s="388"/>
      <c r="B613" s="386"/>
      <c r="C613" s="386"/>
      <c r="D613" s="386"/>
      <c r="E613" s="386"/>
      <c r="F613" s="408"/>
    </row>
    <row r="614" spans="1:6" x14ac:dyDescent="0.2">
      <c r="A614" s="388"/>
      <c r="B614" s="386"/>
      <c r="C614" s="386"/>
      <c r="D614" s="386"/>
      <c r="E614" s="386"/>
      <c r="F614" s="408"/>
    </row>
    <row r="615" spans="1:6" x14ac:dyDescent="0.2">
      <c r="A615" s="388"/>
      <c r="B615" s="386"/>
      <c r="C615" s="386"/>
      <c r="D615" s="386"/>
      <c r="E615" s="386"/>
      <c r="F615" s="408"/>
    </row>
    <row r="616" spans="1:6" x14ac:dyDescent="0.2">
      <c r="A616" s="388"/>
      <c r="B616" s="386"/>
      <c r="C616" s="386"/>
      <c r="D616" s="386"/>
      <c r="E616" s="386"/>
      <c r="F616" s="408"/>
    </row>
    <row r="617" spans="1:6" x14ac:dyDescent="0.2">
      <c r="A617" s="388"/>
      <c r="B617" s="386"/>
      <c r="C617" s="386"/>
      <c r="D617" s="386"/>
      <c r="E617" s="386"/>
      <c r="F617" s="408"/>
    </row>
    <row r="618" spans="1:6" x14ac:dyDescent="0.2">
      <c r="A618" s="388"/>
      <c r="B618" s="386"/>
      <c r="C618" s="386"/>
      <c r="D618" s="386"/>
      <c r="E618" s="386"/>
      <c r="F618" s="408"/>
    </row>
    <row r="619" spans="1:6" x14ac:dyDescent="0.2">
      <c r="A619" s="388"/>
      <c r="B619" s="386"/>
      <c r="C619" s="386"/>
      <c r="D619" s="386"/>
      <c r="E619" s="386"/>
      <c r="F619" s="408"/>
    </row>
    <row r="620" spans="1:6" x14ac:dyDescent="0.2">
      <c r="A620" s="388"/>
      <c r="B620" s="386"/>
      <c r="C620" s="386"/>
      <c r="D620" s="386"/>
      <c r="E620" s="386"/>
      <c r="F620" s="408"/>
    </row>
    <row r="621" spans="1:6" x14ac:dyDescent="0.2">
      <c r="A621" s="388"/>
      <c r="B621" s="386"/>
      <c r="C621" s="386"/>
      <c r="D621" s="386"/>
      <c r="E621" s="386"/>
      <c r="F621" s="408"/>
    </row>
    <row r="622" spans="1:6" x14ac:dyDescent="0.2">
      <c r="A622" s="388"/>
      <c r="B622" s="386"/>
      <c r="C622" s="386"/>
      <c r="D622" s="386"/>
      <c r="E622" s="386"/>
      <c r="F622" s="408"/>
    </row>
    <row r="623" spans="1:6" x14ac:dyDescent="0.2">
      <c r="A623" s="388"/>
      <c r="B623" s="386"/>
      <c r="C623" s="386"/>
      <c r="D623" s="386"/>
      <c r="E623" s="386"/>
      <c r="F623" s="408"/>
    </row>
    <row r="624" spans="1:6" x14ac:dyDescent="0.2">
      <c r="A624" s="388"/>
      <c r="B624" s="386"/>
      <c r="C624" s="386"/>
      <c r="D624" s="386"/>
      <c r="E624" s="386"/>
      <c r="F624" s="408"/>
    </row>
    <row r="625" spans="1:6" x14ac:dyDescent="0.2">
      <c r="A625" s="388"/>
      <c r="B625" s="386"/>
      <c r="C625" s="386"/>
      <c r="D625" s="386"/>
      <c r="E625" s="386"/>
      <c r="F625" s="408"/>
    </row>
    <row r="626" spans="1:6" x14ac:dyDescent="0.2">
      <c r="A626" s="388"/>
      <c r="B626" s="386"/>
      <c r="C626" s="386"/>
      <c r="D626" s="386"/>
      <c r="E626" s="386"/>
      <c r="F626" s="408"/>
    </row>
    <row r="627" spans="1:6" x14ac:dyDescent="0.2">
      <c r="A627" s="388"/>
      <c r="B627" s="386"/>
      <c r="C627" s="386"/>
      <c r="D627" s="386"/>
      <c r="E627" s="386"/>
      <c r="F627" s="408"/>
    </row>
    <row r="628" spans="1:6" x14ac:dyDescent="0.2">
      <c r="A628" s="388"/>
      <c r="B628" s="386"/>
      <c r="C628" s="386"/>
      <c r="D628" s="386"/>
      <c r="E628" s="386"/>
      <c r="F628" s="408"/>
    </row>
    <row r="629" spans="1:6" x14ac:dyDescent="0.2">
      <c r="A629" s="388"/>
      <c r="B629" s="386"/>
      <c r="C629" s="386"/>
      <c r="D629" s="386"/>
      <c r="E629" s="386"/>
      <c r="F629" s="408"/>
    </row>
    <row r="630" spans="1:6" x14ac:dyDescent="0.2">
      <c r="A630" s="388"/>
      <c r="B630" s="386"/>
      <c r="C630" s="386"/>
      <c r="D630" s="386"/>
      <c r="E630" s="386"/>
      <c r="F630" s="408"/>
    </row>
    <row r="631" spans="1:6" x14ac:dyDescent="0.2">
      <c r="A631" s="388"/>
      <c r="B631" s="386"/>
      <c r="C631" s="386"/>
      <c r="D631" s="386"/>
      <c r="E631" s="386"/>
      <c r="F631" s="408"/>
    </row>
    <row r="632" spans="1:6" x14ac:dyDescent="0.2">
      <c r="A632" s="388"/>
      <c r="B632" s="386"/>
      <c r="C632" s="386"/>
      <c r="D632" s="386"/>
      <c r="E632" s="386"/>
      <c r="F632" s="408"/>
    </row>
    <row r="633" spans="1:6" x14ac:dyDescent="0.2">
      <c r="A633" s="388"/>
      <c r="B633" s="386"/>
      <c r="C633" s="386"/>
      <c r="D633" s="386"/>
      <c r="E633" s="386"/>
      <c r="F633" s="408"/>
    </row>
    <row r="634" spans="1:6" x14ac:dyDescent="0.2">
      <c r="A634" s="388"/>
      <c r="B634" s="386"/>
      <c r="C634" s="386"/>
      <c r="D634" s="386"/>
      <c r="E634" s="386"/>
      <c r="F634" s="408"/>
    </row>
    <row r="635" spans="1:6" x14ac:dyDescent="0.2">
      <c r="A635" s="388"/>
      <c r="B635" s="386"/>
      <c r="C635" s="386"/>
      <c r="D635" s="386"/>
      <c r="E635" s="386"/>
      <c r="F635" s="408"/>
    </row>
    <row r="636" spans="1:6" x14ac:dyDescent="0.2">
      <c r="A636" s="388"/>
      <c r="B636" s="386"/>
      <c r="C636" s="386"/>
      <c r="D636" s="386"/>
      <c r="E636" s="386"/>
      <c r="F636" s="408"/>
    </row>
    <row r="637" spans="1:6" x14ac:dyDescent="0.2">
      <c r="A637" s="388"/>
      <c r="B637" s="386"/>
      <c r="C637" s="386"/>
      <c r="D637" s="386"/>
      <c r="E637" s="386"/>
      <c r="F637" s="408"/>
    </row>
    <row r="638" spans="1:6" x14ac:dyDescent="0.2">
      <c r="A638" s="388"/>
      <c r="B638" s="386"/>
      <c r="C638" s="386"/>
      <c r="D638" s="386"/>
      <c r="E638" s="386"/>
      <c r="F638" s="408"/>
    </row>
    <row r="639" spans="1:6" x14ac:dyDescent="0.2">
      <c r="A639" s="388"/>
      <c r="B639" s="386"/>
      <c r="C639" s="386"/>
      <c r="D639" s="386"/>
      <c r="E639" s="386"/>
      <c r="F639" s="408"/>
    </row>
    <row r="640" spans="1:6" x14ac:dyDescent="0.2">
      <c r="A640" s="388"/>
      <c r="B640" s="386"/>
      <c r="C640" s="386"/>
      <c r="D640" s="386"/>
      <c r="E640" s="386"/>
      <c r="F640" s="408"/>
    </row>
    <row r="641" spans="1:6" x14ac:dyDescent="0.2">
      <c r="A641" s="388"/>
      <c r="B641" s="386"/>
      <c r="C641" s="386"/>
      <c r="D641" s="386"/>
      <c r="E641" s="386"/>
      <c r="F641" s="408"/>
    </row>
    <row r="642" spans="1:6" x14ac:dyDescent="0.2">
      <c r="A642" s="388"/>
      <c r="B642" s="386"/>
      <c r="C642" s="386"/>
      <c r="D642" s="386"/>
      <c r="E642" s="386"/>
      <c r="F642" s="408"/>
    </row>
    <row r="643" spans="1:6" x14ac:dyDescent="0.2">
      <c r="A643" s="388"/>
      <c r="B643" s="386"/>
      <c r="C643" s="386"/>
      <c r="D643" s="386"/>
      <c r="E643" s="386"/>
      <c r="F643" s="408"/>
    </row>
    <row r="644" spans="1:6" x14ac:dyDescent="0.2">
      <c r="A644" s="388"/>
      <c r="B644" s="386"/>
      <c r="C644" s="386"/>
      <c r="D644" s="386"/>
      <c r="E644" s="386"/>
      <c r="F644" s="408"/>
    </row>
    <row r="645" spans="1:6" x14ac:dyDescent="0.2">
      <c r="A645" s="388"/>
      <c r="B645" s="386"/>
      <c r="C645" s="386"/>
      <c r="D645" s="386"/>
      <c r="E645" s="386"/>
      <c r="F645" s="408"/>
    </row>
    <row r="646" spans="1:6" x14ac:dyDescent="0.2">
      <c r="A646" s="388"/>
      <c r="B646" s="386"/>
      <c r="C646" s="386"/>
      <c r="D646" s="386"/>
      <c r="E646" s="386"/>
      <c r="F646" s="408"/>
    </row>
    <row r="647" spans="1:6" x14ac:dyDescent="0.2">
      <c r="A647" s="388"/>
      <c r="B647" s="386"/>
      <c r="C647" s="386"/>
      <c r="D647" s="386"/>
      <c r="E647" s="386"/>
      <c r="F647" s="408"/>
    </row>
    <row r="648" spans="1:6" x14ac:dyDescent="0.2">
      <c r="A648" s="388"/>
      <c r="B648" s="386"/>
      <c r="C648" s="386"/>
      <c r="D648" s="386"/>
      <c r="E648" s="386"/>
      <c r="F648" s="408"/>
    </row>
    <row r="649" spans="1:6" x14ac:dyDescent="0.2">
      <c r="A649" s="388"/>
      <c r="B649" s="386"/>
      <c r="C649" s="386"/>
      <c r="D649" s="386"/>
      <c r="E649" s="386"/>
      <c r="F649" s="408"/>
    </row>
    <row r="650" spans="1:6" x14ac:dyDescent="0.2">
      <c r="A650" s="388"/>
      <c r="B650" s="386"/>
      <c r="C650" s="386"/>
      <c r="D650" s="386"/>
      <c r="E650" s="386"/>
      <c r="F650" s="408"/>
    </row>
    <row r="651" spans="1:6" x14ac:dyDescent="0.2">
      <c r="A651" s="388"/>
      <c r="B651" s="386"/>
      <c r="C651" s="386"/>
      <c r="D651" s="386"/>
      <c r="E651" s="386"/>
      <c r="F651" s="408"/>
    </row>
    <row r="652" spans="1:6" x14ac:dyDescent="0.2">
      <c r="A652" s="388"/>
      <c r="B652" s="386"/>
      <c r="C652" s="386"/>
      <c r="D652" s="386"/>
      <c r="E652" s="386"/>
      <c r="F652" s="408"/>
    </row>
    <row r="653" spans="1:6" x14ac:dyDescent="0.2">
      <c r="A653" s="388"/>
      <c r="B653" s="386"/>
      <c r="C653" s="386"/>
      <c r="D653" s="386"/>
      <c r="E653" s="386"/>
      <c r="F653" s="408"/>
    </row>
    <row r="654" spans="1:6" x14ac:dyDescent="0.2">
      <c r="A654" s="388"/>
      <c r="B654" s="386"/>
      <c r="C654" s="386"/>
      <c r="D654" s="386"/>
      <c r="E654" s="386"/>
      <c r="F654" s="408"/>
    </row>
    <row r="655" spans="1:6" x14ac:dyDescent="0.2">
      <c r="A655" s="388"/>
      <c r="B655" s="386"/>
      <c r="C655" s="386"/>
      <c r="D655" s="386"/>
      <c r="E655" s="386"/>
      <c r="F655" s="408"/>
    </row>
    <row r="656" spans="1:6" x14ac:dyDescent="0.2">
      <c r="A656" s="388"/>
      <c r="B656" s="386"/>
      <c r="C656" s="386"/>
      <c r="D656" s="386"/>
      <c r="E656" s="386"/>
      <c r="F656" s="408"/>
    </row>
    <row r="657" spans="1:6" x14ac:dyDescent="0.2">
      <c r="A657" s="388"/>
      <c r="B657" s="386"/>
      <c r="C657" s="386"/>
      <c r="D657" s="386"/>
      <c r="E657" s="386"/>
      <c r="F657" s="408"/>
    </row>
    <row r="658" spans="1:6" x14ac:dyDescent="0.2">
      <c r="A658" s="388"/>
      <c r="B658" s="386"/>
      <c r="C658" s="386"/>
      <c r="D658" s="386"/>
      <c r="E658" s="386"/>
      <c r="F658" s="408"/>
    </row>
    <row r="659" spans="1:6" x14ac:dyDescent="0.2">
      <c r="A659" s="388"/>
      <c r="B659" s="386"/>
      <c r="C659" s="386"/>
      <c r="D659" s="386"/>
      <c r="E659" s="386"/>
      <c r="F659" s="408"/>
    </row>
    <row r="660" spans="1:6" x14ac:dyDescent="0.2">
      <c r="A660" s="388"/>
      <c r="B660" s="386"/>
      <c r="C660" s="386"/>
      <c r="D660" s="386"/>
      <c r="E660" s="386"/>
      <c r="F660" s="408"/>
    </row>
    <row r="661" spans="1:6" x14ac:dyDescent="0.2">
      <c r="A661" s="388"/>
      <c r="B661" s="386"/>
      <c r="C661" s="386"/>
      <c r="D661" s="386"/>
      <c r="E661" s="386"/>
      <c r="F661" s="408"/>
    </row>
    <row r="662" spans="1:6" x14ac:dyDescent="0.2">
      <c r="A662" s="388"/>
      <c r="B662" s="386"/>
      <c r="C662" s="386"/>
      <c r="D662" s="386"/>
      <c r="E662" s="386"/>
      <c r="F662" s="408"/>
    </row>
    <row r="663" spans="1:6" x14ac:dyDescent="0.2">
      <c r="A663" s="388"/>
      <c r="B663" s="386"/>
      <c r="C663" s="386"/>
      <c r="D663" s="386"/>
      <c r="E663" s="386"/>
      <c r="F663" s="408"/>
    </row>
    <row r="664" spans="1:6" x14ac:dyDescent="0.2">
      <c r="A664" s="388"/>
      <c r="B664" s="386"/>
      <c r="C664" s="386"/>
      <c r="D664" s="386"/>
      <c r="E664" s="386"/>
      <c r="F664" s="408"/>
    </row>
    <row r="665" spans="1:6" x14ac:dyDescent="0.2">
      <c r="A665" s="388"/>
      <c r="B665" s="386"/>
      <c r="C665" s="386"/>
      <c r="D665" s="386"/>
      <c r="E665" s="386"/>
      <c r="F665" s="408"/>
    </row>
    <row r="666" spans="1:6" x14ac:dyDescent="0.2">
      <c r="A666" s="388"/>
      <c r="B666" s="386"/>
      <c r="C666" s="386"/>
      <c r="D666" s="386"/>
      <c r="E666" s="386"/>
      <c r="F666" s="408"/>
    </row>
    <row r="667" spans="1:6" x14ac:dyDescent="0.2">
      <c r="A667" s="388"/>
      <c r="B667" s="386"/>
      <c r="C667" s="386"/>
      <c r="D667" s="386"/>
      <c r="E667" s="386"/>
      <c r="F667" s="408"/>
    </row>
    <row r="668" spans="1:6" x14ac:dyDescent="0.2">
      <c r="A668" s="388"/>
      <c r="B668" s="386"/>
      <c r="C668" s="386"/>
      <c r="D668" s="386"/>
      <c r="E668" s="386"/>
      <c r="F668" s="408"/>
    </row>
    <row r="669" spans="1:6" x14ac:dyDescent="0.2">
      <c r="A669" s="388"/>
      <c r="B669" s="386"/>
      <c r="C669" s="386"/>
      <c r="D669" s="386"/>
      <c r="E669" s="386"/>
      <c r="F669" s="408"/>
    </row>
    <row r="670" spans="1:6" x14ac:dyDescent="0.2">
      <c r="A670" s="388"/>
      <c r="B670" s="386"/>
      <c r="C670" s="386"/>
      <c r="D670" s="386"/>
      <c r="E670" s="386"/>
      <c r="F670" s="408"/>
    </row>
    <row r="671" spans="1:6" x14ac:dyDescent="0.2">
      <c r="A671" s="388"/>
      <c r="B671" s="386"/>
      <c r="C671" s="386"/>
      <c r="D671" s="386"/>
      <c r="E671" s="386"/>
      <c r="F671" s="408"/>
    </row>
    <row r="672" spans="1:6" x14ac:dyDescent="0.2">
      <c r="A672" s="388"/>
      <c r="B672" s="386"/>
      <c r="C672" s="386"/>
      <c r="D672" s="386"/>
      <c r="E672" s="386"/>
      <c r="F672" s="408"/>
    </row>
    <row r="673" spans="1:6" x14ac:dyDescent="0.2">
      <c r="A673" s="388"/>
      <c r="B673" s="386"/>
      <c r="C673" s="386"/>
      <c r="D673" s="386"/>
      <c r="E673" s="386"/>
      <c r="F673" s="408"/>
    </row>
    <row r="674" spans="1:6" x14ac:dyDescent="0.2">
      <c r="A674" s="388"/>
      <c r="B674" s="386"/>
      <c r="C674" s="386"/>
      <c r="D674" s="386"/>
      <c r="E674" s="386"/>
      <c r="F674" s="408"/>
    </row>
    <row r="675" spans="1:6" x14ac:dyDescent="0.2">
      <c r="A675" s="388"/>
      <c r="B675" s="386"/>
      <c r="C675" s="386"/>
      <c r="D675" s="386"/>
      <c r="E675" s="386"/>
      <c r="F675" s="408"/>
    </row>
    <row r="676" spans="1:6" x14ac:dyDescent="0.2">
      <c r="A676" s="388"/>
      <c r="B676" s="386"/>
      <c r="C676" s="386"/>
      <c r="D676" s="386"/>
      <c r="E676" s="386"/>
      <c r="F676" s="408"/>
    </row>
    <row r="677" spans="1:6" x14ac:dyDescent="0.2">
      <c r="A677" s="388"/>
      <c r="B677" s="386"/>
      <c r="C677" s="386"/>
      <c r="D677" s="386"/>
      <c r="E677" s="386"/>
      <c r="F677" s="408"/>
    </row>
    <row r="678" spans="1:6" x14ac:dyDescent="0.2">
      <c r="A678" s="388"/>
      <c r="B678" s="386"/>
      <c r="C678" s="386"/>
      <c r="D678" s="386"/>
      <c r="E678" s="386"/>
      <c r="F678" s="408"/>
    </row>
    <row r="679" spans="1:6" x14ac:dyDescent="0.2">
      <c r="A679" s="388"/>
      <c r="B679" s="386"/>
      <c r="C679" s="386"/>
      <c r="D679" s="386"/>
      <c r="E679" s="386"/>
      <c r="F679" s="408"/>
    </row>
    <row r="680" spans="1:6" x14ac:dyDescent="0.2">
      <c r="A680" s="388"/>
      <c r="B680" s="386"/>
      <c r="C680" s="386"/>
      <c r="D680" s="386"/>
      <c r="E680" s="386"/>
      <c r="F680" s="408"/>
    </row>
    <row r="681" spans="1:6" x14ac:dyDescent="0.2">
      <c r="A681" s="388"/>
      <c r="B681" s="386"/>
      <c r="C681" s="386"/>
      <c r="D681" s="386"/>
      <c r="E681" s="386"/>
      <c r="F681" s="408"/>
    </row>
    <row r="682" spans="1:6" x14ac:dyDescent="0.2">
      <c r="A682" s="388"/>
      <c r="B682" s="386"/>
      <c r="C682" s="386"/>
      <c r="D682" s="386"/>
      <c r="E682" s="386"/>
      <c r="F682" s="408"/>
    </row>
    <row r="683" spans="1:6" x14ac:dyDescent="0.2">
      <c r="A683" s="388"/>
      <c r="B683" s="386"/>
      <c r="C683" s="386"/>
      <c r="D683" s="386"/>
      <c r="E683" s="386"/>
      <c r="F683" s="408"/>
    </row>
    <row r="684" spans="1:6" x14ac:dyDescent="0.2">
      <c r="A684" s="388"/>
      <c r="B684" s="386"/>
      <c r="C684" s="386"/>
      <c r="D684" s="386"/>
      <c r="E684" s="386"/>
      <c r="F684" s="408"/>
    </row>
    <row r="685" spans="1:6" x14ac:dyDescent="0.2">
      <c r="A685" s="388"/>
      <c r="B685" s="386"/>
      <c r="C685" s="386"/>
      <c r="D685" s="386"/>
      <c r="E685" s="386"/>
      <c r="F685" s="408"/>
    </row>
    <row r="686" spans="1:6" x14ac:dyDescent="0.2">
      <c r="A686" s="388"/>
      <c r="B686" s="386"/>
      <c r="C686" s="386"/>
      <c r="D686" s="386"/>
      <c r="E686" s="386"/>
      <c r="F686" s="408"/>
    </row>
    <row r="687" spans="1:6" x14ac:dyDescent="0.2">
      <c r="A687" s="388"/>
      <c r="B687" s="386"/>
      <c r="C687" s="386"/>
      <c r="D687" s="386"/>
      <c r="E687" s="386"/>
      <c r="F687" s="408"/>
    </row>
    <row r="688" spans="1:6" x14ac:dyDescent="0.2">
      <c r="A688" s="388"/>
      <c r="B688" s="386"/>
      <c r="C688" s="386"/>
      <c r="D688" s="386"/>
      <c r="E688" s="386"/>
      <c r="F688" s="408"/>
    </row>
    <row r="689" spans="1:6" x14ac:dyDescent="0.2">
      <c r="A689" s="388"/>
      <c r="B689" s="386"/>
      <c r="C689" s="386"/>
      <c r="D689" s="386"/>
      <c r="E689" s="386"/>
      <c r="F689" s="408"/>
    </row>
    <row r="690" spans="1:6" x14ac:dyDescent="0.2">
      <c r="A690" s="388"/>
      <c r="B690" s="386"/>
      <c r="C690" s="386"/>
      <c r="D690" s="386"/>
      <c r="E690" s="386"/>
      <c r="F690" s="408"/>
    </row>
    <row r="691" spans="1:6" x14ac:dyDescent="0.2">
      <c r="A691" s="388"/>
      <c r="B691" s="386"/>
      <c r="C691" s="386"/>
      <c r="D691" s="386"/>
      <c r="E691" s="386"/>
      <c r="F691" s="408"/>
    </row>
    <row r="692" spans="1:6" x14ac:dyDescent="0.2">
      <c r="A692" s="388"/>
      <c r="B692" s="386"/>
      <c r="C692" s="386"/>
      <c r="D692" s="386"/>
      <c r="E692" s="386"/>
      <c r="F692" s="408"/>
    </row>
    <row r="693" spans="1:6" x14ac:dyDescent="0.2">
      <c r="A693" s="388"/>
      <c r="B693" s="386"/>
      <c r="C693" s="386"/>
      <c r="D693" s="386"/>
      <c r="E693" s="386"/>
      <c r="F693" s="408"/>
    </row>
    <row r="694" spans="1:6" x14ac:dyDescent="0.2">
      <c r="A694" s="388"/>
      <c r="B694" s="386"/>
      <c r="C694" s="386"/>
      <c r="D694" s="386"/>
      <c r="E694" s="386"/>
      <c r="F694" s="408"/>
    </row>
    <row r="695" spans="1:6" x14ac:dyDescent="0.2">
      <c r="A695" s="388"/>
      <c r="B695" s="386"/>
      <c r="C695" s="386"/>
      <c r="D695" s="386"/>
      <c r="E695" s="386"/>
      <c r="F695" s="408"/>
    </row>
    <row r="696" spans="1:6" x14ac:dyDescent="0.2">
      <c r="A696" s="388"/>
      <c r="B696" s="386"/>
      <c r="C696" s="386"/>
      <c r="D696" s="386"/>
      <c r="E696" s="386"/>
      <c r="F696" s="408"/>
    </row>
    <row r="697" spans="1:6" x14ac:dyDescent="0.2">
      <c r="A697" s="388"/>
      <c r="B697" s="386"/>
      <c r="C697" s="386"/>
      <c r="D697" s="386"/>
      <c r="E697" s="386"/>
      <c r="F697" s="408"/>
    </row>
    <row r="698" spans="1:6" x14ac:dyDescent="0.2">
      <c r="A698" s="388"/>
      <c r="B698" s="386"/>
      <c r="C698" s="386"/>
      <c r="D698" s="386"/>
      <c r="E698" s="386"/>
      <c r="F698" s="408"/>
    </row>
    <row r="699" spans="1:6" x14ac:dyDescent="0.2">
      <c r="A699" s="388"/>
      <c r="B699" s="386"/>
      <c r="C699" s="386"/>
      <c r="D699" s="386"/>
      <c r="E699" s="386"/>
      <c r="F699" s="408"/>
    </row>
    <row r="700" spans="1:6" x14ac:dyDescent="0.2">
      <c r="A700" s="388"/>
      <c r="B700" s="386"/>
      <c r="C700" s="386"/>
      <c r="D700" s="386"/>
      <c r="E700" s="386"/>
      <c r="F700" s="408"/>
    </row>
    <row r="701" spans="1:6" x14ac:dyDescent="0.2">
      <c r="A701" s="388"/>
      <c r="B701" s="386"/>
      <c r="C701" s="386"/>
      <c r="D701" s="386"/>
      <c r="E701" s="386"/>
      <c r="F701" s="408"/>
    </row>
    <row r="702" spans="1:6" x14ac:dyDescent="0.2">
      <c r="A702" s="388"/>
      <c r="B702" s="386"/>
      <c r="C702" s="386"/>
      <c r="D702" s="386"/>
      <c r="E702" s="386"/>
      <c r="F702" s="408"/>
    </row>
    <row r="703" spans="1:6" x14ac:dyDescent="0.2">
      <c r="A703" s="388"/>
      <c r="B703" s="386"/>
      <c r="C703" s="386"/>
      <c r="D703" s="386"/>
      <c r="E703" s="386"/>
      <c r="F703" s="408"/>
    </row>
    <row r="704" spans="1:6" x14ac:dyDescent="0.2">
      <c r="A704" s="388"/>
      <c r="B704" s="386"/>
      <c r="C704" s="386"/>
      <c r="D704" s="386"/>
      <c r="E704" s="386"/>
      <c r="F704" s="408"/>
    </row>
    <row r="705" spans="1:6" x14ac:dyDescent="0.2">
      <c r="A705" s="388"/>
      <c r="B705" s="386"/>
      <c r="C705" s="386"/>
      <c r="D705" s="386"/>
      <c r="E705" s="386"/>
      <c r="F705" s="408"/>
    </row>
    <row r="706" spans="1:6" x14ac:dyDescent="0.2">
      <c r="A706" s="388"/>
      <c r="B706" s="386"/>
      <c r="C706" s="386"/>
      <c r="D706" s="386"/>
      <c r="E706" s="386"/>
      <c r="F706" s="408"/>
    </row>
    <row r="707" spans="1:6" x14ac:dyDescent="0.2">
      <c r="A707" s="388"/>
      <c r="B707" s="386"/>
      <c r="C707" s="386"/>
      <c r="D707" s="386"/>
      <c r="E707" s="386"/>
      <c r="F707" s="408"/>
    </row>
    <row r="708" spans="1:6" x14ac:dyDescent="0.2">
      <c r="A708" s="388"/>
      <c r="B708" s="386"/>
      <c r="C708" s="386"/>
      <c r="D708" s="386"/>
      <c r="E708" s="386"/>
      <c r="F708" s="408"/>
    </row>
    <row r="709" spans="1:6" x14ac:dyDescent="0.2">
      <c r="A709" s="388"/>
      <c r="B709" s="386"/>
      <c r="C709" s="386"/>
      <c r="D709" s="386"/>
      <c r="E709" s="386"/>
      <c r="F709" s="408"/>
    </row>
    <row r="710" spans="1:6" x14ac:dyDescent="0.2">
      <c r="A710" s="388"/>
      <c r="B710" s="386"/>
      <c r="C710" s="386"/>
      <c r="D710" s="386"/>
      <c r="E710" s="386"/>
      <c r="F710" s="408"/>
    </row>
    <row r="711" spans="1:6" x14ac:dyDescent="0.2">
      <c r="A711" s="388"/>
      <c r="B711" s="386"/>
      <c r="C711" s="386"/>
      <c r="D711" s="386"/>
      <c r="E711" s="386"/>
      <c r="F711" s="408"/>
    </row>
    <row r="712" spans="1:6" x14ac:dyDescent="0.2">
      <c r="A712" s="388"/>
      <c r="B712" s="386"/>
      <c r="C712" s="386"/>
      <c r="D712" s="386"/>
      <c r="E712" s="386"/>
      <c r="F712" s="408"/>
    </row>
    <row r="713" spans="1:6" x14ac:dyDescent="0.2">
      <c r="A713" s="388"/>
      <c r="B713" s="386"/>
      <c r="C713" s="386"/>
      <c r="D713" s="386"/>
      <c r="E713" s="386"/>
      <c r="F713" s="408"/>
    </row>
    <row r="714" spans="1:6" x14ac:dyDescent="0.2">
      <c r="A714" s="388"/>
      <c r="B714" s="386"/>
      <c r="C714" s="386"/>
      <c r="D714" s="386"/>
      <c r="E714" s="386"/>
      <c r="F714" s="408"/>
    </row>
    <row r="715" spans="1:6" x14ac:dyDescent="0.2">
      <c r="A715" s="388"/>
      <c r="B715" s="386"/>
      <c r="C715" s="386"/>
      <c r="D715" s="386"/>
      <c r="E715" s="386"/>
      <c r="F715" s="408"/>
    </row>
    <row r="716" spans="1:6" x14ac:dyDescent="0.2">
      <c r="A716" s="388"/>
      <c r="B716" s="386"/>
      <c r="C716" s="386"/>
      <c r="D716" s="386"/>
      <c r="E716" s="386"/>
      <c r="F716" s="408"/>
    </row>
    <row r="717" spans="1:6" x14ac:dyDescent="0.2">
      <c r="A717" s="388"/>
      <c r="B717" s="386"/>
      <c r="C717" s="386"/>
      <c r="D717" s="386"/>
      <c r="E717" s="386"/>
      <c r="F717" s="408"/>
    </row>
    <row r="718" spans="1:6" x14ac:dyDescent="0.2">
      <c r="A718" s="388"/>
      <c r="B718" s="386"/>
      <c r="C718" s="386"/>
      <c r="D718" s="386"/>
      <c r="E718" s="386"/>
      <c r="F718" s="408"/>
    </row>
    <row r="719" spans="1:6" x14ac:dyDescent="0.2">
      <c r="A719" s="388"/>
      <c r="B719" s="386"/>
      <c r="C719" s="386"/>
      <c r="D719" s="386"/>
      <c r="E719" s="386"/>
      <c r="F719" s="408"/>
    </row>
    <row r="720" spans="1:6" x14ac:dyDescent="0.2">
      <c r="A720" s="388"/>
      <c r="B720" s="386"/>
      <c r="C720" s="386"/>
      <c r="D720" s="386"/>
      <c r="E720" s="386"/>
      <c r="F720" s="408"/>
    </row>
    <row r="721" spans="1:6" x14ac:dyDescent="0.2">
      <c r="A721" s="388"/>
      <c r="B721" s="386"/>
      <c r="C721" s="386"/>
      <c r="D721" s="386"/>
      <c r="E721" s="386"/>
      <c r="F721" s="408"/>
    </row>
    <row r="722" spans="1:6" x14ac:dyDescent="0.2">
      <c r="A722" s="388"/>
      <c r="B722" s="386"/>
      <c r="C722" s="386"/>
      <c r="D722" s="386"/>
      <c r="E722" s="386"/>
      <c r="F722" s="408"/>
    </row>
    <row r="723" spans="1:6" x14ac:dyDescent="0.2">
      <c r="A723" s="388"/>
      <c r="B723" s="386"/>
      <c r="C723" s="386"/>
      <c r="D723" s="386"/>
      <c r="E723" s="386"/>
      <c r="F723" s="408"/>
    </row>
    <row r="724" spans="1:6" x14ac:dyDescent="0.2">
      <c r="A724" s="388"/>
      <c r="B724" s="386"/>
      <c r="C724" s="386"/>
      <c r="D724" s="386"/>
      <c r="E724" s="386"/>
      <c r="F724" s="408"/>
    </row>
    <row r="725" spans="1:6" x14ac:dyDescent="0.2">
      <c r="A725" s="388"/>
      <c r="B725" s="386"/>
      <c r="C725" s="386"/>
      <c r="D725" s="386"/>
      <c r="E725" s="386"/>
      <c r="F725" s="408"/>
    </row>
    <row r="726" spans="1:6" x14ac:dyDescent="0.2">
      <c r="A726" s="388"/>
      <c r="B726" s="386"/>
      <c r="C726" s="386"/>
      <c r="D726" s="386"/>
      <c r="E726" s="386"/>
      <c r="F726" s="408"/>
    </row>
    <row r="727" spans="1:6" x14ac:dyDescent="0.2">
      <c r="A727" s="388"/>
      <c r="B727" s="386"/>
      <c r="C727" s="386"/>
      <c r="D727" s="386"/>
      <c r="E727" s="386"/>
      <c r="F727" s="408"/>
    </row>
    <row r="728" spans="1:6" x14ac:dyDescent="0.2">
      <c r="A728" s="388"/>
      <c r="B728" s="386"/>
      <c r="C728" s="386"/>
      <c r="D728" s="386"/>
      <c r="E728" s="386"/>
      <c r="F728" s="408"/>
    </row>
    <row r="729" spans="1:6" x14ac:dyDescent="0.2">
      <c r="A729" s="388"/>
      <c r="B729" s="386"/>
      <c r="C729" s="386"/>
      <c r="D729" s="386"/>
      <c r="E729" s="386"/>
      <c r="F729" s="408"/>
    </row>
    <row r="730" spans="1:6" x14ac:dyDescent="0.2">
      <c r="A730" s="388"/>
      <c r="B730" s="386"/>
      <c r="C730" s="386"/>
      <c r="D730" s="386"/>
      <c r="E730" s="386"/>
      <c r="F730" s="408"/>
    </row>
    <row r="731" spans="1:6" x14ac:dyDescent="0.2">
      <c r="A731" s="388"/>
      <c r="B731" s="386"/>
      <c r="C731" s="386"/>
      <c r="D731" s="386"/>
      <c r="E731" s="386"/>
      <c r="F731" s="408"/>
    </row>
    <row r="732" spans="1:6" x14ac:dyDescent="0.2">
      <c r="A732" s="388"/>
      <c r="B732" s="386"/>
      <c r="C732" s="386"/>
      <c r="D732" s="386"/>
      <c r="E732" s="386"/>
      <c r="F732" s="408"/>
    </row>
    <row r="733" spans="1:6" x14ac:dyDescent="0.2">
      <c r="A733" s="388"/>
      <c r="B733" s="386"/>
      <c r="C733" s="386"/>
      <c r="D733" s="386"/>
      <c r="E733" s="386"/>
      <c r="F733" s="408"/>
    </row>
    <row r="734" spans="1:6" x14ac:dyDescent="0.2">
      <c r="A734" s="388"/>
      <c r="B734" s="386"/>
      <c r="C734" s="386"/>
      <c r="D734" s="386"/>
      <c r="E734" s="386"/>
      <c r="F734" s="408"/>
    </row>
    <row r="735" spans="1:6" x14ac:dyDescent="0.2">
      <c r="A735" s="388"/>
      <c r="B735" s="386"/>
      <c r="C735" s="386"/>
      <c r="D735" s="386"/>
      <c r="E735" s="386"/>
      <c r="F735" s="408"/>
    </row>
    <row r="736" spans="1:6" x14ac:dyDescent="0.2">
      <c r="A736" s="388"/>
      <c r="B736" s="386"/>
      <c r="C736" s="386"/>
      <c r="D736" s="386"/>
      <c r="E736" s="386"/>
      <c r="F736" s="408"/>
    </row>
    <row r="737" spans="1:6" x14ac:dyDescent="0.2">
      <c r="A737" s="388"/>
      <c r="B737" s="386"/>
      <c r="C737" s="386"/>
      <c r="D737" s="386"/>
      <c r="E737" s="386"/>
      <c r="F737" s="408"/>
    </row>
    <row r="738" spans="1:6" x14ac:dyDescent="0.2">
      <c r="A738" s="388"/>
      <c r="B738" s="386"/>
      <c r="C738" s="386"/>
      <c r="D738" s="386"/>
      <c r="E738" s="386"/>
      <c r="F738" s="408"/>
    </row>
    <row r="739" spans="1:6" x14ac:dyDescent="0.2">
      <c r="A739" s="388"/>
      <c r="B739" s="386"/>
      <c r="C739" s="386"/>
      <c r="D739" s="386"/>
      <c r="E739" s="386"/>
      <c r="F739" s="408"/>
    </row>
    <row r="740" spans="1:6" x14ac:dyDescent="0.2">
      <c r="A740" s="388"/>
      <c r="B740" s="386"/>
      <c r="C740" s="386"/>
      <c r="D740" s="386"/>
      <c r="E740" s="386"/>
      <c r="F740" s="408"/>
    </row>
    <row r="741" spans="1:6" x14ac:dyDescent="0.2">
      <c r="A741" s="388"/>
      <c r="B741" s="386"/>
      <c r="C741" s="386"/>
      <c r="D741" s="386"/>
      <c r="E741" s="386"/>
      <c r="F741" s="408"/>
    </row>
    <row r="742" spans="1:6" x14ac:dyDescent="0.2">
      <c r="A742" s="388"/>
      <c r="B742" s="386"/>
      <c r="C742" s="386"/>
      <c r="D742" s="386"/>
      <c r="E742" s="386"/>
      <c r="F742" s="408"/>
    </row>
    <row r="743" spans="1:6" x14ac:dyDescent="0.2">
      <c r="A743" s="388"/>
      <c r="B743" s="386"/>
      <c r="C743" s="386"/>
      <c r="D743" s="386"/>
      <c r="E743" s="386"/>
      <c r="F743" s="408"/>
    </row>
    <row r="744" spans="1:6" x14ac:dyDescent="0.2">
      <c r="A744" s="388"/>
      <c r="B744" s="386"/>
      <c r="C744" s="386"/>
      <c r="D744" s="386"/>
      <c r="E744" s="386"/>
      <c r="F744" s="408"/>
    </row>
    <row r="745" spans="1:6" x14ac:dyDescent="0.2">
      <c r="A745" s="388"/>
      <c r="B745" s="386"/>
      <c r="C745" s="386"/>
      <c r="D745" s="386"/>
      <c r="E745" s="386"/>
      <c r="F745" s="408"/>
    </row>
    <row r="746" spans="1:6" x14ac:dyDescent="0.2">
      <c r="A746" s="388"/>
      <c r="B746" s="386"/>
      <c r="C746" s="386"/>
      <c r="D746" s="386"/>
      <c r="E746" s="386"/>
      <c r="F746" s="408"/>
    </row>
    <row r="747" spans="1:6" x14ac:dyDescent="0.2">
      <c r="A747" s="388"/>
      <c r="B747" s="386"/>
      <c r="C747" s="386"/>
      <c r="D747" s="386"/>
      <c r="E747" s="386"/>
      <c r="F747" s="408"/>
    </row>
    <row r="748" spans="1:6" x14ac:dyDescent="0.2">
      <c r="A748" s="388"/>
      <c r="B748" s="386"/>
      <c r="C748" s="386"/>
      <c r="D748" s="386"/>
      <c r="E748" s="386"/>
      <c r="F748" s="408"/>
    </row>
    <row r="749" spans="1:6" x14ac:dyDescent="0.2">
      <c r="A749" s="388"/>
      <c r="B749" s="386"/>
      <c r="C749" s="386"/>
      <c r="D749" s="386"/>
      <c r="E749" s="386"/>
      <c r="F749" s="408"/>
    </row>
    <row r="750" spans="1:6" x14ac:dyDescent="0.2">
      <c r="A750" s="388"/>
      <c r="B750" s="386"/>
      <c r="C750" s="386"/>
      <c r="D750" s="386"/>
      <c r="E750" s="386"/>
      <c r="F750" s="408"/>
    </row>
    <row r="751" spans="1:6" x14ac:dyDescent="0.2">
      <c r="A751" s="388"/>
      <c r="B751" s="386"/>
      <c r="C751" s="386"/>
      <c r="D751" s="386"/>
      <c r="E751" s="386"/>
      <c r="F751" s="408"/>
    </row>
    <row r="752" spans="1:6" x14ac:dyDescent="0.2">
      <c r="A752" s="388"/>
      <c r="B752" s="386"/>
      <c r="C752" s="386"/>
      <c r="D752" s="386"/>
      <c r="E752" s="386"/>
      <c r="F752" s="408"/>
    </row>
    <row r="753" spans="1:6" x14ac:dyDescent="0.2">
      <c r="A753" s="388"/>
      <c r="B753" s="386"/>
      <c r="C753" s="386"/>
      <c r="D753" s="386"/>
      <c r="E753" s="386"/>
      <c r="F753" s="408"/>
    </row>
    <row r="754" spans="1:6" x14ac:dyDescent="0.2">
      <c r="A754" s="388"/>
      <c r="B754" s="386"/>
      <c r="C754" s="386"/>
      <c r="D754" s="386"/>
      <c r="E754" s="386"/>
      <c r="F754" s="408"/>
    </row>
    <row r="755" spans="1:6" x14ac:dyDescent="0.2">
      <c r="A755" s="388"/>
      <c r="B755" s="386"/>
      <c r="C755" s="386"/>
      <c r="D755" s="386"/>
      <c r="E755" s="386"/>
      <c r="F755" s="408"/>
    </row>
    <row r="756" spans="1:6" x14ac:dyDescent="0.2">
      <c r="A756" s="388"/>
      <c r="B756" s="386"/>
      <c r="C756" s="386"/>
      <c r="D756" s="386"/>
      <c r="E756" s="386"/>
      <c r="F756" s="408"/>
    </row>
    <row r="757" spans="1:6" x14ac:dyDescent="0.2">
      <c r="A757" s="388"/>
      <c r="B757" s="386"/>
      <c r="C757" s="386"/>
      <c r="D757" s="386"/>
      <c r="E757" s="386"/>
      <c r="F757" s="408"/>
    </row>
    <row r="758" spans="1:6" x14ac:dyDescent="0.2">
      <c r="A758" s="388"/>
      <c r="B758" s="386"/>
      <c r="C758" s="386"/>
      <c r="D758" s="386"/>
      <c r="E758" s="386"/>
      <c r="F758" s="408"/>
    </row>
    <row r="759" spans="1:6" x14ac:dyDescent="0.2">
      <c r="A759" s="388"/>
      <c r="B759" s="386"/>
      <c r="C759" s="386"/>
      <c r="D759" s="386"/>
      <c r="E759" s="386"/>
      <c r="F759" s="408"/>
    </row>
    <row r="760" spans="1:6" x14ac:dyDescent="0.2">
      <c r="A760" s="388"/>
      <c r="B760" s="386"/>
      <c r="C760" s="386"/>
      <c r="D760" s="386"/>
      <c r="E760" s="386"/>
      <c r="F760" s="408"/>
    </row>
    <row r="761" spans="1:6" x14ac:dyDescent="0.2">
      <c r="A761" s="388"/>
      <c r="B761" s="386"/>
      <c r="C761" s="386"/>
      <c r="D761" s="386"/>
      <c r="E761" s="386"/>
      <c r="F761" s="408"/>
    </row>
    <row r="762" spans="1:6" x14ac:dyDescent="0.2">
      <c r="A762" s="388"/>
      <c r="B762" s="386"/>
      <c r="C762" s="386"/>
      <c r="D762" s="386"/>
      <c r="E762" s="386"/>
      <c r="F762" s="408"/>
    </row>
    <row r="763" spans="1:6" x14ac:dyDescent="0.2">
      <c r="A763" s="388"/>
      <c r="B763" s="386"/>
      <c r="C763" s="386"/>
      <c r="D763" s="386"/>
      <c r="E763" s="386"/>
      <c r="F763" s="408"/>
    </row>
    <row r="764" spans="1:6" x14ac:dyDescent="0.2">
      <c r="A764" s="388"/>
      <c r="B764" s="386"/>
      <c r="C764" s="386"/>
      <c r="D764" s="386"/>
      <c r="E764" s="386"/>
      <c r="F764" s="408"/>
    </row>
    <row r="765" spans="1:6" x14ac:dyDescent="0.2">
      <c r="A765" s="388"/>
      <c r="B765" s="386"/>
      <c r="C765" s="386"/>
      <c r="D765" s="386"/>
      <c r="E765" s="386"/>
      <c r="F765" s="408"/>
    </row>
    <row r="766" spans="1:6" x14ac:dyDescent="0.2">
      <c r="A766" s="388"/>
      <c r="B766" s="386"/>
      <c r="C766" s="386"/>
      <c r="D766" s="386"/>
      <c r="E766" s="386"/>
      <c r="F766" s="408"/>
    </row>
    <row r="767" spans="1:6" x14ac:dyDescent="0.2">
      <c r="A767" s="388"/>
      <c r="B767" s="386"/>
      <c r="C767" s="386"/>
      <c r="D767" s="386"/>
      <c r="E767" s="386"/>
      <c r="F767" s="408"/>
    </row>
    <row r="768" spans="1:6" x14ac:dyDescent="0.2">
      <c r="A768" s="388"/>
      <c r="B768" s="386"/>
      <c r="C768" s="386"/>
      <c r="D768" s="386"/>
      <c r="E768" s="386"/>
      <c r="F768" s="408"/>
    </row>
    <row r="769" spans="1:6" x14ac:dyDescent="0.2">
      <c r="A769" s="388"/>
      <c r="B769" s="386"/>
      <c r="C769" s="386"/>
      <c r="D769" s="386"/>
      <c r="E769" s="386"/>
      <c r="F769" s="408"/>
    </row>
    <row r="770" spans="1:6" x14ac:dyDescent="0.2">
      <c r="A770" s="388"/>
      <c r="B770" s="386"/>
      <c r="C770" s="386"/>
      <c r="D770" s="386"/>
      <c r="E770" s="386"/>
      <c r="F770" s="408"/>
    </row>
    <row r="771" spans="1:6" x14ac:dyDescent="0.2">
      <c r="A771" s="388"/>
      <c r="B771" s="386"/>
      <c r="C771" s="386"/>
      <c r="D771" s="386"/>
      <c r="E771" s="386"/>
      <c r="F771" s="408"/>
    </row>
    <row r="772" spans="1:6" x14ac:dyDescent="0.2">
      <c r="A772" s="388"/>
      <c r="B772" s="386"/>
      <c r="C772" s="386"/>
      <c r="D772" s="386"/>
      <c r="E772" s="386"/>
      <c r="F772" s="408"/>
    </row>
    <row r="773" spans="1:6" x14ac:dyDescent="0.2">
      <c r="A773" s="388"/>
      <c r="B773" s="386"/>
      <c r="C773" s="386"/>
      <c r="D773" s="386"/>
      <c r="E773" s="386"/>
      <c r="F773" s="408"/>
    </row>
    <row r="774" spans="1:6" x14ac:dyDescent="0.2">
      <c r="A774" s="388"/>
      <c r="B774" s="386"/>
      <c r="C774" s="386"/>
      <c r="D774" s="386"/>
      <c r="E774" s="386"/>
      <c r="F774" s="408"/>
    </row>
    <row r="775" spans="1:6" x14ac:dyDescent="0.2">
      <c r="A775" s="388"/>
      <c r="B775" s="386"/>
      <c r="C775" s="386"/>
      <c r="D775" s="386"/>
      <c r="E775" s="386"/>
      <c r="F775" s="408"/>
    </row>
    <row r="776" spans="1:6" x14ac:dyDescent="0.2">
      <c r="A776" s="388"/>
      <c r="B776" s="386"/>
      <c r="C776" s="386"/>
      <c r="D776" s="386"/>
      <c r="E776" s="386"/>
      <c r="F776" s="408"/>
    </row>
    <row r="777" spans="1:6" x14ac:dyDescent="0.2">
      <c r="A777" s="388"/>
      <c r="B777" s="386"/>
      <c r="C777" s="386"/>
      <c r="D777" s="386"/>
      <c r="E777" s="386"/>
      <c r="F777" s="408"/>
    </row>
    <row r="778" spans="1:6" x14ac:dyDescent="0.2">
      <c r="A778" s="388"/>
      <c r="B778" s="386"/>
      <c r="C778" s="386"/>
      <c r="D778" s="386"/>
      <c r="E778" s="386"/>
      <c r="F778" s="408"/>
    </row>
    <row r="779" spans="1:6" x14ac:dyDescent="0.2">
      <c r="A779" s="388"/>
      <c r="B779" s="386"/>
      <c r="C779" s="386"/>
      <c r="D779" s="386"/>
      <c r="E779" s="386"/>
      <c r="F779" s="408"/>
    </row>
    <row r="780" spans="1:6" x14ac:dyDescent="0.2">
      <c r="A780" s="388"/>
      <c r="B780" s="386"/>
      <c r="C780" s="386"/>
      <c r="D780" s="386"/>
      <c r="E780" s="386"/>
      <c r="F780" s="408"/>
    </row>
    <row r="781" spans="1:6" x14ac:dyDescent="0.2">
      <c r="A781" s="388"/>
      <c r="B781" s="386"/>
      <c r="C781" s="386"/>
      <c r="D781" s="386"/>
      <c r="E781" s="386"/>
      <c r="F781" s="408"/>
    </row>
    <row r="782" spans="1:6" x14ac:dyDescent="0.2">
      <c r="A782" s="388"/>
      <c r="B782" s="386"/>
      <c r="C782" s="386"/>
      <c r="D782" s="386"/>
      <c r="E782" s="386"/>
      <c r="F782" s="408"/>
    </row>
    <row r="783" spans="1:6" x14ac:dyDescent="0.2">
      <c r="A783" s="388"/>
      <c r="B783" s="386"/>
      <c r="C783" s="386"/>
      <c r="D783" s="386"/>
      <c r="E783" s="386"/>
      <c r="F783" s="408"/>
    </row>
    <row r="784" spans="1:6" x14ac:dyDescent="0.2">
      <c r="A784" s="388"/>
      <c r="B784" s="386"/>
      <c r="C784" s="386"/>
      <c r="D784" s="386"/>
      <c r="E784" s="386"/>
      <c r="F784" s="408"/>
    </row>
    <row r="785" spans="1:6" x14ac:dyDescent="0.2">
      <c r="A785" s="388"/>
      <c r="B785" s="386"/>
      <c r="C785" s="386"/>
      <c r="D785" s="386"/>
      <c r="E785" s="386"/>
      <c r="F785" s="408"/>
    </row>
    <row r="786" spans="1:6" x14ac:dyDescent="0.2">
      <c r="A786" s="388"/>
      <c r="B786" s="386"/>
      <c r="C786" s="386"/>
      <c r="D786" s="386"/>
      <c r="E786" s="386"/>
      <c r="F786" s="408"/>
    </row>
    <row r="787" spans="1:6" x14ac:dyDescent="0.2">
      <c r="A787" s="388"/>
      <c r="B787" s="386"/>
      <c r="C787" s="386"/>
      <c r="D787" s="386"/>
      <c r="E787" s="386"/>
      <c r="F787" s="408"/>
    </row>
    <row r="788" spans="1:6" x14ac:dyDescent="0.2">
      <c r="A788" s="388"/>
      <c r="B788" s="386"/>
      <c r="C788" s="386"/>
      <c r="D788" s="386"/>
      <c r="E788" s="386"/>
      <c r="F788" s="408"/>
    </row>
    <row r="789" spans="1:6" x14ac:dyDescent="0.2">
      <c r="A789" s="388"/>
      <c r="B789" s="386"/>
      <c r="C789" s="386"/>
      <c r="D789" s="386"/>
      <c r="E789" s="386"/>
      <c r="F789" s="408"/>
    </row>
    <row r="790" spans="1:6" x14ac:dyDescent="0.2">
      <c r="A790" s="388"/>
      <c r="B790" s="386"/>
      <c r="C790" s="386"/>
      <c r="D790" s="386"/>
      <c r="E790" s="386"/>
      <c r="F790" s="408"/>
    </row>
    <row r="791" spans="1:6" x14ac:dyDescent="0.2">
      <c r="A791" s="388"/>
      <c r="B791" s="386"/>
      <c r="C791" s="386"/>
      <c r="D791" s="386"/>
      <c r="E791" s="386"/>
      <c r="F791" s="408"/>
    </row>
    <row r="792" spans="1:6" x14ac:dyDescent="0.2">
      <c r="A792" s="388"/>
      <c r="B792" s="386"/>
      <c r="C792" s="386"/>
      <c r="D792" s="386"/>
      <c r="E792" s="386"/>
      <c r="F792" s="408"/>
    </row>
    <row r="793" spans="1:6" x14ac:dyDescent="0.2">
      <c r="A793" s="388"/>
      <c r="B793" s="386"/>
      <c r="C793" s="386"/>
      <c r="D793" s="386"/>
      <c r="E793" s="386"/>
      <c r="F793" s="408"/>
    </row>
    <row r="794" spans="1:6" x14ac:dyDescent="0.2">
      <c r="A794" s="388"/>
      <c r="B794" s="386"/>
      <c r="C794" s="386"/>
      <c r="D794" s="386"/>
      <c r="E794" s="386"/>
      <c r="F794" s="408"/>
    </row>
    <row r="795" spans="1:6" x14ac:dyDescent="0.2">
      <c r="A795" s="388"/>
      <c r="B795" s="386"/>
      <c r="C795" s="386"/>
      <c r="D795" s="386"/>
      <c r="E795" s="386"/>
      <c r="F795" s="408"/>
    </row>
    <row r="796" spans="1:6" x14ac:dyDescent="0.2">
      <c r="A796" s="388"/>
      <c r="B796" s="386"/>
      <c r="C796" s="386"/>
      <c r="D796" s="386"/>
      <c r="E796" s="386"/>
      <c r="F796" s="408"/>
    </row>
    <row r="797" spans="1:6" x14ac:dyDescent="0.2">
      <c r="A797" s="388"/>
      <c r="B797" s="386"/>
      <c r="C797" s="386"/>
      <c r="D797" s="386"/>
      <c r="E797" s="386"/>
      <c r="F797" s="408"/>
    </row>
    <row r="798" spans="1:6" x14ac:dyDescent="0.2">
      <c r="A798" s="388"/>
      <c r="B798" s="386"/>
      <c r="C798" s="386"/>
      <c r="D798" s="386"/>
      <c r="E798" s="386"/>
      <c r="F798" s="408"/>
    </row>
    <row r="799" spans="1:6" x14ac:dyDescent="0.2">
      <c r="A799" s="388"/>
      <c r="B799" s="386"/>
      <c r="C799" s="386"/>
      <c r="D799" s="386"/>
      <c r="E799" s="386"/>
      <c r="F799" s="408"/>
    </row>
    <row r="800" spans="1:6" x14ac:dyDescent="0.2">
      <c r="A800" s="388"/>
      <c r="B800" s="386"/>
      <c r="C800" s="386"/>
      <c r="D800" s="386"/>
      <c r="E800" s="386"/>
      <c r="F800" s="408"/>
    </row>
    <row r="801" spans="1:6" x14ac:dyDescent="0.2">
      <c r="A801" s="388"/>
      <c r="B801" s="386"/>
      <c r="C801" s="386"/>
      <c r="D801" s="386"/>
      <c r="E801" s="386"/>
      <c r="F801" s="408"/>
    </row>
    <row r="802" spans="1:6" x14ac:dyDescent="0.2">
      <c r="A802" s="388"/>
      <c r="B802" s="386"/>
      <c r="C802" s="386"/>
      <c r="D802" s="386"/>
      <c r="E802" s="386"/>
      <c r="F802" s="408"/>
    </row>
    <row r="803" spans="1:6" x14ac:dyDescent="0.2">
      <c r="A803" s="388"/>
      <c r="B803" s="386"/>
      <c r="C803" s="386"/>
      <c r="D803" s="386"/>
      <c r="E803" s="386"/>
      <c r="F803" s="408"/>
    </row>
    <row r="804" spans="1:6" x14ac:dyDescent="0.2">
      <c r="A804" s="388"/>
      <c r="B804" s="386"/>
      <c r="C804" s="386"/>
      <c r="D804" s="386"/>
      <c r="E804" s="386"/>
      <c r="F804" s="408"/>
    </row>
    <row r="805" spans="1:6" x14ac:dyDescent="0.2">
      <c r="A805" s="388"/>
      <c r="B805" s="386"/>
      <c r="C805" s="386"/>
      <c r="D805" s="386"/>
      <c r="E805" s="386"/>
      <c r="F805" s="408"/>
    </row>
    <row r="806" spans="1:6" x14ac:dyDescent="0.2">
      <c r="A806" s="388"/>
      <c r="B806" s="386"/>
      <c r="C806" s="386"/>
      <c r="D806" s="386"/>
      <c r="E806" s="386"/>
      <c r="F806" s="408"/>
    </row>
    <row r="807" spans="1:6" x14ac:dyDescent="0.2">
      <c r="A807" s="388"/>
      <c r="B807" s="386"/>
      <c r="C807" s="386"/>
      <c r="D807" s="386"/>
      <c r="E807" s="386"/>
      <c r="F807" s="408"/>
    </row>
    <row r="808" spans="1:6" x14ac:dyDescent="0.2">
      <c r="A808" s="388"/>
      <c r="B808" s="386"/>
      <c r="C808" s="386"/>
      <c r="D808" s="386"/>
      <c r="E808" s="386"/>
      <c r="F808" s="408"/>
    </row>
    <row r="809" spans="1:6" x14ac:dyDescent="0.2">
      <c r="A809" s="388"/>
      <c r="B809" s="386"/>
      <c r="C809" s="386"/>
      <c r="D809" s="386"/>
      <c r="E809" s="386"/>
      <c r="F809" s="408"/>
    </row>
    <row r="810" spans="1:6" x14ac:dyDescent="0.2">
      <c r="A810" s="388"/>
      <c r="B810" s="386"/>
      <c r="C810" s="386"/>
      <c r="D810" s="386"/>
      <c r="E810" s="386"/>
      <c r="F810" s="408"/>
    </row>
    <row r="811" spans="1:6" x14ac:dyDescent="0.2">
      <c r="A811" s="388"/>
      <c r="B811" s="386"/>
      <c r="C811" s="386"/>
      <c r="D811" s="386"/>
      <c r="E811" s="386"/>
      <c r="F811" s="408"/>
    </row>
    <row r="812" spans="1:6" x14ac:dyDescent="0.2">
      <c r="A812" s="388"/>
      <c r="B812" s="386"/>
      <c r="C812" s="386"/>
      <c r="D812" s="386"/>
      <c r="E812" s="386"/>
      <c r="F812" s="408"/>
    </row>
    <row r="813" spans="1:6" x14ac:dyDescent="0.2">
      <c r="A813" s="388"/>
      <c r="B813" s="386"/>
      <c r="C813" s="386"/>
      <c r="D813" s="386"/>
      <c r="E813" s="386"/>
      <c r="F813" s="408"/>
    </row>
    <row r="814" spans="1:6" x14ac:dyDescent="0.2">
      <c r="A814" s="388"/>
      <c r="B814" s="386"/>
      <c r="C814" s="386"/>
      <c r="D814" s="386"/>
      <c r="E814" s="386"/>
      <c r="F814" s="408"/>
    </row>
    <row r="815" spans="1:6" x14ac:dyDescent="0.2">
      <c r="A815" s="388"/>
      <c r="B815" s="386"/>
      <c r="C815" s="386"/>
      <c r="D815" s="386"/>
      <c r="E815" s="386"/>
      <c r="F815" s="408"/>
    </row>
    <row r="816" spans="1:6" x14ac:dyDescent="0.2">
      <c r="A816" s="388"/>
      <c r="B816" s="386"/>
      <c r="C816" s="386"/>
      <c r="D816" s="386"/>
      <c r="E816" s="386"/>
      <c r="F816" s="408"/>
    </row>
    <row r="817" spans="1:6" x14ac:dyDescent="0.2">
      <c r="A817" s="388"/>
      <c r="B817" s="386"/>
      <c r="C817" s="386"/>
      <c r="D817" s="386"/>
      <c r="E817" s="386"/>
      <c r="F817" s="408"/>
    </row>
    <row r="818" spans="1:6" x14ac:dyDescent="0.2">
      <c r="A818" s="388"/>
      <c r="B818" s="386"/>
      <c r="C818" s="386"/>
      <c r="D818" s="386"/>
      <c r="E818" s="386"/>
      <c r="F818" s="408"/>
    </row>
    <row r="819" spans="1:6" x14ac:dyDescent="0.2">
      <c r="A819" s="388"/>
      <c r="B819" s="386"/>
      <c r="C819" s="386"/>
      <c r="D819" s="386"/>
      <c r="E819" s="386"/>
      <c r="F819" s="408"/>
    </row>
    <row r="820" spans="1:6" x14ac:dyDescent="0.2">
      <c r="A820" s="388"/>
      <c r="B820" s="386"/>
      <c r="C820" s="386"/>
      <c r="D820" s="386"/>
      <c r="E820" s="386"/>
      <c r="F820" s="408"/>
    </row>
    <row r="821" spans="1:6" x14ac:dyDescent="0.2">
      <c r="A821" s="388"/>
      <c r="B821" s="386"/>
      <c r="C821" s="386"/>
      <c r="D821" s="386"/>
      <c r="E821" s="386"/>
      <c r="F821" s="408"/>
    </row>
    <row r="822" spans="1:6" x14ac:dyDescent="0.2">
      <c r="A822" s="388"/>
      <c r="B822" s="386"/>
      <c r="C822" s="386"/>
      <c r="D822" s="386"/>
      <c r="E822" s="386"/>
      <c r="F822" s="408"/>
    </row>
    <row r="823" spans="1:6" x14ac:dyDescent="0.2">
      <c r="A823" s="388"/>
      <c r="B823" s="386"/>
      <c r="C823" s="386"/>
      <c r="D823" s="386"/>
      <c r="E823" s="386"/>
      <c r="F823" s="408"/>
    </row>
    <row r="824" spans="1:6" x14ac:dyDescent="0.2">
      <c r="A824" s="388"/>
      <c r="B824" s="386"/>
      <c r="C824" s="386"/>
      <c r="D824" s="386"/>
      <c r="E824" s="386"/>
      <c r="F824" s="408"/>
    </row>
    <row r="825" spans="1:6" x14ac:dyDescent="0.2">
      <c r="A825" s="388"/>
      <c r="B825" s="386"/>
      <c r="C825" s="386"/>
      <c r="D825" s="386"/>
      <c r="E825" s="386"/>
      <c r="F825" s="408"/>
    </row>
    <row r="826" spans="1:6" x14ac:dyDescent="0.2">
      <c r="A826" s="388"/>
      <c r="B826" s="386"/>
      <c r="C826" s="386"/>
      <c r="D826" s="386"/>
      <c r="E826" s="386"/>
      <c r="F826" s="408"/>
    </row>
    <row r="827" spans="1:6" x14ac:dyDescent="0.2">
      <c r="A827" s="388"/>
      <c r="B827" s="386"/>
      <c r="C827" s="386"/>
      <c r="D827" s="386"/>
      <c r="E827" s="386"/>
      <c r="F827" s="408"/>
    </row>
    <row r="828" spans="1:6" x14ac:dyDescent="0.2">
      <c r="A828" s="388"/>
      <c r="B828" s="386"/>
      <c r="C828" s="386"/>
      <c r="D828" s="386"/>
      <c r="E828" s="386"/>
      <c r="F828" s="408"/>
    </row>
    <row r="829" spans="1:6" x14ac:dyDescent="0.2">
      <c r="A829" s="388"/>
      <c r="B829" s="386"/>
      <c r="C829" s="386"/>
      <c r="D829" s="386"/>
      <c r="E829" s="386"/>
      <c r="F829" s="408"/>
    </row>
    <row r="830" spans="1:6" x14ac:dyDescent="0.2">
      <c r="A830" s="388"/>
      <c r="B830" s="386"/>
      <c r="C830" s="386"/>
      <c r="D830" s="386"/>
      <c r="E830" s="386"/>
      <c r="F830" s="408"/>
    </row>
    <row r="831" spans="1:6" x14ac:dyDescent="0.2">
      <c r="A831" s="388"/>
      <c r="B831" s="386"/>
      <c r="C831" s="386"/>
      <c r="D831" s="386"/>
      <c r="E831" s="386"/>
      <c r="F831" s="408"/>
    </row>
    <row r="832" spans="1:6" x14ac:dyDescent="0.2">
      <c r="A832" s="388"/>
      <c r="B832" s="386"/>
      <c r="C832" s="386"/>
      <c r="D832" s="386"/>
      <c r="E832" s="386"/>
      <c r="F832" s="408"/>
    </row>
    <row r="833" spans="1:6" x14ac:dyDescent="0.2">
      <c r="A833" s="388"/>
      <c r="B833" s="386"/>
      <c r="C833" s="386"/>
      <c r="D833" s="386"/>
      <c r="E833" s="386"/>
      <c r="F833" s="408"/>
    </row>
    <row r="834" spans="1:6" x14ac:dyDescent="0.2">
      <c r="A834" s="388"/>
      <c r="B834" s="386"/>
      <c r="C834" s="386"/>
      <c r="D834" s="386"/>
      <c r="E834" s="386"/>
      <c r="F834" s="408"/>
    </row>
    <row r="835" spans="1:6" x14ac:dyDescent="0.2">
      <c r="A835" s="388"/>
      <c r="B835" s="386"/>
      <c r="C835" s="386"/>
      <c r="D835" s="386"/>
      <c r="E835" s="386"/>
      <c r="F835" s="408"/>
    </row>
    <row r="836" spans="1:6" x14ac:dyDescent="0.2">
      <c r="A836" s="388"/>
      <c r="B836" s="386"/>
      <c r="C836" s="386"/>
      <c r="D836" s="386"/>
      <c r="E836" s="386"/>
      <c r="F836" s="408"/>
    </row>
    <row r="837" spans="1:6" x14ac:dyDescent="0.2">
      <c r="A837" s="388"/>
      <c r="B837" s="386"/>
      <c r="C837" s="386"/>
      <c r="D837" s="386"/>
      <c r="E837" s="386"/>
      <c r="F837" s="408"/>
    </row>
    <row r="838" spans="1:6" x14ac:dyDescent="0.2">
      <c r="A838" s="388"/>
      <c r="B838" s="386"/>
      <c r="C838" s="386"/>
      <c r="D838" s="386"/>
      <c r="E838" s="386"/>
      <c r="F838" s="408"/>
    </row>
    <row r="839" spans="1:6" x14ac:dyDescent="0.2">
      <c r="A839" s="388"/>
      <c r="B839" s="386"/>
      <c r="C839" s="386"/>
      <c r="D839" s="386"/>
      <c r="E839" s="386"/>
      <c r="F839" s="408"/>
    </row>
    <row r="840" spans="1:6" x14ac:dyDescent="0.2">
      <c r="A840" s="388"/>
      <c r="B840" s="386"/>
      <c r="C840" s="386"/>
      <c r="D840" s="386"/>
      <c r="E840" s="386"/>
      <c r="F840" s="408"/>
    </row>
    <row r="841" spans="1:6" x14ac:dyDescent="0.2">
      <c r="A841" s="388"/>
      <c r="B841" s="386"/>
      <c r="C841" s="386"/>
      <c r="D841" s="386"/>
      <c r="E841" s="386"/>
      <c r="F841" s="408"/>
    </row>
    <row r="842" spans="1:6" x14ac:dyDescent="0.2">
      <c r="A842" s="388"/>
      <c r="B842" s="386"/>
      <c r="C842" s="386"/>
      <c r="D842" s="386"/>
      <c r="E842" s="386"/>
      <c r="F842" s="408"/>
    </row>
    <row r="843" spans="1:6" x14ac:dyDescent="0.2">
      <c r="A843" s="388"/>
      <c r="B843" s="386"/>
      <c r="C843" s="386"/>
      <c r="D843" s="386"/>
      <c r="E843" s="386"/>
      <c r="F843" s="408"/>
    </row>
    <row r="844" spans="1:6" x14ac:dyDescent="0.2">
      <c r="A844" s="388"/>
      <c r="B844" s="386"/>
      <c r="C844" s="386"/>
      <c r="D844" s="386"/>
      <c r="E844" s="386"/>
      <c r="F844" s="408"/>
    </row>
    <row r="845" spans="1:6" x14ac:dyDescent="0.2">
      <c r="A845" s="388"/>
      <c r="B845" s="386"/>
      <c r="C845" s="386"/>
      <c r="D845" s="386"/>
      <c r="E845" s="386"/>
      <c r="F845" s="408"/>
    </row>
    <row r="846" spans="1:6" x14ac:dyDescent="0.2">
      <c r="A846" s="388"/>
      <c r="B846" s="386"/>
      <c r="C846" s="386"/>
      <c r="D846" s="386"/>
      <c r="E846" s="386"/>
      <c r="F846" s="408"/>
    </row>
    <row r="847" spans="1:6" x14ac:dyDescent="0.2">
      <c r="A847" s="388"/>
      <c r="B847" s="386"/>
      <c r="C847" s="386"/>
      <c r="D847" s="386"/>
      <c r="E847" s="386"/>
      <c r="F847" s="408"/>
    </row>
    <row r="848" spans="1:6" x14ac:dyDescent="0.2">
      <c r="A848" s="388"/>
      <c r="B848" s="386"/>
      <c r="C848" s="386"/>
      <c r="D848" s="386"/>
      <c r="E848" s="386"/>
      <c r="F848" s="408"/>
    </row>
    <row r="849" spans="1:6" x14ac:dyDescent="0.2">
      <c r="A849" s="388"/>
      <c r="B849" s="386"/>
      <c r="C849" s="386"/>
      <c r="D849" s="386"/>
      <c r="E849" s="386"/>
      <c r="F849" s="408"/>
    </row>
    <row r="850" spans="1:6" x14ac:dyDescent="0.2">
      <c r="A850" s="388"/>
      <c r="B850" s="386"/>
      <c r="C850" s="386"/>
      <c r="D850" s="386"/>
      <c r="E850" s="386"/>
      <c r="F850" s="408"/>
    </row>
    <row r="851" spans="1:6" x14ac:dyDescent="0.2">
      <c r="A851" s="388"/>
      <c r="B851" s="386"/>
      <c r="C851" s="386"/>
      <c r="D851" s="386"/>
      <c r="E851" s="386"/>
      <c r="F851" s="408"/>
    </row>
    <row r="852" spans="1:6" x14ac:dyDescent="0.2">
      <c r="A852" s="388"/>
      <c r="B852" s="386"/>
      <c r="C852" s="386"/>
      <c r="D852" s="386"/>
      <c r="E852" s="386"/>
      <c r="F852" s="408"/>
    </row>
    <row r="853" spans="1:6" x14ac:dyDescent="0.2">
      <c r="A853" s="388"/>
      <c r="B853" s="386"/>
      <c r="C853" s="386"/>
      <c r="D853" s="386"/>
      <c r="E853" s="386"/>
      <c r="F853" s="408"/>
    </row>
    <row r="854" spans="1:6" x14ac:dyDescent="0.2">
      <c r="A854" s="388"/>
      <c r="B854" s="386"/>
      <c r="C854" s="386"/>
      <c r="D854" s="386"/>
      <c r="E854" s="386"/>
      <c r="F854" s="408"/>
    </row>
    <row r="855" spans="1:6" x14ac:dyDescent="0.2">
      <c r="A855" s="388"/>
      <c r="B855" s="386"/>
      <c r="C855" s="386"/>
      <c r="D855" s="386"/>
      <c r="E855" s="386"/>
      <c r="F855" s="408"/>
    </row>
    <row r="856" spans="1:6" x14ac:dyDescent="0.2">
      <c r="A856" s="388"/>
      <c r="B856" s="386"/>
      <c r="C856" s="386"/>
      <c r="D856" s="386"/>
      <c r="E856" s="386"/>
      <c r="F856" s="408"/>
    </row>
    <row r="857" spans="1:6" x14ac:dyDescent="0.2">
      <c r="A857" s="388"/>
      <c r="B857" s="386"/>
      <c r="C857" s="386"/>
      <c r="D857" s="386"/>
      <c r="E857" s="386"/>
      <c r="F857" s="408"/>
    </row>
    <row r="858" spans="1:6" x14ac:dyDescent="0.2">
      <c r="A858" s="388"/>
      <c r="B858" s="386"/>
      <c r="C858" s="386"/>
      <c r="D858" s="386"/>
      <c r="E858" s="386"/>
      <c r="F858" s="408"/>
    </row>
    <row r="859" spans="1:6" x14ac:dyDescent="0.2">
      <c r="A859" s="388"/>
      <c r="B859" s="386"/>
      <c r="C859" s="386"/>
      <c r="D859" s="386"/>
      <c r="E859" s="386"/>
      <c r="F859" s="408"/>
    </row>
    <row r="860" spans="1:6" x14ac:dyDescent="0.2">
      <c r="A860" s="388"/>
      <c r="B860" s="386"/>
      <c r="C860" s="386"/>
      <c r="D860" s="386"/>
      <c r="E860" s="386"/>
      <c r="F860" s="408"/>
    </row>
    <row r="861" spans="1:6" x14ac:dyDescent="0.2">
      <c r="A861" s="388"/>
      <c r="B861" s="386"/>
      <c r="C861" s="386"/>
      <c r="D861" s="386"/>
      <c r="E861" s="386"/>
      <c r="F861" s="408"/>
    </row>
    <row r="862" spans="1:6" x14ac:dyDescent="0.2">
      <c r="A862" s="388"/>
      <c r="B862" s="386"/>
      <c r="C862" s="386"/>
      <c r="D862" s="386"/>
      <c r="E862" s="386"/>
      <c r="F862" s="408"/>
    </row>
    <row r="863" spans="1:6" x14ac:dyDescent="0.2">
      <c r="A863" s="388"/>
      <c r="B863" s="386"/>
      <c r="C863" s="386"/>
      <c r="D863" s="386"/>
      <c r="E863" s="386"/>
      <c r="F863" s="408"/>
    </row>
    <row r="864" spans="1:6" x14ac:dyDescent="0.2">
      <c r="A864" s="388"/>
      <c r="B864" s="386"/>
      <c r="C864" s="386"/>
      <c r="D864" s="386"/>
      <c r="E864" s="386"/>
      <c r="F864" s="408"/>
    </row>
    <row r="865" spans="1:6" x14ac:dyDescent="0.2">
      <c r="A865" s="388"/>
      <c r="B865" s="386"/>
      <c r="C865" s="386"/>
      <c r="D865" s="386"/>
      <c r="E865" s="386"/>
      <c r="F865" s="408"/>
    </row>
    <row r="866" spans="1:6" x14ac:dyDescent="0.2">
      <c r="A866" s="388"/>
      <c r="B866" s="386"/>
      <c r="C866" s="386"/>
      <c r="D866" s="386"/>
      <c r="E866" s="386"/>
      <c r="F866" s="408"/>
    </row>
    <row r="867" spans="1:6" x14ac:dyDescent="0.2">
      <c r="A867" s="388"/>
      <c r="B867" s="386"/>
      <c r="C867" s="386"/>
      <c r="D867" s="386"/>
      <c r="E867" s="386"/>
      <c r="F867" s="408"/>
    </row>
    <row r="868" spans="1:6" x14ac:dyDescent="0.2">
      <c r="A868" s="388"/>
      <c r="B868" s="386"/>
      <c r="C868" s="386"/>
      <c r="D868" s="386"/>
      <c r="E868" s="386"/>
      <c r="F868" s="408"/>
    </row>
    <row r="869" spans="1:6" x14ac:dyDescent="0.2">
      <c r="A869" s="388"/>
      <c r="B869" s="386"/>
      <c r="C869" s="386"/>
      <c r="D869" s="386"/>
      <c r="E869" s="386"/>
      <c r="F869" s="408"/>
    </row>
    <row r="870" spans="1:6" x14ac:dyDescent="0.2">
      <c r="A870" s="388"/>
      <c r="B870" s="386"/>
      <c r="C870" s="386"/>
      <c r="D870" s="386"/>
      <c r="E870" s="386"/>
      <c r="F870" s="408"/>
    </row>
    <row r="871" spans="1:6" x14ac:dyDescent="0.2">
      <c r="A871" s="388"/>
      <c r="B871" s="386"/>
      <c r="C871" s="386"/>
      <c r="D871" s="386"/>
      <c r="E871" s="386"/>
      <c r="F871" s="408"/>
    </row>
    <row r="872" spans="1:6" x14ac:dyDescent="0.2">
      <c r="A872" s="388"/>
      <c r="B872" s="386"/>
      <c r="C872" s="386"/>
      <c r="D872" s="386"/>
      <c r="E872" s="386"/>
      <c r="F872" s="408"/>
    </row>
    <row r="873" spans="1:6" x14ac:dyDescent="0.2">
      <c r="A873" s="388"/>
      <c r="B873" s="386"/>
      <c r="C873" s="386"/>
      <c r="D873" s="386"/>
      <c r="E873" s="386"/>
      <c r="F873" s="408"/>
    </row>
    <row r="874" spans="1:6" x14ac:dyDescent="0.2">
      <c r="A874" s="388"/>
      <c r="B874" s="386"/>
      <c r="C874" s="386"/>
      <c r="D874" s="386"/>
      <c r="E874" s="386"/>
      <c r="F874" s="408"/>
    </row>
    <row r="875" spans="1:6" x14ac:dyDescent="0.2">
      <c r="A875" s="388"/>
      <c r="B875" s="386"/>
      <c r="C875" s="386"/>
      <c r="D875" s="386"/>
      <c r="E875" s="386"/>
      <c r="F875" s="408"/>
    </row>
    <row r="876" spans="1:6" x14ac:dyDescent="0.2">
      <c r="A876" s="388"/>
      <c r="B876" s="386"/>
      <c r="C876" s="386"/>
      <c r="D876" s="386"/>
      <c r="E876" s="386"/>
      <c r="F876" s="408"/>
    </row>
    <row r="877" spans="1:6" x14ac:dyDescent="0.2">
      <c r="A877" s="388"/>
      <c r="B877" s="386"/>
      <c r="C877" s="386"/>
      <c r="D877" s="386"/>
      <c r="E877" s="386"/>
      <c r="F877" s="408"/>
    </row>
    <row r="878" spans="1:6" x14ac:dyDescent="0.2">
      <c r="A878" s="388"/>
      <c r="B878" s="386"/>
      <c r="C878" s="386"/>
      <c r="D878" s="386"/>
      <c r="E878" s="386"/>
      <c r="F878" s="408"/>
    </row>
    <row r="879" spans="1:6" x14ac:dyDescent="0.2">
      <c r="A879" s="388"/>
      <c r="B879" s="386"/>
      <c r="C879" s="386"/>
      <c r="D879" s="386"/>
      <c r="E879" s="386"/>
      <c r="F879" s="408"/>
    </row>
    <row r="880" spans="1:6" x14ac:dyDescent="0.2">
      <c r="A880" s="388"/>
      <c r="B880" s="386"/>
      <c r="C880" s="386"/>
      <c r="D880" s="386"/>
      <c r="E880" s="386"/>
      <c r="F880" s="408"/>
    </row>
    <row r="881" spans="1:6" x14ac:dyDescent="0.2">
      <c r="A881" s="388"/>
      <c r="B881" s="386"/>
      <c r="C881" s="386"/>
      <c r="D881" s="386"/>
      <c r="E881" s="386"/>
      <c r="F881" s="408"/>
    </row>
    <row r="882" spans="1:6" x14ac:dyDescent="0.2">
      <c r="A882" s="388"/>
      <c r="B882" s="386"/>
      <c r="C882" s="386"/>
      <c r="D882" s="386"/>
      <c r="E882" s="386"/>
      <c r="F882" s="408"/>
    </row>
    <row r="883" spans="1:6" x14ac:dyDescent="0.2">
      <c r="A883" s="388"/>
      <c r="B883" s="386"/>
      <c r="C883" s="386"/>
      <c r="D883" s="386"/>
      <c r="E883" s="386"/>
      <c r="F883" s="408"/>
    </row>
    <row r="884" spans="1:6" x14ac:dyDescent="0.2">
      <c r="A884" s="388"/>
      <c r="B884" s="386"/>
      <c r="C884" s="386"/>
      <c r="D884" s="386"/>
      <c r="E884" s="386"/>
      <c r="F884" s="408"/>
    </row>
    <row r="885" spans="1:6" x14ac:dyDescent="0.2">
      <c r="A885" s="388"/>
      <c r="B885" s="386"/>
      <c r="C885" s="386"/>
      <c r="D885" s="386"/>
      <c r="E885" s="386"/>
      <c r="F885" s="408"/>
    </row>
    <row r="886" spans="1:6" x14ac:dyDescent="0.2">
      <c r="A886" s="388"/>
      <c r="B886" s="386"/>
      <c r="C886" s="386"/>
      <c r="D886" s="386"/>
      <c r="E886" s="386"/>
      <c r="F886" s="408"/>
    </row>
    <row r="887" spans="1:6" x14ac:dyDescent="0.2">
      <c r="A887" s="388"/>
      <c r="B887" s="386"/>
      <c r="C887" s="386"/>
      <c r="D887" s="386"/>
      <c r="E887" s="386"/>
      <c r="F887" s="408"/>
    </row>
    <row r="888" spans="1:6" x14ac:dyDescent="0.2">
      <c r="A888" s="388"/>
      <c r="B888" s="386"/>
      <c r="C888" s="386"/>
      <c r="D888" s="386"/>
      <c r="E888" s="386"/>
      <c r="F888" s="408"/>
    </row>
    <row r="889" spans="1:6" x14ac:dyDescent="0.2">
      <c r="A889" s="388"/>
      <c r="B889" s="386"/>
      <c r="C889" s="386"/>
      <c r="D889" s="386"/>
      <c r="E889" s="386"/>
      <c r="F889" s="408"/>
    </row>
    <row r="890" spans="1:6" x14ac:dyDescent="0.2">
      <c r="A890" s="388"/>
      <c r="B890" s="386"/>
      <c r="C890" s="386"/>
      <c r="D890" s="386"/>
      <c r="E890" s="386"/>
      <c r="F890" s="408"/>
    </row>
    <row r="891" spans="1:6" x14ac:dyDescent="0.2">
      <c r="A891" s="388"/>
      <c r="B891" s="386"/>
      <c r="C891" s="386"/>
      <c r="D891" s="386"/>
      <c r="E891" s="386"/>
      <c r="F891" s="408"/>
    </row>
    <row r="892" spans="1:6" x14ac:dyDescent="0.2">
      <c r="A892" s="388"/>
      <c r="B892" s="386"/>
      <c r="C892" s="386"/>
      <c r="D892" s="386"/>
      <c r="E892" s="386"/>
      <c r="F892" s="408"/>
    </row>
    <row r="893" spans="1:6" x14ac:dyDescent="0.2">
      <c r="A893" s="388"/>
      <c r="B893" s="386"/>
      <c r="C893" s="386"/>
      <c r="D893" s="386"/>
      <c r="E893" s="386"/>
      <c r="F893" s="408"/>
    </row>
    <row r="894" spans="1:6" x14ac:dyDescent="0.2">
      <c r="A894" s="388"/>
      <c r="B894" s="386"/>
      <c r="C894" s="386"/>
      <c r="D894" s="386"/>
      <c r="E894" s="386"/>
      <c r="F894" s="408"/>
    </row>
    <row r="895" spans="1:6" x14ac:dyDescent="0.2">
      <c r="A895" s="388"/>
      <c r="B895" s="386"/>
      <c r="C895" s="386"/>
      <c r="D895" s="386"/>
      <c r="E895" s="386"/>
      <c r="F895" s="408"/>
    </row>
    <row r="896" spans="1:6" x14ac:dyDescent="0.2">
      <c r="A896" s="388"/>
      <c r="B896" s="386"/>
      <c r="C896" s="386"/>
      <c r="D896" s="386"/>
      <c r="E896" s="386"/>
      <c r="F896" s="408"/>
    </row>
    <row r="897" spans="1:6" x14ac:dyDescent="0.2">
      <c r="A897" s="388"/>
      <c r="B897" s="386"/>
      <c r="C897" s="386"/>
      <c r="D897" s="386"/>
      <c r="E897" s="386"/>
      <c r="F897" s="408"/>
    </row>
    <row r="898" spans="1:6" x14ac:dyDescent="0.2">
      <c r="A898" s="388"/>
      <c r="B898" s="386"/>
      <c r="C898" s="386"/>
      <c r="D898" s="386"/>
      <c r="E898" s="386"/>
      <c r="F898" s="408"/>
    </row>
    <row r="899" spans="1:6" x14ac:dyDescent="0.2">
      <c r="A899" s="388"/>
      <c r="B899" s="386"/>
      <c r="C899" s="386"/>
      <c r="D899" s="386"/>
      <c r="E899" s="386"/>
      <c r="F899" s="408"/>
    </row>
    <row r="900" spans="1:6" x14ac:dyDescent="0.2">
      <c r="A900" s="388"/>
      <c r="B900" s="386"/>
      <c r="C900" s="386"/>
      <c r="D900" s="386"/>
      <c r="E900" s="386"/>
      <c r="F900" s="408"/>
    </row>
    <row r="901" spans="1:6" x14ac:dyDescent="0.2">
      <c r="A901" s="388"/>
      <c r="B901" s="386"/>
      <c r="C901" s="386"/>
      <c r="D901" s="386"/>
      <c r="E901" s="386"/>
      <c r="F901" s="408"/>
    </row>
    <row r="902" spans="1:6" x14ac:dyDescent="0.2">
      <c r="A902" s="388"/>
      <c r="B902" s="386"/>
      <c r="C902" s="386"/>
      <c r="D902" s="386"/>
      <c r="E902" s="386"/>
      <c r="F902" s="408"/>
    </row>
    <row r="903" spans="1:6" x14ac:dyDescent="0.2">
      <c r="A903" s="388"/>
      <c r="B903" s="386"/>
      <c r="C903" s="386"/>
      <c r="D903" s="386"/>
      <c r="E903" s="386"/>
      <c r="F903" s="408"/>
    </row>
    <row r="904" spans="1:6" x14ac:dyDescent="0.2">
      <c r="A904" s="388"/>
      <c r="B904" s="386"/>
      <c r="C904" s="386"/>
      <c r="D904" s="386"/>
      <c r="E904" s="386"/>
      <c r="F904" s="408"/>
    </row>
    <row r="905" spans="1:6" x14ac:dyDescent="0.2">
      <c r="A905" s="388"/>
      <c r="B905" s="386"/>
      <c r="C905" s="386"/>
      <c r="D905" s="386"/>
      <c r="E905" s="386"/>
      <c r="F905" s="408"/>
    </row>
    <row r="906" spans="1:6" x14ac:dyDescent="0.2">
      <c r="A906" s="388"/>
      <c r="B906" s="386"/>
      <c r="C906" s="386"/>
      <c r="D906" s="386"/>
      <c r="E906" s="386"/>
      <c r="F906" s="408"/>
    </row>
    <row r="907" spans="1:6" x14ac:dyDescent="0.2">
      <c r="A907" s="388"/>
      <c r="B907" s="386"/>
      <c r="C907" s="386"/>
      <c r="D907" s="386"/>
      <c r="E907" s="386"/>
      <c r="F907" s="408"/>
    </row>
    <row r="908" spans="1:6" x14ac:dyDescent="0.2">
      <c r="A908" s="388"/>
      <c r="B908" s="386"/>
      <c r="C908" s="386"/>
      <c r="D908" s="386"/>
      <c r="E908" s="386"/>
      <c r="F908" s="408"/>
    </row>
    <row r="909" spans="1:6" x14ac:dyDescent="0.2">
      <c r="A909" s="388"/>
      <c r="B909" s="386"/>
      <c r="C909" s="386"/>
      <c r="D909" s="386"/>
      <c r="E909" s="386"/>
      <c r="F909" s="408"/>
    </row>
    <row r="910" spans="1:6" x14ac:dyDescent="0.2">
      <c r="A910" s="388"/>
      <c r="B910" s="386"/>
      <c r="C910" s="386"/>
      <c r="D910" s="386"/>
      <c r="E910" s="386"/>
      <c r="F910" s="408"/>
    </row>
    <row r="911" spans="1:6" x14ac:dyDescent="0.2">
      <c r="A911" s="388"/>
      <c r="B911" s="386"/>
      <c r="C911" s="386"/>
      <c r="D911" s="386"/>
      <c r="E911" s="386"/>
      <c r="F911" s="408"/>
    </row>
    <row r="912" spans="1:6" x14ac:dyDescent="0.2">
      <c r="A912" s="388"/>
      <c r="B912" s="386"/>
      <c r="C912" s="386"/>
      <c r="D912" s="386"/>
      <c r="E912" s="386"/>
      <c r="F912" s="408"/>
    </row>
    <row r="913" spans="1:6" x14ac:dyDescent="0.2">
      <c r="A913" s="388"/>
      <c r="B913" s="386"/>
      <c r="C913" s="386"/>
      <c r="D913" s="386"/>
      <c r="E913" s="386"/>
      <c r="F913" s="408"/>
    </row>
    <row r="914" spans="1:6" x14ac:dyDescent="0.2">
      <c r="A914" s="388"/>
      <c r="B914" s="386"/>
      <c r="C914" s="386"/>
      <c r="D914" s="386"/>
      <c r="E914" s="386"/>
      <c r="F914" s="408"/>
    </row>
    <row r="915" spans="1:6" x14ac:dyDescent="0.2">
      <c r="A915" s="388"/>
      <c r="B915" s="386"/>
      <c r="C915" s="386"/>
      <c r="D915" s="386"/>
      <c r="E915" s="386"/>
      <c r="F915" s="408"/>
    </row>
    <row r="916" spans="1:6" x14ac:dyDescent="0.2">
      <c r="A916" s="388"/>
      <c r="B916" s="386"/>
      <c r="C916" s="386"/>
      <c r="D916" s="386"/>
      <c r="E916" s="386"/>
      <c r="F916" s="408"/>
    </row>
    <row r="917" spans="1:6" x14ac:dyDescent="0.2">
      <c r="A917" s="388"/>
      <c r="B917" s="386"/>
      <c r="C917" s="386"/>
      <c r="D917" s="386"/>
      <c r="E917" s="386"/>
      <c r="F917" s="408"/>
    </row>
    <row r="918" spans="1:6" x14ac:dyDescent="0.2">
      <c r="A918" s="388"/>
      <c r="B918" s="386"/>
      <c r="C918" s="386"/>
      <c r="D918" s="386"/>
      <c r="E918" s="386"/>
      <c r="F918" s="408"/>
    </row>
    <row r="919" spans="1:6" x14ac:dyDescent="0.2">
      <c r="A919" s="388"/>
      <c r="B919" s="386"/>
      <c r="C919" s="386"/>
      <c r="D919" s="386"/>
      <c r="E919" s="386"/>
      <c r="F919" s="408"/>
    </row>
    <row r="920" spans="1:6" x14ac:dyDescent="0.2">
      <c r="A920" s="388"/>
      <c r="B920" s="386"/>
      <c r="C920" s="386"/>
      <c r="D920" s="386"/>
      <c r="E920" s="386"/>
      <c r="F920" s="408"/>
    </row>
    <row r="921" spans="1:6" x14ac:dyDescent="0.2">
      <c r="A921" s="388"/>
      <c r="B921" s="386"/>
      <c r="C921" s="386"/>
      <c r="D921" s="386"/>
      <c r="E921" s="386"/>
      <c r="F921" s="408"/>
    </row>
    <row r="922" spans="1:6" x14ac:dyDescent="0.2">
      <c r="A922" s="388"/>
      <c r="B922" s="386"/>
      <c r="C922" s="386"/>
      <c r="D922" s="386"/>
      <c r="E922" s="386"/>
      <c r="F922" s="408"/>
    </row>
    <row r="923" spans="1:6" x14ac:dyDescent="0.2">
      <c r="A923" s="388"/>
      <c r="B923" s="386"/>
      <c r="C923" s="386"/>
      <c r="D923" s="386"/>
      <c r="E923" s="386"/>
      <c r="F923" s="408"/>
    </row>
    <row r="924" spans="1:6" x14ac:dyDescent="0.2">
      <c r="A924" s="388"/>
      <c r="B924" s="386"/>
      <c r="C924" s="386"/>
      <c r="D924" s="386"/>
      <c r="E924" s="386"/>
      <c r="F924" s="408"/>
    </row>
    <row r="925" spans="1:6" x14ac:dyDescent="0.2">
      <c r="A925" s="388"/>
      <c r="B925" s="386"/>
      <c r="C925" s="386"/>
      <c r="D925" s="386"/>
      <c r="E925" s="386"/>
      <c r="F925" s="408"/>
    </row>
    <row r="926" spans="1:6" x14ac:dyDescent="0.2">
      <c r="A926" s="388"/>
      <c r="B926" s="386"/>
      <c r="C926" s="386"/>
      <c r="D926" s="386"/>
      <c r="E926" s="386"/>
      <c r="F926" s="408"/>
    </row>
    <row r="927" spans="1:6" x14ac:dyDescent="0.2">
      <c r="A927" s="388"/>
      <c r="B927" s="386"/>
      <c r="C927" s="386"/>
      <c r="D927" s="386"/>
      <c r="E927" s="386"/>
      <c r="F927" s="408"/>
    </row>
    <row r="928" spans="1:6" x14ac:dyDescent="0.2">
      <c r="A928" s="388"/>
      <c r="B928" s="386"/>
      <c r="C928" s="386"/>
      <c r="D928" s="386"/>
      <c r="E928" s="386"/>
      <c r="F928" s="408"/>
    </row>
    <row r="929" spans="1:6" x14ac:dyDescent="0.2">
      <c r="A929" s="388"/>
      <c r="B929" s="386"/>
      <c r="C929" s="386"/>
      <c r="D929" s="386"/>
      <c r="E929" s="386"/>
      <c r="F929" s="408"/>
    </row>
    <row r="930" spans="1:6" x14ac:dyDescent="0.2">
      <c r="A930" s="388"/>
      <c r="B930" s="386"/>
      <c r="C930" s="386"/>
      <c r="D930" s="386"/>
      <c r="E930" s="386"/>
      <c r="F930" s="408"/>
    </row>
    <row r="931" spans="1:6" x14ac:dyDescent="0.2">
      <c r="A931" s="388"/>
      <c r="B931" s="386"/>
      <c r="C931" s="386"/>
      <c r="D931" s="386"/>
      <c r="E931" s="386"/>
      <c r="F931" s="408"/>
    </row>
    <row r="932" spans="1:6" x14ac:dyDescent="0.2">
      <c r="A932" s="388"/>
      <c r="B932" s="386"/>
      <c r="C932" s="386"/>
      <c r="D932" s="386"/>
      <c r="E932" s="386"/>
      <c r="F932" s="408"/>
    </row>
    <row r="933" spans="1:6" x14ac:dyDescent="0.2">
      <c r="A933" s="388"/>
      <c r="B933" s="386"/>
      <c r="C933" s="386"/>
      <c r="D933" s="386"/>
      <c r="E933" s="386"/>
      <c r="F933" s="408"/>
    </row>
    <row r="934" spans="1:6" x14ac:dyDescent="0.2">
      <c r="A934" s="388"/>
      <c r="B934" s="386"/>
      <c r="C934" s="386"/>
      <c r="D934" s="386"/>
      <c r="E934" s="386"/>
      <c r="F934" s="408"/>
    </row>
    <row r="935" spans="1:6" x14ac:dyDescent="0.2">
      <c r="A935" s="388"/>
      <c r="B935" s="386"/>
      <c r="C935" s="386"/>
      <c r="D935" s="386"/>
      <c r="E935" s="386"/>
      <c r="F935" s="408"/>
    </row>
    <row r="936" spans="1:6" x14ac:dyDescent="0.2">
      <c r="A936" s="388"/>
      <c r="B936" s="386"/>
      <c r="C936" s="386"/>
      <c r="D936" s="386"/>
      <c r="E936" s="386"/>
      <c r="F936" s="408"/>
    </row>
    <row r="937" spans="1:6" x14ac:dyDescent="0.2">
      <c r="A937" s="388"/>
      <c r="B937" s="386"/>
      <c r="C937" s="386"/>
      <c r="D937" s="386"/>
      <c r="E937" s="386"/>
      <c r="F937" s="408"/>
    </row>
    <row r="938" spans="1:6" x14ac:dyDescent="0.2">
      <c r="A938" s="388"/>
      <c r="B938" s="386"/>
      <c r="C938" s="386"/>
      <c r="D938" s="386"/>
      <c r="E938" s="386"/>
      <c r="F938" s="408"/>
    </row>
    <row r="939" spans="1:6" x14ac:dyDescent="0.2">
      <c r="A939" s="388"/>
      <c r="B939" s="386"/>
      <c r="C939" s="386"/>
      <c r="D939" s="386"/>
      <c r="E939" s="386"/>
      <c r="F939" s="408"/>
    </row>
    <row r="940" spans="1:6" x14ac:dyDescent="0.2">
      <c r="A940" s="388"/>
      <c r="B940" s="386"/>
      <c r="C940" s="386"/>
      <c r="D940" s="386"/>
      <c r="E940" s="386"/>
      <c r="F940" s="408"/>
    </row>
    <row r="941" spans="1:6" x14ac:dyDescent="0.2">
      <c r="A941" s="388"/>
      <c r="B941" s="386"/>
      <c r="C941" s="386"/>
      <c r="D941" s="386"/>
      <c r="E941" s="386"/>
      <c r="F941" s="408"/>
    </row>
    <row r="942" spans="1:6" x14ac:dyDescent="0.2">
      <c r="A942" s="388"/>
      <c r="B942" s="386"/>
      <c r="C942" s="386"/>
      <c r="D942" s="386"/>
      <c r="E942" s="386"/>
      <c r="F942" s="408"/>
    </row>
    <row r="943" spans="1:6" x14ac:dyDescent="0.2">
      <c r="A943" s="388"/>
      <c r="B943" s="386"/>
      <c r="C943" s="386"/>
      <c r="D943" s="386"/>
      <c r="E943" s="386"/>
      <c r="F943" s="408"/>
    </row>
    <row r="944" spans="1:6" x14ac:dyDescent="0.2">
      <c r="A944" s="388"/>
      <c r="B944" s="386"/>
      <c r="C944" s="386"/>
      <c r="D944" s="386"/>
      <c r="E944" s="386"/>
      <c r="F944" s="408"/>
    </row>
    <row r="945" spans="1:6" x14ac:dyDescent="0.2">
      <c r="A945" s="388"/>
      <c r="B945" s="386"/>
      <c r="C945" s="386"/>
      <c r="D945" s="386"/>
      <c r="E945" s="386"/>
      <c r="F945" s="408"/>
    </row>
    <row r="946" spans="1:6" x14ac:dyDescent="0.2">
      <c r="A946" s="388"/>
      <c r="B946" s="386"/>
      <c r="C946" s="386"/>
      <c r="D946" s="386"/>
      <c r="E946" s="386"/>
      <c r="F946" s="408"/>
    </row>
    <row r="947" spans="1:6" x14ac:dyDescent="0.2">
      <c r="A947" s="388"/>
      <c r="B947" s="386"/>
      <c r="C947" s="386"/>
      <c r="D947" s="386"/>
      <c r="E947" s="386"/>
      <c r="F947" s="408"/>
    </row>
    <row r="948" spans="1:6" x14ac:dyDescent="0.2">
      <c r="A948" s="388"/>
      <c r="B948" s="386"/>
      <c r="C948" s="386"/>
      <c r="D948" s="386"/>
      <c r="E948" s="386"/>
      <c r="F948" s="408"/>
    </row>
    <row r="949" spans="1:6" x14ac:dyDescent="0.2">
      <c r="A949" s="388"/>
      <c r="B949" s="386"/>
      <c r="C949" s="386"/>
      <c r="D949" s="386"/>
      <c r="E949" s="386"/>
      <c r="F949" s="408"/>
    </row>
    <row r="950" spans="1:6" x14ac:dyDescent="0.2">
      <c r="A950" s="388"/>
      <c r="B950" s="386"/>
      <c r="C950" s="386"/>
      <c r="D950" s="386"/>
      <c r="E950" s="386"/>
      <c r="F950" s="408"/>
    </row>
    <row r="951" spans="1:6" x14ac:dyDescent="0.2">
      <c r="A951" s="388"/>
      <c r="B951" s="386"/>
      <c r="C951" s="386"/>
      <c r="D951" s="386"/>
      <c r="E951" s="386"/>
      <c r="F951" s="408"/>
    </row>
    <row r="952" spans="1:6" x14ac:dyDescent="0.2">
      <c r="A952" s="388"/>
      <c r="B952" s="386"/>
      <c r="C952" s="386"/>
      <c r="D952" s="386"/>
      <c r="E952" s="386"/>
      <c r="F952" s="408"/>
    </row>
    <row r="953" spans="1:6" x14ac:dyDescent="0.2">
      <c r="A953" s="388"/>
      <c r="B953" s="386"/>
      <c r="C953" s="386"/>
      <c r="D953" s="386"/>
      <c r="E953" s="386"/>
      <c r="F953" s="408"/>
    </row>
    <row r="954" spans="1:6" x14ac:dyDescent="0.2">
      <c r="A954" s="388"/>
      <c r="B954" s="386"/>
      <c r="C954" s="386"/>
      <c r="D954" s="386"/>
      <c r="E954" s="386"/>
      <c r="F954" s="408"/>
    </row>
    <row r="955" spans="1:6" x14ac:dyDescent="0.2">
      <c r="A955" s="388"/>
      <c r="B955" s="386"/>
      <c r="C955" s="386"/>
      <c r="D955" s="386"/>
      <c r="E955" s="386"/>
      <c r="F955" s="408"/>
    </row>
    <row r="956" spans="1:6" x14ac:dyDescent="0.2">
      <c r="A956" s="388"/>
      <c r="B956" s="386"/>
      <c r="C956" s="386"/>
      <c r="D956" s="386"/>
      <c r="E956" s="386"/>
      <c r="F956" s="408"/>
    </row>
    <row r="957" spans="1:6" x14ac:dyDescent="0.2">
      <c r="A957" s="388"/>
      <c r="B957" s="386"/>
      <c r="C957" s="386"/>
      <c r="D957" s="386"/>
      <c r="E957" s="386"/>
      <c r="F957" s="408"/>
    </row>
    <row r="958" spans="1:6" x14ac:dyDescent="0.2">
      <c r="A958" s="388"/>
      <c r="B958" s="386"/>
      <c r="C958" s="386"/>
      <c r="D958" s="386"/>
      <c r="E958" s="386"/>
      <c r="F958" s="408"/>
    </row>
    <row r="959" spans="1:6" x14ac:dyDescent="0.2">
      <c r="A959" s="388"/>
      <c r="B959" s="386"/>
      <c r="C959" s="386"/>
      <c r="D959" s="386"/>
      <c r="E959" s="386"/>
      <c r="F959" s="408"/>
    </row>
    <row r="960" spans="1:6" x14ac:dyDescent="0.2">
      <c r="A960" s="388"/>
      <c r="B960" s="386"/>
      <c r="C960" s="386"/>
      <c r="D960" s="386"/>
      <c r="E960" s="386"/>
      <c r="F960" s="408"/>
    </row>
    <row r="961" spans="1:6" x14ac:dyDescent="0.2">
      <c r="A961" s="388"/>
      <c r="B961" s="386"/>
      <c r="C961" s="386"/>
      <c r="D961" s="386"/>
      <c r="E961" s="386"/>
      <c r="F961" s="408"/>
    </row>
    <row r="962" spans="1:6" x14ac:dyDescent="0.2">
      <c r="A962" s="388"/>
      <c r="B962" s="386"/>
      <c r="C962" s="386"/>
      <c r="D962" s="386"/>
      <c r="E962" s="386"/>
      <c r="F962" s="408"/>
    </row>
    <row r="963" spans="1:6" x14ac:dyDescent="0.2">
      <c r="A963" s="388"/>
      <c r="B963" s="386"/>
      <c r="C963" s="386"/>
      <c r="D963" s="386"/>
      <c r="E963" s="386"/>
      <c r="F963" s="408"/>
    </row>
    <row r="964" spans="1:6" x14ac:dyDescent="0.2">
      <c r="A964" s="388"/>
      <c r="B964" s="386"/>
      <c r="C964" s="386"/>
      <c r="D964" s="386"/>
      <c r="E964" s="386"/>
      <c r="F964" s="408"/>
    </row>
    <row r="965" spans="1:6" x14ac:dyDescent="0.2">
      <c r="A965" s="388"/>
      <c r="B965" s="386"/>
      <c r="C965" s="386"/>
      <c r="D965" s="386"/>
      <c r="E965" s="386"/>
      <c r="F965" s="408"/>
    </row>
    <row r="966" spans="1:6" x14ac:dyDescent="0.2">
      <c r="A966" s="388"/>
      <c r="B966" s="386"/>
      <c r="C966" s="386"/>
      <c r="D966" s="386"/>
      <c r="E966" s="386"/>
      <c r="F966" s="408"/>
    </row>
    <row r="967" spans="1:6" x14ac:dyDescent="0.2">
      <c r="A967" s="388"/>
      <c r="B967" s="386"/>
      <c r="C967" s="386"/>
      <c r="D967" s="386"/>
      <c r="E967" s="386"/>
      <c r="F967" s="408"/>
    </row>
    <row r="968" spans="1:6" x14ac:dyDescent="0.2">
      <c r="A968" s="388"/>
      <c r="B968" s="386"/>
      <c r="C968" s="386"/>
      <c r="D968" s="386"/>
      <c r="E968" s="386"/>
      <c r="F968" s="408"/>
    </row>
    <row r="969" spans="1:6" x14ac:dyDescent="0.2">
      <c r="A969" s="388"/>
      <c r="B969" s="386"/>
      <c r="C969" s="386"/>
      <c r="D969" s="386"/>
      <c r="E969" s="386"/>
      <c r="F969" s="408"/>
    </row>
    <row r="970" spans="1:6" x14ac:dyDescent="0.2">
      <c r="A970" s="388"/>
      <c r="B970" s="386"/>
      <c r="C970" s="386"/>
      <c r="D970" s="386"/>
      <c r="E970" s="386"/>
      <c r="F970" s="408"/>
    </row>
    <row r="971" spans="1:6" x14ac:dyDescent="0.2">
      <c r="A971" s="388"/>
      <c r="B971" s="386"/>
      <c r="C971" s="386"/>
      <c r="D971" s="386"/>
      <c r="E971" s="386"/>
      <c r="F971" s="408"/>
    </row>
    <row r="972" spans="1:6" x14ac:dyDescent="0.2">
      <c r="A972" s="388"/>
      <c r="B972" s="386"/>
      <c r="C972" s="386"/>
      <c r="D972" s="386"/>
      <c r="E972" s="386"/>
      <c r="F972" s="408"/>
    </row>
    <row r="973" spans="1:6" x14ac:dyDescent="0.2">
      <c r="A973" s="388"/>
      <c r="B973" s="386"/>
      <c r="C973" s="386"/>
      <c r="D973" s="386"/>
      <c r="E973" s="386"/>
      <c r="F973" s="408"/>
    </row>
    <row r="974" spans="1:6" x14ac:dyDescent="0.2">
      <c r="A974" s="388"/>
      <c r="B974" s="386"/>
      <c r="C974" s="386"/>
      <c r="D974" s="386"/>
      <c r="E974" s="386"/>
      <c r="F974" s="408"/>
    </row>
    <row r="975" spans="1:6" x14ac:dyDescent="0.2">
      <c r="A975" s="388"/>
      <c r="B975" s="386"/>
      <c r="C975" s="386"/>
      <c r="D975" s="386"/>
      <c r="E975" s="386"/>
      <c r="F975" s="408"/>
    </row>
    <row r="976" spans="1:6" x14ac:dyDescent="0.2">
      <c r="A976" s="388"/>
      <c r="B976" s="386"/>
      <c r="C976" s="386"/>
      <c r="D976" s="386"/>
      <c r="E976" s="386"/>
      <c r="F976" s="408"/>
    </row>
    <row r="977" spans="1:6" x14ac:dyDescent="0.2">
      <c r="A977" s="388"/>
      <c r="B977" s="386"/>
      <c r="C977" s="386"/>
      <c r="D977" s="386"/>
      <c r="E977" s="386"/>
      <c r="F977" s="408"/>
    </row>
    <row r="978" spans="1:6" x14ac:dyDescent="0.2">
      <c r="A978" s="388"/>
      <c r="B978" s="386"/>
      <c r="C978" s="386"/>
      <c r="D978" s="386"/>
      <c r="E978" s="386"/>
      <c r="F978" s="408"/>
    </row>
    <row r="979" spans="1:6" x14ac:dyDescent="0.2">
      <c r="A979" s="388"/>
      <c r="B979" s="386"/>
      <c r="C979" s="386"/>
      <c r="D979" s="386"/>
      <c r="E979" s="386"/>
      <c r="F979" s="408"/>
    </row>
    <row r="980" spans="1:6" x14ac:dyDescent="0.2">
      <c r="A980" s="388"/>
      <c r="B980" s="386"/>
      <c r="C980" s="386"/>
      <c r="D980" s="386"/>
      <c r="E980" s="386"/>
      <c r="F980" s="408"/>
    </row>
    <row r="981" spans="1:6" x14ac:dyDescent="0.2">
      <c r="A981" s="388"/>
      <c r="B981" s="386"/>
      <c r="C981" s="386"/>
      <c r="D981" s="386"/>
      <c r="E981" s="386"/>
      <c r="F981" s="408"/>
    </row>
    <row r="982" spans="1:6" x14ac:dyDescent="0.2">
      <c r="A982" s="388"/>
      <c r="B982" s="386"/>
      <c r="C982" s="386"/>
      <c r="D982" s="386"/>
      <c r="E982" s="386"/>
      <c r="F982" s="408"/>
    </row>
    <row r="983" spans="1:6" x14ac:dyDescent="0.2">
      <c r="A983" s="388"/>
      <c r="B983" s="386"/>
      <c r="C983" s="386"/>
      <c r="D983" s="386"/>
      <c r="E983" s="386"/>
      <c r="F983" s="408"/>
    </row>
    <row r="984" spans="1:6" x14ac:dyDescent="0.2">
      <c r="A984" s="388"/>
      <c r="B984" s="386"/>
      <c r="C984" s="386"/>
      <c r="D984" s="386"/>
      <c r="E984" s="386"/>
      <c r="F984" s="408"/>
    </row>
    <row r="985" spans="1:6" x14ac:dyDescent="0.2">
      <c r="A985" s="388"/>
      <c r="B985" s="386"/>
      <c r="C985" s="386"/>
      <c r="D985" s="386"/>
      <c r="E985" s="386"/>
      <c r="F985" s="408"/>
    </row>
    <row r="986" spans="1:6" x14ac:dyDescent="0.2">
      <c r="A986" s="388"/>
      <c r="B986" s="386"/>
      <c r="C986" s="386"/>
      <c r="D986" s="386"/>
      <c r="E986" s="386"/>
      <c r="F986" s="408"/>
    </row>
    <row r="987" spans="1:6" x14ac:dyDescent="0.2">
      <c r="A987" s="388"/>
      <c r="B987" s="386"/>
      <c r="C987" s="386"/>
      <c r="D987" s="386"/>
      <c r="E987" s="386"/>
      <c r="F987" s="408"/>
    </row>
    <row r="988" spans="1:6" x14ac:dyDescent="0.2">
      <c r="A988" s="388"/>
      <c r="B988" s="386"/>
      <c r="C988" s="386"/>
      <c r="D988" s="386"/>
      <c r="E988" s="386"/>
      <c r="F988" s="408"/>
    </row>
    <row r="989" spans="1:6" x14ac:dyDescent="0.2">
      <c r="A989" s="388"/>
      <c r="B989" s="386"/>
      <c r="C989" s="386"/>
      <c r="D989" s="386"/>
      <c r="E989" s="386"/>
      <c r="F989" s="408"/>
    </row>
    <row r="990" spans="1:6" x14ac:dyDescent="0.2">
      <c r="A990" s="388"/>
      <c r="B990" s="386"/>
      <c r="C990" s="386"/>
      <c r="D990" s="386"/>
      <c r="E990" s="386"/>
      <c r="F990" s="408"/>
    </row>
    <row r="991" spans="1:6" x14ac:dyDescent="0.2">
      <c r="A991" s="388"/>
      <c r="B991" s="386"/>
      <c r="C991" s="386"/>
      <c r="D991" s="386"/>
      <c r="E991" s="386"/>
      <c r="F991" s="408"/>
    </row>
    <row r="992" spans="1:6" x14ac:dyDescent="0.2">
      <c r="A992" s="388"/>
      <c r="B992" s="386"/>
      <c r="C992" s="386"/>
      <c r="D992" s="386"/>
      <c r="E992" s="386"/>
      <c r="F992" s="408"/>
    </row>
    <row r="993" spans="1:6" x14ac:dyDescent="0.2">
      <c r="A993" s="388"/>
      <c r="B993" s="386"/>
      <c r="C993" s="386"/>
      <c r="D993" s="386"/>
      <c r="E993" s="386"/>
      <c r="F993" s="408"/>
    </row>
    <row r="994" spans="1:6" x14ac:dyDescent="0.2">
      <c r="A994" s="388"/>
      <c r="B994" s="386"/>
      <c r="C994" s="386"/>
      <c r="D994" s="386"/>
      <c r="E994" s="386"/>
      <c r="F994" s="408"/>
    </row>
    <row r="995" spans="1:6" x14ac:dyDescent="0.2">
      <c r="A995" s="388"/>
      <c r="B995" s="386"/>
      <c r="C995" s="386"/>
      <c r="D995" s="386"/>
      <c r="E995" s="386"/>
      <c r="F995" s="408"/>
    </row>
    <row r="996" spans="1:6" x14ac:dyDescent="0.2">
      <c r="A996" s="388"/>
      <c r="B996" s="386"/>
      <c r="C996" s="386"/>
      <c r="D996" s="386"/>
      <c r="E996" s="386"/>
      <c r="F996" s="408"/>
    </row>
    <row r="997" spans="1:6" x14ac:dyDescent="0.2">
      <c r="A997" s="388"/>
      <c r="B997" s="386"/>
      <c r="C997" s="386"/>
      <c r="D997" s="386"/>
      <c r="E997" s="386"/>
      <c r="F997" s="408"/>
    </row>
    <row r="998" spans="1:6" x14ac:dyDescent="0.2">
      <c r="A998" s="388"/>
      <c r="B998" s="386"/>
      <c r="C998" s="386"/>
      <c r="D998" s="386"/>
      <c r="E998" s="386"/>
      <c r="F998" s="408"/>
    </row>
    <row r="999" spans="1:6" x14ac:dyDescent="0.2">
      <c r="A999" s="388"/>
      <c r="B999" s="386"/>
      <c r="C999" s="386"/>
      <c r="D999" s="386"/>
      <c r="E999" s="386"/>
      <c r="F999" s="408"/>
    </row>
    <row r="1000" spans="1:6" x14ac:dyDescent="0.2">
      <c r="A1000" s="388"/>
      <c r="B1000" s="386"/>
      <c r="C1000" s="386"/>
      <c r="D1000" s="386"/>
      <c r="E1000" s="386"/>
      <c r="F1000" s="408"/>
    </row>
    <row r="1001" spans="1:6" x14ac:dyDescent="0.2">
      <c r="A1001" s="388"/>
      <c r="B1001" s="386"/>
      <c r="C1001" s="386"/>
      <c r="D1001" s="386"/>
      <c r="E1001" s="386"/>
      <c r="F1001" s="408"/>
    </row>
    <row r="1002" spans="1:6" x14ac:dyDescent="0.2">
      <c r="A1002" s="388"/>
      <c r="B1002" s="386"/>
      <c r="C1002" s="386"/>
      <c r="D1002" s="386"/>
      <c r="E1002" s="386"/>
      <c r="F1002" s="408"/>
    </row>
    <row r="1003" spans="1:6" x14ac:dyDescent="0.2">
      <c r="A1003" s="388"/>
      <c r="B1003" s="386"/>
      <c r="C1003" s="386"/>
      <c r="D1003" s="386"/>
      <c r="E1003" s="386"/>
      <c r="F1003" s="408"/>
    </row>
    <row r="1004" spans="1:6" x14ac:dyDescent="0.2">
      <c r="A1004" s="388"/>
      <c r="B1004" s="386"/>
      <c r="C1004" s="386"/>
      <c r="D1004" s="386"/>
      <c r="E1004" s="386"/>
      <c r="F1004" s="408"/>
    </row>
    <row r="1005" spans="1:6" x14ac:dyDescent="0.2">
      <c r="A1005" s="388"/>
      <c r="B1005" s="386"/>
      <c r="C1005" s="386"/>
      <c r="D1005" s="386"/>
      <c r="E1005" s="386"/>
      <c r="F1005" s="408"/>
    </row>
    <row r="1006" spans="1:6" x14ac:dyDescent="0.2">
      <c r="A1006" s="388"/>
      <c r="B1006" s="386"/>
      <c r="C1006" s="386"/>
      <c r="D1006" s="386"/>
      <c r="E1006" s="386"/>
      <c r="F1006" s="408"/>
    </row>
    <row r="1007" spans="1:6" x14ac:dyDescent="0.2">
      <c r="A1007" s="388"/>
      <c r="B1007" s="386"/>
      <c r="C1007" s="386"/>
      <c r="D1007" s="386"/>
      <c r="E1007" s="386"/>
      <c r="F1007" s="408"/>
    </row>
    <row r="1008" spans="1:6" x14ac:dyDescent="0.2">
      <c r="A1008" s="388"/>
      <c r="B1008" s="386"/>
      <c r="C1008" s="386"/>
      <c r="D1008" s="386"/>
      <c r="E1008" s="386"/>
      <c r="F1008" s="408"/>
    </row>
    <row r="1009" spans="1:6" x14ac:dyDescent="0.2">
      <c r="A1009" s="388"/>
      <c r="B1009" s="386"/>
      <c r="C1009" s="386"/>
      <c r="D1009" s="386"/>
      <c r="E1009" s="386"/>
      <c r="F1009" s="408"/>
    </row>
    <row r="1010" spans="1:6" x14ac:dyDescent="0.2">
      <c r="A1010" s="388"/>
      <c r="B1010" s="386"/>
      <c r="C1010" s="386"/>
      <c r="D1010" s="386"/>
      <c r="E1010" s="386"/>
      <c r="F1010" s="408"/>
    </row>
    <row r="1011" spans="1:6" x14ac:dyDescent="0.2">
      <c r="A1011" s="388"/>
      <c r="B1011" s="386"/>
      <c r="C1011" s="386"/>
      <c r="D1011" s="386"/>
      <c r="E1011" s="386"/>
      <c r="F1011" s="408"/>
    </row>
    <row r="1012" spans="1:6" x14ac:dyDescent="0.2">
      <c r="A1012" s="388"/>
      <c r="B1012" s="386"/>
      <c r="C1012" s="386"/>
      <c r="D1012" s="386"/>
      <c r="E1012" s="386"/>
      <c r="F1012" s="408"/>
    </row>
    <row r="1013" spans="1:6" x14ac:dyDescent="0.2">
      <c r="A1013" s="388"/>
      <c r="B1013" s="386"/>
      <c r="C1013" s="386"/>
      <c r="D1013" s="386"/>
      <c r="E1013" s="386"/>
      <c r="F1013" s="408"/>
    </row>
    <row r="1014" spans="1:6" x14ac:dyDescent="0.2">
      <c r="A1014" s="388"/>
      <c r="B1014" s="386"/>
      <c r="C1014" s="386"/>
      <c r="D1014" s="386"/>
      <c r="E1014" s="386"/>
      <c r="F1014" s="408"/>
    </row>
    <row r="1015" spans="1:6" x14ac:dyDescent="0.2">
      <c r="A1015" s="388"/>
      <c r="B1015" s="386"/>
      <c r="C1015" s="386"/>
      <c r="D1015" s="386"/>
      <c r="E1015" s="386"/>
      <c r="F1015" s="408"/>
    </row>
    <row r="1016" spans="1:6" x14ac:dyDescent="0.2">
      <c r="A1016" s="388"/>
      <c r="B1016" s="386"/>
      <c r="C1016" s="386"/>
      <c r="D1016" s="386"/>
      <c r="E1016" s="386"/>
      <c r="F1016" s="408"/>
    </row>
    <row r="1017" spans="1:6" x14ac:dyDescent="0.2">
      <c r="A1017" s="388"/>
      <c r="B1017" s="386"/>
      <c r="C1017" s="386"/>
      <c r="D1017" s="386"/>
      <c r="E1017" s="386"/>
      <c r="F1017" s="408"/>
    </row>
    <row r="1018" spans="1:6" x14ac:dyDescent="0.2">
      <c r="A1018" s="388"/>
      <c r="B1018" s="386"/>
      <c r="C1018" s="386"/>
      <c r="D1018" s="386"/>
      <c r="E1018" s="386"/>
      <c r="F1018" s="408"/>
    </row>
    <row r="1019" spans="1:6" x14ac:dyDescent="0.2">
      <c r="A1019" s="388"/>
      <c r="B1019" s="386"/>
      <c r="C1019" s="386"/>
      <c r="D1019" s="386"/>
      <c r="E1019" s="386"/>
      <c r="F1019" s="408"/>
    </row>
    <row r="1020" spans="1:6" x14ac:dyDescent="0.2">
      <c r="A1020" s="388"/>
      <c r="B1020" s="386"/>
      <c r="C1020" s="386"/>
      <c r="D1020" s="386"/>
      <c r="E1020" s="386"/>
      <c r="F1020" s="408"/>
    </row>
    <row r="1021" spans="1:6" x14ac:dyDescent="0.2">
      <c r="A1021" s="388"/>
      <c r="B1021" s="386"/>
      <c r="C1021" s="386"/>
      <c r="D1021" s="386"/>
      <c r="E1021" s="386"/>
      <c r="F1021" s="408"/>
    </row>
    <row r="1022" spans="1:6" x14ac:dyDescent="0.2">
      <c r="A1022" s="388"/>
      <c r="B1022" s="386"/>
      <c r="C1022" s="386"/>
      <c r="D1022" s="386"/>
      <c r="E1022" s="386"/>
      <c r="F1022" s="408"/>
    </row>
    <row r="1023" spans="1:6" x14ac:dyDescent="0.2">
      <c r="A1023" s="388"/>
      <c r="B1023" s="386"/>
      <c r="C1023" s="386"/>
      <c r="D1023" s="386"/>
      <c r="E1023" s="386"/>
      <c r="F1023" s="408"/>
    </row>
    <row r="1024" spans="1:6" x14ac:dyDescent="0.2">
      <c r="A1024" s="388"/>
      <c r="B1024" s="386"/>
      <c r="C1024" s="386"/>
      <c r="D1024" s="386"/>
      <c r="E1024" s="386"/>
      <c r="F1024" s="408"/>
    </row>
    <row r="1025" spans="1:6" x14ac:dyDescent="0.2">
      <c r="A1025" s="388"/>
      <c r="B1025" s="386"/>
      <c r="C1025" s="386"/>
      <c r="D1025" s="386"/>
      <c r="E1025" s="386"/>
      <c r="F1025" s="408"/>
    </row>
    <row r="1026" spans="1:6" x14ac:dyDescent="0.2">
      <c r="A1026" s="388"/>
      <c r="B1026" s="386"/>
      <c r="C1026" s="386"/>
      <c r="D1026" s="386"/>
      <c r="E1026" s="386"/>
      <c r="F1026" s="408"/>
    </row>
    <row r="1027" spans="1:6" x14ac:dyDescent="0.2">
      <c r="A1027" s="388"/>
      <c r="B1027" s="386"/>
      <c r="C1027" s="386"/>
      <c r="D1027" s="386"/>
      <c r="E1027" s="386"/>
      <c r="F1027" s="408"/>
    </row>
    <row r="1028" spans="1:6" x14ac:dyDescent="0.2">
      <c r="A1028" s="388"/>
      <c r="B1028" s="386"/>
      <c r="C1028" s="386"/>
      <c r="D1028" s="386"/>
      <c r="E1028" s="386"/>
      <c r="F1028" s="408"/>
    </row>
    <row r="1029" spans="1:6" x14ac:dyDescent="0.2">
      <c r="A1029" s="388"/>
      <c r="B1029" s="386"/>
      <c r="C1029" s="386"/>
      <c r="D1029" s="386"/>
      <c r="E1029" s="386"/>
      <c r="F1029" s="408"/>
    </row>
    <row r="1030" spans="1:6" x14ac:dyDescent="0.2">
      <c r="A1030" s="388"/>
      <c r="B1030" s="386"/>
      <c r="C1030" s="386"/>
      <c r="D1030" s="386"/>
      <c r="E1030" s="386"/>
      <c r="F1030" s="408"/>
    </row>
    <row r="1031" spans="1:6" x14ac:dyDescent="0.2">
      <c r="A1031" s="388"/>
      <c r="B1031" s="386"/>
      <c r="C1031" s="386"/>
      <c r="D1031" s="386"/>
      <c r="E1031" s="386"/>
      <c r="F1031" s="408"/>
    </row>
    <row r="1032" spans="1:6" x14ac:dyDescent="0.2">
      <c r="A1032" s="388"/>
      <c r="B1032" s="386"/>
      <c r="C1032" s="386"/>
      <c r="D1032" s="386"/>
      <c r="E1032" s="386"/>
      <c r="F1032" s="408"/>
    </row>
    <row r="1033" spans="1:6" x14ac:dyDescent="0.2">
      <c r="A1033" s="388"/>
      <c r="B1033" s="386"/>
      <c r="C1033" s="386"/>
      <c r="D1033" s="386"/>
      <c r="E1033" s="386"/>
      <c r="F1033" s="408"/>
    </row>
    <row r="1034" spans="1:6" x14ac:dyDescent="0.2">
      <c r="A1034" s="388"/>
      <c r="B1034" s="386"/>
      <c r="C1034" s="386"/>
      <c r="D1034" s="386"/>
      <c r="E1034" s="386"/>
      <c r="F1034" s="408"/>
    </row>
    <row r="1035" spans="1:6" x14ac:dyDescent="0.2">
      <c r="A1035" s="388"/>
      <c r="B1035" s="386"/>
      <c r="C1035" s="386"/>
      <c r="D1035" s="386"/>
      <c r="E1035" s="386"/>
      <c r="F1035" s="408"/>
    </row>
    <row r="1036" spans="1:6" x14ac:dyDescent="0.2">
      <c r="A1036" s="388"/>
      <c r="B1036" s="386"/>
      <c r="C1036" s="386"/>
      <c r="D1036" s="386"/>
      <c r="E1036" s="386"/>
      <c r="F1036" s="408"/>
    </row>
    <row r="1037" spans="1:6" x14ac:dyDescent="0.2">
      <c r="A1037" s="388"/>
      <c r="B1037" s="386"/>
      <c r="C1037" s="386"/>
      <c r="D1037" s="386"/>
      <c r="E1037" s="386"/>
      <c r="F1037" s="408"/>
    </row>
    <row r="1038" spans="1:6" x14ac:dyDescent="0.2">
      <c r="A1038" s="388"/>
      <c r="B1038" s="386"/>
      <c r="C1038" s="386"/>
      <c r="D1038" s="386"/>
      <c r="E1038" s="386"/>
      <c r="F1038" s="408"/>
    </row>
    <row r="1039" spans="1:6" x14ac:dyDescent="0.2">
      <c r="A1039" s="388"/>
      <c r="B1039" s="386"/>
      <c r="C1039" s="386"/>
      <c r="D1039" s="386"/>
      <c r="E1039" s="386"/>
      <c r="F1039" s="408"/>
    </row>
    <row r="1040" spans="1:6" x14ac:dyDescent="0.2">
      <c r="A1040" s="388"/>
      <c r="B1040" s="386"/>
      <c r="C1040" s="386"/>
      <c r="D1040" s="386"/>
      <c r="E1040" s="386"/>
      <c r="F1040" s="408"/>
    </row>
    <row r="1041" spans="1:6" x14ac:dyDescent="0.2">
      <c r="A1041" s="388"/>
      <c r="B1041" s="386"/>
      <c r="C1041" s="386"/>
      <c r="D1041" s="386"/>
      <c r="E1041" s="386"/>
      <c r="F1041" s="408"/>
    </row>
    <row r="1042" spans="1:6" x14ac:dyDescent="0.2">
      <c r="A1042" s="388"/>
      <c r="B1042" s="386"/>
      <c r="C1042" s="386"/>
      <c r="D1042" s="386"/>
      <c r="E1042" s="386"/>
      <c r="F1042" s="408"/>
    </row>
    <row r="1043" spans="1:6" x14ac:dyDescent="0.2">
      <c r="A1043" s="388"/>
      <c r="B1043" s="386"/>
      <c r="C1043" s="386"/>
      <c r="D1043" s="386"/>
      <c r="E1043" s="386"/>
      <c r="F1043" s="408"/>
    </row>
    <row r="1044" spans="1:6" x14ac:dyDescent="0.2">
      <c r="A1044" s="388"/>
      <c r="B1044" s="386"/>
      <c r="C1044" s="386"/>
      <c r="D1044" s="386"/>
      <c r="E1044" s="386"/>
      <c r="F1044" s="408"/>
    </row>
    <row r="1045" spans="1:6" x14ac:dyDescent="0.2">
      <c r="A1045" s="388"/>
      <c r="B1045" s="386"/>
      <c r="C1045" s="386"/>
      <c r="D1045" s="386"/>
      <c r="E1045" s="386"/>
      <c r="F1045" s="408"/>
    </row>
    <row r="1046" spans="1:6" x14ac:dyDescent="0.2">
      <c r="A1046" s="388"/>
      <c r="B1046" s="386"/>
      <c r="C1046" s="386"/>
      <c r="D1046" s="386"/>
      <c r="E1046" s="386"/>
      <c r="F1046" s="408"/>
    </row>
    <row r="1047" spans="1:6" x14ac:dyDescent="0.2">
      <c r="A1047" s="388"/>
      <c r="B1047" s="386"/>
      <c r="C1047" s="386"/>
      <c r="D1047" s="386"/>
      <c r="E1047" s="386"/>
      <c r="F1047" s="408"/>
    </row>
    <row r="1048" spans="1:6" x14ac:dyDescent="0.2">
      <c r="A1048" s="388"/>
      <c r="B1048" s="386"/>
      <c r="C1048" s="386"/>
      <c r="D1048" s="386"/>
      <c r="E1048" s="386"/>
      <c r="F1048" s="408"/>
    </row>
    <row r="1049" spans="1:6" x14ac:dyDescent="0.2">
      <c r="A1049" s="388"/>
      <c r="B1049" s="386"/>
      <c r="C1049" s="386"/>
      <c r="D1049" s="386"/>
      <c r="E1049" s="386"/>
      <c r="F1049" s="408"/>
    </row>
    <row r="1050" spans="1:6" x14ac:dyDescent="0.2">
      <c r="A1050" s="388"/>
      <c r="B1050" s="386"/>
      <c r="C1050" s="386"/>
      <c r="D1050" s="386"/>
      <c r="E1050" s="386"/>
      <c r="F1050" s="408"/>
    </row>
    <row r="1051" spans="1:6" x14ac:dyDescent="0.2">
      <c r="A1051" s="388"/>
      <c r="B1051" s="386"/>
      <c r="C1051" s="386"/>
      <c r="D1051" s="386"/>
      <c r="E1051" s="386"/>
      <c r="F1051" s="408"/>
    </row>
    <row r="1052" spans="1:6" x14ac:dyDescent="0.2">
      <c r="A1052" s="388"/>
      <c r="B1052" s="386"/>
      <c r="C1052" s="386"/>
      <c r="D1052" s="386"/>
      <c r="E1052" s="386"/>
      <c r="F1052" s="408"/>
    </row>
    <row r="1053" spans="1:6" x14ac:dyDescent="0.2">
      <c r="A1053" s="388"/>
      <c r="B1053" s="386"/>
      <c r="C1053" s="386"/>
      <c r="D1053" s="386"/>
      <c r="E1053" s="386"/>
      <c r="F1053" s="408"/>
    </row>
    <row r="1054" spans="1:6" x14ac:dyDescent="0.2">
      <c r="A1054" s="388"/>
      <c r="B1054" s="386"/>
      <c r="C1054" s="386"/>
      <c r="D1054" s="386"/>
      <c r="E1054" s="386"/>
      <c r="F1054" s="408"/>
    </row>
    <row r="1055" spans="1:6" x14ac:dyDescent="0.2">
      <c r="A1055" s="388"/>
      <c r="B1055" s="386"/>
      <c r="C1055" s="386"/>
      <c r="D1055" s="386"/>
      <c r="E1055" s="386"/>
      <c r="F1055" s="408"/>
    </row>
    <row r="1056" spans="1:6" x14ac:dyDescent="0.2">
      <c r="A1056" s="388"/>
      <c r="B1056" s="386"/>
      <c r="C1056" s="386"/>
      <c r="D1056" s="386"/>
      <c r="E1056" s="386"/>
      <c r="F1056" s="408"/>
    </row>
    <row r="1057" spans="1:6" x14ac:dyDescent="0.2">
      <c r="A1057" s="388"/>
      <c r="B1057" s="386"/>
      <c r="C1057" s="386"/>
      <c r="D1057" s="386"/>
      <c r="E1057" s="386"/>
      <c r="F1057" s="408"/>
    </row>
    <row r="1058" spans="1:6" x14ac:dyDescent="0.2">
      <c r="A1058" s="388"/>
      <c r="B1058" s="386"/>
      <c r="C1058" s="386"/>
      <c r="D1058" s="386"/>
      <c r="E1058" s="386"/>
      <c r="F1058" s="408"/>
    </row>
    <row r="1059" spans="1:6" x14ac:dyDescent="0.2">
      <c r="A1059" s="388"/>
      <c r="B1059" s="386"/>
      <c r="C1059" s="386"/>
      <c r="D1059" s="386"/>
      <c r="E1059" s="386"/>
      <c r="F1059" s="408"/>
    </row>
    <row r="1060" spans="1:6" x14ac:dyDescent="0.2">
      <c r="A1060" s="388"/>
      <c r="B1060" s="386"/>
      <c r="C1060" s="386"/>
      <c r="D1060" s="386"/>
      <c r="E1060" s="386"/>
      <c r="F1060" s="408"/>
    </row>
    <row r="1061" spans="1:6" x14ac:dyDescent="0.2">
      <c r="A1061" s="388"/>
      <c r="B1061" s="386"/>
      <c r="C1061" s="386"/>
      <c r="D1061" s="386"/>
      <c r="E1061" s="386"/>
      <c r="F1061" s="408"/>
    </row>
    <row r="1062" spans="1:6" x14ac:dyDescent="0.2">
      <c r="A1062" s="388"/>
      <c r="B1062" s="386"/>
      <c r="C1062" s="386"/>
      <c r="D1062" s="386"/>
      <c r="E1062" s="386"/>
      <c r="F1062" s="408"/>
    </row>
    <row r="1063" spans="1:6" x14ac:dyDescent="0.2">
      <c r="A1063" s="388"/>
      <c r="B1063" s="386"/>
      <c r="C1063" s="386"/>
      <c r="D1063" s="386"/>
      <c r="E1063" s="386"/>
      <c r="F1063" s="408"/>
    </row>
    <row r="1064" spans="1:6" x14ac:dyDescent="0.2">
      <c r="A1064" s="388"/>
      <c r="B1064" s="386"/>
      <c r="C1064" s="386"/>
      <c r="D1064" s="386"/>
      <c r="E1064" s="386"/>
      <c r="F1064" s="408"/>
    </row>
    <row r="1065" spans="1:6" x14ac:dyDescent="0.2">
      <c r="A1065" s="388"/>
      <c r="B1065" s="386"/>
      <c r="C1065" s="386"/>
      <c r="D1065" s="386"/>
      <c r="E1065" s="386"/>
      <c r="F1065" s="408"/>
    </row>
    <row r="1066" spans="1:6" x14ac:dyDescent="0.2">
      <c r="A1066" s="388"/>
      <c r="B1066" s="386"/>
      <c r="C1066" s="386"/>
      <c r="D1066" s="386"/>
      <c r="E1066" s="386"/>
      <c r="F1066" s="408"/>
    </row>
    <row r="1067" spans="1:6" x14ac:dyDescent="0.2">
      <c r="A1067" s="388"/>
      <c r="B1067" s="386"/>
      <c r="C1067" s="386"/>
      <c r="D1067" s="386"/>
      <c r="E1067" s="386"/>
      <c r="F1067" s="408"/>
    </row>
    <row r="1068" spans="1:6" x14ac:dyDescent="0.2">
      <c r="A1068" s="388"/>
      <c r="B1068" s="386"/>
      <c r="C1068" s="386"/>
      <c r="D1068" s="386"/>
      <c r="E1068" s="386"/>
      <c r="F1068" s="408"/>
    </row>
    <row r="1069" spans="1:6" x14ac:dyDescent="0.2">
      <c r="A1069" s="388"/>
      <c r="B1069" s="386"/>
      <c r="C1069" s="386"/>
      <c r="D1069" s="386"/>
      <c r="E1069" s="386"/>
      <c r="F1069" s="408"/>
    </row>
    <row r="1070" spans="1:6" x14ac:dyDescent="0.2">
      <c r="A1070" s="388"/>
      <c r="B1070" s="386"/>
      <c r="C1070" s="386"/>
      <c r="D1070" s="386"/>
      <c r="E1070" s="386"/>
      <c r="F1070" s="408"/>
    </row>
    <row r="1071" spans="1:6" x14ac:dyDescent="0.2">
      <c r="A1071" s="388"/>
      <c r="B1071" s="386"/>
      <c r="C1071" s="386"/>
      <c r="D1071" s="386"/>
      <c r="E1071" s="386"/>
      <c r="F1071" s="408"/>
    </row>
    <row r="1072" spans="1:6" x14ac:dyDescent="0.2">
      <c r="A1072" s="388"/>
      <c r="B1072" s="386"/>
      <c r="C1072" s="386"/>
      <c r="D1072" s="386"/>
      <c r="E1072" s="386"/>
      <c r="F1072" s="408"/>
    </row>
    <row r="1073" spans="1:6" x14ac:dyDescent="0.2">
      <c r="A1073" s="388"/>
      <c r="B1073" s="386"/>
      <c r="C1073" s="386"/>
      <c r="D1073" s="386"/>
      <c r="E1073" s="386"/>
      <c r="F1073" s="408"/>
    </row>
    <row r="1074" spans="1:6" x14ac:dyDescent="0.2">
      <c r="A1074" s="388"/>
      <c r="B1074" s="386"/>
      <c r="C1074" s="386"/>
      <c r="D1074" s="386"/>
      <c r="E1074" s="386"/>
      <c r="F1074" s="408"/>
    </row>
    <row r="1075" spans="1:6" x14ac:dyDescent="0.2">
      <c r="A1075" s="388"/>
      <c r="B1075" s="386"/>
      <c r="C1075" s="386"/>
      <c r="D1075" s="386"/>
      <c r="E1075" s="386"/>
      <c r="F1075" s="408"/>
    </row>
    <row r="1076" spans="1:6" x14ac:dyDescent="0.2">
      <c r="A1076" s="388"/>
      <c r="B1076" s="386"/>
      <c r="C1076" s="386"/>
      <c r="D1076" s="386"/>
      <c r="E1076" s="386"/>
      <c r="F1076" s="408"/>
    </row>
    <row r="1077" spans="1:6" x14ac:dyDescent="0.2">
      <c r="A1077" s="388"/>
      <c r="B1077" s="386"/>
      <c r="C1077" s="386"/>
      <c r="D1077" s="386"/>
      <c r="E1077" s="386"/>
      <c r="F1077" s="408"/>
    </row>
    <row r="1078" spans="1:6" x14ac:dyDescent="0.2">
      <c r="A1078" s="388"/>
      <c r="B1078" s="386"/>
      <c r="C1078" s="386"/>
      <c r="D1078" s="386"/>
      <c r="E1078" s="386"/>
      <c r="F1078" s="408"/>
    </row>
    <row r="1079" spans="1:6" x14ac:dyDescent="0.2">
      <c r="A1079" s="388"/>
      <c r="B1079" s="386"/>
      <c r="C1079" s="386"/>
      <c r="D1079" s="386"/>
      <c r="E1079" s="386"/>
      <c r="F1079" s="408"/>
    </row>
    <row r="1080" spans="1:6" x14ac:dyDescent="0.2">
      <c r="A1080" s="388"/>
      <c r="B1080" s="386"/>
      <c r="C1080" s="386"/>
      <c r="D1080" s="386"/>
      <c r="E1080" s="386"/>
      <c r="F1080" s="408"/>
    </row>
    <row r="1081" spans="1:6" x14ac:dyDescent="0.2">
      <c r="A1081" s="388"/>
      <c r="B1081" s="386"/>
      <c r="C1081" s="386"/>
      <c r="D1081" s="386"/>
      <c r="E1081" s="386"/>
      <c r="F1081" s="408"/>
    </row>
    <row r="1082" spans="1:6" x14ac:dyDescent="0.2">
      <c r="A1082" s="388"/>
      <c r="B1082" s="386"/>
      <c r="C1082" s="386"/>
      <c r="D1082" s="386"/>
      <c r="E1082" s="386"/>
      <c r="F1082" s="408"/>
    </row>
    <row r="1083" spans="1:6" x14ac:dyDescent="0.2">
      <c r="A1083" s="388"/>
      <c r="B1083" s="386"/>
      <c r="C1083" s="386"/>
      <c r="D1083" s="386"/>
      <c r="E1083" s="386"/>
      <c r="F1083" s="408"/>
    </row>
    <row r="1084" spans="1:6" x14ac:dyDescent="0.2">
      <c r="A1084" s="388"/>
      <c r="B1084" s="386"/>
      <c r="C1084" s="386"/>
      <c r="D1084" s="386"/>
      <c r="E1084" s="386"/>
      <c r="F1084" s="408"/>
    </row>
    <row r="1085" spans="1:6" x14ac:dyDescent="0.2">
      <c r="A1085" s="388"/>
      <c r="B1085" s="386"/>
      <c r="C1085" s="386"/>
      <c r="D1085" s="386"/>
      <c r="E1085" s="386"/>
      <c r="F1085" s="408"/>
    </row>
    <row r="1086" spans="1:6" x14ac:dyDescent="0.2">
      <c r="A1086" s="388"/>
      <c r="B1086" s="386"/>
      <c r="C1086" s="386"/>
      <c r="D1086" s="386"/>
      <c r="E1086" s="386"/>
      <c r="F1086" s="408"/>
    </row>
    <row r="1087" spans="1:6" x14ac:dyDescent="0.2">
      <c r="A1087" s="388"/>
      <c r="B1087" s="386"/>
      <c r="C1087" s="386"/>
      <c r="D1087" s="386"/>
      <c r="E1087" s="386"/>
      <c r="F1087" s="408"/>
    </row>
    <row r="1088" spans="1:6" x14ac:dyDescent="0.2">
      <c r="A1088" s="388"/>
      <c r="B1088" s="386"/>
      <c r="C1088" s="386"/>
      <c r="D1088" s="386"/>
      <c r="E1088" s="386"/>
      <c r="F1088" s="408"/>
    </row>
    <row r="1089" spans="1:6" x14ac:dyDescent="0.2">
      <c r="A1089" s="388"/>
      <c r="B1089" s="386"/>
      <c r="C1089" s="386"/>
      <c r="D1089" s="386"/>
      <c r="E1089" s="386"/>
      <c r="F1089" s="408"/>
    </row>
    <row r="1090" spans="1:6" x14ac:dyDescent="0.2">
      <c r="A1090" s="388"/>
      <c r="B1090" s="386"/>
      <c r="C1090" s="386"/>
      <c r="D1090" s="386"/>
      <c r="E1090" s="386"/>
      <c r="F1090" s="408"/>
    </row>
    <row r="1091" spans="1:6" x14ac:dyDescent="0.2">
      <c r="A1091" s="388"/>
      <c r="B1091" s="386"/>
      <c r="C1091" s="386"/>
      <c r="D1091" s="386"/>
      <c r="E1091" s="386"/>
      <c r="F1091" s="408"/>
    </row>
    <row r="1092" spans="1:6" x14ac:dyDescent="0.2">
      <c r="A1092" s="388"/>
      <c r="B1092" s="386"/>
      <c r="C1092" s="386"/>
      <c r="D1092" s="386"/>
      <c r="E1092" s="386"/>
      <c r="F1092" s="408"/>
    </row>
    <row r="1093" spans="1:6" x14ac:dyDescent="0.2">
      <c r="A1093" s="388"/>
      <c r="B1093" s="386"/>
      <c r="C1093" s="386"/>
      <c r="D1093" s="386"/>
      <c r="E1093" s="386"/>
      <c r="F1093" s="408"/>
    </row>
    <row r="1094" spans="1:6" x14ac:dyDescent="0.2">
      <c r="A1094" s="388"/>
      <c r="B1094" s="386"/>
      <c r="C1094" s="386"/>
      <c r="D1094" s="386"/>
      <c r="E1094" s="386"/>
      <c r="F1094" s="408"/>
    </row>
    <row r="1095" spans="1:6" x14ac:dyDescent="0.2">
      <c r="A1095" s="388"/>
      <c r="B1095" s="386"/>
      <c r="C1095" s="386"/>
      <c r="D1095" s="386"/>
      <c r="E1095" s="386"/>
      <c r="F1095" s="408"/>
    </row>
    <row r="1096" spans="1:6" x14ac:dyDescent="0.2">
      <c r="A1096" s="388"/>
      <c r="B1096" s="386"/>
      <c r="C1096" s="386"/>
      <c r="D1096" s="386"/>
      <c r="E1096" s="386"/>
      <c r="F1096" s="408"/>
    </row>
    <row r="1097" spans="1:6" x14ac:dyDescent="0.2">
      <c r="A1097" s="388"/>
      <c r="B1097" s="386"/>
      <c r="C1097" s="386"/>
      <c r="D1097" s="386"/>
      <c r="E1097" s="386"/>
      <c r="F1097" s="408"/>
    </row>
    <row r="1098" spans="1:6" x14ac:dyDescent="0.2">
      <c r="A1098" s="388"/>
      <c r="B1098" s="386"/>
      <c r="C1098" s="386"/>
      <c r="D1098" s="386"/>
      <c r="E1098" s="386"/>
      <c r="F1098" s="408"/>
    </row>
    <row r="1099" spans="1:6" x14ac:dyDescent="0.2">
      <c r="A1099" s="388"/>
      <c r="B1099" s="386"/>
      <c r="C1099" s="386"/>
      <c r="D1099" s="386"/>
      <c r="E1099" s="386"/>
      <c r="F1099" s="408"/>
    </row>
    <row r="1100" spans="1:6" x14ac:dyDescent="0.2">
      <c r="A1100" s="388"/>
      <c r="B1100" s="386"/>
      <c r="C1100" s="386"/>
      <c r="D1100" s="386"/>
      <c r="E1100" s="386"/>
      <c r="F1100" s="408"/>
    </row>
    <row r="1101" spans="1:6" x14ac:dyDescent="0.2">
      <c r="A1101" s="388"/>
      <c r="B1101" s="386"/>
      <c r="C1101" s="386"/>
      <c r="D1101" s="386"/>
      <c r="E1101" s="386"/>
      <c r="F1101" s="408"/>
    </row>
    <row r="1102" spans="1:6" x14ac:dyDescent="0.2">
      <c r="A1102" s="388"/>
      <c r="B1102" s="386"/>
      <c r="C1102" s="386"/>
      <c r="D1102" s="386"/>
      <c r="E1102" s="386"/>
      <c r="F1102" s="408"/>
    </row>
    <row r="1103" spans="1:6" x14ac:dyDescent="0.2">
      <c r="A1103" s="388"/>
      <c r="B1103" s="386"/>
      <c r="C1103" s="386"/>
      <c r="D1103" s="386"/>
      <c r="E1103" s="386"/>
      <c r="F1103" s="408"/>
    </row>
    <row r="1104" spans="1:6" x14ac:dyDescent="0.2">
      <c r="A1104" s="388"/>
      <c r="B1104" s="386"/>
      <c r="C1104" s="386"/>
      <c r="D1104" s="386"/>
      <c r="E1104" s="386"/>
      <c r="F1104" s="408"/>
    </row>
    <row r="1105" spans="1:6" x14ac:dyDescent="0.2">
      <c r="A1105" s="388"/>
      <c r="B1105" s="386"/>
      <c r="C1105" s="386"/>
      <c r="D1105" s="386"/>
      <c r="E1105" s="386"/>
      <c r="F1105" s="408"/>
    </row>
    <row r="1106" spans="1:6" x14ac:dyDescent="0.2">
      <c r="A1106" s="388"/>
      <c r="B1106" s="386"/>
      <c r="C1106" s="386"/>
      <c r="D1106" s="386"/>
      <c r="E1106" s="386"/>
      <c r="F1106" s="408"/>
    </row>
    <row r="1107" spans="1:6" x14ac:dyDescent="0.2">
      <c r="A1107" s="388"/>
      <c r="B1107" s="386"/>
      <c r="C1107" s="386"/>
      <c r="D1107" s="386"/>
      <c r="E1107" s="386"/>
      <c r="F1107" s="408"/>
    </row>
    <row r="1108" spans="1:6" x14ac:dyDescent="0.2">
      <c r="A1108" s="388"/>
      <c r="B1108" s="386"/>
      <c r="C1108" s="386"/>
      <c r="D1108" s="386"/>
      <c r="E1108" s="386"/>
      <c r="F1108" s="408"/>
    </row>
    <row r="1109" spans="1:6" x14ac:dyDescent="0.2">
      <c r="A1109" s="388"/>
      <c r="B1109" s="386"/>
      <c r="C1109" s="386"/>
      <c r="D1109" s="386"/>
      <c r="E1109" s="386"/>
      <c r="F1109" s="408"/>
    </row>
    <row r="1110" spans="1:6" x14ac:dyDescent="0.2">
      <c r="A1110" s="388"/>
      <c r="B1110" s="386"/>
      <c r="C1110" s="386"/>
      <c r="D1110" s="386"/>
      <c r="E1110" s="386"/>
      <c r="F1110" s="408"/>
    </row>
    <row r="1111" spans="1:6" x14ac:dyDescent="0.2">
      <c r="A1111" s="388"/>
      <c r="B1111" s="386"/>
      <c r="C1111" s="386"/>
      <c r="D1111" s="386"/>
      <c r="E1111" s="386"/>
      <c r="F1111" s="408"/>
    </row>
    <row r="1112" spans="1:6" x14ac:dyDescent="0.2">
      <c r="A1112" s="388"/>
      <c r="B1112" s="386"/>
      <c r="C1112" s="386"/>
      <c r="D1112" s="386"/>
      <c r="E1112" s="386"/>
      <c r="F1112" s="408"/>
    </row>
    <row r="1113" spans="1:6" x14ac:dyDescent="0.2">
      <c r="A1113" s="388"/>
      <c r="B1113" s="386"/>
      <c r="C1113" s="386"/>
      <c r="D1113" s="386"/>
      <c r="E1113" s="386"/>
      <c r="F1113" s="408"/>
    </row>
    <row r="1114" spans="1:6" x14ac:dyDescent="0.2">
      <c r="A1114" s="388"/>
      <c r="B1114" s="386"/>
      <c r="C1114" s="386"/>
      <c r="D1114" s="386"/>
      <c r="E1114" s="386"/>
      <c r="F1114" s="408"/>
    </row>
    <row r="1115" spans="1:6" x14ac:dyDescent="0.2">
      <c r="A1115" s="388"/>
      <c r="B1115" s="386"/>
      <c r="C1115" s="386"/>
      <c r="D1115" s="386"/>
      <c r="E1115" s="386"/>
      <c r="F1115" s="408"/>
    </row>
    <row r="1116" spans="1:6" x14ac:dyDescent="0.2">
      <c r="A1116" s="388"/>
      <c r="B1116" s="386"/>
      <c r="C1116" s="386"/>
      <c r="D1116" s="386"/>
      <c r="E1116" s="386"/>
      <c r="F1116" s="408"/>
    </row>
    <row r="1117" spans="1:6" x14ac:dyDescent="0.2">
      <c r="A1117" s="388"/>
      <c r="B1117" s="386"/>
      <c r="C1117" s="386"/>
      <c r="D1117" s="386"/>
      <c r="E1117" s="386"/>
      <c r="F1117" s="408"/>
    </row>
    <row r="1118" spans="1:6" x14ac:dyDescent="0.2">
      <c r="A1118" s="388"/>
      <c r="B1118" s="386"/>
      <c r="C1118" s="386"/>
      <c r="D1118" s="386"/>
      <c r="E1118" s="386"/>
      <c r="F1118" s="408"/>
    </row>
    <row r="1119" spans="1:6" x14ac:dyDescent="0.2">
      <c r="A1119" s="388"/>
      <c r="B1119" s="386"/>
      <c r="C1119" s="386"/>
      <c r="D1119" s="386"/>
      <c r="E1119" s="386"/>
      <c r="F1119" s="408"/>
    </row>
    <row r="1120" spans="1:6" x14ac:dyDescent="0.2">
      <c r="A1120" s="388"/>
      <c r="B1120" s="386"/>
      <c r="C1120" s="386"/>
      <c r="D1120" s="386"/>
      <c r="E1120" s="386"/>
      <c r="F1120" s="408"/>
    </row>
    <row r="1121" spans="1:6" x14ac:dyDescent="0.2">
      <c r="A1121" s="388"/>
      <c r="B1121" s="386"/>
      <c r="C1121" s="386"/>
      <c r="D1121" s="386"/>
      <c r="E1121" s="386"/>
      <c r="F1121" s="408"/>
    </row>
    <row r="1122" spans="1:6" x14ac:dyDescent="0.2">
      <c r="A1122" s="388"/>
      <c r="B1122" s="386"/>
      <c r="C1122" s="386"/>
      <c r="D1122" s="386"/>
      <c r="E1122" s="386"/>
      <c r="F1122" s="408"/>
    </row>
    <row r="1123" spans="1:6" x14ac:dyDescent="0.2">
      <c r="A1123" s="388"/>
      <c r="B1123" s="386"/>
      <c r="C1123" s="386"/>
      <c r="D1123" s="386"/>
      <c r="E1123" s="386"/>
      <c r="F1123" s="408"/>
    </row>
    <row r="1124" spans="1:6" x14ac:dyDescent="0.2">
      <c r="A1124" s="388"/>
      <c r="B1124" s="386"/>
      <c r="C1124" s="386"/>
      <c r="D1124" s="386"/>
      <c r="E1124" s="386"/>
      <c r="F1124" s="408"/>
    </row>
    <row r="1125" spans="1:6" x14ac:dyDescent="0.2">
      <c r="A1125" s="388"/>
      <c r="B1125" s="386"/>
      <c r="C1125" s="386"/>
      <c r="D1125" s="386"/>
      <c r="E1125" s="386"/>
      <c r="F1125" s="408"/>
    </row>
    <row r="1126" spans="1:6" x14ac:dyDescent="0.2">
      <c r="A1126" s="388"/>
      <c r="B1126" s="386"/>
      <c r="C1126" s="386"/>
      <c r="D1126" s="386"/>
      <c r="E1126" s="386"/>
      <c r="F1126" s="408"/>
    </row>
    <row r="1127" spans="1:6" x14ac:dyDescent="0.2">
      <c r="A1127" s="388"/>
      <c r="B1127" s="386"/>
      <c r="C1127" s="386"/>
      <c r="D1127" s="386"/>
      <c r="E1127" s="386"/>
      <c r="F1127" s="408"/>
    </row>
    <row r="1128" spans="1:6" x14ac:dyDescent="0.2">
      <c r="A1128" s="388"/>
      <c r="B1128" s="386"/>
      <c r="C1128" s="386"/>
      <c r="D1128" s="386"/>
      <c r="E1128" s="386"/>
      <c r="F1128" s="408"/>
    </row>
    <row r="1129" spans="1:6" x14ac:dyDescent="0.2">
      <c r="A1129" s="388"/>
      <c r="B1129" s="386"/>
      <c r="C1129" s="386"/>
      <c r="D1129" s="386"/>
      <c r="E1129" s="386"/>
      <c r="F1129" s="408"/>
    </row>
    <row r="1130" spans="1:6" x14ac:dyDescent="0.2">
      <c r="A1130" s="388"/>
      <c r="B1130" s="386"/>
      <c r="C1130" s="386"/>
      <c r="D1130" s="386"/>
      <c r="E1130" s="386"/>
      <c r="F1130" s="408"/>
    </row>
    <row r="1131" spans="1:6" x14ac:dyDescent="0.2">
      <c r="A1131" s="388"/>
      <c r="B1131" s="386"/>
      <c r="C1131" s="386"/>
      <c r="D1131" s="386"/>
      <c r="E1131" s="386"/>
      <c r="F1131" s="408"/>
    </row>
    <row r="1132" spans="1:6" x14ac:dyDescent="0.2">
      <c r="A1132" s="388"/>
      <c r="B1132" s="386"/>
      <c r="C1132" s="386"/>
      <c r="D1132" s="386"/>
      <c r="E1132" s="386"/>
      <c r="F1132" s="408"/>
    </row>
    <row r="1133" spans="1:6" x14ac:dyDescent="0.2">
      <c r="A1133" s="388"/>
      <c r="B1133" s="386"/>
      <c r="C1133" s="386"/>
      <c r="D1133" s="386"/>
      <c r="E1133" s="386"/>
      <c r="F1133" s="408"/>
    </row>
    <row r="1134" spans="1:6" x14ac:dyDescent="0.2">
      <c r="A1134" s="388"/>
      <c r="B1134" s="386"/>
      <c r="C1134" s="386"/>
      <c r="D1134" s="386"/>
      <c r="E1134" s="386"/>
      <c r="F1134" s="408"/>
    </row>
    <row r="1135" spans="1:6" x14ac:dyDescent="0.2">
      <c r="A1135" s="388"/>
      <c r="B1135" s="386"/>
      <c r="C1135" s="386"/>
      <c r="D1135" s="386"/>
      <c r="E1135" s="386"/>
      <c r="F1135" s="408"/>
    </row>
    <row r="1136" spans="1:6" x14ac:dyDescent="0.2">
      <c r="A1136" s="388"/>
      <c r="B1136" s="386"/>
      <c r="C1136" s="386"/>
      <c r="D1136" s="386"/>
      <c r="E1136" s="386"/>
      <c r="F1136" s="408"/>
    </row>
    <row r="1137" spans="1:6" x14ac:dyDescent="0.2">
      <c r="A1137" s="388"/>
      <c r="B1137" s="386"/>
      <c r="C1137" s="386"/>
      <c r="D1137" s="386"/>
      <c r="E1137" s="386"/>
      <c r="F1137" s="408"/>
    </row>
    <row r="1138" spans="1:6" x14ac:dyDescent="0.2">
      <c r="A1138" s="388"/>
      <c r="B1138" s="386"/>
      <c r="C1138" s="386"/>
      <c r="D1138" s="386"/>
      <c r="E1138" s="386"/>
      <c r="F1138" s="408"/>
    </row>
    <row r="1139" spans="1:6" x14ac:dyDescent="0.2">
      <c r="A1139" s="388"/>
      <c r="B1139" s="386"/>
      <c r="C1139" s="386"/>
      <c r="D1139" s="386"/>
      <c r="E1139" s="386"/>
      <c r="F1139" s="408"/>
    </row>
    <row r="1140" spans="1:6" x14ac:dyDescent="0.2">
      <c r="A1140" s="388"/>
      <c r="B1140" s="386"/>
      <c r="C1140" s="386"/>
      <c r="D1140" s="386"/>
      <c r="E1140" s="386"/>
      <c r="F1140" s="408"/>
    </row>
    <row r="1141" spans="1:6" x14ac:dyDescent="0.2">
      <c r="A1141" s="388"/>
      <c r="B1141" s="386"/>
      <c r="C1141" s="386"/>
      <c r="D1141" s="386"/>
      <c r="E1141" s="386"/>
      <c r="F1141" s="408"/>
    </row>
    <row r="1142" spans="1:6" x14ac:dyDescent="0.2">
      <c r="A1142" s="388"/>
      <c r="B1142" s="386"/>
      <c r="C1142" s="386"/>
      <c r="D1142" s="386"/>
      <c r="E1142" s="386"/>
      <c r="F1142" s="408"/>
    </row>
    <row r="1143" spans="1:6" x14ac:dyDescent="0.2">
      <c r="A1143" s="388"/>
      <c r="B1143" s="386"/>
      <c r="C1143" s="386"/>
      <c r="D1143" s="386"/>
      <c r="E1143" s="386"/>
      <c r="F1143" s="408"/>
    </row>
    <row r="1144" spans="1:6" x14ac:dyDescent="0.2">
      <c r="A1144" s="388"/>
      <c r="B1144" s="386"/>
      <c r="C1144" s="386"/>
      <c r="D1144" s="386"/>
      <c r="E1144" s="386"/>
      <c r="F1144" s="408"/>
    </row>
    <row r="1145" spans="1:6" x14ac:dyDescent="0.2">
      <c r="A1145" s="388"/>
      <c r="B1145" s="386"/>
      <c r="C1145" s="386"/>
      <c r="D1145" s="386"/>
      <c r="E1145" s="386"/>
      <c r="F1145" s="408"/>
    </row>
    <row r="1146" spans="1:6" x14ac:dyDescent="0.2">
      <c r="A1146" s="388"/>
      <c r="B1146" s="386"/>
      <c r="C1146" s="386"/>
      <c r="D1146" s="386"/>
      <c r="E1146" s="386"/>
      <c r="F1146" s="408"/>
    </row>
    <row r="1147" spans="1:6" x14ac:dyDescent="0.2">
      <c r="A1147" s="388"/>
      <c r="B1147" s="386"/>
      <c r="C1147" s="386"/>
      <c r="D1147" s="386"/>
      <c r="E1147" s="386"/>
      <c r="F1147" s="408"/>
    </row>
    <row r="1148" spans="1:6" x14ac:dyDescent="0.2">
      <c r="A1148" s="388"/>
      <c r="B1148" s="386"/>
      <c r="C1148" s="386"/>
      <c r="D1148" s="386"/>
      <c r="E1148" s="386"/>
      <c r="F1148" s="408"/>
    </row>
    <row r="1149" spans="1:6" x14ac:dyDescent="0.2">
      <c r="A1149" s="388"/>
      <c r="B1149" s="386"/>
      <c r="C1149" s="386"/>
      <c r="D1149" s="386"/>
      <c r="E1149" s="386"/>
      <c r="F1149" s="408"/>
    </row>
    <row r="1150" spans="1:6" x14ac:dyDescent="0.2">
      <c r="A1150" s="388"/>
      <c r="B1150" s="386"/>
      <c r="C1150" s="386"/>
      <c r="D1150" s="386"/>
      <c r="E1150" s="386"/>
      <c r="F1150" s="408"/>
    </row>
    <row r="1151" spans="1:6" x14ac:dyDescent="0.2">
      <c r="A1151" s="388"/>
      <c r="B1151" s="386"/>
      <c r="C1151" s="386"/>
      <c r="D1151" s="386"/>
      <c r="E1151" s="386"/>
      <c r="F1151" s="408"/>
    </row>
    <row r="1152" spans="1:6" x14ac:dyDescent="0.2">
      <c r="A1152" s="388"/>
      <c r="B1152" s="386"/>
      <c r="C1152" s="386"/>
      <c r="D1152" s="386"/>
      <c r="E1152" s="386"/>
      <c r="F1152" s="408"/>
    </row>
    <row r="1153" spans="1:6" x14ac:dyDescent="0.2">
      <c r="A1153" s="388"/>
      <c r="B1153" s="386"/>
      <c r="C1153" s="386"/>
      <c r="D1153" s="386"/>
      <c r="E1153" s="386"/>
      <c r="F1153" s="408"/>
    </row>
    <row r="1154" spans="1:6" x14ac:dyDescent="0.2">
      <c r="A1154" s="388"/>
      <c r="B1154" s="386"/>
      <c r="C1154" s="386"/>
      <c r="D1154" s="386"/>
      <c r="E1154" s="386"/>
      <c r="F1154" s="408"/>
    </row>
    <row r="1155" spans="1:6" x14ac:dyDescent="0.2">
      <c r="A1155" s="388"/>
      <c r="B1155" s="386"/>
      <c r="C1155" s="386"/>
      <c r="D1155" s="386"/>
      <c r="E1155" s="386"/>
      <c r="F1155" s="408"/>
    </row>
    <row r="1156" spans="1:6" x14ac:dyDescent="0.2">
      <c r="A1156" s="388"/>
      <c r="B1156" s="386"/>
      <c r="C1156" s="386"/>
      <c r="D1156" s="386"/>
      <c r="E1156" s="386"/>
      <c r="F1156" s="408"/>
    </row>
    <row r="1157" spans="1:6" x14ac:dyDescent="0.2">
      <c r="A1157" s="388"/>
      <c r="B1157" s="386"/>
      <c r="C1157" s="386"/>
      <c r="D1157" s="386"/>
      <c r="E1157" s="386"/>
      <c r="F1157" s="408"/>
    </row>
    <row r="1158" spans="1:6" x14ac:dyDescent="0.2">
      <c r="A1158" s="388"/>
      <c r="B1158" s="386"/>
      <c r="C1158" s="386"/>
      <c r="D1158" s="386"/>
      <c r="E1158" s="386"/>
      <c r="F1158" s="408"/>
    </row>
    <row r="1159" spans="1:6" x14ac:dyDescent="0.2">
      <c r="A1159" s="388"/>
      <c r="B1159" s="386"/>
      <c r="C1159" s="386"/>
      <c r="D1159" s="386"/>
      <c r="E1159" s="386"/>
      <c r="F1159" s="408"/>
    </row>
    <row r="1160" spans="1:6" x14ac:dyDescent="0.2">
      <c r="A1160" s="388"/>
      <c r="B1160" s="386"/>
      <c r="C1160" s="386"/>
      <c r="D1160" s="386"/>
      <c r="E1160" s="386"/>
      <c r="F1160" s="408"/>
    </row>
    <row r="1161" spans="1:6" x14ac:dyDescent="0.2">
      <c r="A1161" s="388"/>
      <c r="B1161" s="386"/>
      <c r="C1161" s="386"/>
      <c r="D1161" s="386"/>
      <c r="E1161" s="386"/>
      <c r="F1161" s="408"/>
    </row>
    <row r="1162" spans="1:6" x14ac:dyDescent="0.2">
      <c r="A1162" s="388"/>
      <c r="B1162" s="386"/>
      <c r="C1162" s="386"/>
      <c r="D1162" s="386"/>
      <c r="E1162" s="386"/>
      <c r="F1162" s="408"/>
    </row>
    <row r="1163" spans="1:6" x14ac:dyDescent="0.2">
      <c r="A1163" s="388"/>
      <c r="B1163" s="386"/>
      <c r="C1163" s="386"/>
      <c r="D1163" s="386"/>
      <c r="E1163" s="386"/>
      <c r="F1163" s="408"/>
    </row>
    <row r="1164" spans="1:6" x14ac:dyDescent="0.2">
      <c r="A1164" s="388"/>
      <c r="B1164" s="386"/>
      <c r="C1164" s="386"/>
      <c r="D1164" s="386"/>
      <c r="E1164" s="386"/>
      <c r="F1164" s="408"/>
    </row>
    <row r="1165" spans="1:6" x14ac:dyDescent="0.2">
      <c r="A1165" s="388"/>
      <c r="B1165" s="386"/>
      <c r="C1165" s="386"/>
      <c r="D1165" s="386"/>
      <c r="E1165" s="386"/>
      <c r="F1165" s="408"/>
    </row>
    <row r="1166" spans="1:6" x14ac:dyDescent="0.2">
      <c r="A1166" s="388"/>
      <c r="B1166" s="386"/>
      <c r="C1166" s="386"/>
      <c r="D1166" s="386"/>
      <c r="E1166" s="386"/>
      <c r="F1166" s="408"/>
    </row>
    <row r="1167" spans="1:6" x14ac:dyDescent="0.2">
      <c r="A1167" s="388"/>
      <c r="B1167" s="386"/>
      <c r="C1167" s="386"/>
      <c r="D1167" s="386"/>
      <c r="E1167" s="386"/>
      <c r="F1167" s="408"/>
    </row>
    <row r="1168" spans="1:6" x14ac:dyDescent="0.2">
      <c r="A1168" s="388"/>
      <c r="B1168" s="386"/>
      <c r="C1168" s="386"/>
      <c r="D1168" s="386"/>
      <c r="E1168" s="386"/>
      <c r="F1168" s="408"/>
    </row>
    <row r="1169" spans="1:6" x14ac:dyDescent="0.2">
      <c r="A1169" s="388"/>
      <c r="B1169" s="386"/>
      <c r="C1169" s="386"/>
      <c r="D1169" s="386"/>
      <c r="E1169" s="386"/>
      <c r="F1169" s="408"/>
    </row>
    <row r="1170" spans="1:6" x14ac:dyDescent="0.2">
      <c r="A1170" s="388"/>
      <c r="B1170" s="386"/>
      <c r="C1170" s="386"/>
      <c r="D1170" s="386"/>
      <c r="E1170" s="386"/>
      <c r="F1170" s="408"/>
    </row>
    <row r="1171" spans="1:6" x14ac:dyDescent="0.2">
      <c r="A1171" s="388"/>
      <c r="B1171" s="386"/>
      <c r="C1171" s="386"/>
      <c r="D1171" s="386"/>
      <c r="E1171" s="386"/>
      <c r="F1171" s="408"/>
    </row>
    <row r="1172" spans="1:6" x14ac:dyDescent="0.2">
      <c r="A1172" s="388"/>
      <c r="B1172" s="386"/>
      <c r="C1172" s="386"/>
      <c r="D1172" s="386"/>
      <c r="E1172" s="386"/>
      <c r="F1172" s="408"/>
    </row>
    <row r="1173" spans="1:6" x14ac:dyDescent="0.2">
      <c r="A1173" s="388"/>
      <c r="B1173" s="386"/>
      <c r="C1173" s="386"/>
      <c r="D1173" s="386"/>
      <c r="E1173" s="386"/>
      <c r="F1173" s="408"/>
    </row>
    <row r="1174" spans="1:6" x14ac:dyDescent="0.2">
      <c r="A1174" s="388"/>
      <c r="B1174" s="386"/>
      <c r="C1174" s="386"/>
      <c r="D1174" s="386"/>
      <c r="E1174" s="386"/>
      <c r="F1174" s="408"/>
    </row>
    <row r="1175" spans="1:6" x14ac:dyDescent="0.2">
      <c r="A1175" s="388"/>
      <c r="B1175" s="386"/>
      <c r="C1175" s="386"/>
      <c r="D1175" s="386"/>
      <c r="E1175" s="386"/>
      <c r="F1175" s="408"/>
    </row>
    <row r="1176" spans="1:6" x14ac:dyDescent="0.2">
      <c r="A1176" s="388"/>
      <c r="B1176" s="386"/>
      <c r="C1176" s="386"/>
      <c r="D1176" s="386"/>
      <c r="E1176" s="386"/>
      <c r="F1176" s="408"/>
    </row>
    <row r="1177" spans="1:6" x14ac:dyDescent="0.2">
      <c r="A1177" s="388"/>
      <c r="B1177" s="386"/>
      <c r="C1177" s="386"/>
      <c r="D1177" s="386"/>
      <c r="E1177" s="386"/>
      <c r="F1177" s="408"/>
    </row>
    <row r="1178" spans="1:6" x14ac:dyDescent="0.2">
      <c r="A1178" s="388"/>
      <c r="B1178" s="386"/>
      <c r="C1178" s="386"/>
      <c r="D1178" s="386"/>
      <c r="E1178" s="386"/>
      <c r="F1178" s="408"/>
    </row>
    <row r="1179" spans="1:6" x14ac:dyDescent="0.2">
      <c r="A1179" s="388"/>
      <c r="B1179" s="386"/>
      <c r="C1179" s="386"/>
      <c r="D1179" s="386"/>
      <c r="E1179" s="386"/>
      <c r="F1179" s="408"/>
    </row>
    <row r="1180" spans="1:6" x14ac:dyDescent="0.2">
      <c r="A1180" s="388"/>
      <c r="B1180" s="386"/>
      <c r="C1180" s="386"/>
      <c r="D1180" s="386"/>
      <c r="E1180" s="386"/>
      <c r="F1180" s="408"/>
    </row>
    <row r="1181" spans="1:6" x14ac:dyDescent="0.2">
      <c r="A1181" s="388"/>
      <c r="B1181" s="386"/>
      <c r="C1181" s="386"/>
      <c r="D1181" s="386"/>
      <c r="E1181" s="386"/>
      <c r="F1181" s="408"/>
    </row>
    <row r="1182" spans="1:6" x14ac:dyDescent="0.2">
      <c r="A1182" s="388"/>
      <c r="B1182" s="386"/>
      <c r="C1182" s="386"/>
      <c r="D1182" s="386"/>
      <c r="E1182" s="386"/>
      <c r="F1182" s="408"/>
    </row>
    <row r="1183" spans="1:6" x14ac:dyDescent="0.2">
      <c r="A1183" s="388"/>
      <c r="B1183" s="386"/>
      <c r="C1183" s="386"/>
      <c r="D1183" s="386"/>
      <c r="E1183" s="386"/>
      <c r="F1183" s="408"/>
    </row>
    <row r="1184" spans="1:6" x14ac:dyDescent="0.2">
      <c r="A1184" s="388"/>
      <c r="B1184" s="386"/>
      <c r="C1184" s="386"/>
      <c r="D1184" s="386"/>
      <c r="E1184" s="386"/>
      <c r="F1184" s="408"/>
    </row>
    <row r="1185" spans="1:6" x14ac:dyDescent="0.2">
      <c r="A1185" s="388"/>
      <c r="B1185" s="386"/>
      <c r="C1185" s="386"/>
      <c r="D1185" s="386"/>
      <c r="E1185" s="386"/>
      <c r="F1185" s="408"/>
    </row>
    <row r="1186" spans="1:6" x14ac:dyDescent="0.2">
      <c r="A1186" s="388"/>
      <c r="B1186" s="386"/>
      <c r="C1186" s="386"/>
      <c r="D1186" s="386"/>
      <c r="E1186" s="386"/>
      <c r="F1186" s="408"/>
    </row>
    <row r="1187" spans="1:6" x14ac:dyDescent="0.2">
      <c r="A1187" s="388"/>
      <c r="B1187" s="386"/>
      <c r="C1187" s="386"/>
      <c r="D1187" s="386"/>
      <c r="E1187" s="386"/>
      <c r="F1187" s="408"/>
    </row>
    <row r="1188" spans="1:6" x14ac:dyDescent="0.2">
      <c r="A1188" s="388"/>
      <c r="B1188" s="386"/>
      <c r="C1188" s="386"/>
      <c r="D1188" s="386"/>
      <c r="E1188" s="386"/>
      <c r="F1188" s="408"/>
    </row>
    <row r="1189" spans="1:6" x14ac:dyDescent="0.2">
      <c r="A1189" s="388"/>
      <c r="B1189" s="386"/>
      <c r="C1189" s="386"/>
      <c r="D1189" s="386"/>
      <c r="E1189" s="386"/>
      <c r="F1189" s="408"/>
    </row>
    <row r="1190" spans="1:6" x14ac:dyDescent="0.2">
      <c r="A1190" s="388"/>
      <c r="B1190" s="386"/>
      <c r="C1190" s="386"/>
      <c r="D1190" s="386"/>
      <c r="E1190" s="386"/>
      <c r="F1190" s="408"/>
    </row>
    <row r="1191" spans="1:6" x14ac:dyDescent="0.2">
      <c r="A1191" s="388"/>
      <c r="B1191" s="386"/>
      <c r="C1191" s="386"/>
      <c r="D1191" s="386"/>
      <c r="E1191" s="386"/>
      <c r="F1191" s="408"/>
    </row>
    <row r="1192" spans="1:6" x14ac:dyDescent="0.2">
      <c r="A1192" s="388"/>
      <c r="B1192" s="386"/>
      <c r="C1192" s="386"/>
      <c r="D1192" s="386"/>
      <c r="E1192" s="386"/>
      <c r="F1192" s="408"/>
    </row>
    <row r="1193" spans="1:6" x14ac:dyDescent="0.2">
      <c r="A1193" s="388"/>
      <c r="B1193" s="386"/>
      <c r="C1193" s="386"/>
      <c r="D1193" s="386"/>
      <c r="E1193" s="386"/>
      <c r="F1193" s="408"/>
    </row>
    <row r="1194" spans="1:6" x14ac:dyDescent="0.2">
      <c r="A1194" s="388"/>
      <c r="B1194" s="386"/>
      <c r="C1194" s="386"/>
      <c r="D1194" s="386"/>
      <c r="E1194" s="386"/>
      <c r="F1194" s="408"/>
    </row>
    <row r="1195" spans="1:6" x14ac:dyDescent="0.2">
      <c r="A1195" s="388"/>
      <c r="B1195" s="386"/>
      <c r="C1195" s="386"/>
      <c r="D1195" s="386"/>
      <c r="E1195" s="386"/>
      <c r="F1195" s="408"/>
    </row>
    <row r="1196" spans="1:6" x14ac:dyDescent="0.2">
      <c r="A1196" s="388"/>
      <c r="B1196" s="386"/>
      <c r="C1196" s="386"/>
      <c r="D1196" s="386"/>
      <c r="E1196" s="386"/>
      <c r="F1196" s="408"/>
    </row>
    <row r="1197" spans="1:6" x14ac:dyDescent="0.2">
      <c r="A1197" s="388"/>
      <c r="B1197" s="386"/>
      <c r="C1197" s="386"/>
      <c r="D1197" s="386"/>
      <c r="E1197" s="386"/>
      <c r="F1197" s="408"/>
    </row>
    <row r="1198" spans="1:6" x14ac:dyDescent="0.2">
      <c r="A1198" s="388"/>
      <c r="B1198" s="386"/>
      <c r="C1198" s="386"/>
      <c r="D1198" s="386"/>
      <c r="E1198" s="386"/>
      <c r="F1198" s="408"/>
    </row>
    <row r="1199" spans="1:6" x14ac:dyDescent="0.2">
      <c r="A1199" s="388"/>
      <c r="B1199" s="386"/>
      <c r="C1199" s="386"/>
      <c r="D1199" s="386"/>
      <c r="E1199" s="386"/>
      <c r="F1199" s="408"/>
    </row>
    <row r="1200" spans="1:6" x14ac:dyDescent="0.2">
      <c r="A1200" s="388"/>
      <c r="B1200" s="386"/>
      <c r="C1200" s="386"/>
      <c r="D1200" s="386"/>
      <c r="E1200" s="386"/>
      <c r="F1200" s="408"/>
    </row>
    <row r="1201" spans="1:6" x14ac:dyDescent="0.2">
      <c r="A1201" s="388"/>
      <c r="B1201" s="386"/>
      <c r="C1201" s="386"/>
      <c r="D1201" s="386"/>
      <c r="E1201" s="386"/>
      <c r="F1201" s="408"/>
    </row>
    <row r="1202" spans="1:6" x14ac:dyDescent="0.2">
      <c r="A1202" s="388"/>
      <c r="B1202" s="386"/>
      <c r="C1202" s="386"/>
      <c r="D1202" s="386"/>
      <c r="E1202" s="386"/>
      <c r="F1202" s="408"/>
    </row>
    <row r="1203" spans="1:6" x14ac:dyDescent="0.2">
      <c r="A1203" s="388"/>
      <c r="B1203" s="386"/>
      <c r="C1203" s="386"/>
      <c r="D1203" s="386"/>
      <c r="E1203" s="386"/>
      <c r="F1203" s="408"/>
    </row>
    <row r="1204" spans="1:6" x14ac:dyDescent="0.2">
      <c r="A1204" s="388"/>
      <c r="B1204" s="386"/>
      <c r="C1204" s="386"/>
      <c r="D1204" s="386"/>
      <c r="E1204" s="386"/>
      <c r="F1204" s="408"/>
    </row>
    <row r="1205" spans="1:6" x14ac:dyDescent="0.2">
      <c r="A1205" s="388"/>
      <c r="B1205" s="386"/>
      <c r="C1205" s="386"/>
      <c r="D1205" s="386"/>
      <c r="E1205" s="386"/>
      <c r="F1205" s="408"/>
    </row>
    <row r="1206" spans="1:6" x14ac:dyDescent="0.2">
      <c r="A1206" s="388"/>
      <c r="B1206" s="386"/>
      <c r="C1206" s="386"/>
      <c r="D1206" s="386"/>
      <c r="E1206" s="386"/>
      <c r="F1206" s="408"/>
    </row>
    <row r="1207" spans="1:6" x14ac:dyDescent="0.2">
      <c r="A1207" s="388"/>
      <c r="B1207" s="386"/>
      <c r="C1207" s="386"/>
      <c r="D1207" s="386"/>
      <c r="E1207" s="386"/>
      <c r="F1207" s="408"/>
    </row>
    <row r="1208" spans="1:6" x14ac:dyDescent="0.2">
      <c r="A1208" s="388"/>
      <c r="B1208" s="386"/>
      <c r="C1208" s="386"/>
      <c r="D1208" s="386"/>
      <c r="E1208" s="386"/>
      <c r="F1208" s="408"/>
    </row>
    <row r="1209" spans="1:6" x14ac:dyDescent="0.2">
      <c r="A1209" s="388"/>
      <c r="B1209" s="386"/>
      <c r="C1209" s="386"/>
      <c r="D1209" s="386"/>
      <c r="E1209" s="386"/>
      <c r="F1209" s="408"/>
    </row>
    <row r="1210" spans="1:6" x14ac:dyDescent="0.2">
      <c r="A1210" s="388"/>
      <c r="B1210" s="386"/>
      <c r="C1210" s="386"/>
      <c r="D1210" s="386"/>
      <c r="E1210" s="386"/>
      <c r="F1210" s="408"/>
    </row>
    <row r="1211" spans="1:6" x14ac:dyDescent="0.2">
      <c r="A1211" s="388"/>
      <c r="B1211" s="386"/>
      <c r="C1211" s="386"/>
      <c r="D1211" s="386"/>
      <c r="E1211" s="386"/>
      <c r="F1211" s="408"/>
    </row>
    <row r="1212" spans="1:6" x14ac:dyDescent="0.2">
      <c r="A1212" s="388"/>
      <c r="B1212" s="386"/>
      <c r="C1212" s="386"/>
      <c r="D1212" s="386"/>
      <c r="E1212" s="386"/>
      <c r="F1212" s="408"/>
    </row>
    <row r="1213" spans="1:6" x14ac:dyDescent="0.2">
      <c r="A1213" s="388"/>
      <c r="B1213" s="386"/>
      <c r="C1213" s="386"/>
      <c r="D1213" s="386"/>
      <c r="E1213" s="386"/>
      <c r="F1213" s="408"/>
    </row>
    <row r="1214" spans="1:6" x14ac:dyDescent="0.2">
      <c r="A1214" s="388"/>
      <c r="B1214" s="386"/>
      <c r="C1214" s="386"/>
      <c r="D1214" s="386"/>
      <c r="E1214" s="386"/>
      <c r="F1214" s="408"/>
    </row>
    <row r="1215" spans="1:6" x14ac:dyDescent="0.2">
      <c r="A1215" s="388"/>
      <c r="B1215" s="386"/>
      <c r="C1215" s="386"/>
      <c r="D1215" s="386"/>
      <c r="E1215" s="386"/>
      <c r="F1215" s="408"/>
    </row>
    <row r="1216" spans="1:6" x14ac:dyDescent="0.2">
      <c r="A1216" s="388"/>
      <c r="B1216" s="386"/>
      <c r="C1216" s="386"/>
      <c r="D1216" s="386"/>
      <c r="E1216" s="386"/>
      <c r="F1216" s="408"/>
    </row>
    <row r="1217" spans="1:6" x14ac:dyDescent="0.2">
      <c r="A1217" s="388"/>
      <c r="B1217" s="386"/>
      <c r="C1217" s="386"/>
      <c r="D1217" s="386"/>
      <c r="E1217" s="386"/>
      <c r="F1217" s="408"/>
    </row>
    <row r="1218" spans="1:6" x14ac:dyDescent="0.2">
      <c r="A1218" s="388"/>
      <c r="B1218" s="386"/>
      <c r="C1218" s="386"/>
      <c r="D1218" s="386"/>
      <c r="E1218" s="386"/>
      <c r="F1218" s="408"/>
    </row>
    <row r="1219" spans="1:6" x14ac:dyDescent="0.2">
      <c r="A1219" s="388"/>
      <c r="B1219" s="386"/>
      <c r="C1219" s="386"/>
      <c r="D1219" s="386"/>
      <c r="E1219" s="386"/>
      <c r="F1219" s="408"/>
    </row>
    <row r="1220" spans="1:6" x14ac:dyDescent="0.2">
      <c r="A1220" s="388"/>
      <c r="B1220" s="386"/>
      <c r="C1220" s="386"/>
      <c r="D1220" s="386"/>
      <c r="E1220" s="386"/>
      <c r="F1220" s="408"/>
    </row>
    <row r="1221" spans="1:6" x14ac:dyDescent="0.2">
      <c r="A1221" s="388"/>
      <c r="B1221" s="386"/>
      <c r="C1221" s="386"/>
      <c r="D1221" s="386"/>
      <c r="E1221" s="386"/>
      <c r="F1221" s="408"/>
    </row>
    <row r="1222" spans="1:6" x14ac:dyDescent="0.2">
      <c r="A1222" s="388"/>
      <c r="B1222" s="386"/>
      <c r="C1222" s="386"/>
      <c r="D1222" s="386"/>
      <c r="E1222" s="386"/>
      <c r="F1222" s="408"/>
    </row>
    <row r="1223" spans="1:6" x14ac:dyDescent="0.2">
      <c r="A1223" s="388"/>
      <c r="B1223" s="386"/>
      <c r="C1223" s="386"/>
      <c r="D1223" s="386"/>
      <c r="E1223" s="386"/>
      <c r="F1223" s="408"/>
    </row>
    <row r="1224" spans="1:6" x14ac:dyDescent="0.2">
      <c r="A1224" s="388"/>
      <c r="B1224" s="386"/>
      <c r="C1224" s="386"/>
      <c r="D1224" s="386"/>
      <c r="E1224" s="386"/>
      <c r="F1224" s="408"/>
    </row>
    <row r="1225" spans="1:6" x14ac:dyDescent="0.2">
      <c r="A1225" s="388"/>
      <c r="B1225" s="386"/>
      <c r="C1225" s="386"/>
      <c r="D1225" s="386"/>
      <c r="E1225" s="386"/>
      <c r="F1225" s="408"/>
    </row>
    <row r="1226" spans="1:6" x14ac:dyDescent="0.2">
      <c r="A1226" s="388"/>
      <c r="B1226" s="386"/>
      <c r="C1226" s="386"/>
      <c r="D1226" s="386"/>
      <c r="E1226" s="386"/>
      <c r="F1226" s="408"/>
    </row>
    <row r="1227" spans="1:6" x14ac:dyDescent="0.2">
      <c r="A1227" s="388"/>
      <c r="B1227" s="386"/>
      <c r="C1227" s="386"/>
      <c r="D1227" s="386"/>
      <c r="E1227" s="386"/>
      <c r="F1227" s="408"/>
    </row>
    <row r="1228" spans="1:6" x14ac:dyDescent="0.2">
      <c r="A1228" s="388"/>
      <c r="B1228" s="386"/>
      <c r="C1228" s="386"/>
      <c r="D1228" s="386"/>
      <c r="E1228" s="386"/>
      <c r="F1228" s="408"/>
    </row>
    <row r="1229" spans="1:6" x14ac:dyDescent="0.2">
      <c r="A1229" s="388"/>
      <c r="B1229" s="386"/>
      <c r="C1229" s="386"/>
      <c r="D1229" s="386"/>
      <c r="E1229" s="386"/>
      <c r="F1229" s="408"/>
    </row>
    <row r="1230" spans="1:6" x14ac:dyDescent="0.2">
      <c r="A1230" s="388"/>
      <c r="B1230" s="386"/>
      <c r="C1230" s="386"/>
      <c r="D1230" s="386"/>
      <c r="E1230" s="386"/>
      <c r="F1230" s="408"/>
    </row>
    <row r="1231" spans="1:6" x14ac:dyDescent="0.2">
      <c r="A1231" s="388"/>
      <c r="B1231" s="386"/>
      <c r="C1231" s="386"/>
      <c r="D1231" s="386"/>
      <c r="E1231" s="386"/>
      <c r="F1231" s="408"/>
    </row>
    <row r="1232" spans="1:6" x14ac:dyDescent="0.2">
      <c r="A1232" s="388"/>
      <c r="B1232" s="386"/>
      <c r="C1232" s="386"/>
      <c r="D1232" s="386"/>
      <c r="E1232" s="386"/>
      <c r="F1232" s="408"/>
    </row>
    <row r="1233" spans="1:6" x14ac:dyDescent="0.2">
      <c r="A1233" s="388"/>
      <c r="B1233" s="386"/>
      <c r="C1233" s="386"/>
      <c r="D1233" s="386"/>
      <c r="E1233" s="386"/>
      <c r="F1233" s="408"/>
    </row>
    <row r="1234" spans="1:6" x14ac:dyDescent="0.2">
      <c r="A1234" s="388"/>
      <c r="B1234" s="386"/>
      <c r="C1234" s="386"/>
      <c r="D1234" s="386"/>
      <c r="E1234" s="386"/>
      <c r="F1234" s="408"/>
    </row>
    <row r="1235" spans="1:6" x14ac:dyDescent="0.2">
      <c r="A1235" s="388"/>
      <c r="B1235" s="386"/>
      <c r="C1235" s="386"/>
      <c r="D1235" s="386"/>
      <c r="E1235" s="386"/>
      <c r="F1235" s="408"/>
    </row>
    <row r="1236" spans="1:6" x14ac:dyDescent="0.2">
      <c r="A1236" s="388"/>
      <c r="B1236" s="386"/>
      <c r="C1236" s="386"/>
      <c r="D1236" s="386"/>
      <c r="E1236" s="386"/>
      <c r="F1236" s="408"/>
    </row>
    <row r="1237" spans="1:6" x14ac:dyDescent="0.2">
      <c r="A1237" s="388"/>
      <c r="B1237" s="386"/>
      <c r="C1237" s="386"/>
      <c r="D1237" s="386"/>
      <c r="E1237" s="386"/>
      <c r="F1237" s="408"/>
    </row>
    <row r="1238" spans="1:6" x14ac:dyDescent="0.2">
      <c r="A1238" s="388"/>
      <c r="B1238" s="386"/>
      <c r="C1238" s="386"/>
      <c r="D1238" s="386"/>
      <c r="E1238" s="386"/>
      <c r="F1238" s="408"/>
    </row>
    <row r="1239" spans="1:6" x14ac:dyDescent="0.2">
      <c r="A1239" s="388"/>
      <c r="B1239" s="386"/>
      <c r="C1239" s="386"/>
      <c r="D1239" s="386"/>
      <c r="E1239" s="386"/>
      <c r="F1239" s="408"/>
    </row>
    <row r="1240" spans="1:6" x14ac:dyDescent="0.2">
      <c r="A1240" s="388"/>
      <c r="B1240" s="386"/>
      <c r="C1240" s="386"/>
      <c r="D1240" s="386"/>
      <c r="E1240" s="386"/>
      <c r="F1240" s="408"/>
    </row>
    <row r="1241" spans="1:6" x14ac:dyDescent="0.2">
      <c r="A1241" s="388"/>
      <c r="B1241" s="386"/>
      <c r="C1241" s="386"/>
      <c r="D1241" s="386"/>
      <c r="E1241" s="386"/>
      <c r="F1241" s="408"/>
    </row>
    <row r="1242" spans="1:6" x14ac:dyDescent="0.2">
      <c r="A1242" s="388"/>
      <c r="B1242" s="386"/>
      <c r="C1242" s="386"/>
      <c r="D1242" s="386"/>
      <c r="E1242" s="386"/>
      <c r="F1242" s="408"/>
    </row>
    <row r="1243" spans="1:6" x14ac:dyDescent="0.2">
      <c r="A1243" s="388"/>
      <c r="B1243" s="386"/>
      <c r="C1243" s="386"/>
      <c r="D1243" s="386"/>
      <c r="E1243" s="386"/>
      <c r="F1243" s="408"/>
    </row>
    <row r="1244" spans="1:6" x14ac:dyDescent="0.2">
      <c r="A1244" s="388"/>
      <c r="B1244" s="386"/>
      <c r="C1244" s="386"/>
      <c r="D1244" s="386"/>
      <c r="E1244" s="386"/>
      <c r="F1244" s="408"/>
    </row>
    <row r="1245" spans="1:6" x14ac:dyDescent="0.2">
      <c r="A1245" s="388"/>
      <c r="B1245" s="386"/>
      <c r="C1245" s="386"/>
      <c r="D1245" s="386"/>
      <c r="E1245" s="386"/>
      <c r="F1245" s="408"/>
    </row>
    <row r="1246" spans="1:6" x14ac:dyDescent="0.2">
      <c r="A1246" s="388"/>
      <c r="B1246" s="386"/>
      <c r="C1246" s="386"/>
      <c r="D1246" s="386"/>
      <c r="E1246" s="386"/>
      <c r="F1246" s="408"/>
    </row>
    <row r="1247" spans="1:6" x14ac:dyDescent="0.2">
      <c r="A1247" s="388"/>
      <c r="B1247" s="386"/>
      <c r="C1247" s="386"/>
      <c r="D1247" s="386"/>
      <c r="E1247" s="386"/>
      <c r="F1247" s="408"/>
    </row>
    <row r="1248" spans="1:6" x14ac:dyDescent="0.2">
      <c r="A1248" s="388"/>
      <c r="B1248" s="386"/>
      <c r="C1248" s="386"/>
      <c r="D1248" s="386"/>
      <c r="E1248" s="386"/>
      <c r="F1248" s="408"/>
    </row>
    <row r="1249" spans="1:6" x14ac:dyDescent="0.2">
      <c r="A1249" s="388"/>
      <c r="B1249" s="386"/>
      <c r="C1249" s="386"/>
      <c r="D1249" s="386"/>
      <c r="E1249" s="386"/>
      <c r="F1249" s="408"/>
    </row>
    <row r="1250" spans="1:6" x14ac:dyDescent="0.2">
      <c r="A1250" s="388"/>
      <c r="B1250" s="386"/>
      <c r="C1250" s="386"/>
      <c r="D1250" s="386"/>
      <c r="E1250" s="386"/>
      <c r="F1250" s="408"/>
    </row>
    <row r="1251" spans="1:6" x14ac:dyDescent="0.2">
      <c r="A1251" s="388"/>
      <c r="B1251" s="386"/>
      <c r="C1251" s="386"/>
      <c r="D1251" s="386"/>
      <c r="E1251" s="386"/>
      <c r="F1251" s="408"/>
    </row>
    <row r="1252" spans="1:6" x14ac:dyDescent="0.2">
      <c r="A1252" s="388"/>
      <c r="B1252" s="386"/>
      <c r="C1252" s="386"/>
      <c r="D1252" s="386"/>
      <c r="E1252" s="386"/>
      <c r="F1252" s="408"/>
    </row>
    <row r="1253" spans="1:6" x14ac:dyDescent="0.2">
      <c r="A1253" s="388"/>
      <c r="B1253" s="386"/>
      <c r="C1253" s="386"/>
      <c r="D1253" s="386"/>
      <c r="E1253" s="386"/>
      <c r="F1253" s="408"/>
    </row>
    <row r="1254" spans="1:6" x14ac:dyDescent="0.2">
      <c r="A1254" s="388"/>
      <c r="B1254" s="386"/>
      <c r="C1254" s="386"/>
      <c r="D1254" s="386"/>
      <c r="E1254" s="386"/>
      <c r="F1254" s="408"/>
    </row>
    <row r="1255" spans="1:6" x14ac:dyDescent="0.2">
      <c r="A1255" s="388"/>
      <c r="B1255" s="386"/>
      <c r="C1255" s="386"/>
      <c r="D1255" s="386"/>
      <c r="E1255" s="386"/>
      <c r="F1255" s="408"/>
    </row>
    <row r="1256" spans="1:6" x14ac:dyDescent="0.2">
      <c r="A1256" s="388"/>
      <c r="B1256" s="386"/>
      <c r="C1256" s="386"/>
      <c r="D1256" s="386"/>
      <c r="E1256" s="386"/>
      <c r="F1256" s="408"/>
    </row>
    <row r="1257" spans="1:6" x14ac:dyDescent="0.2">
      <c r="A1257" s="388"/>
      <c r="B1257" s="386"/>
      <c r="C1257" s="386"/>
      <c r="D1257" s="386"/>
      <c r="E1257" s="386"/>
      <c r="F1257" s="408"/>
    </row>
    <row r="1258" spans="1:6" x14ac:dyDescent="0.2">
      <c r="A1258" s="388"/>
      <c r="B1258" s="386"/>
      <c r="C1258" s="386"/>
      <c r="D1258" s="386"/>
      <c r="E1258" s="386"/>
      <c r="F1258" s="408"/>
    </row>
    <row r="1259" spans="1:6" x14ac:dyDescent="0.2">
      <c r="A1259" s="388"/>
      <c r="B1259" s="386"/>
      <c r="C1259" s="386"/>
      <c r="D1259" s="386"/>
      <c r="E1259" s="386"/>
      <c r="F1259" s="408"/>
    </row>
    <row r="1260" spans="1:6" x14ac:dyDescent="0.2">
      <c r="A1260" s="388"/>
      <c r="B1260" s="386"/>
      <c r="C1260" s="386"/>
      <c r="D1260" s="386"/>
      <c r="E1260" s="386"/>
      <c r="F1260" s="408"/>
    </row>
    <row r="1261" spans="1:6" x14ac:dyDescent="0.2">
      <c r="A1261" s="388"/>
      <c r="B1261" s="386"/>
      <c r="C1261" s="386"/>
      <c r="D1261" s="386"/>
      <c r="E1261" s="386"/>
      <c r="F1261" s="408"/>
    </row>
    <row r="1262" spans="1:6" x14ac:dyDescent="0.2">
      <c r="A1262" s="388"/>
      <c r="B1262" s="386"/>
      <c r="C1262" s="386"/>
      <c r="D1262" s="386"/>
      <c r="E1262" s="386"/>
      <c r="F1262" s="408"/>
    </row>
    <row r="1263" spans="1:6" x14ac:dyDescent="0.2">
      <c r="A1263" s="388"/>
      <c r="B1263" s="386"/>
      <c r="C1263" s="386"/>
      <c r="D1263" s="386"/>
      <c r="E1263" s="386"/>
      <c r="F1263" s="408"/>
    </row>
    <row r="1264" spans="1:6" x14ac:dyDescent="0.2">
      <c r="A1264" s="388"/>
      <c r="B1264" s="386"/>
      <c r="C1264" s="386"/>
      <c r="D1264" s="386"/>
      <c r="E1264" s="386"/>
      <c r="F1264" s="408"/>
    </row>
    <row r="1265" spans="1:6" x14ac:dyDescent="0.2">
      <c r="A1265" s="388"/>
      <c r="B1265" s="386"/>
      <c r="C1265" s="386"/>
      <c r="D1265" s="386"/>
      <c r="E1265" s="386"/>
      <c r="F1265" s="408"/>
    </row>
    <row r="1266" spans="1:6" x14ac:dyDescent="0.2">
      <c r="A1266" s="388"/>
      <c r="B1266" s="386"/>
      <c r="C1266" s="386"/>
      <c r="D1266" s="386"/>
      <c r="E1266" s="386"/>
      <c r="F1266" s="408"/>
    </row>
    <row r="1267" spans="1:6" x14ac:dyDescent="0.2">
      <c r="A1267" s="388"/>
      <c r="B1267" s="386"/>
      <c r="C1267" s="386"/>
      <c r="D1267" s="386"/>
      <c r="E1267" s="386"/>
      <c r="F1267" s="408"/>
    </row>
    <row r="1268" spans="1:6" x14ac:dyDescent="0.2">
      <c r="A1268" s="388"/>
      <c r="B1268" s="386"/>
      <c r="C1268" s="386"/>
      <c r="D1268" s="386"/>
      <c r="E1268" s="386"/>
      <c r="F1268" s="408"/>
    </row>
    <row r="1269" spans="1:6" x14ac:dyDescent="0.2">
      <c r="A1269" s="388"/>
      <c r="B1269" s="386"/>
      <c r="C1269" s="386"/>
      <c r="D1269" s="386"/>
      <c r="E1269" s="386"/>
      <c r="F1269" s="408"/>
    </row>
    <row r="1270" spans="1:6" x14ac:dyDescent="0.2">
      <c r="A1270" s="388"/>
      <c r="B1270" s="386"/>
      <c r="C1270" s="386"/>
      <c r="D1270" s="386"/>
      <c r="E1270" s="386"/>
      <c r="F1270" s="408"/>
    </row>
    <row r="1271" spans="1:6" x14ac:dyDescent="0.2">
      <c r="A1271" s="388"/>
      <c r="B1271" s="386"/>
      <c r="C1271" s="386"/>
      <c r="D1271" s="386"/>
      <c r="E1271" s="386"/>
      <c r="F1271" s="408"/>
    </row>
    <row r="1272" spans="1:6" x14ac:dyDescent="0.2">
      <c r="A1272" s="388"/>
      <c r="B1272" s="386"/>
      <c r="C1272" s="386"/>
      <c r="D1272" s="386"/>
      <c r="E1272" s="386"/>
      <c r="F1272" s="408"/>
    </row>
    <row r="1273" spans="1:6" x14ac:dyDescent="0.2">
      <c r="A1273" s="388"/>
      <c r="B1273" s="386"/>
      <c r="C1273" s="386"/>
      <c r="D1273" s="386"/>
      <c r="E1273" s="386"/>
      <c r="F1273" s="408"/>
    </row>
    <row r="1274" spans="1:6" x14ac:dyDescent="0.2">
      <c r="A1274" s="388"/>
      <c r="B1274" s="386"/>
      <c r="C1274" s="386"/>
      <c r="D1274" s="386"/>
      <c r="E1274" s="386"/>
      <c r="F1274" s="408"/>
    </row>
    <row r="1275" spans="1:6" x14ac:dyDescent="0.2">
      <c r="A1275" s="388"/>
      <c r="B1275" s="386"/>
      <c r="C1275" s="386"/>
      <c r="D1275" s="386"/>
      <c r="E1275" s="386"/>
      <c r="F1275" s="408"/>
    </row>
    <row r="1276" spans="1:6" x14ac:dyDescent="0.2">
      <c r="A1276" s="388"/>
      <c r="B1276" s="386"/>
      <c r="C1276" s="386"/>
      <c r="D1276" s="386"/>
      <c r="E1276" s="386"/>
      <c r="F1276" s="408"/>
    </row>
    <row r="1277" spans="1:6" x14ac:dyDescent="0.2">
      <c r="A1277" s="388"/>
      <c r="B1277" s="386"/>
      <c r="C1277" s="386"/>
      <c r="D1277" s="386"/>
      <c r="E1277" s="386"/>
      <c r="F1277" s="408"/>
    </row>
    <row r="1278" spans="1:6" x14ac:dyDescent="0.2">
      <c r="A1278" s="388"/>
      <c r="B1278" s="386"/>
      <c r="C1278" s="386"/>
      <c r="D1278" s="386"/>
      <c r="E1278" s="386"/>
      <c r="F1278" s="408"/>
    </row>
    <row r="1279" spans="1:6" x14ac:dyDescent="0.2">
      <c r="A1279" s="388"/>
      <c r="B1279" s="386"/>
      <c r="C1279" s="386"/>
      <c r="D1279" s="386"/>
      <c r="E1279" s="386"/>
      <c r="F1279" s="408"/>
    </row>
    <row r="1280" spans="1:6" x14ac:dyDescent="0.2">
      <c r="A1280" s="388"/>
      <c r="B1280" s="386"/>
      <c r="C1280" s="386"/>
      <c r="D1280" s="386"/>
      <c r="E1280" s="386"/>
      <c r="F1280" s="408"/>
    </row>
    <row r="1281" spans="1:6" x14ac:dyDescent="0.2">
      <c r="A1281" s="388"/>
      <c r="B1281" s="386"/>
      <c r="C1281" s="386"/>
      <c r="D1281" s="386"/>
      <c r="E1281" s="386"/>
      <c r="F1281" s="408"/>
    </row>
    <row r="1282" spans="1:6" x14ac:dyDescent="0.2">
      <c r="A1282" s="388"/>
      <c r="B1282" s="386"/>
      <c r="C1282" s="386"/>
      <c r="D1282" s="386"/>
      <c r="E1282" s="386"/>
      <c r="F1282" s="408"/>
    </row>
    <row r="1283" spans="1:6" x14ac:dyDescent="0.2">
      <c r="A1283" s="388"/>
      <c r="B1283" s="386"/>
      <c r="C1283" s="386"/>
      <c r="D1283" s="386"/>
      <c r="E1283" s="386"/>
      <c r="F1283" s="408"/>
    </row>
    <row r="1284" spans="1:6" x14ac:dyDescent="0.2">
      <c r="A1284" s="388"/>
      <c r="B1284" s="386"/>
      <c r="C1284" s="386"/>
      <c r="D1284" s="386"/>
      <c r="E1284" s="386"/>
      <c r="F1284" s="408"/>
    </row>
    <row r="1285" spans="1:6" x14ac:dyDescent="0.2">
      <c r="A1285" s="388"/>
      <c r="B1285" s="386"/>
      <c r="C1285" s="386"/>
      <c r="D1285" s="386"/>
      <c r="E1285" s="386"/>
      <c r="F1285" s="408"/>
    </row>
    <row r="1286" spans="1:6" x14ac:dyDescent="0.2">
      <c r="A1286" s="388"/>
      <c r="B1286" s="386"/>
      <c r="C1286" s="386"/>
      <c r="D1286" s="386"/>
      <c r="E1286" s="386"/>
      <c r="F1286" s="408"/>
    </row>
    <row r="1287" spans="1:6" x14ac:dyDescent="0.2">
      <c r="A1287" s="388"/>
      <c r="B1287" s="386"/>
      <c r="C1287" s="386"/>
      <c r="D1287" s="386"/>
      <c r="E1287" s="386"/>
      <c r="F1287" s="408"/>
    </row>
    <row r="1288" spans="1:6" x14ac:dyDescent="0.2">
      <c r="A1288" s="388"/>
      <c r="B1288" s="386"/>
      <c r="C1288" s="386"/>
      <c r="D1288" s="386"/>
      <c r="E1288" s="386"/>
      <c r="F1288" s="408"/>
    </row>
    <row r="1289" spans="1:6" x14ac:dyDescent="0.2">
      <c r="A1289" s="388"/>
      <c r="B1289" s="386"/>
      <c r="C1289" s="386"/>
      <c r="D1289" s="386"/>
      <c r="E1289" s="386"/>
      <c r="F1289" s="408"/>
    </row>
    <row r="1290" spans="1:6" x14ac:dyDescent="0.2">
      <c r="A1290" s="388"/>
      <c r="B1290" s="386"/>
      <c r="C1290" s="386"/>
      <c r="D1290" s="386"/>
      <c r="E1290" s="386"/>
      <c r="F1290" s="408"/>
    </row>
    <row r="1291" spans="1:6" x14ac:dyDescent="0.2">
      <c r="A1291" s="388"/>
      <c r="B1291" s="386"/>
      <c r="C1291" s="386"/>
      <c r="D1291" s="386"/>
      <c r="E1291" s="386"/>
      <c r="F1291" s="408"/>
    </row>
    <row r="1292" spans="1:6" x14ac:dyDescent="0.2">
      <c r="A1292" s="388"/>
      <c r="B1292" s="386"/>
      <c r="C1292" s="386"/>
      <c r="D1292" s="386"/>
      <c r="E1292" s="386"/>
      <c r="F1292" s="408"/>
    </row>
    <row r="1293" spans="1:6" x14ac:dyDescent="0.2">
      <c r="A1293" s="388"/>
      <c r="B1293" s="386"/>
      <c r="C1293" s="386"/>
      <c r="D1293" s="386"/>
      <c r="E1293" s="386"/>
      <c r="F1293" s="408"/>
    </row>
    <row r="1294" spans="1:6" x14ac:dyDescent="0.2">
      <c r="A1294" s="388"/>
      <c r="B1294" s="386"/>
      <c r="C1294" s="386"/>
      <c r="D1294" s="386"/>
      <c r="E1294" s="386"/>
      <c r="F1294" s="408"/>
    </row>
    <row r="1295" spans="1:6" x14ac:dyDescent="0.2">
      <c r="A1295" s="388"/>
      <c r="B1295" s="386"/>
      <c r="C1295" s="386"/>
      <c r="D1295" s="386"/>
      <c r="E1295" s="386"/>
      <c r="F1295" s="408"/>
    </row>
    <row r="1296" spans="1:6" x14ac:dyDescent="0.2">
      <c r="A1296" s="388"/>
      <c r="B1296" s="386"/>
      <c r="C1296" s="386"/>
      <c r="D1296" s="386"/>
      <c r="E1296" s="386"/>
      <c r="F1296" s="408"/>
    </row>
    <row r="1297" spans="1:6" x14ac:dyDescent="0.2">
      <c r="A1297" s="388"/>
      <c r="B1297" s="386"/>
      <c r="C1297" s="386"/>
      <c r="D1297" s="386"/>
      <c r="E1297" s="386"/>
      <c r="F1297" s="408"/>
    </row>
    <row r="1298" spans="1:6" x14ac:dyDescent="0.2">
      <c r="A1298" s="388"/>
      <c r="B1298" s="386"/>
      <c r="C1298" s="386"/>
      <c r="D1298" s="386"/>
      <c r="E1298" s="386"/>
      <c r="F1298" s="408"/>
    </row>
    <row r="1299" spans="1:6" x14ac:dyDescent="0.2">
      <c r="A1299" s="388"/>
      <c r="B1299" s="386"/>
      <c r="C1299" s="386"/>
      <c r="D1299" s="386"/>
      <c r="E1299" s="386"/>
      <c r="F1299" s="408"/>
    </row>
    <row r="1300" spans="1:6" x14ac:dyDescent="0.2">
      <c r="A1300" s="388"/>
      <c r="B1300" s="386"/>
      <c r="C1300" s="386"/>
      <c r="D1300" s="386"/>
      <c r="E1300" s="386"/>
      <c r="F1300" s="408"/>
    </row>
    <row r="1301" spans="1:6" x14ac:dyDescent="0.2">
      <c r="A1301" s="388"/>
      <c r="B1301" s="386"/>
      <c r="C1301" s="386"/>
      <c r="D1301" s="386"/>
      <c r="E1301" s="386"/>
      <c r="F1301" s="408"/>
    </row>
    <row r="1302" spans="1:6" x14ac:dyDescent="0.2">
      <c r="A1302" s="388"/>
      <c r="B1302" s="386"/>
      <c r="C1302" s="386"/>
      <c r="D1302" s="386"/>
      <c r="E1302" s="386"/>
      <c r="F1302" s="408"/>
    </row>
    <row r="1303" spans="1:6" x14ac:dyDescent="0.2">
      <c r="A1303" s="388"/>
      <c r="B1303" s="386"/>
      <c r="C1303" s="386"/>
      <c r="D1303" s="386"/>
      <c r="E1303" s="386"/>
      <c r="F1303" s="408"/>
    </row>
    <row r="1304" spans="1:6" x14ac:dyDescent="0.2">
      <c r="A1304" s="388"/>
      <c r="B1304" s="386"/>
      <c r="C1304" s="386"/>
      <c r="D1304" s="386"/>
      <c r="E1304" s="386"/>
      <c r="F1304" s="408"/>
    </row>
    <row r="1305" spans="1:6" x14ac:dyDescent="0.2">
      <c r="A1305" s="388"/>
      <c r="B1305" s="386"/>
      <c r="C1305" s="386"/>
      <c r="D1305" s="386"/>
      <c r="E1305" s="386"/>
      <c r="F1305" s="408"/>
    </row>
    <row r="1306" spans="1:6" x14ac:dyDescent="0.2">
      <c r="A1306" s="388"/>
      <c r="B1306" s="386"/>
      <c r="C1306" s="386"/>
      <c r="D1306" s="386"/>
      <c r="E1306" s="386"/>
      <c r="F1306" s="408"/>
    </row>
    <row r="1307" spans="1:6" x14ac:dyDescent="0.2">
      <c r="A1307" s="388"/>
      <c r="B1307" s="386"/>
      <c r="C1307" s="386"/>
      <c r="D1307" s="386"/>
      <c r="E1307" s="386"/>
      <c r="F1307" s="408"/>
    </row>
    <row r="1308" spans="1:6" x14ac:dyDescent="0.2">
      <c r="A1308" s="388"/>
      <c r="B1308" s="386"/>
      <c r="C1308" s="386"/>
      <c r="D1308" s="386"/>
      <c r="E1308" s="386"/>
      <c r="F1308" s="408"/>
    </row>
    <row r="1309" spans="1:6" x14ac:dyDescent="0.2">
      <c r="A1309" s="388"/>
      <c r="B1309" s="386"/>
      <c r="C1309" s="386"/>
      <c r="D1309" s="386"/>
      <c r="E1309" s="386"/>
      <c r="F1309" s="408"/>
    </row>
    <row r="1310" spans="1:6" x14ac:dyDescent="0.2">
      <c r="A1310" s="388"/>
      <c r="B1310" s="386"/>
      <c r="C1310" s="386"/>
      <c r="D1310" s="386"/>
      <c r="E1310" s="386"/>
      <c r="F1310" s="408"/>
    </row>
    <row r="1311" spans="1:6" x14ac:dyDescent="0.2">
      <c r="A1311" s="388"/>
      <c r="B1311" s="386"/>
      <c r="C1311" s="386"/>
      <c r="D1311" s="386"/>
      <c r="E1311" s="386"/>
      <c r="F1311" s="408"/>
    </row>
    <row r="1312" spans="1:6" x14ac:dyDescent="0.2">
      <c r="A1312" s="388"/>
      <c r="B1312" s="386"/>
      <c r="C1312" s="386"/>
      <c r="D1312" s="386"/>
      <c r="E1312" s="386"/>
      <c r="F1312" s="408"/>
    </row>
    <row r="1313" spans="1:6" x14ac:dyDescent="0.2">
      <c r="A1313" s="388"/>
      <c r="B1313" s="386"/>
      <c r="C1313" s="386"/>
      <c r="D1313" s="386"/>
      <c r="E1313" s="386"/>
      <c r="F1313" s="408"/>
    </row>
    <row r="1314" spans="1:6" x14ac:dyDescent="0.2">
      <c r="A1314" s="388"/>
      <c r="B1314" s="386"/>
      <c r="C1314" s="386"/>
      <c r="D1314" s="386"/>
      <c r="E1314" s="386"/>
      <c r="F1314" s="408"/>
    </row>
    <row r="1315" spans="1:6" x14ac:dyDescent="0.2">
      <c r="A1315" s="388"/>
      <c r="B1315" s="386"/>
      <c r="C1315" s="386"/>
      <c r="D1315" s="386"/>
      <c r="E1315" s="386"/>
      <c r="F1315" s="408"/>
    </row>
    <row r="1316" spans="1:6" x14ac:dyDescent="0.2">
      <c r="A1316" s="388"/>
      <c r="B1316" s="386"/>
      <c r="C1316" s="386"/>
      <c r="D1316" s="386"/>
      <c r="E1316" s="386"/>
      <c r="F1316" s="408"/>
    </row>
    <row r="1317" spans="1:6" x14ac:dyDescent="0.2">
      <c r="A1317" s="388"/>
      <c r="B1317" s="386"/>
      <c r="C1317" s="386"/>
      <c r="D1317" s="386"/>
      <c r="E1317" s="386"/>
      <c r="F1317" s="408"/>
    </row>
    <row r="1318" spans="1:6" x14ac:dyDescent="0.2">
      <c r="A1318" s="388"/>
      <c r="B1318" s="386"/>
      <c r="C1318" s="386"/>
      <c r="D1318" s="386"/>
      <c r="E1318" s="386"/>
      <c r="F1318" s="408"/>
    </row>
    <row r="1319" spans="1:6" x14ac:dyDescent="0.2">
      <c r="A1319" s="388"/>
      <c r="B1319" s="386"/>
      <c r="C1319" s="386"/>
      <c r="D1319" s="386"/>
      <c r="E1319" s="386"/>
      <c r="F1319" s="408"/>
    </row>
    <row r="1320" spans="1:6" x14ac:dyDescent="0.2">
      <c r="A1320" s="388"/>
      <c r="B1320" s="386"/>
      <c r="C1320" s="386"/>
      <c r="D1320" s="386"/>
      <c r="E1320" s="386"/>
      <c r="F1320" s="408"/>
    </row>
    <row r="1321" spans="1:6" x14ac:dyDescent="0.2">
      <c r="A1321" s="388"/>
      <c r="B1321" s="386"/>
      <c r="C1321" s="386"/>
      <c r="D1321" s="386"/>
      <c r="E1321" s="386"/>
      <c r="F1321" s="408"/>
    </row>
    <row r="1322" spans="1:6" x14ac:dyDescent="0.2">
      <c r="A1322" s="388"/>
      <c r="B1322" s="386"/>
      <c r="C1322" s="386"/>
      <c r="D1322" s="386"/>
      <c r="E1322" s="386"/>
      <c r="F1322" s="408"/>
    </row>
    <row r="1323" spans="1:6" x14ac:dyDescent="0.2">
      <c r="A1323" s="388"/>
      <c r="B1323" s="386"/>
      <c r="C1323" s="386"/>
      <c r="D1323" s="386"/>
      <c r="E1323" s="386"/>
      <c r="F1323" s="408"/>
    </row>
    <row r="1324" spans="1:6" x14ac:dyDescent="0.2">
      <c r="A1324" s="388"/>
      <c r="B1324" s="386"/>
      <c r="C1324" s="386"/>
      <c r="D1324" s="386"/>
      <c r="E1324" s="386"/>
      <c r="F1324" s="408"/>
    </row>
    <row r="1325" spans="1:6" x14ac:dyDescent="0.2">
      <c r="A1325" s="388"/>
      <c r="B1325" s="386"/>
      <c r="C1325" s="386"/>
      <c r="D1325" s="386"/>
      <c r="E1325" s="386"/>
      <c r="F1325" s="408"/>
    </row>
    <row r="1326" spans="1:6" x14ac:dyDescent="0.2">
      <c r="A1326" s="388"/>
      <c r="B1326" s="386"/>
      <c r="C1326" s="386"/>
      <c r="D1326" s="386"/>
      <c r="E1326" s="386"/>
      <c r="F1326" s="408"/>
    </row>
    <row r="1327" spans="1:6" x14ac:dyDescent="0.2">
      <c r="A1327" s="388"/>
      <c r="B1327" s="386"/>
      <c r="C1327" s="386"/>
      <c r="D1327" s="386"/>
      <c r="E1327" s="386"/>
      <c r="F1327" s="408"/>
    </row>
    <row r="1328" spans="1:6" x14ac:dyDescent="0.2">
      <c r="A1328" s="388"/>
      <c r="B1328" s="386"/>
      <c r="C1328" s="386"/>
      <c r="D1328" s="386"/>
      <c r="E1328" s="386"/>
      <c r="F1328" s="408"/>
    </row>
    <row r="1329" spans="1:6" x14ac:dyDescent="0.2">
      <c r="A1329" s="388"/>
      <c r="B1329" s="386"/>
      <c r="C1329" s="386"/>
      <c r="D1329" s="386"/>
      <c r="E1329" s="386"/>
      <c r="F1329" s="408"/>
    </row>
    <row r="1330" spans="1:6" x14ac:dyDescent="0.2">
      <c r="A1330" s="388"/>
      <c r="B1330" s="386"/>
      <c r="C1330" s="386"/>
      <c r="D1330" s="386"/>
      <c r="E1330" s="386"/>
      <c r="F1330" s="408"/>
    </row>
    <row r="1331" spans="1:6" x14ac:dyDescent="0.2">
      <c r="A1331" s="388"/>
      <c r="B1331" s="386"/>
      <c r="C1331" s="386"/>
      <c r="D1331" s="386"/>
      <c r="E1331" s="386"/>
      <c r="F1331" s="408"/>
    </row>
    <row r="1332" spans="1:6" x14ac:dyDescent="0.2">
      <c r="A1332" s="388"/>
      <c r="B1332" s="386"/>
      <c r="C1332" s="386"/>
      <c r="D1332" s="386"/>
      <c r="E1332" s="386"/>
      <c r="F1332" s="408"/>
    </row>
    <row r="1333" spans="1:6" x14ac:dyDescent="0.2">
      <c r="A1333" s="388"/>
      <c r="B1333" s="386"/>
      <c r="C1333" s="386"/>
      <c r="D1333" s="386"/>
      <c r="E1333" s="386"/>
      <c r="F1333" s="408"/>
    </row>
    <row r="1334" spans="1:6" x14ac:dyDescent="0.2">
      <c r="A1334" s="388"/>
      <c r="B1334" s="386"/>
      <c r="C1334" s="386"/>
      <c r="D1334" s="386"/>
      <c r="E1334" s="386"/>
      <c r="F1334" s="408"/>
    </row>
    <row r="1335" spans="1:6" x14ac:dyDescent="0.2">
      <c r="A1335" s="388"/>
      <c r="B1335" s="386"/>
      <c r="C1335" s="386"/>
      <c r="D1335" s="386"/>
      <c r="E1335" s="386"/>
      <c r="F1335" s="408"/>
    </row>
    <row r="1336" spans="1:6" x14ac:dyDescent="0.2">
      <c r="A1336" s="388"/>
      <c r="B1336" s="386"/>
      <c r="C1336" s="386"/>
      <c r="D1336" s="386"/>
      <c r="E1336" s="386"/>
      <c r="F1336" s="408"/>
    </row>
    <row r="1337" spans="1:6" x14ac:dyDescent="0.2">
      <c r="A1337" s="388"/>
      <c r="B1337" s="386"/>
      <c r="C1337" s="386"/>
      <c r="D1337" s="386"/>
      <c r="E1337" s="386"/>
      <c r="F1337" s="408"/>
    </row>
    <row r="1338" spans="1:6" x14ac:dyDescent="0.2">
      <c r="A1338" s="388"/>
      <c r="B1338" s="386"/>
      <c r="C1338" s="386"/>
      <c r="D1338" s="386"/>
      <c r="E1338" s="386"/>
      <c r="F1338" s="408"/>
    </row>
    <row r="1339" spans="1:6" x14ac:dyDescent="0.2">
      <c r="A1339" s="388"/>
      <c r="B1339" s="386"/>
      <c r="C1339" s="386"/>
      <c r="D1339" s="386"/>
      <c r="E1339" s="386"/>
      <c r="F1339" s="408"/>
    </row>
    <row r="1340" spans="1:6" x14ac:dyDescent="0.2">
      <c r="A1340" s="388"/>
      <c r="B1340" s="386"/>
      <c r="C1340" s="386"/>
      <c r="D1340" s="386"/>
      <c r="E1340" s="386"/>
      <c r="F1340" s="408"/>
    </row>
    <row r="1341" spans="1:6" x14ac:dyDescent="0.2">
      <c r="A1341" s="388"/>
      <c r="B1341" s="386"/>
      <c r="C1341" s="386"/>
      <c r="D1341" s="386"/>
      <c r="E1341" s="386"/>
      <c r="F1341" s="408"/>
    </row>
    <row r="1342" spans="1:6" x14ac:dyDescent="0.2">
      <c r="A1342" s="388"/>
      <c r="B1342" s="386"/>
      <c r="C1342" s="386"/>
      <c r="D1342" s="386"/>
      <c r="E1342" s="386"/>
      <c r="F1342" s="408"/>
    </row>
    <row r="1343" spans="1:6" x14ac:dyDescent="0.2">
      <c r="A1343" s="388"/>
      <c r="B1343" s="386"/>
      <c r="C1343" s="386"/>
      <c r="D1343" s="386"/>
      <c r="E1343" s="386"/>
      <c r="F1343" s="408"/>
    </row>
    <row r="1344" spans="1:6" x14ac:dyDescent="0.2">
      <c r="A1344" s="388"/>
      <c r="B1344" s="386"/>
      <c r="C1344" s="386"/>
      <c r="D1344" s="386"/>
      <c r="E1344" s="386"/>
      <c r="F1344" s="408"/>
    </row>
    <row r="1345" spans="1:6" x14ac:dyDescent="0.2">
      <c r="A1345" s="388"/>
      <c r="B1345" s="386"/>
      <c r="C1345" s="386"/>
      <c r="D1345" s="386"/>
      <c r="E1345" s="386"/>
      <c r="F1345" s="408"/>
    </row>
    <row r="1346" spans="1:6" x14ac:dyDescent="0.2">
      <c r="A1346" s="388"/>
      <c r="B1346" s="386"/>
      <c r="C1346" s="386"/>
      <c r="D1346" s="386"/>
      <c r="E1346" s="386"/>
      <c r="F1346" s="408"/>
    </row>
    <row r="1347" spans="1:6" x14ac:dyDescent="0.2">
      <c r="A1347" s="388"/>
      <c r="B1347" s="386"/>
      <c r="C1347" s="386"/>
      <c r="D1347" s="386"/>
      <c r="E1347" s="386"/>
      <c r="F1347" s="408"/>
    </row>
    <row r="1348" spans="1:6" x14ac:dyDescent="0.2">
      <c r="A1348" s="388"/>
      <c r="B1348" s="386"/>
      <c r="C1348" s="386"/>
      <c r="D1348" s="386"/>
      <c r="E1348" s="386"/>
      <c r="F1348" s="408"/>
    </row>
    <row r="1349" spans="1:6" x14ac:dyDescent="0.2">
      <c r="A1349" s="388"/>
      <c r="B1349" s="386"/>
      <c r="C1349" s="386"/>
      <c r="D1349" s="386"/>
      <c r="E1349" s="386"/>
      <c r="F1349" s="408"/>
    </row>
    <row r="1350" spans="1:6" x14ac:dyDescent="0.2">
      <c r="A1350" s="388"/>
      <c r="B1350" s="386"/>
      <c r="C1350" s="386"/>
      <c r="D1350" s="386"/>
      <c r="E1350" s="386"/>
      <c r="F1350" s="408"/>
    </row>
    <row r="1351" spans="1:6" x14ac:dyDescent="0.2">
      <c r="A1351" s="388"/>
      <c r="B1351" s="386"/>
      <c r="C1351" s="386"/>
      <c r="D1351" s="386"/>
      <c r="E1351" s="386"/>
      <c r="F1351" s="408"/>
    </row>
    <row r="1352" spans="1:6" x14ac:dyDescent="0.2">
      <c r="A1352" s="388"/>
      <c r="B1352" s="386"/>
      <c r="C1352" s="386"/>
      <c r="D1352" s="386"/>
      <c r="E1352" s="386"/>
      <c r="F1352" s="408"/>
    </row>
    <row r="1353" spans="1:6" x14ac:dyDescent="0.2">
      <c r="A1353" s="388"/>
      <c r="B1353" s="386"/>
      <c r="C1353" s="386"/>
      <c r="D1353" s="386"/>
      <c r="E1353" s="386"/>
      <c r="F1353" s="408"/>
    </row>
    <row r="1354" spans="1:6" x14ac:dyDescent="0.2">
      <c r="A1354" s="388"/>
      <c r="B1354" s="386"/>
      <c r="C1354" s="386"/>
      <c r="D1354" s="386"/>
      <c r="E1354" s="386"/>
      <c r="F1354" s="408"/>
    </row>
    <row r="1355" spans="1:6" x14ac:dyDescent="0.2">
      <c r="A1355" s="388"/>
      <c r="B1355" s="386"/>
      <c r="C1355" s="386"/>
      <c r="D1355" s="386"/>
      <c r="E1355" s="386"/>
      <c r="F1355" s="408"/>
    </row>
    <row r="1356" spans="1:6" x14ac:dyDescent="0.2">
      <c r="A1356" s="388"/>
      <c r="B1356" s="386"/>
      <c r="C1356" s="386"/>
      <c r="D1356" s="386"/>
      <c r="E1356" s="386"/>
      <c r="F1356" s="408"/>
    </row>
    <row r="1357" spans="1:6" x14ac:dyDescent="0.2">
      <c r="A1357" s="388"/>
      <c r="B1357" s="386"/>
      <c r="C1357" s="386"/>
      <c r="D1357" s="386"/>
      <c r="E1357" s="386"/>
      <c r="F1357" s="408"/>
    </row>
    <row r="1358" spans="1:6" x14ac:dyDescent="0.2">
      <c r="A1358" s="388"/>
      <c r="B1358" s="386"/>
      <c r="C1358" s="386"/>
      <c r="D1358" s="386"/>
      <c r="E1358" s="386"/>
      <c r="F1358" s="408"/>
    </row>
    <row r="1359" spans="1:6" x14ac:dyDescent="0.2">
      <c r="A1359" s="388"/>
      <c r="B1359" s="386"/>
      <c r="C1359" s="386"/>
      <c r="D1359" s="386"/>
      <c r="E1359" s="386"/>
      <c r="F1359" s="408"/>
    </row>
    <row r="1360" spans="1:6" x14ac:dyDescent="0.2">
      <c r="A1360" s="388"/>
      <c r="B1360" s="386"/>
      <c r="C1360" s="386"/>
      <c r="D1360" s="386"/>
      <c r="E1360" s="386"/>
      <c r="F1360" s="408"/>
    </row>
    <row r="1361" spans="1:6" x14ac:dyDescent="0.2">
      <c r="A1361" s="388"/>
      <c r="B1361" s="386"/>
      <c r="C1361" s="386"/>
      <c r="D1361" s="386"/>
      <c r="E1361" s="386"/>
      <c r="F1361" s="408"/>
    </row>
    <row r="1362" spans="1:6" x14ac:dyDescent="0.2">
      <c r="A1362" s="388"/>
      <c r="B1362" s="386"/>
      <c r="C1362" s="386"/>
      <c r="D1362" s="386"/>
      <c r="E1362" s="386"/>
      <c r="F1362" s="408"/>
    </row>
    <row r="1363" spans="1:6" x14ac:dyDescent="0.2">
      <c r="A1363" s="388"/>
      <c r="B1363" s="386"/>
      <c r="C1363" s="386"/>
      <c r="D1363" s="386"/>
      <c r="E1363" s="386"/>
      <c r="F1363" s="408"/>
    </row>
    <row r="1364" spans="1:6" x14ac:dyDescent="0.2">
      <c r="A1364" s="388"/>
      <c r="B1364" s="386"/>
      <c r="C1364" s="386"/>
      <c r="D1364" s="386"/>
      <c r="E1364" s="386"/>
      <c r="F1364" s="408"/>
    </row>
    <row r="1365" spans="1:6" x14ac:dyDescent="0.2">
      <c r="A1365" s="388"/>
      <c r="B1365" s="386"/>
      <c r="C1365" s="386"/>
      <c r="D1365" s="386"/>
      <c r="E1365" s="386"/>
      <c r="F1365" s="408"/>
    </row>
    <row r="1366" spans="1:6" x14ac:dyDescent="0.2">
      <c r="A1366" s="388"/>
      <c r="B1366" s="386"/>
      <c r="C1366" s="386"/>
      <c r="D1366" s="386"/>
      <c r="E1366" s="386"/>
      <c r="F1366" s="408"/>
    </row>
    <row r="1367" spans="1:6" x14ac:dyDescent="0.2">
      <c r="A1367" s="388"/>
      <c r="B1367" s="386"/>
      <c r="C1367" s="386"/>
      <c r="D1367" s="386"/>
      <c r="E1367" s="386"/>
      <c r="F1367" s="408"/>
    </row>
    <row r="1368" spans="1:6" x14ac:dyDescent="0.2">
      <c r="A1368" s="388"/>
      <c r="B1368" s="386"/>
      <c r="C1368" s="386"/>
      <c r="D1368" s="386"/>
      <c r="E1368" s="386"/>
      <c r="F1368" s="408"/>
    </row>
    <row r="1369" spans="1:6" x14ac:dyDescent="0.2">
      <c r="A1369" s="388"/>
      <c r="B1369" s="386"/>
      <c r="C1369" s="386"/>
      <c r="D1369" s="386"/>
      <c r="E1369" s="386"/>
      <c r="F1369" s="408"/>
    </row>
    <row r="1370" spans="1:6" x14ac:dyDescent="0.2">
      <c r="A1370" s="388"/>
      <c r="B1370" s="386"/>
      <c r="C1370" s="386"/>
      <c r="D1370" s="386"/>
      <c r="E1370" s="386"/>
      <c r="F1370" s="408"/>
    </row>
    <row r="1371" spans="1:6" x14ac:dyDescent="0.2">
      <c r="A1371" s="388"/>
      <c r="B1371" s="386"/>
      <c r="C1371" s="386"/>
      <c r="D1371" s="386"/>
      <c r="E1371" s="386"/>
      <c r="F1371" s="408"/>
    </row>
    <row r="1372" spans="1:6" x14ac:dyDescent="0.2">
      <c r="A1372" s="388"/>
      <c r="B1372" s="386"/>
      <c r="C1372" s="386"/>
      <c r="D1372" s="386"/>
      <c r="E1372" s="386"/>
      <c r="F1372" s="408"/>
    </row>
    <row r="1373" spans="1:6" x14ac:dyDescent="0.2">
      <c r="A1373" s="388"/>
      <c r="B1373" s="386"/>
      <c r="C1373" s="386"/>
      <c r="D1373" s="386"/>
      <c r="E1373" s="386"/>
      <c r="F1373" s="408"/>
    </row>
    <row r="1374" spans="1:6" x14ac:dyDescent="0.2">
      <c r="A1374" s="388"/>
      <c r="B1374" s="386"/>
      <c r="C1374" s="386"/>
      <c r="D1374" s="386"/>
      <c r="E1374" s="386"/>
      <c r="F1374" s="408"/>
    </row>
    <row r="1375" spans="1:6" x14ac:dyDescent="0.2">
      <c r="A1375" s="388"/>
      <c r="B1375" s="386"/>
      <c r="C1375" s="386"/>
      <c r="D1375" s="386"/>
      <c r="E1375" s="386"/>
      <c r="F1375" s="408"/>
    </row>
    <row r="1376" spans="1:6" x14ac:dyDescent="0.2">
      <c r="A1376" s="388"/>
      <c r="B1376" s="386"/>
      <c r="C1376" s="386"/>
      <c r="D1376" s="386"/>
      <c r="E1376" s="386"/>
      <c r="F1376" s="408"/>
    </row>
    <row r="1377" spans="1:6" x14ac:dyDescent="0.2">
      <c r="A1377" s="388"/>
      <c r="B1377" s="386"/>
      <c r="C1377" s="386"/>
      <c r="D1377" s="386"/>
      <c r="E1377" s="386"/>
      <c r="F1377" s="408"/>
    </row>
    <row r="1378" spans="1:6" x14ac:dyDescent="0.2">
      <c r="A1378" s="388"/>
      <c r="B1378" s="386"/>
      <c r="C1378" s="386"/>
      <c r="D1378" s="386"/>
      <c r="E1378" s="386"/>
      <c r="F1378" s="408"/>
    </row>
    <row r="1379" spans="1:6" x14ac:dyDescent="0.2">
      <c r="A1379" s="388"/>
      <c r="B1379" s="386"/>
      <c r="C1379" s="386"/>
      <c r="D1379" s="386"/>
      <c r="E1379" s="386"/>
      <c r="F1379" s="408"/>
    </row>
    <row r="1380" spans="1:6" x14ac:dyDescent="0.2">
      <c r="A1380" s="388"/>
      <c r="B1380" s="386"/>
      <c r="C1380" s="386"/>
      <c r="D1380" s="386"/>
      <c r="E1380" s="386"/>
      <c r="F1380" s="408"/>
    </row>
    <row r="1381" spans="1:6" x14ac:dyDescent="0.2">
      <c r="A1381" s="388"/>
      <c r="B1381" s="386"/>
      <c r="C1381" s="386"/>
      <c r="D1381" s="386"/>
      <c r="E1381" s="386"/>
      <c r="F1381" s="408"/>
    </row>
    <row r="1382" spans="1:6" x14ac:dyDescent="0.2">
      <c r="A1382" s="388"/>
      <c r="B1382" s="386"/>
      <c r="C1382" s="386"/>
      <c r="D1382" s="386"/>
      <c r="E1382" s="386"/>
      <c r="F1382" s="408"/>
    </row>
    <row r="1383" spans="1:6" x14ac:dyDescent="0.2">
      <c r="A1383" s="388"/>
      <c r="B1383" s="386"/>
      <c r="C1383" s="386"/>
      <c r="D1383" s="386"/>
      <c r="E1383" s="386"/>
      <c r="F1383" s="408"/>
    </row>
    <row r="1384" spans="1:6" x14ac:dyDescent="0.2">
      <c r="A1384" s="388"/>
      <c r="B1384" s="386"/>
      <c r="C1384" s="386"/>
      <c r="D1384" s="386"/>
      <c r="E1384" s="386"/>
      <c r="F1384" s="408"/>
    </row>
    <row r="1385" spans="1:6" x14ac:dyDescent="0.2">
      <c r="A1385" s="388"/>
      <c r="B1385" s="386"/>
      <c r="C1385" s="386"/>
      <c r="D1385" s="386"/>
      <c r="E1385" s="386"/>
      <c r="F1385" s="408"/>
    </row>
    <row r="1386" spans="1:6" x14ac:dyDescent="0.2">
      <c r="A1386" s="388"/>
      <c r="B1386" s="386"/>
      <c r="C1386" s="386"/>
      <c r="D1386" s="386"/>
      <c r="E1386" s="386"/>
      <c r="F1386" s="408"/>
    </row>
    <row r="1387" spans="1:6" x14ac:dyDescent="0.2">
      <c r="A1387" s="388"/>
      <c r="B1387" s="386"/>
      <c r="C1387" s="386"/>
      <c r="D1387" s="386"/>
      <c r="E1387" s="386"/>
      <c r="F1387" s="408"/>
    </row>
    <row r="1388" spans="1:6" x14ac:dyDescent="0.2">
      <c r="A1388" s="388"/>
      <c r="B1388" s="386"/>
      <c r="C1388" s="386"/>
      <c r="D1388" s="386"/>
      <c r="E1388" s="386"/>
      <c r="F1388" s="408"/>
    </row>
    <row r="1389" spans="1:6" x14ac:dyDescent="0.2">
      <c r="A1389" s="388"/>
      <c r="B1389" s="386"/>
      <c r="C1389" s="386"/>
      <c r="D1389" s="386"/>
      <c r="E1389" s="386"/>
      <c r="F1389" s="408"/>
    </row>
    <row r="1390" spans="1:6" x14ac:dyDescent="0.2">
      <c r="A1390" s="388"/>
      <c r="B1390" s="386"/>
      <c r="C1390" s="386"/>
      <c r="D1390" s="386"/>
      <c r="E1390" s="386"/>
      <c r="F1390" s="408"/>
    </row>
    <row r="1391" spans="1:6" x14ac:dyDescent="0.2">
      <c r="A1391" s="388"/>
      <c r="B1391" s="386"/>
      <c r="C1391" s="386"/>
      <c r="D1391" s="386"/>
      <c r="E1391" s="386"/>
      <c r="F1391" s="408"/>
    </row>
    <row r="1392" spans="1:6" x14ac:dyDescent="0.2">
      <c r="A1392" s="388"/>
      <c r="B1392" s="386"/>
      <c r="C1392" s="386"/>
      <c r="D1392" s="386"/>
      <c r="E1392" s="386"/>
      <c r="F1392" s="408"/>
    </row>
    <row r="1393" spans="1:6" x14ac:dyDescent="0.2">
      <c r="A1393" s="388"/>
      <c r="B1393" s="386"/>
      <c r="C1393" s="386"/>
      <c r="D1393" s="386"/>
      <c r="E1393" s="386"/>
      <c r="F1393" s="408"/>
    </row>
    <row r="1394" spans="1:6" x14ac:dyDescent="0.2">
      <c r="A1394" s="388"/>
      <c r="B1394" s="386"/>
      <c r="C1394" s="386"/>
      <c r="D1394" s="386"/>
      <c r="E1394" s="386"/>
      <c r="F1394" s="408"/>
    </row>
    <row r="1395" spans="1:6" x14ac:dyDescent="0.2">
      <c r="A1395" s="388"/>
      <c r="B1395" s="386"/>
      <c r="C1395" s="386"/>
      <c r="D1395" s="386"/>
      <c r="E1395" s="386"/>
      <c r="F1395" s="408"/>
    </row>
    <row r="1396" spans="1:6" x14ac:dyDescent="0.2">
      <c r="A1396" s="388"/>
      <c r="B1396" s="386"/>
      <c r="C1396" s="386"/>
      <c r="D1396" s="386"/>
      <c r="E1396" s="386"/>
      <c r="F1396" s="408"/>
    </row>
    <row r="1397" spans="1:6" x14ac:dyDescent="0.2">
      <c r="A1397" s="388"/>
      <c r="B1397" s="386"/>
      <c r="C1397" s="386"/>
      <c r="D1397" s="386"/>
      <c r="E1397" s="386"/>
      <c r="F1397" s="408"/>
    </row>
    <row r="1398" spans="1:6" x14ac:dyDescent="0.2">
      <c r="A1398" s="388"/>
      <c r="B1398" s="386"/>
      <c r="C1398" s="386"/>
      <c r="D1398" s="386"/>
      <c r="E1398" s="386"/>
      <c r="F1398" s="408"/>
    </row>
    <row r="1399" spans="1:6" x14ac:dyDescent="0.2">
      <c r="A1399" s="388"/>
      <c r="B1399" s="386"/>
      <c r="C1399" s="386"/>
      <c r="D1399" s="386"/>
      <c r="E1399" s="386"/>
      <c r="F1399" s="408"/>
    </row>
    <row r="1400" spans="1:6" x14ac:dyDescent="0.2">
      <c r="A1400" s="388"/>
      <c r="B1400" s="386"/>
      <c r="C1400" s="386"/>
      <c r="D1400" s="386"/>
      <c r="E1400" s="386"/>
      <c r="F1400" s="408"/>
    </row>
    <row r="1401" spans="1:6" x14ac:dyDescent="0.2">
      <c r="A1401" s="388"/>
      <c r="B1401" s="386"/>
      <c r="C1401" s="386"/>
      <c r="D1401" s="386"/>
      <c r="E1401" s="386"/>
      <c r="F1401" s="408"/>
    </row>
    <row r="1402" spans="1:6" x14ac:dyDescent="0.2">
      <c r="A1402" s="388"/>
      <c r="B1402" s="386"/>
      <c r="C1402" s="386"/>
      <c r="D1402" s="386"/>
      <c r="E1402" s="386"/>
      <c r="F1402" s="408"/>
    </row>
    <row r="1403" spans="1:6" x14ac:dyDescent="0.2">
      <c r="A1403" s="388"/>
      <c r="B1403" s="386"/>
      <c r="C1403" s="386"/>
      <c r="D1403" s="386"/>
      <c r="E1403" s="386"/>
      <c r="F1403" s="408"/>
    </row>
    <row r="1404" spans="1:6" x14ac:dyDescent="0.2">
      <c r="A1404" s="388"/>
      <c r="B1404" s="386"/>
      <c r="C1404" s="386"/>
      <c r="D1404" s="386"/>
      <c r="E1404" s="386"/>
      <c r="F1404" s="408"/>
    </row>
    <row r="1405" spans="1:6" x14ac:dyDescent="0.2">
      <c r="A1405" s="388"/>
      <c r="B1405" s="386"/>
      <c r="C1405" s="386"/>
      <c r="D1405" s="386"/>
      <c r="E1405" s="386"/>
      <c r="F1405" s="408"/>
    </row>
    <row r="1406" spans="1:6" x14ac:dyDescent="0.2">
      <c r="A1406" s="388"/>
      <c r="B1406" s="386"/>
      <c r="C1406" s="386"/>
      <c r="D1406" s="386"/>
      <c r="E1406" s="386"/>
      <c r="F1406" s="408"/>
    </row>
    <row r="1407" spans="1:6" x14ac:dyDescent="0.2">
      <c r="A1407" s="388"/>
      <c r="B1407" s="386"/>
      <c r="C1407" s="386"/>
      <c r="D1407" s="386"/>
      <c r="E1407" s="386"/>
      <c r="F1407" s="408"/>
    </row>
    <row r="1408" spans="1:6" x14ac:dyDescent="0.2">
      <c r="A1408" s="388"/>
      <c r="B1408" s="386"/>
      <c r="C1408" s="386"/>
      <c r="D1408" s="386"/>
      <c r="E1408" s="386"/>
      <c r="F1408" s="408"/>
    </row>
    <row r="1409" spans="1:6" x14ac:dyDescent="0.2">
      <c r="A1409" s="388"/>
      <c r="B1409" s="386"/>
      <c r="C1409" s="386"/>
      <c r="D1409" s="386"/>
      <c r="E1409" s="386"/>
      <c r="F1409" s="408"/>
    </row>
    <row r="1410" spans="1:6" x14ac:dyDescent="0.2">
      <c r="A1410" s="388"/>
      <c r="B1410" s="386"/>
      <c r="C1410" s="386"/>
      <c r="D1410" s="386"/>
      <c r="E1410" s="386"/>
      <c r="F1410" s="408"/>
    </row>
    <row r="1411" spans="1:6" x14ac:dyDescent="0.2">
      <c r="A1411" s="388"/>
      <c r="B1411" s="386"/>
      <c r="C1411" s="386"/>
      <c r="D1411" s="386"/>
      <c r="E1411" s="386"/>
      <c r="F1411" s="408"/>
    </row>
    <row r="1412" spans="1:6" x14ac:dyDescent="0.2">
      <c r="A1412" s="388"/>
      <c r="B1412" s="386"/>
      <c r="C1412" s="386"/>
      <c r="D1412" s="386"/>
      <c r="E1412" s="386"/>
      <c r="F1412" s="408"/>
    </row>
    <row r="1413" spans="1:6" x14ac:dyDescent="0.2">
      <c r="A1413" s="388"/>
      <c r="B1413" s="386"/>
      <c r="C1413" s="386"/>
      <c r="D1413" s="386"/>
      <c r="E1413" s="386"/>
      <c r="F1413" s="408"/>
    </row>
    <row r="1414" spans="1:6" x14ac:dyDescent="0.2">
      <c r="A1414" s="388"/>
      <c r="B1414" s="386"/>
      <c r="C1414" s="386"/>
      <c r="D1414" s="386"/>
      <c r="E1414" s="386"/>
      <c r="F1414" s="408"/>
    </row>
    <row r="1415" spans="1:6" x14ac:dyDescent="0.2">
      <c r="A1415" s="388"/>
      <c r="B1415" s="386"/>
      <c r="C1415" s="386"/>
      <c r="D1415" s="386"/>
      <c r="E1415" s="386"/>
      <c r="F1415" s="408"/>
    </row>
    <row r="1416" spans="1:6" x14ac:dyDescent="0.2">
      <c r="A1416" s="388"/>
      <c r="B1416" s="386"/>
      <c r="C1416" s="386"/>
      <c r="D1416" s="386"/>
      <c r="E1416" s="386"/>
      <c r="F1416" s="408"/>
    </row>
    <row r="1417" spans="1:6" x14ac:dyDescent="0.2">
      <c r="A1417" s="388"/>
      <c r="B1417" s="386"/>
      <c r="C1417" s="386"/>
      <c r="D1417" s="386"/>
      <c r="E1417" s="386"/>
      <c r="F1417" s="408"/>
    </row>
    <row r="1418" spans="1:6" x14ac:dyDescent="0.2">
      <c r="A1418" s="388"/>
      <c r="B1418" s="386"/>
      <c r="C1418" s="386"/>
      <c r="D1418" s="386"/>
      <c r="E1418" s="386"/>
      <c r="F1418" s="408"/>
    </row>
    <row r="1419" spans="1:6" x14ac:dyDescent="0.2">
      <c r="A1419" s="388"/>
      <c r="B1419" s="386"/>
      <c r="C1419" s="386"/>
      <c r="D1419" s="386"/>
      <c r="E1419" s="386"/>
      <c r="F1419" s="408"/>
    </row>
    <row r="1420" spans="1:6" x14ac:dyDescent="0.2">
      <c r="A1420" s="388"/>
      <c r="B1420" s="386"/>
      <c r="C1420" s="386"/>
      <c r="D1420" s="386"/>
      <c r="E1420" s="386"/>
      <c r="F1420" s="408"/>
    </row>
    <row r="1421" spans="1:6" x14ac:dyDescent="0.2">
      <c r="A1421" s="388"/>
      <c r="B1421" s="386"/>
      <c r="C1421" s="386"/>
      <c r="D1421" s="386"/>
      <c r="E1421" s="386"/>
      <c r="F1421" s="408"/>
    </row>
    <row r="1422" spans="1:6" x14ac:dyDescent="0.2">
      <c r="A1422" s="388"/>
      <c r="B1422" s="386"/>
      <c r="C1422" s="386"/>
      <c r="D1422" s="386"/>
      <c r="E1422" s="386"/>
      <c r="F1422" s="408"/>
    </row>
    <row r="1423" spans="1:6" x14ac:dyDescent="0.2">
      <c r="A1423" s="388"/>
      <c r="B1423" s="386"/>
      <c r="C1423" s="386"/>
      <c r="D1423" s="386"/>
      <c r="E1423" s="386"/>
      <c r="F1423" s="408"/>
    </row>
    <row r="1424" spans="1:6" x14ac:dyDescent="0.2">
      <c r="A1424" s="388"/>
      <c r="B1424" s="386"/>
      <c r="C1424" s="386"/>
      <c r="D1424" s="386"/>
      <c r="E1424" s="386"/>
      <c r="F1424" s="408"/>
    </row>
    <row r="1425" spans="1:6" x14ac:dyDescent="0.2">
      <c r="A1425" s="388"/>
      <c r="B1425" s="386"/>
      <c r="C1425" s="386"/>
      <c r="D1425" s="386"/>
      <c r="E1425" s="386"/>
      <c r="F1425" s="408"/>
    </row>
    <row r="1426" spans="1:6" x14ac:dyDescent="0.2">
      <c r="A1426" s="388"/>
      <c r="B1426" s="386"/>
      <c r="C1426" s="386"/>
      <c r="D1426" s="386"/>
      <c r="E1426" s="386"/>
      <c r="F1426" s="408"/>
    </row>
    <row r="1427" spans="1:6" x14ac:dyDescent="0.2">
      <c r="A1427" s="388"/>
      <c r="B1427" s="386"/>
      <c r="C1427" s="386"/>
      <c r="D1427" s="386"/>
      <c r="E1427" s="386"/>
      <c r="F1427" s="408"/>
    </row>
    <row r="1428" spans="1:6" x14ac:dyDescent="0.2">
      <c r="A1428" s="388"/>
      <c r="B1428" s="386"/>
      <c r="C1428" s="386"/>
      <c r="D1428" s="386"/>
      <c r="E1428" s="386"/>
      <c r="F1428" s="408"/>
    </row>
    <row r="1429" spans="1:6" x14ac:dyDescent="0.2">
      <c r="A1429" s="388"/>
      <c r="B1429" s="386"/>
      <c r="C1429" s="386"/>
      <c r="D1429" s="386"/>
      <c r="E1429" s="386"/>
      <c r="F1429" s="408"/>
    </row>
    <row r="1430" spans="1:6" x14ac:dyDescent="0.2">
      <c r="A1430" s="388"/>
      <c r="B1430" s="386"/>
      <c r="C1430" s="386"/>
      <c r="D1430" s="386"/>
      <c r="E1430" s="386"/>
      <c r="F1430" s="408"/>
    </row>
    <row r="1431" spans="1:6" x14ac:dyDescent="0.2">
      <c r="A1431" s="388"/>
      <c r="B1431" s="386"/>
      <c r="C1431" s="386"/>
      <c r="D1431" s="386"/>
      <c r="E1431" s="386"/>
      <c r="F1431" s="408"/>
    </row>
    <row r="1432" spans="1:6" x14ac:dyDescent="0.2">
      <c r="A1432" s="388"/>
      <c r="B1432" s="386"/>
      <c r="C1432" s="386"/>
      <c r="D1432" s="386"/>
      <c r="E1432" s="386"/>
      <c r="F1432" s="408"/>
    </row>
    <row r="1433" spans="1:6" x14ac:dyDescent="0.2">
      <c r="A1433" s="388"/>
      <c r="B1433" s="386"/>
      <c r="C1433" s="386"/>
      <c r="D1433" s="386"/>
      <c r="E1433" s="386"/>
      <c r="F1433" s="408"/>
    </row>
    <row r="1434" spans="1:6" x14ac:dyDescent="0.2">
      <c r="A1434" s="388"/>
      <c r="B1434" s="386"/>
      <c r="C1434" s="386"/>
      <c r="D1434" s="386"/>
      <c r="E1434" s="386"/>
      <c r="F1434" s="408"/>
    </row>
    <row r="1435" spans="1:6" x14ac:dyDescent="0.2">
      <c r="A1435" s="388"/>
      <c r="B1435" s="386"/>
      <c r="C1435" s="386"/>
      <c r="D1435" s="386"/>
      <c r="E1435" s="386"/>
      <c r="F1435" s="408"/>
    </row>
    <row r="1436" spans="1:6" x14ac:dyDescent="0.2">
      <c r="A1436" s="388"/>
      <c r="B1436" s="386"/>
      <c r="C1436" s="386"/>
      <c r="D1436" s="386"/>
      <c r="E1436" s="386"/>
      <c r="F1436" s="408"/>
    </row>
    <row r="1437" spans="1:6" x14ac:dyDescent="0.2">
      <c r="A1437" s="388"/>
      <c r="B1437" s="386"/>
      <c r="C1437" s="386"/>
      <c r="D1437" s="386"/>
      <c r="E1437" s="386"/>
      <c r="F1437" s="408"/>
    </row>
    <row r="1438" spans="1:6" x14ac:dyDescent="0.2">
      <c r="A1438" s="388"/>
      <c r="B1438" s="386"/>
      <c r="C1438" s="386"/>
      <c r="D1438" s="386"/>
      <c r="E1438" s="386"/>
      <c r="F1438" s="408"/>
    </row>
    <row r="1439" spans="1:6" x14ac:dyDescent="0.2">
      <c r="A1439" s="388"/>
      <c r="B1439" s="386"/>
      <c r="C1439" s="386"/>
      <c r="D1439" s="386"/>
      <c r="E1439" s="386"/>
      <c r="F1439" s="408"/>
    </row>
    <row r="1440" spans="1:6" x14ac:dyDescent="0.2">
      <c r="A1440" s="388"/>
      <c r="B1440" s="386"/>
      <c r="C1440" s="386"/>
      <c r="D1440" s="386"/>
      <c r="E1440" s="386"/>
      <c r="F1440" s="408"/>
    </row>
    <row r="1441" spans="1:6" x14ac:dyDescent="0.2">
      <c r="A1441" s="388"/>
      <c r="B1441" s="386"/>
      <c r="C1441" s="386"/>
      <c r="D1441" s="386"/>
      <c r="E1441" s="386"/>
      <c r="F1441" s="408"/>
    </row>
    <row r="1442" spans="1:6" x14ac:dyDescent="0.2">
      <c r="A1442" s="388"/>
      <c r="B1442" s="386"/>
      <c r="C1442" s="386"/>
      <c r="D1442" s="386"/>
      <c r="E1442" s="386"/>
      <c r="F1442" s="408"/>
    </row>
    <row r="1443" spans="1:6" x14ac:dyDescent="0.2">
      <c r="A1443" s="388"/>
      <c r="B1443" s="386"/>
      <c r="C1443" s="386"/>
      <c r="D1443" s="386"/>
      <c r="E1443" s="386"/>
      <c r="F1443" s="408"/>
    </row>
    <row r="1444" spans="1:6" x14ac:dyDescent="0.2">
      <c r="A1444" s="388"/>
      <c r="B1444" s="386"/>
      <c r="C1444" s="386"/>
      <c r="D1444" s="386"/>
      <c r="E1444" s="386"/>
      <c r="F1444" s="408"/>
    </row>
    <row r="1445" spans="1:6" x14ac:dyDescent="0.2">
      <c r="A1445" s="388"/>
      <c r="B1445" s="386"/>
      <c r="C1445" s="386"/>
      <c r="D1445" s="386"/>
      <c r="E1445" s="386"/>
      <c r="F1445" s="408"/>
    </row>
    <row r="1446" spans="1:6" x14ac:dyDescent="0.2">
      <c r="A1446" s="388"/>
      <c r="B1446" s="386"/>
      <c r="C1446" s="386"/>
      <c r="D1446" s="386"/>
      <c r="E1446" s="386"/>
      <c r="F1446" s="408"/>
    </row>
    <row r="1447" spans="1:6" x14ac:dyDescent="0.2">
      <c r="A1447" s="388"/>
      <c r="B1447" s="386"/>
      <c r="C1447" s="386"/>
      <c r="D1447" s="386"/>
      <c r="E1447" s="386"/>
      <c r="F1447" s="408"/>
    </row>
    <row r="1448" spans="1:6" x14ac:dyDescent="0.2">
      <c r="A1448" s="388"/>
      <c r="B1448" s="386"/>
      <c r="C1448" s="386"/>
      <c r="D1448" s="386"/>
      <c r="E1448" s="386"/>
      <c r="F1448" s="408"/>
    </row>
    <row r="1449" spans="1:6" x14ac:dyDescent="0.2">
      <c r="A1449" s="388"/>
      <c r="B1449" s="386"/>
      <c r="C1449" s="386"/>
      <c r="D1449" s="386"/>
      <c r="E1449" s="386"/>
      <c r="F1449" s="408"/>
    </row>
    <row r="1450" spans="1:6" x14ac:dyDescent="0.2">
      <c r="A1450" s="388"/>
      <c r="B1450" s="386"/>
      <c r="C1450" s="386"/>
      <c r="D1450" s="386"/>
      <c r="E1450" s="386"/>
      <c r="F1450" s="408"/>
    </row>
    <row r="1451" spans="1:6" x14ac:dyDescent="0.2">
      <c r="A1451" s="388"/>
      <c r="B1451" s="386"/>
      <c r="C1451" s="386"/>
      <c r="D1451" s="386"/>
      <c r="E1451" s="386"/>
      <c r="F1451" s="408"/>
    </row>
    <row r="1452" spans="1:6" x14ac:dyDescent="0.2">
      <c r="A1452" s="388"/>
      <c r="B1452" s="386"/>
      <c r="C1452" s="386"/>
      <c r="D1452" s="386"/>
      <c r="E1452" s="386"/>
      <c r="F1452" s="408"/>
    </row>
    <row r="1453" spans="1:6" x14ac:dyDescent="0.2">
      <c r="A1453" s="388"/>
      <c r="B1453" s="386"/>
      <c r="C1453" s="386"/>
      <c r="D1453" s="386"/>
      <c r="E1453" s="386"/>
      <c r="F1453" s="408"/>
    </row>
    <row r="1454" spans="1:6" x14ac:dyDescent="0.2">
      <c r="A1454" s="388"/>
      <c r="B1454" s="386"/>
      <c r="C1454" s="386"/>
      <c r="D1454" s="386"/>
      <c r="E1454" s="386"/>
      <c r="F1454" s="408"/>
    </row>
    <row r="1455" spans="1:6" x14ac:dyDescent="0.2">
      <c r="A1455" s="388"/>
      <c r="B1455" s="386"/>
      <c r="C1455" s="386"/>
      <c r="D1455" s="386"/>
      <c r="E1455" s="386"/>
      <c r="F1455" s="408"/>
    </row>
    <row r="1456" spans="1:6" x14ac:dyDescent="0.2">
      <c r="A1456" s="388"/>
      <c r="B1456" s="386"/>
      <c r="C1456" s="386"/>
      <c r="D1456" s="386"/>
      <c r="E1456" s="386"/>
      <c r="F1456" s="408"/>
    </row>
    <row r="1457" spans="1:6" x14ac:dyDescent="0.2">
      <c r="A1457" s="388"/>
      <c r="B1457" s="386"/>
      <c r="C1457" s="386"/>
      <c r="D1457" s="386"/>
      <c r="E1457" s="386"/>
      <c r="F1457" s="408"/>
    </row>
    <row r="1458" spans="1:6" x14ac:dyDescent="0.2">
      <c r="A1458" s="388"/>
      <c r="B1458" s="386"/>
      <c r="C1458" s="386"/>
      <c r="D1458" s="386"/>
      <c r="E1458" s="386"/>
      <c r="F1458" s="408"/>
    </row>
    <row r="1459" spans="1:6" x14ac:dyDescent="0.2">
      <c r="A1459" s="388"/>
      <c r="B1459" s="386"/>
      <c r="C1459" s="386"/>
      <c r="D1459" s="386"/>
      <c r="E1459" s="386"/>
      <c r="F1459" s="408"/>
    </row>
    <row r="1460" spans="1:6" x14ac:dyDescent="0.2">
      <c r="A1460" s="388"/>
      <c r="B1460" s="386"/>
      <c r="C1460" s="386"/>
      <c r="D1460" s="386"/>
      <c r="E1460" s="386"/>
      <c r="F1460" s="408"/>
    </row>
    <row r="1461" spans="1:6" x14ac:dyDescent="0.2">
      <c r="A1461" s="388"/>
      <c r="B1461" s="386"/>
      <c r="C1461" s="386"/>
      <c r="D1461" s="386"/>
      <c r="E1461" s="386"/>
      <c r="F1461" s="408"/>
    </row>
    <row r="1462" spans="1:6" x14ac:dyDescent="0.2">
      <c r="A1462" s="388"/>
      <c r="B1462" s="386"/>
      <c r="C1462" s="386"/>
      <c r="D1462" s="386"/>
      <c r="E1462" s="386"/>
      <c r="F1462" s="408"/>
    </row>
    <row r="1463" spans="1:6" x14ac:dyDescent="0.2">
      <c r="A1463" s="388"/>
      <c r="B1463" s="386"/>
      <c r="C1463" s="386"/>
      <c r="D1463" s="386"/>
      <c r="E1463" s="386"/>
      <c r="F1463" s="408"/>
    </row>
    <row r="1464" spans="1:6" x14ac:dyDescent="0.2">
      <c r="A1464" s="388"/>
      <c r="B1464" s="386"/>
      <c r="C1464" s="386"/>
      <c r="D1464" s="386"/>
      <c r="E1464" s="386"/>
      <c r="F1464" s="408"/>
    </row>
    <row r="1465" spans="1:6" x14ac:dyDescent="0.2">
      <c r="A1465" s="388"/>
      <c r="B1465" s="386"/>
      <c r="C1465" s="386"/>
      <c r="D1465" s="386"/>
      <c r="E1465" s="386"/>
      <c r="F1465" s="408"/>
    </row>
    <row r="1466" spans="1:6" x14ac:dyDescent="0.2">
      <c r="A1466" s="388"/>
      <c r="B1466" s="386"/>
      <c r="C1466" s="386"/>
      <c r="D1466" s="386"/>
      <c r="E1466" s="386"/>
      <c r="F1466" s="408"/>
    </row>
    <row r="1467" spans="1:6" x14ac:dyDescent="0.2">
      <c r="A1467" s="388"/>
      <c r="B1467" s="386"/>
      <c r="C1467" s="386"/>
      <c r="D1467" s="386"/>
      <c r="E1467" s="386"/>
      <c r="F1467" s="408"/>
    </row>
    <row r="1468" spans="1:6" x14ac:dyDescent="0.2">
      <c r="A1468" s="388"/>
      <c r="B1468" s="386"/>
      <c r="C1468" s="386"/>
      <c r="D1468" s="386"/>
      <c r="E1468" s="386"/>
      <c r="F1468" s="408"/>
    </row>
    <row r="1469" spans="1:6" x14ac:dyDescent="0.2">
      <c r="A1469" s="388"/>
      <c r="B1469" s="386"/>
      <c r="C1469" s="386"/>
      <c r="D1469" s="386"/>
      <c r="E1469" s="386"/>
      <c r="F1469" s="408"/>
    </row>
    <row r="1470" spans="1:6" x14ac:dyDescent="0.2">
      <c r="A1470" s="388"/>
      <c r="B1470" s="386"/>
      <c r="C1470" s="386"/>
      <c r="D1470" s="386"/>
      <c r="E1470" s="386"/>
      <c r="F1470" s="408"/>
    </row>
    <row r="1471" spans="1:6" x14ac:dyDescent="0.2">
      <c r="A1471" s="388"/>
      <c r="B1471" s="386"/>
      <c r="C1471" s="386"/>
      <c r="D1471" s="386"/>
      <c r="E1471" s="386"/>
      <c r="F1471" s="408"/>
    </row>
    <row r="1472" spans="1:6" x14ac:dyDescent="0.2">
      <c r="A1472" s="388"/>
      <c r="B1472" s="386"/>
      <c r="C1472" s="386"/>
      <c r="D1472" s="386"/>
      <c r="E1472" s="386"/>
      <c r="F1472" s="408"/>
    </row>
    <row r="1473" spans="1:6" x14ac:dyDescent="0.2">
      <c r="A1473" s="388"/>
      <c r="B1473" s="386"/>
      <c r="C1473" s="386"/>
      <c r="D1473" s="386"/>
      <c r="E1473" s="386"/>
      <c r="F1473" s="408"/>
    </row>
    <row r="1474" spans="1:6" x14ac:dyDescent="0.2">
      <c r="A1474" s="388"/>
      <c r="B1474" s="386"/>
      <c r="C1474" s="386"/>
      <c r="D1474" s="386"/>
      <c r="E1474" s="386"/>
      <c r="F1474" s="408"/>
    </row>
    <row r="1475" spans="1:6" x14ac:dyDescent="0.2">
      <c r="A1475" s="388"/>
      <c r="B1475" s="386"/>
      <c r="C1475" s="386"/>
      <c r="D1475" s="386"/>
      <c r="E1475" s="386"/>
      <c r="F1475" s="408"/>
    </row>
    <row r="1476" spans="1:6" x14ac:dyDescent="0.2">
      <c r="A1476" s="388"/>
      <c r="B1476" s="386"/>
      <c r="C1476" s="386"/>
      <c r="D1476" s="386"/>
      <c r="E1476" s="386"/>
      <c r="F1476" s="408"/>
    </row>
    <row r="1477" spans="1:6" x14ac:dyDescent="0.2">
      <c r="A1477" s="388"/>
      <c r="B1477" s="386"/>
      <c r="C1477" s="386"/>
      <c r="D1477" s="386"/>
      <c r="E1477" s="386"/>
      <c r="F1477" s="408"/>
    </row>
    <row r="1478" spans="1:6" x14ac:dyDescent="0.2">
      <c r="A1478" s="388"/>
      <c r="B1478" s="386"/>
      <c r="C1478" s="386"/>
      <c r="D1478" s="386"/>
      <c r="E1478" s="386"/>
      <c r="F1478" s="408"/>
    </row>
    <row r="1479" spans="1:6" x14ac:dyDescent="0.2">
      <c r="A1479" s="388"/>
      <c r="B1479" s="386"/>
      <c r="C1479" s="386"/>
      <c r="D1479" s="386"/>
      <c r="E1479" s="386"/>
      <c r="F1479" s="408"/>
    </row>
    <row r="1480" spans="1:6" x14ac:dyDescent="0.2">
      <c r="A1480" s="388"/>
      <c r="B1480" s="386"/>
      <c r="C1480" s="386"/>
      <c r="D1480" s="386"/>
      <c r="E1480" s="386"/>
      <c r="F1480" s="408"/>
    </row>
    <row r="1481" spans="1:6" x14ac:dyDescent="0.2">
      <c r="A1481" s="388"/>
      <c r="B1481" s="386"/>
      <c r="C1481" s="386"/>
      <c r="D1481" s="386"/>
      <c r="E1481" s="386"/>
      <c r="F1481" s="408"/>
    </row>
    <row r="1482" spans="1:6" x14ac:dyDescent="0.2">
      <c r="A1482" s="388"/>
      <c r="B1482" s="386"/>
      <c r="C1482" s="386"/>
      <c r="D1482" s="386"/>
      <c r="E1482" s="386"/>
      <c r="F1482" s="408"/>
    </row>
    <row r="1483" spans="1:6" x14ac:dyDescent="0.2">
      <c r="A1483" s="388"/>
      <c r="B1483" s="386"/>
      <c r="C1483" s="386"/>
      <c r="D1483" s="386"/>
      <c r="E1483" s="386"/>
      <c r="F1483" s="408"/>
    </row>
    <row r="1484" spans="1:6" x14ac:dyDescent="0.2">
      <c r="A1484" s="388"/>
      <c r="B1484" s="386"/>
      <c r="C1484" s="386"/>
      <c r="D1484" s="386"/>
      <c r="E1484" s="386"/>
      <c r="F1484" s="408"/>
    </row>
    <row r="1485" spans="1:6" x14ac:dyDescent="0.2">
      <c r="A1485" s="388"/>
      <c r="B1485" s="386"/>
      <c r="C1485" s="386"/>
      <c r="D1485" s="386"/>
      <c r="E1485" s="386"/>
      <c r="F1485" s="408"/>
    </row>
    <row r="1486" spans="1:6" x14ac:dyDescent="0.2">
      <c r="A1486" s="388"/>
      <c r="B1486" s="386"/>
      <c r="C1486" s="386"/>
      <c r="D1486" s="386"/>
      <c r="E1486" s="386"/>
      <c r="F1486" s="408"/>
    </row>
    <row r="1487" spans="1:6" x14ac:dyDescent="0.2">
      <c r="A1487" s="388"/>
      <c r="B1487" s="386"/>
      <c r="C1487" s="386"/>
      <c r="D1487" s="386"/>
      <c r="E1487" s="386"/>
      <c r="F1487" s="408"/>
    </row>
    <row r="1488" spans="1:6" x14ac:dyDescent="0.2">
      <c r="A1488" s="388"/>
      <c r="B1488" s="386"/>
      <c r="C1488" s="386"/>
      <c r="D1488" s="386"/>
      <c r="E1488" s="386"/>
      <c r="F1488" s="408"/>
    </row>
    <row r="1489" spans="1:6" x14ac:dyDescent="0.2">
      <c r="A1489" s="388"/>
      <c r="B1489" s="386"/>
      <c r="C1489" s="386"/>
      <c r="D1489" s="386"/>
      <c r="E1489" s="386"/>
      <c r="F1489" s="408"/>
    </row>
    <row r="1490" spans="1:6" x14ac:dyDescent="0.2">
      <c r="A1490" s="388"/>
      <c r="B1490" s="386"/>
      <c r="C1490" s="386"/>
      <c r="D1490" s="386"/>
      <c r="E1490" s="386"/>
      <c r="F1490" s="408"/>
    </row>
    <row r="1491" spans="1:6" x14ac:dyDescent="0.2">
      <c r="A1491" s="388"/>
      <c r="B1491" s="386"/>
      <c r="C1491" s="386"/>
      <c r="D1491" s="386"/>
      <c r="E1491" s="386"/>
      <c r="F1491" s="408"/>
    </row>
    <row r="1492" spans="1:6" x14ac:dyDescent="0.2">
      <c r="A1492" s="388"/>
      <c r="B1492" s="386"/>
      <c r="C1492" s="386"/>
      <c r="D1492" s="386"/>
      <c r="E1492" s="386"/>
      <c r="F1492" s="408"/>
    </row>
    <row r="1493" spans="1:6" x14ac:dyDescent="0.2">
      <c r="A1493" s="388"/>
      <c r="B1493" s="386"/>
      <c r="C1493" s="386"/>
      <c r="D1493" s="386"/>
      <c r="E1493" s="386"/>
      <c r="F1493" s="408"/>
    </row>
    <row r="1494" spans="1:6" x14ac:dyDescent="0.2">
      <c r="A1494" s="388"/>
      <c r="B1494" s="386"/>
      <c r="C1494" s="386"/>
      <c r="D1494" s="386"/>
      <c r="E1494" s="386"/>
      <c r="F1494" s="408"/>
    </row>
    <row r="1495" spans="1:6" x14ac:dyDescent="0.2">
      <c r="A1495" s="388"/>
      <c r="B1495" s="386"/>
      <c r="C1495" s="386"/>
      <c r="D1495" s="386"/>
      <c r="E1495" s="386"/>
      <c r="F1495" s="408"/>
    </row>
    <row r="1496" spans="1:6" x14ac:dyDescent="0.2">
      <c r="A1496" s="388"/>
      <c r="B1496" s="386"/>
      <c r="C1496" s="386"/>
      <c r="D1496" s="386"/>
      <c r="E1496" s="386"/>
      <c r="F1496" s="408"/>
    </row>
    <row r="1497" spans="1:6" x14ac:dyDescent="0.2">
      <c r="A1497" s="388"/>
      <c r="B1497" s="386"/>
      <c r="C1497" s="386"/>
      <c r="D1497" s="386"/>
      <c r="E1497" s="386"/>
      <c r="F1497" s="408"/>
    </row>
    <row r="1498" spans="1:6" x14ac:dyDescent="0.2">
      <c r="A1498" s="388"/>
      <c r="B1498" s="386"/>
      <c r="C1498" s="386"/>
      <c r="D1498" s="386"/>
      <c r="E1498" s="386"/>
      <c r="F1498" s="408"/>
    </row>
    <row r="1499" spans="1:6" x14ac:dyDescent="0.2">
      <c r="A1499" s="388"/>
      <c r="B1499" s="386"/>
      <c r="C1499" s="386"/>
      <c r="D1499" s="386"/>
      <c r="E1499" s="386"/>
      <c r="F1499" s="408"/>
    </row>
    <row r="1500" spans="1:6" x14ac:dyDescent="0.2">
      <c r="A1500" s="388"/>
      <c r="B1500" s="386"/>
      <c r="C1500" s="386"/>
      <c r="D1500" s="386"/>
      <c r="E1500" s="386"/>
      <c r="F1500" s="408"/>
    </row>
    <row r="1501" spans="1:6" x14ac:dyDescent="0.2">
      <c r="A1501" s="388"/>
      <c r="B1501" s="386"/>
      <c r="C1501" s="386"/>
      <c r="D1501" s="386"/>
      <c r="E1501" s="386"/>
      <c r="F1501" s="408"/>
    </row>
    <row r="1502" spans="1:6" x14ac:dyDescent="0.2">
      <c r="A1502" s="388"/>
      <c r="B1502" s="386"/>
      <c r="C1502" s="386"/>
      <c r="D1502" s="386"/>
      <c r="E1502" s="386"/>
      <c r="F1502" s="408"/>
    </row>
    <row r="1503" spans="1:6" x14ac:dyDescent="0.2">
      <c r="A1503" s="388"/>
      <c r="B1503" s="386"/>
      <c r="C1503" s="386"/>
      <c r="D1503" s="386"/>
      <c r="E1503" s="386"/>
      <c r="F1503" s="408"/>
    </row>
    <row r="1504" spans="1:6" x14ac:dyDescent="0.2">
      <c r="A1504" s="388"/>
      <c r="B1504" s="386"/>
      <c r="C1504" s="386"/>
      <c r="D1504" s="386"/>
      <c r="E1504" s="386"/>
      <c r="F1504" s="408"/>
    </row>
    <row r="1505" spans="1:6" x14ac:dyDescent="0.2">
      <c r="A1505" s="388"/>
      <c r="B1505" s="386"/>
      <c r="C1505" s="386"/>
      <c r="D1505" s="386"/>
      <c r="E1505" s="386"/>
      <c r="F1505" s="408"/>
    </row>
    <row r="1506" spans="1:6" x14ac:dyDescent="0.2">
      <c r="A1506" s="388"/>
      <c r="B1506" s="386"/>
      <c r="C1506" s="386"/>
      <c r="D1506" s="386"/>
      <c r="E1506" s="386"/>
      <c r="F1506" s="408"/>
    </row>
    <row r="1507" spans="1:6" x14ac:dyDescent="0.2">
      <c r="A1507" s="388"/>
      <c r="B1507" s="386"/>
      <c r="C1507" s="386"/>
      <c r="D1507" s="386"/>
      <c r="E1507" s="386"/>
      <c r="F1507" s="408"/>
    </row>
    <row r="1508" spans="1:6" x14ac:dyDescent="0.2">
      <c r="A1508" s="388"/>
      <c r="B1508" s="386"/>
      <c r="C1508" s="386"/>
      <c r="D1508" s="386"/>
      <c r="E1508" s="386"/>
      <c r="F1508" s="408"/>
    </row>
    <row r="1509" spans="1:6" x14ac:dyDescent="0.2">
      <c r="A1509" s="388"/>
      <c r="B1509" s="386"/>
      <c r="C1509" s="386"/>
      <c r="D1509" s="386"/>
      <c r="E1509" s="386"/>
      <c r="F1509" s="408"/>
    </row>
    <row r="1510" spans="1:6" x14ac:dyDescent="0.2">
      <c r="A1510" s="388"/>
      <c r="B1510" s="386"/>
      <c r="C1510" s="386"/>
      <c r="D1510" s="386"/>
      <c r="E1510" s="386"/>
      <c r="F1510" s="408"/>
    </row>
    <row r="1511" spans="1:6" x14ac:dyDescent="0.2">
      <c r="A1511" s="388"/>
      <c r="B1511" s="386"/>
      <c r="C1511" s="386"/>
      <c r="D1511" s="386"/>
      <c r="E1511" s="386"/>
      <c r="F1511" s="408"/>
    </row>
    <row r="1512" spans="1:6" x14ac:dyDescent="0.2">
      <c r="A1512" s="388"/>
      <c r="B1512" s="386"/>
      <c r="C1512" s="386"/>
      <c r="D1512" s="386"/>
      <c r="E1512" s="386"/>
      <c r="F1512" s="408"/>
    </row>
    <row r="1513" spans="1:6" x14ac:dyDescent="0.2">
      <c r="A1513" s="388"/>
      <c r="B1513" s="386"/>
      <c r="C1513" s="386"/>
      <c r="D1513" s="386"/>
      <c r="E1513" s="386"/>
      <c r="F1513" s="408"/>
    </row>
    <row r="1514" spans="1:6" x14ac:dyDescent="0.2">
      <c r="A1514" s="388"/>
      <c r="B1514" s="386"/>
      <c r="C1514" s="386"/>
      <c r="D1514" s="386"/>
      <c r="E1514" s="386"/>
      <c r="F1514" s="408"/>
    </row>
    <row r="1515" spans="1:6" x14ac:dyDescent="0.2">
      <c r="A1515" s="388"/>
      <c r="B1515" s="386"/>
      <c r="C1515" s="386"/>
      <c r="D1515" s="386"/>
      <c r="E1515" s="386"/>
      <c r="F1515" s="408"/>
    </row>
    <row r="1516" spans="1:6" x14ac:dyDescent="0.2">
      <c r="A1516" s="388"/>
      <c r="B1516" s="386"/>
      <c r="C1516" s="386"/>
      <c r="D1516" s="386"/>
      <c r="E1516" s="386"/>
      <c r="F1516" s="408"/>
    </row>
    <row r="1517" spans="1:6" x14ac:dyDescent="0.2">
      <c r="A1517" s="388"/>
      <c r="B1517" s="386"/>
      <c r="C1517" s="386"/>
      <c r="D1517" s="386"/>
      <c r="E1517" s="386"/>
      <c r="F1517" s="408"/>
    </row>
    <row r="1518" spans="1:6" x14ac:dyDescent="0.2">
      <c r="A1518" s="388"/>
      <c r="B1518" s="386"/>
      <c r="C1518" s="386"/>
      <c r="D1518" s="386"/>
      <c r="E1518" s="386"/>
      <c r="F1518" s="408"/>
    </row>
    <row r="1519" spans="1:6" x14ac:dyDescent="0.2">
      <c r="A1519" s="388"/>
      <c r="B1519" s="386"/>
      <c r="C1519" s="386"/>
      <c r="D1519" s="386"/>
      <c r="E1519" s="386"/>
      <c r="F1519" s="408"/>
    </row>
    <row r="1520" spans="1:6" x14ac:dyDescent="0.2">
      <c r="A1520" s="388"/>
      <c r="B1520" s="386"/>
      <c r="C1520" s="386"/>
      <c r="D1520" s="386"/>
      <c r="E1520" s="386"/>
      <c r="F1520" s="408"/>
    </row>
    <row r="1521" spans="1:6" x14ac:dyDescent="0.2">
      <c r="A1521" s="388"/>
      <c r="B1521" s="386"/>
      <c r="C1521" s="386"/>
      <c r="D1521" s="386"/>
      <c r="E1521" s="386"/>
      <c r="F1521" s="408"/>
    </row>
    <row r="1522" spans="1:6" x14ac:dyDescent="0.2">
      <c r="A1522" s="388"/>
      <c r="B1522" s="386"/>
      <c r="C1522" s="386"/>
      <c r="D1522" s="386"/>
      <c r="E1522" s="386"/>
      <c r="F1522" s="408"/>
    </row>
    <row r="1523" spans="1:6" x14ac:dyDescent="0.2">
      <c r="A1523" s="388"/>
      <c r="B1523" s="386"/>
      <c r="C1523" s="386"/>
      <c r="D1523" s="386"/>
      <c r="E1523" s="386"/>
      <c r="F1523" s="408"/>
    </row>
    <row r="1524" spans="1:6" x14ac:dyDescent="0.2">
      <c r="A1524" s="388"/>
      <c r="B1524" s="386"/>
      <c r="C1524" s="386"/>
      <c r="D1524" s="386"/>
      <c r="E1524" s="386"/>
      <c r="F1524" s="408"/>
    </row>
    <row r="1525" spans="1:6" x14ac:dyDescent="0.2">
      <c r="A1525" s="388"/>
      <c r="B1525" s="386"/>
      <c r="C1525" s="386"/>
      <c r="D1525" s="386"/>
      <c r="E1525" s="386"/>
      <c r="F1525" s="408"/>
    </row>
    <row r="1526" spans="1:6" x14ac:dyDescent="0.2">
      <c r="A1526" s="388"/>
      <c r="B1526" s="386"/>
      <c r="C1526" s="386"/>
      <c r="D1526" s="386"/>
      <c r="E1526" s="386"/>
      <c r="F1526" s="408"/>
    </row>
    <row r="1527" spans="1:6" x14ac:dyDescent="0.2">
      <c r="A1527" s="388"/>
      <c r="B1527" s="386"/>
      <c r="C1527" s="386"/>
      <c r="D1527" s="386"/>
      <c r="E1527" s="386"/>
      <c r="F1527" s="408"/>
    </row>
    <row r="1528" spans="1:6" x14ac:dyDescent="0.2">
      <c r="A1528" s="388"/>
      <c r="B1528" s="386"/>
      <c r="C1528" s="386"/>
      <c r="D1528" s="386"/>
      <c r="E1528" s="386"/>
      <c r="F1528" s="408"/>
    </row>
    <row r="1529" spans="1:6" x14ac:dyDescent="0.2">
      <c r="A1529" s="388"/>
      <c r="B1529" s="386"/>
      <c r="C1529" s="386"/>
      <c r="D1529" s="386"/>
      <c r="E1529" s="386"/>
      <c r="F1529" s="408"/>
    </row>
    <row r="1530" spans="1:6" x14ac:dyDescent="0.2">
      <c r="A1530" s="388"/>
      <c r="B1530" s="386"/>
      <c r="C1530" s="386"/>
      <c r="D1530" s="386"/>
      <c r="E1530" s="386"/>
      <c r="F1530" s="408"/>
    </row>
    <row r="1531" spans="1:6" x14ac:dyDescent="0.2">
      <c r="A1531" s="388"/>
      <c r="B1531" s="386"/>
      <c r="C1531" s="386"/>
      <c r="D1531" s="386"/>
      <c r="E1531" s="386"/>
      <c r="F1531" s="408"/>
    </row>
    <row r="1532" spans="1:6" x14ac:dyDescent="0.2">
      <c r="A1532" s="388"/>
      <c r="B1532" s="386"/>
      <c r="C1532" s="386"/>
      <c r="D1532" s="386"/>
      <c r="E1532" s="386"/>
      <c r="F1532" s="408"/>
    </row>
    <row r="1533" spans="1:6" x14ac:dyDescent="0.2">
      <c r="A1533" s="388"/>
      <c r="B1533" s="386"/>
      <c r="C1533" s="386"/>
      <c r="D1533" s="386"/>
      <c r="E1533" s="386"/>
      <c r="F1533" s="408"/>
    </row>
    <row r="1534" spans="1:6" x14ac:dyDescent="0.2">
      <c r="A1534" s="388"/>
      <c r="B1534" s="386"/>
      <c r="C1534" s="386"/>
      <c r="D1534" s="386"/>
      <c r="E1534" s="386"/>
      <c r="F1534" s="408"/>
    </row>
    <row r="1535" spans="1:6" x14ac:dyDescent="0.2">
      <c r="A1535" s="388"/>
      <c r="B1535" s="386"/>
      <c r="C1535" s="386"/>
      <c r="D1535" s="386"/>
      <c r="E1535" s="386"/>
      <c r="F1535" s="408"/>
    </row>
    <row r="1536" spans="1:6" x14ac:dyDescent="0.2">
      <c r="A1536" s="388"/>
      <c r="B1536" s="386"/>
      <c r="C1536" s="386"/>
      <c r="D1536" s="386"/>
      <c r="E1536" s="386"/>
      <c r="F1536" s="408"/>
    </row>
    <row r="1537" spans="1:6" x14ac:dyDescent="0.2">
      <c r="A1537" s="388"/>
      <c r="B1537" s="386"/>
      <c r="C1537" s="386"/>
      <c r="D1537" s="386"/>
      <c r="E1537" s="386"/>
      <c r="F1537" s="408"/>
    </row>
    <row r="1538" spans="1:6" x14ac:dyDescent="0.2">
      <c r="A1538" s="388"/>
      <c r="B1538" s="386"/>
      <c r="C1538" s="386"/>
      <c r="D1538" s="386"/>
      <c r="E1538" s="386"/>
      <c r="F1538" s="408"/>
    </row>
    <row r="1539" spans="1:6" x14ac:dyDescent="0.2">
      <c r="A1539" s="388"/>
      <c r="B1539" s="386"/>
      <c r="C1539" s="386"/>
      <c r="D1539" s="386"/>
      <c r="E1539" s="386"/>
      <c r="F1539" s="408"/>
    </row>
    <row r="1540" spans="1:6" x14ac:dyDescent="0.2">
      <c r="A1540" s="388"/>
      <c r="B1540" s="386"/>
      <c r="C1540" s="386"/>
      <c r="D1540" s="386"/>
      <c r="E1540" s="386"/>
      <c r="F1540" s="408"/>
    </row>
    <row r="1541" spans="1:6" x14ac:dyDescent="0.2">
      <c r="A1541" s="388"/>
      <c r="B1541" s="386"/>
      <c r="C1541" s="386"/>
      <c r="D1541" s="386"/>
      <c r="E1541" s="386"/>
      <c r="F1541" s="408"/>
    </row>
    <row r="1542" spans="1:6" x14ac:dyDescent="0.2">
      <c r="A1542" s="388"/>
      <c r="B1542" s="386"/>
      <c r="C1542" s="386"/>
      <c r="D1542" s="386"/>
      <c r="E1542" s="386"/>
      <c r="F1542" s="408"/>
    </row>
    <row r="1543" spans="1:6" x14ac:dyDescent="0.2">
      <c r="A1543" s="388"/>
      <c r="B1543" s="386"/>
      <c r="C1543" s="386"/>
      <c r="D1543" s="386"/>
      <c r="E1543" s="386"/>
      <c r="F1543" s="408"/>
    </row>
    <row r="1544" spans="1:6" x14ac:dyDescent="0.2">
      <c r="A1544" s="388"/>
      <c r="B1544" s="386"/>
      <c r="C1544" s="386"/>
      <c r="D1544" s="386"/>
      <c r="E1544" s="386"/>
      <c r="F1544" s="408"/>
    </row>
    <row r="1545" spans="1:6" x14ac:dyDescent="0.2">
      <c r="A1545" s="388"/>
      <c r="B1545" s="386"/>
      <c r="C1545" s="386"/>
      <c r="D1545" s="386"/>
      <c r="E1545" s="386"/>
      <c r="F1545" s="408"/>
    </row>
    <row r="1546" spans="1:6" x14ac:dyDescent="0.2">
      <c r="A1546" s="388"/>
      <c r="B1546" s="386"/>
      <c r="C1546" s="386"/>
      <c r="D1546" s="386"/>
      <c r="E1546" s="386"/>
      <c r="F1546" s="408"/>
    </row>
    <row r="1547" spans="1:6" x14ac:dyDescent="0.2">
      <c r="A1547" s="388"/>
      <c r="B1547" s="386"/>
      <c r="C1547" s="386"/>
      <c r="D1547" s="386"/>
      <c r="E1547" s="386"/>
      <c r="F1547" s="408"/>
    </row>
    <row r="1548" spans="1:6" x14ac:dyDescent="0.2">
      <c r="A1548" s="388"/>
      <c r="B1548" s="386"/>
      <c r="C1548" s="386"/>
      <c r="D1548" s="386"/>
      <c r="E1548" s="386"/>
      <c r="F1548" s="408"/>
    </row>
    <row r="1549" spans="1:6" x14ac:dyDescent="0.2">
      <c r="A1549" s="388"/>
      <c r="B1549" s="386"/>
      <c r="C1549" s="386"/>
      <c r="D1549" s="386"/>
      <c r="E1549" s="386"/>
      <c r="F1549" s="408"/>
    </row>
    <row r="1550" spans="1:6" x14ac:dyDescent="0.2">
      <c r="A1550" s="388"/>
      <c r="B1550" s="386"/>
      <c r="C1550" s="386"/>
      <c r="D1550" s="386"/>
      <c r="E1550" s="386"/>
      <c r="F1550" s="408"/>
    </row>
    <row r="1551" spans="1:6" x14ac:dyDescent="0.2">
      <c r="A1551" s="388"/>
      <c r="B1551" s="386"/>
      <c r="C1551" s="386"/>
      <c r="D1551" s="386"/>
      <c r="E1551" s="386"/>
      <c r="F1551" s="408"/>
    </row>
    <row r="1552" spans="1:6" x14ac:dyDescent="0.2">
      <c r="A1552" s="388"/>
      <c r="B1552" s="386"/>
      <c r="C1552" s="386"/>
      <c r="D1552" s="386"/>
      <c r="E1552" s="386"/>
      <c r="F1552" s="408"/>
    </row>
    <row r="1553" spans="1:6" x14ac:dyDescent="0.2">
      <c r="A1553" s="388"/>
      <c r="B1553" s="386"/>
      <c r="C1553" s="386"/>
      <c r="D1553" s="386"/>
      <c r="E1553" s="386"/>
      <c r="F1553" s="408"/>
    </row>
    <row r="1554" spans="1:6" x14ac:dyDescent="0.2">
      <c r="A1554" s="388"/>
      <c r="B1554" s="386"/>
      <c r="C1554" s="386"/>
      <c r="D1554" s="386"/>
      <c r="E1554" s="386"/>
      <c r="F1554" s="408"/>
    </row>
    <row r="1555" spans="1:6" x14ac:dyDescent="0.2">
      <c r="A1555" s="388"/>
      <c r="B1555" s="386"/>
      <c r="C1555" s="386"/>
      <c r="D1555" s="386"/>
      <c r="E1555" s="386"/>
      <c r="F1555" s="408"/>
    </row>
    <row r="1556" spans="1:6" x14ac:dyDescent="0.2">
      <c r="A1556" s="388"/>
      <c r="B1556" s="386"/>
      <c r="C1556" s="386"/>
      <c r="D1556" s="386"/>
      <c r="E1556" s="386"/>
      <c r="F1556" s="408"/>
    </row>
    <row r="1557" spans="1:6" x14ac:dyDescent="0.2">
      <c r="A1557" s="388"/>
      <c r="B1557" s="386"/>
      <c r="C1557" s="386"/>
      <c r="D1557" s="386"/>
      <c r="E1557" s="386"/>
      <c r="F1557" s="408"/>
    </row>
    <row r="1558" spans="1:6" x14ac:dyDescent="0.2">
      <c r="A1558" s="388"/>
      <c r="B1558" s="386"/>
      <c r="C1558" s="386"/>
      <c r="D1558" s="386"/>
      <c r="E1558" s="386"/>
      <c r="F1558" s="408"/>
    </row>
    <row r="1559" spans="1:6" x14ac:dyDescent="0.2">
      <c r="A1559" s="388"/>
      <c r="B1559" s="386"/>
      <c r="C1559" s="386"/>
      <c r="D1559" s="386"/>
      <c r="E1559" s="386"/>
      <c r="F1559" s="408"/>
    </row>
    <row r="1560" spans="1:6" x14ac:dyDescent="0.2">
      <c r="A1560" s="388"/>
      <c r="B1560" s="386"/>
      <c r="C1560" s="386"/>
      <c r="D1560" s="386"/>
      <c r="E1560" s="386"/>
      <c r="F1560" s="408"/>
    </row>
    <row r="1561" spans="1:6" x14ac:dyDescent="0.2">
      <c r="A1561" s="388"/>
      <c r="B1561" s="386"/>
      <c r="C1561" s="386"/>
      <c r="D1561" s="386"/>
      <c r="E1561" s="386"/>
      <c r="F1561" s="408"/>
    </row>
    <row r="1562" spans="1:6" x14ac:dyDescent="0.2">
      <c r="A1562" s="388"/>
      <c r="B1562" s="386"/>
      <c r="C1562" s="386"/>
      <c r="D1562" s="386"/>
      <c r="E1562" s="386"/>
      <c r="F1562" s="408"/>
    </row>
    <row r="1563" spans="1:6" x14ac:dyDescent="0.2">
      <c r="A1563" s="388"/>
      <c r="B1563" s="386"/>
      <c r="C1563" s="386"/>
      <c r="D1563" s="386"/>
      <c r="E1563" s="386"/>
      <c r="F1563" s="408"/>
    </row>
    <row r="1564" spans="1:6" x14ac:dyDescent="0.2">
      <c r="A1564" s="388"/>
      <c r="B1564" s="386"/>
      <c r="C1564" s="386"/>
      <c r="D1564" s="386"/>
      <c r="E1564" s="386"/>
      <c r="F1564" s="408"/>
    </row>
    <row r="1565" spans="1:6" x14ac:dyDescent="0.2">
      <c r="A1565" s="388"/>
      <c r="B1565" s="386"/>
      <c r="C1565" s="386"/>
      <c r="D1565" s="386"/>
      <c r="E1565" s="386"/>
      <c r="F1565" s="408"/>
    </row>
    <row r="1566" spans="1:6" x14ac:dyDescent="0.2">
      <c r="A1566" s="388"/>
      <c r="B1566" s="386"/>
      <c r="C1566" s="386"/>
      <c r="D1566" s="386"/>
      <c r="E1566" s="386"/>
      <c r="F1566" s="408"/>
    </row>
    <row r="1567" spans="1:6" x14ac:dyDescent="0.2">
      <c r="A1567" s="388"/>
      <c r="B1567" s="386"/>
      <c r="C1567" s="386"/>
      <c r="D1567" s="386"/>
      <c r="E1567" s="386"/>
      <c r="F1567" s="408"/>
    </row>
    <row r="1568" spans="1:6" x14ac:dyDescent="0.2">
      <c r="A1568" s="388"/>
      <c r="B1568" s="386"/>
      <c r="C1568" s="386"/>
      <c r="D1568" s="386"/>
      <c r="E1568" s="386"/>
      <c r="F1568" s="408"/>
    </row>
    <row r="1569" spans="1:6" x14ac:dyDescent="0.2">
      <c r="A1569" s="388"/>
      <c r="B1569" s="386"/>
      <c r="C1569" s="386"/>
      <c r="D1569" s="386"/>
      <c r="E1569" s="386"/>
      <c r="F1569" s="408"/>
    </row>
    <row r="1570" spans="1:6" x14ac:dyDescent="0.2">
      <c r="A1570" s="388"/>
      <c r="B1570" s="386"/>
      <c r="C1570" s="386"/>
      <c r="D1570" s="386"/>
      <c r="E1570" s="386"/>
      <c r="F1570" s="408"/>
    </row>
    <row r="1571" spans="1:6" x14ac:dyDescent="0.2">
      <c r="A1571" s="388"/>
      <c r="B1571" s="386"/>
      <c r="C1571" s="386"/>
      <c r="D1571" s="386"/>
      <c r="E1571" s="386"/>
      <c r="F1571" s="408"/>
    </row>
    <row r="1572" spans="1:6" x14ac:dyDescent="0.2">
      <c r="A1572" s="388"/>
      <c r="B1572" s="386"/>
      <c r="C1572" s="386"/>
      <c r="D1572" s="386"/>
      <c r="E1572" s="386"/>
      <c r="F1572" s="408"/>
    </row>
    <row r="1573" spans="1:6" x14ac:dyDescent="0.2">
      <c r="A1573" s="388"/>
      <c r="B1573" s="386"/>
      <c r="C1573" s="386"/>
      <c r="D1573" s="386"/>
      <c r="E1573" s="386"/>
      <c r="F1573" s="408"/>
    </row>
    <row r="1574" spans="1:6" x14ac:dyDescent="0.2">
      <c r="A1574" s="388"/>
      <c r="B1574" s="386"/>
      <c r="C1574" s="386"/>
      <c r="D1574" s="386"/>
      <c r="E1574" s="386"/>
      <c r="F1574" s="408"/>
    </row>
    <row r="1575" spans="1:6" x14ac:dyDescent="0.2">
      <c r="A1575" s="388"/>
      <c r="B1575" s="386"/>
      <c r="C1575" s="386"/>
      <c r="D1575" s="386"/>
      <c r="E1575" s="386"/>
      <c r="F1575" s="408"/>
    </row>
    <row r="1576" spans="1:6" x14ac:dyDescent="0.2">
      <c r="A1576" s="388"/>
      <c r="B1576" s="386"/>
      <c r="C1576" s="386"/>
      <c r="D1576" s="386"/>
      <c r="E1576" s="386"/>
      <c r="F1576" s="408"/>
    </row>
    <row r="1577" spans="1:6" x14ac:dyDescent="0.2">
      <c r="A1577" s="388"/>
      <c r="B1577" s="386"/>
      <c r="C1577" s="386"/>
      <c r="D1577" s="386"/>
      <c r="E1577" s="386"/>
      <c r="F1577" s="408"/>
    </row>
    <row r="1578" spans="1:6" x14ac:dyDescent="0.2">
      <c r="A1578" s="388"/>
      <c r="B1578" s="386"/>
      <c r="C1578" s="386"/>
      <c r="D1578" s="386"/>
      <c r="E1578" s="386"/>
      <c r="F1578" s="408"/>
    </row>
    <row r="1579" spans="1:6" x14ac:dyDescent="0.2">
      <c r="A1579" s="388"/>
      <c r="B1579" s="386"/>
      <c r="C1579" s="386"/>
      <c r="D1579" s="386"/>
      <c r="E1579" s="386"/>
      <c r="F1579" s="408"/>
    </row>
    <row r="1580" spans="1:6" x14ac:dyDescent="0.2">
      <c r="A1580" s="388"/>
      <c r="B1580" s="386"/>
      <c r="C1580" s="386"/>
      <c r="D1580" s="386"/>
      <c r="E1580" s="386"/>
      <c r="F1580" s="408"/>
    </row>
    <row r="1581" spans="1:6" x14ac:dyDescent="0.2">
      <c r="A1581" s="388"/>
      <c r="B1581" s="386"/>
      <c r="C1581" s="386"/>
      <c r="D1581" s="386"/>
      <c r="E1581" s="386"/>
      <c r="F1581" s="408"/>
    </row>
    <row r="1582" spans="1:6" x14ac:dyDescent="0.2">
      <c r="A1582" s="388"/>
      <c r="B1582" s="386"/>
      <c r="C1582" s="386"/>
      <c r="D1582" s="386"/>
      <c r="E1582" s="386"/>
      <c r="F1582" s="408"/>
    </row>
    <row r="1583" spans="1:6" x14ac:dyDescent="0.2">
      <c r="A1583" s="388"/>
      <c r="B1583" s="386"/>
      <c r="C1583" s="386"/>
      <c r="D1583" s="386"/>
      <c r="E1583" s="386"/>
      <c r="F1583" s="408"/>
    </row>
    <row r="1584" spans="1:6" x14ac:dyDescent="0.2">
      <c r="A1584" s="388"/>
      <c r="B1584" s="386"/>
      <c r="C1584" s="386"/>
      <c r="D1584" s="386"/>
      <c r="E1584" s="386"/>
      <c r="F1584" s="408"/>
    </row>
    <row r="1585" spans="1:6" x14ac:dyDescent="0.2">
      <c r="A1585" s="388"/>
      <c r="B1585" s="386"/>
      <c r="C1585" s="386"/>
      <c r="D1585" s="386"/>
      <c r="E1585" s="386"/>
      <c r="F1585" s="408"/>
    </row>
    <row r="1586" spans="1:6" x14ac:dyDescent="0.2">
      <c r="A1586" s="388"/>
      <c r="B1586" s="386"/>
      <c r="C1586" s="386"/>
      <c r="D1586" s="386"/>
      <c r="E1586" s="386"/>
      <c r="F1586" s="408"/>
    </row>
    <row r="1587" spans="1:6" x14ac:dyDescent="0.2">
      <c r="A1587" s="388"/>
      <c r="B1587" s="386"/>
      <c r="C1587" s="386"/>
      <c r="D1587" s="386"/>
      <c r="E1587" s="386"/>
      <c r="F1587" s="408"/>
    </row>
    <row r="1588" spans="1:6" x14ac:dyDescent="0.2">
      <c r="A1588" s="388"/>
      <c r="B1588" s="386"/>
      <c r="C1588" s="386"/>
      <c r="D1588" s="386"/>
      <c r="E1588" s="386"/>
      <c r="F1588" s="408"/>
    </row>
    <row r="1589" spans="1:6" x14ac:dyDescent="0.2">
      <c r="A1589" s="388"/>
      <c r="B1589" s="386"/>
      <c r="C1589" s="386"/>
      <c r="D1589" s="386"/>
      <c r="E1589" s="386"/>
      <c r="F1589" s="408"/>
    </row>
    <row r="1590" spans="1:6" x14ac:dyDescent="0.2">
      <c r="A1590" s="388"/>
      <c r="B1590" s="386"/>
      <c r="C1590" s="386"/>
      <c r="D1590" s="386"/>
      <c r="E1590" s="386"/>
      <c r="F1590" s="408"/>
    </row>
    <row r="1591" spans="1:6" x14ac:dyDescent="0.2">
      <c r="A1591" s="388"/>
      <c r="B1591" s="386"/>
      <c r="C1591" s="386"/>
      <c r="D1591" s="386"/>
      <c r="E1591" s="386"/>
      <c r="F1591" s="408"/>
    </row>
    <row r="1592" spans="1:6" x14ac:dyDescent="0.2">
      <c r="A1592" s="388"/>
      <c r="B1592" s="386"/>
      <c r="C1592" s="386"/>
      <c r="D1592" s="386"/>
      <c r="E1592" s="386"/>
      <c r="F1592" s="408"/>
    </row>
    <row r="1593" spans="1:6" x14ac:dyDescent="0.2">
      <c r="A1593" s="388"/>
      <c r="B1593" s="386"/>
      <c r="C1593" s="386"/>
      <c r="D1593" s="386"/>
      <c r="E1593" s="386"/>
      <c r="F1593" s="408"/>
    </row>
    <row r="1594" spans="1:6" x14ac:dyDescent="0.2">
      <c r="A1594" s="388"/>
      <c r="B1594" s="386"/>
      <c r="C1594" s="386"/>
      <c r="D1594" s="386"/>
      <c r="E1594" s="386"/>
      <c r="F1594" s="408"/>
    </row>
    <row r="1595" spans="1:6" x14ac:dyDescent="0.2">
      <c r="A1595" s="388"/>
      <c r="B1595" s="386"/>
      <c r="C1595" s="386"/>
      <c r="D1595" s="386"/>
      <c r="E1595" s="386"/>
      <c r="F1595" s="408"/>
    </row>
    <row r="1596" spans="1:6" x14ac:dyDescent="0.2">
      <c r="A1596" s="388"/>
      <c r="B1596" s="386"/>
      <c r="C1596" s="386"/>
      <c r="D1596" s="386"/>
      <c r="E1596" s="386"/>
      <c r="F1596" s="408"/>
    </row>
    <row r="1597" spans="1:6" x14ac:dyDescent="0.2">
      <c r="A1597" s="388"/>
      <c r="B1597" s="386"/>
      <c r="C1597" s="386"/>
      <c r="D1597" s="386"/>
      <c r="E1597" s="386"/>
      <c r="F1597" s="408"/>
    </row>
    <row r="1598" spans="1:6" x14ac:dyDescent="0.2">
      <c r="A1598" s="388"/>
      <c r="B1598" s="386"/>
      <c r="C1598" s="386"/>
      <c r="D1598" s="386"/>
      <c r="E1598" s="386"/>
      <c r="F1598" s="408"/>
    </row>
    <row r="1599" spans="1:6" x14ac:dyDescent="0.2">
      <c r="A1599" s="388"/>
      <c r="B1599" s="386"/>
      <c r="C1599" s="386"/>
      <c r="D1599" s="386"/>
      <c r="E1599" s="386"/>
      <c r="F1599" s="408"/>
    </row>
    <row r="1600" spans="1:6" x14ac:dyDescent="0.2">
      <c r="A1600" s="388"/>
      <c r="B1600" s="386"/>
      <c r="C1600" s="386"/>
      <c r="D1600" s="386"/>
      <c r="E1600" s="386"/>
      <c r="F1600" s="408"/>
    </row>
    <row r="1601" spans="1:6" x14ac:dyDescent="0.2">
      <c r="A1601" s="388"/>
      <c r="B1601" s="386"/>
      <c r="C1601" s="386"/>
      <c r="D1601" s="386"/>
      <c r="E1601" s="386"/>
      <c r="F1601" s="408"/>
    </row>
    <row r="1602" spans="1:6" x14ac:dyDescent="0.2">
      <c r="A1602" s="388"/>
      <c r="B1602" s="386"/>
      <c r="C1602" s="386"/>
      <c r="D1602" s="386"/>
      <c r="E1602" s="386"/>
      <c r="F1602" s="408"/>
    </row>
    <row r="1603" spans="1:6" x14ac:dyDescent="0.2">
      <c r="A1603" s="388"/>
      <c r="B1603" s="386"/>
      <c r="C1603" s="386"/>
      <c r="D1603" s="386"/>
      <c r="E1603" s="386"/>
      <c r="F1603" s="408"/>
    </row>
    <row r="1604" spans="1:6" x14ac:dyDescent="0.2">
      <c r="A1604" s="388"/>
      <c r="B1604" s="386"/>
      <c r="C1604" s="386"/>
      <c r="D1604" s="386"/>
      <c r="E1604" s="386"/>
      <c r="F1604" s="408"/>
    </row>
    <row r="1605" spans="1:6" x14ac:dyDescent="0.2">
      <c r="A1605" s="388"/>
      <c r="B1605" s="386"/>
      <c r="C1605" s="386"/>
      <c r="D1605" s="386"/>
      <c r="E1605" s="386"/>
      <c r="F1605" s="408"/>
    </row>
    <row r="1606" spans="1:6" x14ac:dyDescent="0.2">
      <c r="A1606" s="388"/>
      <c r="B1606" s="386"/>
      <c r="C1606" s="386"/>
      <c r="D1606" s="386"/>
      <c r="E1606" s="386"/>
      <c r="F1606" s="408"/>
    </row>
    <row r="1607" spans="1:6" x14ac:dyDescent="0.2">
      <c r="A1607" s="388"/>
      <c r="B1607" s="386"/>
      <c r="C1607" s="386"/>
      <c r="D1607" s="386"/>
      <c r="E1607" s="386"/>
      <c r="F1607" s="408"/>
    </row>
    <row r="1608" spans="1:6" x14ac:dyDescent="0.2">
      <c r="A1608" s="388"/>
      <c r="B1608" s="386"/>
      <c r="C1608" s="386"/>
      <c r="D1608" s="386"/>
      <c r="E1608" s="386"/>
      <c r="F1608" s="408"/>
    </row>
    <row r="1609" spans="1:6" x14ac:dyDescent="0.2">
      <c r="A1609" s="388"/>
      <c r="B1609" s="386"/>
      <c r="C1609" s="386"/>
      <c r="D1609" s="386"/>
      <c r="E1609" s="386"/>
      <c r="F1609" s="408"/>
    </row>
    <row r="1610" spans="1:6" x14ac:dyDescent="0.2">
      <c r="A1610" s="388"/>
      <c r="B1610" s="386"/>
      <c r="C1610" s="386"/>
      <c r="D1610" s="386"/>
      <c r="E1610" s="386"/>
      <c r="F1610" s="408"/>
    </row>
    <row r="1611" spans="1:6" x14ac:dyDescent="0.2">
      <c r="A1611" s="388"/>
      <c r="B1611" s="386"/>
      <c r="C1611" s="386"/>
      <c r="D1611" s="386"/>
      <c r="E1611" s="386"/>
      <c r="F1611" s="408"/>
    </row>
    <row r="1612" spans="1:6" x14ac:dyDescent="0.2">
      <c r="A1612" s="388"/>
      <c r="B1612" s="386"/>
      <c r="C1612" s="386"/>
      <c r="D1612" s="386"/>
      <c r="E1612" s="386"/>
      <c r="F1612" s="408"/>
    </row>
    <row r="1613" spans="1:6" x14ac:dyDescent="0.2">
      <c r="A1613" s="388"/>
      <c r="B1613" s="386"/>
      <c r="C1613" s="386"/>
      <c r="D1613" s="386"/>
      <c r="E1613" s="386"/>
      <c r="F1613" s="408"/>
    </row>
    <row r="1614" spans="1:6" x14ac:dyDescent="0.2">
      <c r="A1614" s="388"/>
      <c r="B1614" s="386"/>
      <c r="C1614" s="386"/>
      <c r="D1614" s="386"/>
      <c r="E1614" s="386"/>
      <c r="F1614" s="408"/>
    </row>
    <row r="1615" spans="1:6" x14ac:dyDescent="0.2">
      <c r="A1615" s="388"/>
      <c r="B1615" s="386"/>
      <c r="C1615" s="386"/>
      <c r="D1615" s="386"/>
      <c r="E1615" s="386"/>
      <c r="F1615" s="408"/>
    </row>
    <row r="1616" spans="1:6" x14ac:dyDescent="0.2">
      <c r="A1616" s="388"/>
      <c r="B1616" s="386"/>
      <c r="C1616" s="386"/>
      <c r="D1616" s="386"/>
      <c r="E1616" s="386"/>
      <c r="F1616" s="408"/>
    </row>
    <row r="1617" spans="1:6" x14ac:dyDescent="0.2">
      <c r="A1617" s="388"/>
      <c r="B1617" s="386"/>
      <c r="C1617" s="386"/>
      <c r="D1617" s="386"/>
      <c r="E1617" s="386"/>
      <c r="F1617" s="408"/>
    </row>
    <row r="1618" spans="1:6" x14ac:dyDescent="0.2">
      <c r="A1618" s="388"/>
      <c r="B1618" s="386"/>
      <c r="C1618" s="386"/>
      <c r="D1618" s="386"/>
      <c r="E1618" s="386"/>
      <c r="F1618" s="408"/>
    </row>
    <row r="1619" spans="1:6" x14ac:dyDescent="0.2">
      <c r="A1619" s="388"/>
      <c r="B1619" s="386"/>
      <c r="C1619" s="386"/>
      <c r="D1619" s="386"/>
      <c r="E1619" s="386"/>
      <c r="F1619" s="408"/>
    </row>
    <row r="1620" spans="1:6" x14ac:dyDescent="0.2">
      <c r="A1620" s="388"/>
      <c r="B1620" s="386"/>
      <c r="C1620" s="386"/>
      <c r="D1620" s="386"/>
      <c r="E1620" s="386"/>
      <c r="F1620" s="408"/>
    </row>
    <row r="1621" spans="1:6" x14ac:dyDescent="0.2">
      <c r="A1621" s="388"/>
      <c r="B1621" s="386"/>
      <c r="C1621" s="386"/>
      <c r="D1621" s="386"/>
      <c r="E1621" s="386"/>
      <c r="F1621" s="408"/>
    </row>
    <row r="1622" spans="1:6" x14ac:dyDescent="0.2">
      <c r="A1622" s="388"/>
      <c r="B1622" s="386"/>
      <c r="C1622" s="386"/>
      <c r="D1622" s="386"/>
      <c r="E1622" s="386"/>
      <c r="F1622" s="408"/>
    </row>
    <row r="1623" spans="1:6" x14ac:dyDescent="0.2">
      <c r="A1623" s="388"/>
      <c r="B1623" s="386"/>
      <c r="C1623" s="386"/>
      <c r="D1623" s="386"/>
      <c r="E1623" s="386"/>
      <c r="F1623" s="408"/>
    </row>
    <row r="1624" spans="1:6" x14ac:dyDescent="0.2">
      <c r="A1624" s="388"/>
      <c r="B1624" s="386"/>
      <c r="C1624" s="386"/>
      <c r="D1624" s="386"/>
      <c r="E1624" s="386"/>
      <c r="F1624" s="408"/>
    </row>
    <row r="1625" spans="1:6" x14ac:dyDescent="0.2">
      <c r="A1625" s="388"/>
      <c r="B1625" s="386"/>
      <c r="C1625" s="386"/>
      <c r="D1625" s="386"/>
      <c r="E1625" s="386"/>
      <c r="F1625" s="408"/>
    </row>
    <row r="1626" spans="1:6" x14ac:dyDescent="0.2">
      <c r="A1626" s="388"/>
      <c r="B1626" s="386"/>
      <c r="C1626" s="386"/>
      <c r="D1626" s="386"/>
      <c r="E1626" s="386"/>
      <c r="F1626" s="408"/>
    </row>
    <row r="1627" spans="1:6" x14ac:dyDescent="0.2">
      <c r="A1627" s="388"/>
      <c r="B1627" s="386"/>
      <c r="C1627" s="386"/>
      <c r="D1627" s="386"/>
      <c r="E1627" s="386"/>
      <c r="F1627" s="408"/>
    </row>
    <row r="1628" spans="1:6" x14ac:dyDescent="0.2">
      <c r="A1628" s="388"/>
      <c r="B1628" s="386"/>
      <c r="C1628" s="386"/>
      <c r="D1628" s="386"/>
      <c r="E1628" s="386"/>
      <c r="F1628" s="408"/>
    </row>
    <row r="1629" spans="1:6" x14ac:dyDescent="0.2">
      <c r="A1629" s="388"/>
      <c r="B1629" s="386"/>
      <c r="C1629" s="386"/>
      <c r="D1629" s="386"/>
      <c r="E1629" s="386"/>
      <c r="F1629" s="408"/>
    </row>
    <row r="1630" spans="1:6" x14ac:dyDescent="0.2">
      <c r="A1630" s="388"/>
      <c r="B1630" s="386"/>
      <c r="C1630" s="386"/>
      <c r="D1630" s="386"/>
      <c r="E1630" s="386"/>
      <c r="F1630" s="408"/>
    </row>
    <row r="1631" spans="1:6" x14ac:dyDescent="0.2">
      <c r="A1631" s="388"/>
      <c r="B1631" s="386"/>
      <c r="C1631" s="386"/>
      <c r="D1631" s="386"/>
      <c r="E1631" s="386"/>
      <c r="F1631" s="408"/>
    </row>
    <row r="1632" spans="1:6" x14ac:dyDescent="0.2">
      <c r="A1632" s="388"/>
      <c r="B1632" s="386"/>
      <c r="C1632" s="386"/>
      <c r="D1632" s="386"/>
      <c r="E1632" s="386"/>
      <c r="F1632" s="408"/>
    </row>
    <row r="1633" spans="1:6" x14ac:dyDescent="0.2">
      <c r="A1633" s="388"/>
      <c r="B1633" s="386"/>
      <c r="C1633" s="386"/>
      <c r="D1633" s="386"/>
      <c r="E1633" s="386"/>
      <c r="F1633" s="408"/>
    </row>
    <row r="1634" spans="1:6" x14ac:dyDescent="0.2">
      <c r="A1634" s="388"/>
      <c r="B1634" s="386"/>
      <c r="C1634" s="386"/>
      <c r="D1634" s="386"/>
      <c r="E1634" s="386"/>
      <c r="F1634" s="408"/>
    </row>
    <row r="1635" spans="1:6" x14ac:dyDescent="0.2">
      <c r="A1635" s="388"/>
      <c r="B1635" s="386"/>
      <c r="C1635" s="386"/>
      <c r="D1635" s="386"/>
      <c r="E1635" s="386"/>
      <c r="F1635" s="408"/>
    </row>
    <row r="1636" spans="1:6" x14ac:dyDescent="0.2">
      <c r="A1636" s="388"/>
      <c r="B1636" s="386"/>
      <c r="C1636" s="386"/>
      <c r="D1636" s="386"/>
      <c r="E1636" s="386"/>
      <c r="F1636" s="408"/>
    </row>
    <row r="1637" spans="1:6" x14ac:dyDescent="0.2">
      <c r="A1637" s="388"/>
      <c r="B1637" s="386"/>
      <c r="C1637" s="386"/>
      <c r="D1637" s="386"/>
      <c r="E1637" s="386"/>
      <c r="F1637" s="408"/>
    </row>
    <row r="1638" spans="1:6" x14ac:dyDescent="0.2">
      <c r="A1638" s="388"/>
      <c r="B1638" s="386"/>
      <c r="C1638" s="386"/>
      <c r="D1638" s="386"/>
      <c r="E1638" s="386"/>
      <c r="F1638" s="408"/>
    </row>
    <row r="1639" spans="1:6" x14ac:dyDescent="0.2">
      <c r="A1639" s="388"/>
      <c r="B1639" s="386"/>
      <c r="C1639" s="386"/>
      <c r="D1639" s="386"/>
      <c r="E1639" s="386"/>
      <c r="F1639" s="408"/>
    </row>
    <row r="1640" spans="1:6" x14ac:dyDescent="0.2">
      <c r="A1640" s="388"/>
      <c r="B1640" s="386"/>
      <c r="C1640" s="386"/>
      <c r="D1640" s="386"/>
      <c r="E1640" s="386"/>
      <c r="F1640" s="408"/>
    </row>
    <row r="1641" spans="1:6" x14ac:dyDescent="0.2">
      <c r="A1641" s="388"/>
      <c r="B1641" s="386"/>
      <c r="C1641" s="386"/>
      <c r="D1641" s="386"/>
      <c r="E1641" s="386"/>
      <c r="F1641" s="408"/>
    </row>
    <row r="1642" spans="1:6" x14ac:dyDescent="0.2">
      <c r="A1642" s="388"/>
      <c r="B1642" s="386"/>
      <c r="C1642" s="386"/>
      <c r="D1642" s="386"/>
      <c r="E1642" s="386"/>
      <c r="F1642" s="408"/>
    </row>
    <row r="1643" spans="1:6" x14ac:dyDescent="0.2">
      <c r="A1643" s="388"/>
      <c r="B1643" s="386"/>
      <c r="C1643" s="386"/>
      <c r="D1643" s="386"/>
      <c r="E1643" s="386"/>
      <c r="F1643" s="408"/>
    </row>
    <row r="1644" spans="1:6" x14ac:dyDescent="0.2">
      <c r="A1644" s="388"/>
      <c r="B1644" s="386"/>
      <c r="C1644" s="386"/>
      <c r="D1644" s="386"/>
      <c r="E1644" s="386"/>
      <c r="F1644" s="408"/>
    </row>
    <row r="1645" spans="1:6" x14ac:dyDescent="0.2">
      <c r="A1645" s="388"/>
      <c r="B1645" s="386"/>
      <c r="C1645" s="386"/>
      <c r="D1645" s="386"/>
      <c r="E1645" s="386"/>
      <c r="F1645" s="408"/>
    </row>
    <row r="1646" spans="1:6" x14ac:dyDescent="0.2">
      <c r="A1646" s="388"/>
      <c r="B1646" s="386"/>
      <c r="C1646" s="386"/>
      <c r="D1646" s="386"/>
      <c r="E1646" s="386"/>
      <c r="F1646" s="408"/>
    </row>
    <row r="1647" spans="1:6" x14ac:dyDescent="0.2">
      <c r="A1647" s="388"/>
      <c r="B1647" s="386"/>
      <c r="C1647" s="386"/>
      <c r="D1647" s="386"/>
      <c r="E1647" s="386"/>
      <c r="F1647" s="408"/>
    </row>
    <row r="1648" spans="1:6" x14ac:dyDescent="0.2">
      <c r="A1648" s="388"/>
      <c r="B1648" s="386"/>
      <c r="C1648" s="386"/>
      <c r="D1648" s="386"/>
      <c r="E1648" s="386"/>
      <c r="F1648" s="408"/>
    </row>
    <row r="1649" spans="1:6" x14ac:dyDescent="0.2">
      <c r="A1649" s="388"/>
      <c r="B1649" s="386"/>
      <c r="C1649" s="386"/>
      <c r="D1649" s="386"/>
      <c r="E1649" s="386"/>
      <c r="F1649" s="408"/>
    </row>
    <row r="1650" spans="1:6" x14ac:dyDescent="0.2">
      <c r="A1650" s="388"/>
      <c r="B1650" s="386"/>
      <c r="C1650" s="386"/>
      <c r="D1650" s="386"/>
      <c r="E1650" s="386"/>
      <c r="F1650" s="408"/>
    </row>
    <row r="1651" spans="1:6" x14ac:dyDescent="0.2">
      <c r="A1651" s="388"/>
      <c r="B1651" s="386"/>
      <c r="C1651" s="386"/>
      <c r="D1651" s="386"/>
      <c r="E1651" s="386"/>
      <c r="F1651" s="408"/>
    </row>
    <row r="1652" spans="1:6" x14ac:dyDescent="0.2">
      <c r="A1652" s="388"/>
      <c r="B1652" s="386"/>
      <c r="C1652" s="386"/>
      <c r="D1652" s="386"/>
      <c r="E1652" s="386"/>
      <c r="F1652" s="408"/>
    </row>
    <row r="1653" spans="1:6" x14ac:dyDescent="0.2">
      <c r="A1653" s="388"/>
      <c r="B1653" s="386"/>
      <c r="C1653" s="386"/>
      <c r="D1653" s="386"/>
      <c r="E1653" s="386"/>
      <c r="F1653" s="408"/>
    </row>
    <row r="1654" spans="1:6" x14ac:dyDescent="0.2">
      <c r="A1654" s="388"/>
      <c r="B1654" s="386"/>
      <c r="C1654" s="386"/>
      <c r="D1654" s="386"/>
      <c r="E1654" s="386"/>
      <c r="F1654" s="408"/>
    </row>
    <row r="1655" spans="1:6" x14ac:dyDescent="0.2">
      <c r="A1655" s="388"/>
      <c r="B1655" s="386"/>
      <c r="C1655" s="386"/>
      <c r="D1655" s="386"/>
      <c r="E1655" s="386"/>
      <c r="F1655" s="408"/>
    </row>
    <row r="1656" spans="1:6" x14ac:dyDescent="0.2">
      <c r="A1656" s="388"/>
      <c r="B1656" s="386"/>
      <c r="C1656" s="386"/>
      <c r="D1656" s="386"/>
      <c r="E1656" s="386"/>
      <c r="F1656" s="408"/>
    </row>
    <row r="1657" spans="1:6" x14ac:dyDescent="0.2">
      <c r="A1657" s="388"/>
      <c r="B1657" s="386"/>
      <c r="C1657" s="386"/>
      <c r="D1657" s="386"/>
      <c r="E1657" s="386"/>
      <c r="F1657" s="408"/>
    </row>
    <row r="1658" spans="1:6" x14ac:dyDescent="0.2">
      <c r="A1658" s="388"/>
      <c r="B1658" s="386"/>
      <c r="C1658" s="386"/>
      <c r="D1658" s="386"/>
      <c r="E1658" s="386"/>
      <c r="F1658" s="408"/>
    </row>
    <row r="1659" spans="1:6" x14ac:dyDescent="0.2">
      <c r="A1659" s="388"/>
      <c r="B1659" s="386"/>
      <c r="C1659" s="386"/>
      <c r="D1659" s="386"/>
      <c r="E1659" s="386"/>
      <c r="F1659" s="408"/>
    </row>
    <row r="1660" spans="1:6" x14ac:dyDescent="0.2">
      <c r="A1660" s="388"/>
      <c r="B1660" s="386"/>
      <c r="C1660" s="386"/>
      <c r="D1660" s="386"/>
      <c r="E1660" s="386"/>
      <c r="F1660" s="408"/>
    </row>
    <row r="1661" spans="1:6" x14ac:dyDescent="0.2">
      <c r="A1661" s="388"/>
      <c r="B1661" s="386"/>
      <c r="C1661" s="386"/>
      <c r="D1661" s="386"/>
      <c r="E1661" s="386"/>
      <c r="F1661" s="408"/>
    </row>
    <row r="1662" spans="1:6" x14ac:dyDescent="0.2">
      <c r="A1662" s="388"/>
      <c r="B1662" s="386"/>
      <c r="C1662" s="386"/>
      <c r="D1662" s="386"/>
      <c r="E1662" s="386"/>
      <c r="F1662" s="408"/>
    </row>
    <row r="1663" spans="1:6" x14ac:dyDescent="0.2">
      <c r="A1663" s="388"/>
      <c r="B1663" s="386"/>
      <c r="C1663" s="386"/>
      <c r="D1663" s="386"/>
      <c r="E1663" s="386"/>
      <c r="F1663" s="408"/>
    </row>
    <row r="1664" spans="1:6" x14ac:dyDescent="0.2">
      <c r="A1664" s="388"/>
      <c r="B1664" s="386"/>
      <c r="C1664" s="386"/>
      <c r="D1664" s="386"/>
      <c r="E1664" s="386"/>
      <c r="F1664" s="408"/>
    </row>
    <row r="1665" spans="1:6" x14ac:dyDescent="0.2">
      <c r="A1665" s="388"/>
      <c r="B1665" s="386"/>
      <c r="C1665" s="386"/>
      <c r="D1665" s="386"/>
      <c r="E1665" s="386"/>
      <c r="F1665" s="408"/>
    </row>
    <row r="1666" spans="1:6" x14ac:dyDescent="0.2">
      <c r="A1666" s="388"/>
      <c r="B1666" s="386"/>
      <c r="C1666" s="386"/>
      <c r="D1666" s="386"/>
      <c r="E1666" s="386"/>
      <c r="F1666" s="408"/>
    </row>
    <row r="1667" spans="1:6" x14ac:dyDescent="0.2">
      <c r="A1667" s="388"/>
      <c r="B1667" s="386"/>
      <c r="C1667" s="386"/>
      <c r="D1667" s="386"/>
      <c r="E1667" s="386"/>
      <c r="F1667" s="408"/>
    </row>
    <row r="1668" spans="1:6" x14ac:dyDescent="0.2">
      <c r="A1668" s="388"/>
      <c r="B1668" s="386"/>
      <c r="C1668" s="386"/>
      <c r="D1668" s="386"/>
      <c r="E1668" s="386"/>
      <c r="F1668" s="408"/>
    </row>
    <row r="1669" spans="1:6" x14ac:dyDescent="0.2">
      <c r="A1669" s="388"/>
      <c r="B1669" s="386"/>
      <c r="C1669" s="386"/>
      <c r="D1669" s="386"/>
      <c r="E1669" s="386"/>
      <c r="F1669" s="408"/>
    </row>
    <row r="1670" spans="1:6" x14ac:dyDescent="0.2">
      <c r="A1670" s="388"/>
      <c r="B1670" s="386"/>
      <c r="C1670" s="386"/>
      <c r="D1670" s="386"/>
      <c r="E1670" s="386"/>
      <c r="F1670" s="408"/>
    </row>
    <row r="1671" spans="1:6" x14ac:dyDescent="0.2">
      <c r="A1671" s="388"/>
      <c r="B1671" s="386"/>
      <c r="C1671" s="386"/>
      <c r="D1671" s="386"/>
      <c r="E1671" s="386"/>
      <c r="F1671" s="408"/>
    </row>
    <row r="1672" spans="1:6" x14ac:dyDescent="0.2">
      <c r="A1672" s="388"/>
      <c r="B1672" s="386"/>
      <c r="C1672" s="386"/>
      <c r="D1672" s="386"/>
      <c r="E1672" s="386"/>
      <c r="F1672" s="408"/>
    </row>
    <row r="1673" spans="1:6" x14ac:dyDescent="0.2">
      <c r="A1673" s="388"/>
      <c r="B1673" s="386"/>
      <c r="C1673" s="386"/>
      <c r="D1673" s="386"/>
      <c r="E1673" s="386"/>
      <c r="F1673" s="408"/>
    </row>
    <row r="1674" spans="1:6" x14ac:dyDescent="0.2">
      <c r="A1674" s="388"/>
      <c r="B1674" s="386"/>
      <c r="C1674" s="386"/>
      <c r="D1674" s="386"/>
      <c r="E1674" s="386"/>
      <c r="F1674" s="408"/>
    </row>
    <row r="1675" spans="1:6" x14ac:dyDescent="0.2">
      <c r="A1675" s="388"/>
      <c r="B1675" s="386"/>
      <c r="C1675" s="386"/>
      <c r="D1675" s="386"/>
      <c r="E1675" s="386"/>
      <c r="F1675" s="408"/>
    </row>
    <row r="1676" spans="1:6" x14ac:dyDescent="0.2">
      <c r="A1676" s="388"/>
      <c r="B1676" s="386"/>
      <c r="C1676" s="386"/>
      <c r="D1676" s="386"/>
      <c r="E1676" s="386"/>
      <c r="F1676" s="408"/>
    </row>
    <row r="1677" spans="1:6" x14ac:dyDescent="0.2">
      <c r="A1677" s="388"/>
      <c r="B1677" s="386"/>
      <c r="C1677" s="386"/>
      <c r="D1677" s="386"/>
      <c r="E1677" s="386"/>
      <c r="F1677" s="408"/>
    </row>
    <row r="1678" spans="1:6" x14ac:dyDescent="0.2">
      <c r="A1678" s="388"/>
      <c r="B1678" s="386"/>
      <c r="C1678" s="386"/>
      <c r="D1678" s="386"/>
      <c r="E1678" s="386"/>
      <c r="F1678" s="408"/>
    </row>
    <row r="1679" spans="1:6" x14ac:dyDescent="0.2">
      <c r="A1679" s="388"/>
      <c r="B1679" s="386"/>
      <c r="C1679" s="386"/>
      <c r="D1679" s="386"/>
      <c r="E1679" s="386"/>
      <c r="F1679" s="408"/>
    </row>
    <row r="1680" spans="1:6" x14ac:dyDescent="0.2">
      <c r="A1680" s="388"/>
      <c r="B1680" s="386"/>
      <c r="C1680" s="386"/>
      <c r="D1680" s="386"/>
      <c r="E1680" s="386"/>
      <c r="F1680" s="408"/>
    </row>
    <row r="1681" spans="1:6" x14ac:dyDescent="0.2">
      <c r="A1681" s="388"/>
      <c r="B1681" s="386"/>
      <c r="C1681" s="386"/>
      <c r="D1681" s="386"/>
      <c r="E1681" s="386"/>
      <c r="F1681" s="408"/>
    </row>
    <row r="1682" spans="1:6" x14ac:dyDescent="0.2">
      <c r="A1682" s="388"/>
      <c r="B1682" s="386"/>
      <c r="C1682" s="386"/>
      <c r="D1682" s="386"/>
      <c r="E1682" s="386"/>
      <c r="F1682" s="408"/>
    </row>
    <row r="1683" spans="1:6" x14ac:dyDescent="0.2">
      <c r="A1683" s="388"/>
      <c r="B1683" s="386"/>
      <c r="C1683" s="386"/>
      <c r="D1683" s="386"/>
      <c r="E1683" s="386"/>
      <c r="F1683" s="408"/>
    </row>
    <row r="1684" spans="1:6" x14ac:dyDescent="0.2">
      <c r="A1684" s="388"/>
      <c r="B1684" s="386"/>
      <c r="C1684" s="386"/>
      <c r="D1684" s="386"/>
      <c r="E1684" s="386"/>
      <c r="F1684" s="408"/>
    </row>
    <row r="1685" spans="1:6" x14ac:dyDescent="0.2">
      <c r="A1685" s="388"/>
      <c r="B1685" s="386"/>
      <c r="C1685" s="386"/>
      <c r="D1685" s="386"/>
      <c r="E1685" s="386"/>
      <c r="F1685" s="408"/>
    </row>
    <row r="1686" spans="1:6" x14ac:dyDescent="0.2">
      <c r="A1686" s="388"/>
      <c r="B1686" s="386"/>
      <c r="C1686" s="386"/>
      <c r="D1686" s="386"/>
      <c r="E1686" s="386"/>
      <c r="F1686" s="408"/>
    </row>
    <row r="1687" spans="1:6" x14ac:dyDescent="0.2">
      <c r="A1687" s="388"/>
      <c r="B1687" s="386"/>
      <c r="C1687" s="386"/>
      <c r="D1687" s="386"/>
      <c r="E1687" s="386"/>
      <c r="F1687" s="408"/>
    </row>
    <row r="1688" spans="1:6" x14ac:dyDescent="0.2">
      <c r="A1688" s="388"/>
      <c r="B1688" s="386"/>
      <c r="C1688" s="386"/>
      <c r="D1688" s="386"/>
      <c r="E1688" s="386"/>
      <c r="F1688" s="408"/>
    </row>
    <row r="1689" spans="1:6" x14ac:dyDescent="0.2">
      <c r="A1689" s="388"/>
      <c r="B1689" s="386"/>
      <c r="C1689" s="386"/>
      <c r="D1689" s="386"/>
      <c r="E1689" s="386"/>
      <c r="F1689" s="408"/>
    </row>
    <row r="1690" spans="1:6" x14ac:dyDescent="0.2">
      <c r="A1690" s="388"/>
      <c r="B1690" s="386"/>
      <c r="C1690" s="386"/>
      <c r="D1690" s="386"/>
      <c r="E1690" s="386"/>
      <c r="F1690" s="408"/>
    </row>
    <row r="1691" spans="1:6" x14ac:dyDescent="0.2">
      <c r="A1691" s="388"/>
      <c r="B1691" s="386"/>
      <c r="C1691" s="386"/>
      <c r="D1691" s="386"/>
      <c r="E1691" s="386"/>
      <c r="F1691" s="408"/>
    </row>
    <row r="1692" spans="1:6" x14ac:dyDescent="0.2">
      <c r="A1692" s="388"/>
      <c r="B1692" s="386"/>
      <c r="C1692" s="386"/>
      <c r="D1692" s="386"/>
      <c r="E1692" s="386"/>
      <c r="F1692" s="408"/>
    </row>
    <row r="1693" spans="1:6" x14ac:dyDescent="0.2">
      <c r="A1693" s="388"/>
      <c r="B1693" s="386"/>
      <c r="C1693" s="386"/>
      <c r="D1693" s="386"/>
      <c r="E1693" s="386"/>
      <c r="F1693" s="408"/>
    </row>
    <row r="1694" spans="1:6" x14ac:dyDescent="0.2">
      <c r="A1694" s="388"/>
      <c r="B1694" s="386"/>
      <c r="C1694" s="386"/>
      <c r="D1694" s="386"/>
      <c r="E1694" s="386"/>
      <c r="F1694" s="408"/>
    </row>
    <row r="1695" spans="1:6" x14ac:dyDescent="0.2">
      <c r="A1695" s="388"/>
      <c r="B1695" s="386"/>
      <c r="C1695" s="386"/>
      <c r="D1695" s="386"/>
      <c r="E1695" s="386"/>
      <c r="F1695" s="408"/>
    </row>
    <row r="1696" spans="1:6" x14ac:dyDescent="0.2">
      <c r="A1696" s="388"/>
      <c r="B1696" s="386"/>
      <c r="C1696" s="386"/>
      <c r="D1696" s="386"/>
      <c r="E1696" s="386"/>
      <c r="F1696" s="408"/>
    </row>
    <row r="1697" spans="1:6" x14ac:dyDescent="0.2">
      <c r="A1697" s="388"/>
      <c r="B1697" s="386"/>
      <c r="C1697" s="386"/>
      <c r="D1697" s="386"/>
      <c r="E1697" s="386"/>
      <c r="F1697" s="408"/>
    </row>
    <row r="1698" spans="1:6" x14ac:dyDescent="0.2">
      <c r="A1698" s="388"/>
      <c r="B1698" s="386"/>
      <c r="C1698" s="386"/>
      <c r="D1698" s="386"/>
      <c r="E1698" s="386"/>
      <c r="F1698" s="408"/>
    </row>
    <row r="1699" spans="1:6" x14ac:dyDescent="0.2">
      <c r="A1699" s="388"/>
      <c r="B1699" s="386"/>
      <c r="C1699" s="386"/>
      <c r="D1699" s="386"/>
      <c r="E1699" s="386"/>
      <c r="F1699" s="408"/>
    </row>
    <row r="1700" spans="1:6" x14ac:dyDescent="0.2">
      <c r="A1700" s="388"/>
      <c r="B1700" s="386"/>
      <c r="C1700" s="386"/>
      <c r="D1700" s="386"/>
      <c r="E1700" s="386"/>
      <c r="F1700" s="408"/>
    </row>
    <row r="1701" spans="1:6" x14ac:dyDescent="0.2">
      <c r="A1701" s="388"/>
      <c r="B1701" s="386"/>
      <c r="C1701" s="386"/>
      <c r="D1701" s="386"/>
      <c r="E1701" s="386"/>
      <c r="F1701" s="408"/>
    </row>
    <row r="1702" spans="1:6" x14ac:dyDescent="0.2">
      <c r="A1702" s="388"/>
      <c r="B1702" s="386"/>
      <c r="C1702" s="386"/>
      <c r="D1702" s="386"/>
      <c r="E1702" s="386"/>
      <c r="F1702" s="408"/>
    </row>
    <row r="1703" spans="1:6" x14ac:dyDescent="0.2">
      <c r="A1703" s="388"/>
      <c r="B1703" s="386"/>
      <c r="C1703" s="386"/>
      <c r="D1703" s="386"/>
      <c r="E1703" s="386"/>
      <c r="F1703" s="408"/>
    </row>
    <row r="1704" spans="1:6" x14ac:dyDescent="0.2">
      <c r="A1704" s="388"/>
      <c r="B1704" s="386"/>
      <c r="C1704" s="386"/>
      <c r="D1704" s="386"/>
      <c r="E1704" s="386"/>
      <c r="F1704" s="408"/>
    </row>
    <row r="1705" spans="1:6" x14ac:dyDescent="0.2">
      <c r="A1705" s="388"/>
      <c r="B1705" s="386"/>
      <c r="C1705" s="386"/>
      <c r="D1705" s="386"/>
      <c r="E1705" s="386"/>
      <c r="F1705" s="408"/>
    </row>
    <row r="1706" spans="1:6" x14ac:dyDescent="0.2">
      <c r="A1706" s="388"/>
      <c r="B1706" s="386"/>
      <c r="C1706" s="386"/>
      <c r="D1706" s="386"/>
      <c r="E1706" s="386"/>
      <c r="F1706" s="408"/>
    </row>
    <row r="1707" spans="1:6" x14ac:dyDescent="0.2">
      <c r="A1707" s="388"/>
      <c r="B1707" s="386"/>
      <c r="C1707" s="386"/>
      <c r="D1707" s="386"/>
      <c r="E1707" s="386"/>
      <c r="F1707" s="408"/>
    </row>
    <row r="1708" spans="1:6" x14ac:dyDescent="0.2">
      <c r="A1708" s="388"/>
      <c r="B1708" s="386"/>
      <c r="C1708" s="386"/>
      <c r="D1708" s="386"/>
      <c r="E1708" s="386"/>
      <c r="F1708" s="408"/>
    </row>
    <row r="1709" spans="1:6" x14ac:dyDescent="0.2">
      <c r="A1709" s="388"/>
      <c r="B1709" s="386"/>
      <c r="C1709" s="386"/>
      <c r="D1709" s="386"/>
      <c r="E1709" s="386"/>
      <c r="F1709" s="408"/>
    </row>
    <row r="1710" spans="1:6" x14ac:dyDescent="0.2">
      <c r="A1710" s="388"/>
      <c r="B1710" s="386"/>
      <c r="C1710" s="386"/>
      <c r="D1710" s="386"/>
      <c r="E1710" s="386"/>
      <c r="F1710" s="408"/>
    </row>
    <row r="1711" spans="1:6" x14ac:dyDescent="0.2">
      <c r="A1711" s="388"/>
      <c r="B1711" s="386"/>
      <c r="C1711" s="386"/>
      <c r="D1711" s="386"/>
      <c r="E1711" s="386"/>
      <c r="F1711" s="408"/>
    </row>
    <row r="1712" spans="1:6" x14ac:dyDescent="0.2">
      <c r="A1712" s="388"/>
      <c r="B1712" s="386"/>
      <c r="C1712" s="386"/>
      <c r="D1712" s="386"/>
      <c r="E1712" s="386"/>
      <c r="F1712" s="408"/>
    </row>
    <row r="1713" spans="1:6" x14ac:dyDescent="0.2">
      <c r="A1713" s="388"/>
      <c r="B1713" s="386"/>
      <c r="C1713" s="386"/>
      <c r="D1713" s="386"/>
      <c r="E1713" s="386"/>
      <c r="F1713" s="408"/>
    </row>
    <row r="1714" spans="1:6" x14ac:dyDescent="0.2">
      <c r="A1714" s="388"/>
      <c r="B1714" s="386"/>
      <c r="C1714" s="386"/>
      <c r="D1714" s="386"/>
      <c r="E1714" s="386"/>
      <c r="F1714" s="408"/>
    </row>
    <row r="1715" spans="1:6" x14ac:dyDescent="0.2">
      <c r="A1715" s="388"/>
      <c r="B1715" s="386"/>
      <c r="C1715" s="386"/>
      <c r="D1715" s="386"/>
      <c r="E1715" s="386"/>
      <c r="F1715" s="408"/>
    </row>
    <row r="1716" spans="1:6" x14ac:dyDescent="0.2">
      <c r="A1716" s="388"/>
      <c r="B1716" s="386"/>
      <c r="C1716" s="386"/>
      <c r="D1716" s="386"/>
      <c r="E1716" s="386"/>
      <c r="F1716" s="408"/>
    </row>
    <row r="1717" spans="1:6" x14ac:dyDescent="0.2">
      <c r="A1717" s="388"/>
      <c r="B1717" s="386"/>
      <c r="C1717" s="386"/>
      <c r="D1717" s="386"/>
      <c r="E1717" s="386"/>
      <c r="F1717" s="408"/>
    </row>
    <row r="1718" spans="1:6" x14ac:dyDescent="0.2">
      <c r="A1718" s="388"/>
      <c r="B1718" s="386"/>
      <c r="C1718" s="386"/>
      <c r="D1718" s="386"/>
      <c r="E1718" s="386"/>
      <c r="F1718" s="408"/>
    </row>
    <row r="1719" spans="1:6" x14ac:dyDescent="0.2">
      <c r="A1719" s="388"/>
      <c r="B1719" s="386"/>
      <c r="C1719" s="386"/>
      <c r="D1719" s="386"/>
      <c r="E1719" s="386"/>
      <c r="F1719" s="408"/>
    </row>
    <row r="1720" spans="1:6" x14ac:dyDescent="0.2">
      <c r="A1720" s="388"/>
      <c r="B1720" s="386"/>
      <c r="C1720" s="386"/>
      <c r="D1720" s="386"/>
      <c r="E1720" s="386"/>
      <c r="F1720" s="408"/>
    </row>
    <row r="1721" spans="1:6" x14ac:dyDescent="0.2">
      <c r="A1721" s="388"/>
      <c r="B1721" s="386"/>
      <c r="C1721" s="386"/>
      <c r="D1721" s="386"/>
      <c r="E1721" s="386"/>
      <c r="F1721" s="408"/>
    </row>
    <row r="1722" spans="1:6" x14ac:dyDescent="0.2">
      <c r="A1722" s="388"/>
      <c r="B1722" s="386"/>
      <c r="C1722" s="386"/>
      <c r="D1722" s="386"/>
      <c r="E1722" s="386"/>
      <c r="F1722" s="408"/>
    </row>
    <row r="1723" spans="1:6" x14ac:dyDescent="0.2">
      <c r="A1723" s="388"/>
      <c r="B1723" s="386"/>
      <c r="C1723" s="386"/>
      <c r="D1723" s="386"/>
      <c r="E1723" s="386"/>
      <c r="F1723" s="408"/>
    </row>
    <row r="1724" spans="1:6" x14ac:dyDescent="0.2">
      <c r="A1724" s="388"/>
      <c r="B1724" s="386"/>
      <c r="C1724" s="386"/>
      <c r="D1724" s="386"/>
      <c r="E1724" s="386"/>
      <c r="F1724" s="408"/>
    </row>
    <row r="1725" spans="1:6" x14ac:dyDescent="0.2">
      <c r="A1725" s="388"/>
      <c r="B1725" s="386"/>
      <c r="C1725" s="386"/>
      <c r="D1725" s="386"/>
      <c r="E1725" s="386"/>
      <c r="F1725" s="408"/>
    </row>
    <row r="1726" spans="1:6" x14ac:dyDescent="0.2">
      <c r="A1726" s="388"/>
      <c r="B1726" s="386"/>
      <c r="C1726" s="386"/>
      <c r="D1726" s="386"/>
      <c r="E1726" s="386"/>
      <c r="F1726" s="408"/>
    </row>
    <row r="1727" spans="1:6" x14ac:dyDescent="0.2">
      <c r="A1727" s="388"/>
      <c r="B1727" s="386"/>
      <c r="C1727" s="386"/>
      <c r="D1727" s="386"/>
      <c r="E1727" s="386"/>
      <c r="F1727" s="408"/>
    </row>
    <row r="1728" spans="1:6" x14ac:dyDescent="0.2">
      <c r="A1728" s="388"/>
      <c r="B1728" s="386"/>
      <c r="C1728" s="386"/>
      <c r="D1728" s="386"/>
      <c r="E1728" s="386"/>
      <c r="F1728" s="408"/>
    </row>
    <row r="1729" spans="1:6" x14ac:dyDescent="0.2">
      <c r="A1729" s="388"/>
      <c r="B1729" s="386"/>
      <c r="C1729" s="386"/>
      <c r="D1729" s="386"/>
      <c r="E1729" s="386"/>
      <c r="F1729" s="408"/>
    </row>
    <row r="1730" spans="1:6" x14ac:dyDescent="0.2">
      <c r="A1730" s="388"/>
      <c r="B1730" s="386"/>
      <c r="C1730" s="386"/>
      <c r="D1730" s="386"/>
      <c r="E1730" s="386"/>
      <c r="F1730" s="408"/>
    </row>
    <row r="1731" spans="1:6" x14ac:dyDescent="0.2">
      <c r="A1731" s="388"/>
      <c r="B1731" s="386"/>
      <c r="C1731" s="386"/>
      <c r="D1731" s="386"/>
      <c r="E1731" s="386"/>
      <c r="F1731" s="408"/>
    </row>
    <row r="1732" spans="1:6" x14ac:dyDescent="0.2">
      <c r="A1732" s="388"/>
      <c r="B1732" s="386"/>
      <c r="C1732" s="386"/>
      <c r="D1732" s="386"/>
      <c r="E1732" s="386"/>
      <c r="F1732" s="408"/>
    </row>
    <row r="1733" spans="1:6" x14ac:dyDescent="0.2">
      <c r="A1733" s="388"/>
      <c r="B1733" s="386"/>
      <c r="C1733" s="386"/>
      <c r="D1733" s="386"/>
      <c r="E1733" s="386"/>
      <c r="F1733" s="408"/>
    </row>
    <row r="1734" spans="1:6" x14ac:dyDescent="0.2">
      <c r="A1734" s="388"/>
      <c r="B1734" s="386"/>
      <c r="C1734" s="386"/>
      <c r="D1734" s="386"/>
      <c r="E1734" s="386"/>
      <c r="F1734" s="408"/>
    </row>
    <row r="1735" spans="1:6" x14ac:dyDescent="0.2">
      <c r="A1735" s="388"/>
      <c r="B1735" s="386"/>
      <c r="C1735" s="386"/>
      <c r="D1735" s="386"/>
      <c r="E1735" s="386"/>
      <c r="F1735" s="408"/>
    </row>
    <row r="1736" spans="1:6" x14ac:dyDescent="0.2">
      <c r="A1736" s="388"/>
      <c r="B1736" s="386"/>
      <c r="C1736" s="386"/>
      <c r="D1736" s="386"/>
      <c r="E1736" s="386"/>
      <c r="F1736" s="408"/>
    </row>
    <row r="1737" spans="1:6" x14ac:dyDescent="0.2">
      <c r="A1737" s="388"/>
      <c r="B1737" s="386"/>
      <c r="C1737" s="386"/>
      <c r="D1737" s="386"/>
      <c r="E1737" s="386"/>
      <c r="F1737" s="408"/>
    </row>
    <row r="1738" spans="1:6" x14ac:dyDescent="0.2">
      <c r="A1738" s="388"/>
      <c r="B1738" s="386"/>
      <c r="C1738" s="386"/>
      <c r="D1738" s="386"/>
      <c r="E1738" s="386"/>
      <c r="F1738" s="408"/>
    </row>
    <row r="1739" spans="1:6" x14ac:dyDescent="0.2">
      <c r="A1739" s="388"/>
      <c r="B1739" s="386"/>
      <c r="C1739" s="386"/>
      <c r="D1739" s="386"/>
      <c r="E1739" s="386"/>
      <c r="F1739" s="408"/>
    </row>
    <row r="1740" spans="1:6" x14ac:dyDescent="0.2">
      <c r="A1740" s="388"/>
      <c r="B1740" s="386"/>
      <c r="C1740" s="386"/>
      <c r="D1740" s="386"/>
      <c r="E1740" s="386"/>
      <c r="F1740" s="408"/>
    </row>
    <row r="1741" spans="1:6" x14ac:dyDescent="0.2">
      <c r="A1741" s="388"/>
      <c r="B1741" s="386"/>
      <c r="C1741" s="386"/>
      <c r="D1741" s="386"/>
      <c r="E1741" s="386"/>
      <c r="F1741" s="408"/>
    </row>
    <row r="1742" spans="1:6" x14ac:dyDescent="0.2">
      <c r="A1742" s="388"/>
      <c r="B1742" s="386"/>
      <c r="C1742" s="386"/>
      <c r="D1742" s="386"/>
      <c r="E1742" s="386"/>
      <c r="F1742" s="408"/>
    </row>
    <row r="1743" spans="1:6" x14ac:dyDescent="0.2">
      <c r="A1743" s="388"/>
      <c r="B1743" s="386"/>
      <c r="C1743" s="386"/>
      <c r="D1743" s="386"/>
      <c r="E1743" s="386"/>
      <c r="F1743" s="408"/>
    </row>
    <row r="1744" spans="1:6" x14ac:dyDescent="0.2">
      <c r="A1744" s="388"/>
      <c r="B1744" s="386"/>
      <c r="C1744" s="386"/>
      <c r="D1744" s="386"/>
      <c r="E1744" s="386"/>
      <c r="F1744" s="408"/>
    </row>
    <row r="1745" spans="1:6" x14ac:dyDescent="0.2">
      <c r="A1745" s="388"/>
      <c r="B1745" s="386"/>
      <c r="C1745" s="386"/>
      <c r="D1745" s="386"/>
      <c r="E1745" s="386"/>
      <c r="F1745" s="408"/>
    </row>
    <row r="1746" spans="1:6" x14ac:dyDescent="0.2">
      <c r="A1746" s="388"/>
      <c r="B1746" s="386"/>
      <c r="C1746" s="386"/>
      <c r="D1746" s="386"/>
      <c r="E1746" s="386"/>
      <c r="F1746" s="408"/>
    </row>
    <row r="1747" spans="1:6" x14ac:dyDescent="0.2">
      <c r="A1747" s="388"/>
      <c r="B1747" s="386"/>
      <c r="C1747" s="386"/>
      <c r="D1747" s="386"/>
      <c r="E1747" s="386"/>
      <c r="F1747" s="408"/>
    </row>
    <row r="1748" spans="1:6" x14ac:dyDescent="0.2">
      <c r="A1748" s="388"/>
      <c r="B1748" s="386"/>
      <c r="C1748" s="386"/>
      <c r="D1748" s="386"/>
      <c r="E1748" s="386"/>
      <c r="F1748" s="408"/>
    </row>
    <row r="1749" spans="1:6" x14ac:dyDescent="0.2">
      <c r="A1749" s="388"/>
      <c r="B1749" s="386"/>
      <c r="C1749" s="386"/>
      <c r="D1749" s="386"/>
      <c r="E1749" s="386"/>
      <c r="F1749" s="408"/>
    </row>
    <row r="1750" spans="1:6" x14ac:dyDescent="0.2">
      <c r="A1750" s="388"/>
      <c r="B1750" s="386"/>
      <c r="C1750" s="386"/>
      <c r="D1750" s="386"/>
      <c r="E1750" s="386"/>
      <c r="F1750" s="408"/>
    </row>
    <row r="1751" spans="1:6" x14ac:dyDescent="0.2">
      <c r="A1751" s="388"/>
      <c r="B1751" s="386"/>
      <c r="C1751" s="386"/>
      <c r="D1751" s="386"/>
      <c r="E1751" s="386"/>
      <c r="F1751" s="408"/>
    </row>
    <row r="1752" spans="1:6" x14ac:dyDescent="0.2">
      <c r="A1752" s="388"/>
      <c r="B1752" s="386"/>
      <c r="C1752" s="386"/>
      <c r="D1752" s="386"/>
      <c r="E1752" s="386"/>
      <c r="F1752" s="408"/>
    </row>
    <row r="1753" spans="1:6" x14ac:dyDescent="0.2">
      <c r="A1753" s="388"/>
      <c r="B1753" s="386"/>
      <c r="C1753" s="386"/>
      <c r="D1753" s="386"/>
      <c r="E1753" s="386"/>
      <c r="F1753" s="408"/>
    </row>
    <row r="1754" spans="1:6" x14ac:dyDescent="0.2">
      <c r="A1754" s="388"/>
      <c r="B1754" s="386"/>
      <c r="C1754" s="386"/>
      <c r="D1754" s="386"/>
      <c r="E1754" s="386"/>
      <c r="F1754" s="408"/>
    </row>
    <row r="1755" spans="1:6" x14ac:dyDescent="0.2">
      <c r="A1755" s="388"/>
      <c r="B1755" s="386"/>
      <c r="C1755" s="386"/>
      <c r="D1755" s="386"/>
      <c r="E1755" s="386"/>
      <c r="F1755" s="408"/>
    </row>
    <row r="1756" spans="1:6" x14ac:dyDescent="0.2">
      <c r="A1756" s="388"/>
      <c r="B1756" s="386"/>
      <c r="C1756" s="386"/>
      <c r="D1756" s="386"/>
      <c r="E1756" s="386"/>
      <c r="F1756" s="408"/>
    </row>
    <row r="1757" spans="1:6" x14ac:dyDescent="0.2">
      <c r="A1757" s="388"/>
      <c r="B1757" s="386"/>
      <c r="C1757" s="386"/>
      <c r="D1757" s="386"/>
      <c r="E1757" s="386"/>
      <c r="F1757" s="408"/>
    </row>
    <row r="1758" spans="1:6" x14ac:dyDescent="0.2">
      <c r="A1758" s="388"/>
      <c r="B1758" s="386"/>
      <c r="C1758" s="386"/>
      <c r="D1758" s="386"/>
      <c r="E1758" s="386"/>
      <c r="F1758" s="408"/>
    </row>
    <row r="1759" spans="1:6" x14ac:dyDescent="0.2">
      <c r="A1759" s="388"/>
      <c r="B1759" s="386"/>
      <c r="C1759" s="386"/>
      <c r="D1759" s="386"/>
      <c r="E1759" s="386"/>
      <c r="F1759" s="408"/>
    </row>
    <row r="1760" spans="1:6" x14ac:dyDescent="0.2">
      <c r="A1760" s="388"/>
      <c r="B1760" s="386"/>
      <c r="C1760" s="386"/>
      <c r="D1760" s="386"/>
      <c r="E1760" s="386"/>
      <c r="F1760" s="408"/>
    </row>
    <row r="1761" spans="1:6" x14ac:dyDescent="0.2">
      <c r="A1761" s="388"/>
      <c r="B1761" s="386"/>
      <c r="C1761" s="386"/>
      <c r="D1761" s="386"/>
      <c r="E1761" s="386"/>
      <c r="F1761" s="408"/>
    </row>
    <row r="1762" spans="1:6" x14ac:dyDescent="0.2">
      <c r="A1762" s="388"/>
      <c r="B1762" s="386"/>
      <c r="C1762" s="386"/>
      <c r="D1762" s="386"/>
      <c r="E1762" s="386"/>
      <c r="F1762" s="408"/>
    </row>
    <row r="1763" spans="1:6" x14ac:dyDescent="0.2">
      <c r="A1763" s="388"/>
      <c r="B1763" s="386"/>
      <c r="C1763" s="386"/>
      <c r="D1763" s="386"/>
      <c r="E1763" s="386"/>
      <c r="F1763" s="408"/>
    </row>
    <row r="1764" spans="1:6" x14ac:dyDescent="0.2">
      <c r="A1764" s="388"/>
      <c r="B1764" s="386"/>
      <c r="C1764" s="386"/>
      <c r="D1764" s="386"/>
      <c r="E1764" s="386"/>
      <c r="F1764" s="408"/>
    </row>
    <row r="1765" spans="1:6" x14ac:dyDescent="0.2">
      <c r="A1765" s="388"/>
      <c r="B1765" s="386"/>
      <c r="C1765" s="386"/>
      <c r="D1765" s="386"/>
      <c r="E1765" s="386"/>
      <c r="F1765" s="408"/>
    </row>
    <row r="1766" spans="1:6" x14ac:dyDescent="0.2">
      <c r="A1766" s="388"/>
      <c r="B1766" s="386"/>
      <c r="C1766" s="386"/>
      <c r="D1766" s="386"/>
      <c r="E1766" s="386"/>
      <c r="F1766" s="408"/>
    </row>
    <row r="1767" spans="1:6" x14ac:dyDescent="0.2">
      <c r="A1767" s="388"/>
      <c r="B1767" s="386"/>
      <c r="C1767" s="386"/>
      <c r="D1767" s="386"/>
      <c r="E1767" s="386"/>
      <c r="F1767" s="408"/>
    </row>
    <row r="1768" spans="1:6" x14ac:dyDescent="0.2">
      <c r="A1768" s="388"/>
      <c r="B1768" s="386"/>
      <c r="C1768" s="386"/>
      <c r="D1768" s="386"/>
      <c r="E1768" s="386"/>
      <c r="F1768" s="408"/>
    </row>
    <row r="1769" spans="1:6" x14ac:dyDescent="0.2">
      <c r="A1769" s="388"/>
      <c r="B1769" s="386"/>
      <c r="C1769" s="386"/>
      <c r="D1769" s="386"/>
      <c r="E1769" s="386"/>
      <c r="F1769" s="408"/>
    </row>
    <row r="1770" spans="1:6" x14ac:dyDescent="0.2">
      <c r="A1770" s="388"/>
      <c r="B1770" s="386"/>
      <c r="C1770" s="386"/>
      <c r="D1770" s="386"/>
      <c r="E1770" s="386"/>
      <c r="F1770" s="408"/>
    </row>
    <row r="1771" spans="1:6" x14ac:dyDescent="0.2">
      <c r="A1771" s="388"/>
      <c r="B1771" s="386"/>
      <c r="C1771" s="386"/>
      <c r="D1771" s="386"/>
      <c r="E1771" s="386"/>
      <c r="F1771" s="408"/>
    </row>
    <row r="1772" spans="1:6" x14ac:dyDescent="0.2">
      <c r="A1772" s="388"/>
      <c r="B1772" s="386"/>
      <c r="C1772" s="386"/>
      <c r="D1772" s="386"/>
      <c r="E1772" s="386"/>
      <c r="F1772" s="408"/>
    </row>
    <row r="1773" spans="1:6" x14ac:dyDescent="0.2">
      <c r="A1773" s="388"/>
      <c r="B1773" s="386"/>
      <c r="C1773" s="386"/>
      <c r="D1773" s="386"/>
      <c r="E1773" s="386"/>
      <c r="F1773" s="408"/>
    </row>
    <row r="1774" spans="1:6" x14ac:dyDescent="0.2">
      <c r="A1774" s="388"/>
      <c r="B1774" s="386"/>
      <c r="C1774" s="386"/>
      <c r="D1774" s="386"/>
      <c r="E1774" s="386"/>
      <c r="F1774" s="408"/>
    </row>
    <row r="1775" spans="1:6" x14ac:dyDescent="0.2">
      <c r="A1775" s="388"/>
      <c r="B1775" s="386"/>
      <c r="C1775" s="386"/>
      <c r="D1775" s="386"/>
      <c r="E1775" s="386"/>
      <c r="F1775" s="408"/>
    </row>
    <row r="1776" spans="1:6" x14ac:dyDescent="0.2">
      <c r="A1776" s="388"/>
      <c r="B1776" s="386"/>
      <c r="C1776" s="386"/>
      <c r="D1776" s="386"/>
      <c r="E1776" s="386"/>
      <c r="F1776" s="408"/>
    </row>
    <row r="1777" spans="1:6" x14ac:dyDescent="0.2">
      <c r="A1777" s="388"/>
      <c r="B1777" s="386"/>
      <c r="C1777" s="386"/>
      <c r="D1777" s="386"/>
      <c r="E1777" s="386"/>
      <c r="F1777" s="408"/>
    </row>
    <row r="1778" spans="1:6" x14ac:dyDescent="0.2">
      <c r="A1778" s="388"/>
      <c r="B1778" s="386"/>
      <c r="C1778" s="386"/>
      <c r="D1778" s="386"/>
      <c r="E1778" s="386"/>
      <c r="F1778" s="408"/>
    </row>
    <row r="1779" spans="1:6" x14ac:dyDescent="0.2">
      <c r="A1779" s="388"/>
      <c r="B1779" s="386"/>
      <c r="C1779" s="386"/>
      <c r="D1779" s="386"/>
      <c r="E1779" s="386"/>
      <c r="F1779" s="408"/>
    </row>
    <row r="1780" spans="1:6" x14ac:dyDescent="0.2">
      <c r="A1780" s="388"/>
      <c r="B1780" s="386"/>
      <c r="C1780" s="386"/>
      <c r="D1780" s="386"/>
      <c r="E1780" s="386"/>
      <c r="F1780" s="408"/>
    </row>
    <row r="1781" spans="1:6" x14ac:dyDescent="0.2">
      <c r="A1781" s="388"/>
      <c r="B1781" s="386"/>
      <c r="C1781" s="386"/>
      <c r="D1781" s="386"/>
      <c r="E1781" s="386"/>
      <c r="F1781" s="408"/>
    </row>
    <row r="1782" spans="1:6" x14ac:dyDescent="0.2">
      <c r="A1782" s="388"/>
      <c r="B1782" s="386"/>
      <c r="C1782" s="386"/>
      <c r="D1782" s="386"/>
      <c r="E1782" s="386"/>
      <c r="F1782" s="408"/>
    </row>
    <row r="1783" spans="1:6" x14ac:dyDescent="0.2">
      <c r="A1783" s="388"/>
      <c r="B1783" s="386"/>
      <c r="C1783" s="386"/>
      <c r="D1783" s="386"/>
      <c r="E1783" s="386"/>
      <c r="F1783" s="408"/>
    </row>
    <row r="1784" spans="1:6" x14ac:dyDescent="0.2">
      <c r="A1784" s="388"/>
      <c r="B1784" s="386"/>
      <c r="C1784" s="386"/>
      <c r="D1784" s="386"/>
      <c r="E1784" s="386"/>
      <c r="F1784" s="408"/>
    </row>
    <row r="1785" spans="1:6" x14ac:dyDescent="0.2">
      <c r="A1785" s="388"/>
      <c r="B1785" s="386"/>
      <c r="C1785" s="386"/>
      <c r="D1785" s="386"/>
      <c r="E1785" s="386"/>
      <c r="F1785" s="408"/>
    </row>
    <row r="1786" spans="1:6" x14ac:dyDescent="0.2">
      <c r="A1786" s="388"/>
      <c r="B1786" s="386"/>
      <c r="C1786" s="386"/>
      <c r="D1786" s="386"/>
      <c r="E1786" s="386"/>
      <c r="F1786" s="408"/>
    </row>
    <row r="1787" spans="1:6" x14ac:dyDescent="0.2">
      <c r="A1787" s="388"/>
      <c r="B1787" s="386"/>
      <c r="C1787" s="386"/>
      <c r="D1787" s="386"/>
      <c r="E1787" s="386"/>
      <c r="F1787" s="408"/>
    </row>
    <row r="1788" spans="1:6" x14ac:dyDescent="0.2">
      <c r="A1788" s="388"/>
      <c r="B1788" s="386"/>
      <c r="C1788" s="386"/>
      <c r="D1788" s="386"/>
      <c r="E1788" s="386"/>
      <c r="F1788" s="408"/>
    </row>
    <row r="1789" spans="1:6" x14ac:dyDescent="0.2">
      <c r="A1789" s="388"/>
      <c r="B1789" s="386"/>
      <c r="C1789" s="386"/>
      <c r="D1789" s="386"/>
      <c r="E1789" s="386"/>
      <c r="F1789" s="408"/>
    </row>
    <row r="1790" spans="1:6" x14ac:dyDescent="0.2">
      <c r="A1790" s="388"/>
      <c r="B1790" s="386"/>
      <c r="C1790" s="386"/>
      <c r="D1790" s="386"/>
      <c r="E1790" s="386"/>
      <c r="F1790" s="408"/>
    </row>
    <row r="1791" spans="1:6" x14ac:dyDescent="0.2">
      <c r="A1791" s="388"/>
      <c r="B1791" s="386"/>
      <c r="C1791" s="386"/>
      <c r="D1791" s="386"/>
      <c r="E1791" s="386"/>
      <c r="F1791" s="408"/>
    </row>
    <row r="1792" spans="1:6" x14ac:dyDescent="0.2">
      <c r="A1792" s="388"/>
      <c r="B1792" s="386"/>
      <c r="C1792" s="386"/>
      <c r="D1792" s="386"/>
      <c r="E1792" s="386"/>
      <c r="F1792" s="408"/>
    </row>
    <row r="1793" spans="1:6" x14ac:dyDescent="0.2">
      <c r="A1793" s="388"/>
      <c r="B1793" s="386"/>
      <c r="C1793" s="386"/>
      <c r="D1793" s="386"/>
      <c r="E1793" s="386"/>
      <c r="F1793" s="408"/>
    </row>
    <row r="1794" spans="1:6" x14ac:dyDescent="0.2">
      <c r="A1794" s="388"/>
      <c r="B1794" s="386"/>
      <c r="C1794" s="386"/>
      <c r="D1794" s="386"/>
      <c r="E1794" s="386"/>
      <c r="F1794" s="408"/>
    </row>
    <row r="1795" spans="1:6" x14ac:dyDescent="0.2">
      <c r="A1795" s="388"/>
      <c r="B1795" s="386"/>
      <c r="C1795" s="386"/>
      <c r="D1795" s="386"/>
      <c r="E1795" s="386"/>
      <c r="F1795" s="408"/>
    </row>
    <row r="1796" spans="1:6" x14ac:dyDescent="0.2">
      <c r="A1796" s="388"/>
      <c r="B1796" s="386"/>
      <c r="C1796" s="386"/>
      <c r="D1796" s="386"/>
      <c r="E1796" s="386"/>
      <c r="F1796" s="408"/>
    </row>
    <row r="1797" spans="1:6" x14ac:dyDescent="0.2">
      <c r="A1797" s="388"/>
      <c r="B1797" s="386"/>
      <c r="C1797" s="386"/>
      <c r="D1797" s="386"/>
      <c r="E1797" s="386"/>
      <c r="F1797" s="408"/>
    </row>
    <row r="1798" spans="1:6" x14ac:dyDescent="0.2">
      <c r="A1798" s="388"/>
      <c r="B1798" s="386"/>
      <c r="C1798" s="386"/>
      <c r="D1798" s="386"/>
      <c r="E1798" s="386"/>
      <c r="F1798" s="408"/>
    </row>
    <row r="1799" spans="1:6" x14ac:dyDescent="0.2">
      <c r="A1799" s="388"/>
      <c r="B1799" s="386"/>
      <c r="C1799" s="386"/>
      <c r="D1799" s="386"/>
      <c r="E1799" s="386"/>
      <c r="F1799" s="408"/>
    </row>
    <row r="1800" spans="1:6" x14ac:dyDescent="0.2">
      <c r="A1800" s="388"/>
      <c r="B1800" s="386"/>
      <c r="C1800" s="386"/>
      <c r="D1800" s="386"/>
      <c r="E1800" s="386"/>
      <c r="F1800" s="408"/>
    </row>
    <row r="1801" spans="1:6" x14ac:dyDescent="0.2">
      <c r="A1801" s="388"/>
      <c r="B1801" s="386"/>
      <c r="C1801" s="386"/>
      <c r="D1801" s="386"/>
      <c r="E1801" s="386"/>
      <c r="F1801" s="408"/>
    </row>
    <row r="1802" spans="1:6" x14ac:dyDescent="0.2">
      <c r="A1802" s="388"/>
      <c r="B1802" s="386"/>
      <c r="C1802" s="386"/>
      <c r="D1802" s="386"/>
      <c r="E1802" s="386"/>
      <c r="F1802" s="408"/>
    </row>
    <row r="1803" spans="1:6" x14ac:dyDescent="0.2">
      <c r="A1803" s="388"/>
      <c r="B1803" s="386"/>
      <c r="C1803" s="386"/>
      <c r="D1803" s="386"/>
      <c r="E1803" s="386"/>
      <c r="F1803" s="408"/>
    </row>
    <row r="1804" spans="1:6" x14ac:dyDescent="0.2">
      <c r="A1804" s="388"/>
      <c r="B1804" s="386"/>
      <c r="C1804" s="386"/>
      <c r="D1804" s="386"/>
      <c r="E1804" s="386"/>
      <c r="F1804" s="408"/>
    </row>
    <row r="1805" spans="1:6" x14ac:dyDescent="0.2">
      <c r="A1805" s="388"/>
      <c r="B1805" s="386"/>
      <c r="C1805" s="386"/>
      <c r="D1805" s="386"/>
      <c r="E1805" s="386"/>
      <c r="F1805" s="408"/>
    </row>
    <row r="1806" spans="1:6" x14ac:dyDescent="0.2">
      <c r="A1806" s="388"/>
      <c r="B1806" s="386"/>
      <c r="C1806" s="386"/>
      <c r="D1806" s="386"/>
      <c r="E1806" s="386"/>
      <c r="F1806" s="408"/>
    </row>
    <row r="1807" spans="1:6" x14ac:dyDescent="0.2">
      <c r="A1807" s="388"/>
      <c r="B1807" s="386"/>
      <c r="C1807" s="386"/>
      <c r="D1807" s="386"/>
      <c r="E1807" s="386"/>
      <c r="F1807" s="408"/>
    </row>
    <row r="1808" spans="1:6" x14ac:dyDescent="0.2">
      <c r="A1808" s="388"/>
      <c r="B1808" s="386"/>
      <c r="C1808" s="386"/>
      <c r="D1808" s="386"/>
      <c r="E1808" s="386"/>
      <c r="F1808" s="408"/>
    </row>
    <row r="1809" spans="1:6" x14ac:dyDescent="0.2">
      <c r="A1809" s="388"/>
      <c r="B1809" s="386"/>
      <c r="C1809" s="386"/>
      <c r="D1809" s="386"/>
      <c r="E1809" s="386"/>
      <c r="F1809" s="408"/>
    </row>
    <row r="1810" spans="1:6" x14ac:dyDescent="0.2">
      <c r="A1810" s="388"/>
      <c r="B1810" s="386"/>
      <c r="C1810" s="386"/>
      <c r="D1810" s="386"/>
      <c r="E1810" s="386"/>
      <c r="F1810" s="408"/>
    </row>
    <row r="1811" spans="1:6" x14ac:dyDescent="0.2">
      <c r="A1811" s="388"/>
      <c r="B1811" s="386"/>
      <c r="C1811" s="386"/>
      <c r="D1811" s="386"/>
      <c r="E1811" s="386"/>
      <c r="F1811" s="408"/>
    </row>
    <row r="1812" spans="1:6" x14ac:dyDescent="0.2">
      <c r="A1812" s="388"/>
      <c r="B1812" s="386"/>
      <c r="C1812" s="386"/>
      <c r="D1812" s="386"/>
      <c r="E1812" s="386"/>
      <c r="F1812" s="408"/>
    </row>
    <row r="1813" spans="1:6" x14ac:dyDescent="0.2">
      <c r="A1813" s="388"/>
      <c r="B1813" s="386"/>
      <c r="C1813" s="386"/>
      <c r="D1813" s="386"/>
      <c r="E1813" s="386"/>
      <c r="F1813" s="408"/>
    </row>
    <row r="1814" spans="1:6" x14ac:dyDescent="0.2">
      <c r="A1814" s="388"/>
      <c r="B1814" s="386"/>
      <c r="C1814" s="386"/>
      <c r="D1814" s="386"/>
      <c r="E1814" s="386"/>
      <c r="F1814" s="408"/>
    </row>
    <row r="1815" spans="1:6" x14ac:dyDescent="0.2">
      <c r="A1815" s="388"/>
      <c r="B1815" s="386"/>
      <c r="C1815" s="386"/>
      <c r="D1815" s="386"/>
      <c r="E1815" s="386"/>
      <c r="F1815" s="408"/>
    </row>
    <row r="1816" spans="1:6" x14ac:dyDescent="0.2">
      <c r="A1816" s="388"/>
      <c r="B1816" s="386"/>
      <c r="C1816" s="386"/>
      <c r="D1816" s="386"/>
      <c r="E1816" s="386"/>
      <c r="F1816" s="408"/>
    </row>
    <row r="1817" spans="1:6" x14ac:dyDescent="0.2">
      <c r="A1817" s="388"/>
      <c r="B1817" s="386"/>
      <c r="C1817" s="386"/>
      <c r="D1817" s="386"/>
      <c r="E1817" s="386"/>
      <c r="F1817" s="408"/>
    </row>
    <row r="1818" spans="1:6" x14ac:dyDescent="0.2">
      <c r="A1818" s="388"/>
      <c r="B1818" s="386"/>
      <c r="C1818" s="386"/>
      <c r="D1818" s="386"/>
      <c r="E1818" s="386"/>
      <c r="F1818" s="408"/>
    </row>
    <row r="1819" spans="1:6" x14ac:dyDescent="0.2">
      <c r="A1819" s="388"/>
      <c r="B1819" s="386"/>
      <c r="C1819" s="386"/>
      <c r="D1819" s="386"/>
      <c r="E1819" s="386"/>
      <c r="F1819" s="408"/>
    </row>
    <row r="1820" spans="1:6" x14ac:dyDescent="0.2">
      <c r="A1820" s="388"/>
      <c r="B1820" s="386"/>
      <c r="C1820" s="386"/>
      <c r="D1820" s="386"/>
      <c r="E1820" s="386"/>
      <c r="F1820" s="408"/>
    </row>
    <row r="1821" spans="1:6" x14ac:dyDescent="0.2">
      <c r="A1821" s="388"/>
      <c r="B1821" s="386"/>
      <c r="C1821" s="386"/>
      <c r="D1821" s="386"/>
      <c r="E1821" s="386"/>
      <c r="F1821" s="408"/>
    </row>
    <row r="1822" spans="1:6" x14ac:dyDescent="0.2">
      <c r="A1822" s="388"/>
      <c r="B1822" s="386"/>
      <c r="C1822" s="386"/>
      <c r="D1822" s="386"/>
      <c r="E1822" s="386"/>
      <c r="F1822" s="408"/>
    </row>
    <row r="1823" spans="1:6" x14ac:dyDescent="0.2">
      <c r="A1823" s="388"/>
      <c r="B1823" s="386"/>
      <c r="C1823" s="386"/>
      <c r="D1823" s="386"/>
      <c r="E1823" s="386"/>
      <c r="F1823" s="408"/>
    </row>
    <row r="1824" spans="1:6" x14ac:dyDescent="0.2">
      <c r="A1824" s="388"/>
      <c r="B1824" s="386"/>
      <c r="C1824" s="386"/>
      <c r="D1824" s="386"/>
      <c r="E1824" s="386"/>
      <c r="F1824" s="408"/>
    </row>
    <row r="1825" spans="1:6" x14ac:dyDescent="0.2">
      <c r="A1825" s="388"/>
      <c r="B1825" s="386"/>
      <c r="C1825" s="386"/>
      <c r="D1825" s="386"/>
      <c r="E1825" s="386"/>
      <c r="F1825" s="408"/>
    </row>
    <row r="1826" spans="1:6" x14ac:dyDescent="0.2">
      <c r="A1826" s="388"/>
      <c r="B1826" s="386"/>
      <c r="C1826" s="386"/>
      <c r="D1826" s="386"/>
      <c r="E1826" s="386"/>
      <c r="F1826" s="408"/>
    </row>
    <row r="1827" spans="1:6" x14ac:dyDescent="0.2">
      <c r="A1827" s="388"/>
      <c r="B1827" s="386"/>
      <c r="C1827" s="386"/>
      <c r="D1827" s="386"/>
      <c r="E1827" s="386"/>
      <c r="F1827" s="408"/>
    </row>
    <row r="1828" spans="1:6" x14ac:dyDescent="0.2">
      <c r="A1828" s="388"/>
      <c r="B1828" s="386"/>
      <c r="C1828" s="386"/>
      <c r="D1828" s="386"/>
      <c r="E1828" s="386"/>
      <c r="F1828" s="408"/>
    </row>
    <row r="1829" spans="1:6" x14ac:dyDescent="0.2">
      <c r="A1829" s="388"/>
      <c r="B1829" s="386"/>
      <c r="C1829" s="386"/>
      <c r="D1829" s="386"/>
      <c r="E1829" s="386"/>
      <c r="F1829" s="408"/>
    </row>
    <row r="1830" spans="1:6" x14ac:dyDescent="0.2">
      <c r="A1830" s="388"/>
      <c r="B1830" s="386"/>
      <c r="C1830" s="386"/>
      <c r="D1830" s="386"/>
      <c r="E1830" s="386"/>
      <c r="F1830" s="408"/>
    </row>
    <row r="1831" spans="1:6" x14ac:dyDescent="0.2">
      <c r="A1831" s="388"/>
      <c r="B1831" s="386"/>
      <c r="C1831" s="386"/>
      <c r="D1831" s="386"/>
      <c r="E1831" s="386"/>
      <c r="F1831" s="408"/>
    </row>
    <row r="1832" spans="1:6" x14ac:dyDescent="0.2">
      <c r="A1832" s="388"/>
      <c r="B1832" s="386"/>
      <c r="C1832" s="386"/>
      <c r="D1832" s="386"/>
      <c r="E1832" s="386"/>
      <c r="F1832" s="408"/>
    </row>
    <row r="1833" spans="1:6" x14ac:dyDescent="0.2">
      <c r="A1833" s="388"/>
      <c r="B1833" s="386"/>
      <c r="C1833" s="386"/>
      <c r="D1833" s="386"/>
      <c r="E1833" s="386"/>
      <c r="F1833" s="408"/>
    </row>
    <row r="1834" spans="1:6" x14ac:dyDescent="0.2">
      <c r="A1834" s="388"/>
      <c r="B1834" s="386"/>
      <c r="C1834" s="386"/>
      <c r="D1834" s="386"/>
      <c r="E1834" s="386"/>
      <c r="F1834" s="408"/>
    </row>
    <row r="1835" spans="1:6" x14ac:dyDescent="0.2">
      <c r="A1835" s="388"/>
      <c r="B1835" s="386"/>
      <c r="C1835" s="386"/>
      <c r="D1835" s="386"/>
      <c r="E1835" s="386"/>
      <c r="F1835" s="408"/>
    </row>
    <row r="1836" spans="1:6" x14ac:dyDescent="0.2">
      <c r="A1836" s="388"/>
      <c r="B1836" s="386"/>
      <c r="C1836" s="386"/>
      <c r="D1836" s="386"/>
      <c r="E1836" s="386"/>
      <c r="F1836" s="408"/>
    </row>
    <row r="1837" spans="1:6" x14ac:dyDescent="0.2">
      <c r="A1837" s="388"/>
      <c r="B1837" s="386"/>
      <c r="C1837" s="386"/>
      <c r="D1837" s="386"/>
      <c r="E1837" s="386"/>
      <c r="F1837" s="408"/>
    </row>
    <row r="1838" spans="1:6" x14ac:dyDescent="0.2">
      <c r="A1838" s="388"/>
      <c r="B1838" s="386"/>
      <c r="C1838" s="386"/>
      <c r="D1838" s="386"/>
      <c r="E1838" s="386"/>
      <c r="F1838" s="408"/>
    </row>
    <row r="1839" spans="1:6" x14ac:dyDescent="0.2">
      <c r="A1839" s="388"/>
      <c r="B1839" s="386"/>
      <c r="C1839" s="386"/>
      <c r="D1839" s="386"/>
      <c r="E1839" s="386"/>
      <c r="F1839" s="408"/>
    </row>
    <row r="1840" spans="1:6" x14ac:dyDescent="0.2">
      <c r="A1840" s="388"/>
      <c r="B1840" s="386"/>
      <c r="C1840" s="386"/>
      <c r="D1840" s="386"/>
      <c r="E1840" s="386"/>
      <c r="F1840" s="408"/>
    </row>
    <row r="1841" spans="1:6" x14ac:dyDescent="0.2">
      <c r="A1841" s="388"/>
      <c r="B1841" s="386"/>
      <c r="C1841" s="386"/>
      <c r="D1841" s="386"/>
      <c r="E1841" s="386"/>
      <c r="F1841" s="408"/>
    </row>
    <row r="1842" spans="1:6" x14ac:dyDescent="0.2">
      <c r="A1842" s="388"/>
      <c r="B1842" s="386"/>
      <c r="C1842" s="386"/>
      <c r="D1842" s="386"/>
      <c r="E1842" s="386"/>
      <c r="F1842" s="408"/>
    </row>
    <row r="1843" spans="1:6" x14ac:dyDescent="0.2">
      <c r="A1843" s="388"/>
      <c r="B1843" s="386"/>
      <c r="C1843" s="386"/>
      <c r="D1843" s="386"/>
      <c r="E1843" s="386"/>
      <c r="F1843" s="408"/>
    </row>
    <row r="1844" spans="1:6" x14ac:dyDescent="0.2">
      <c r="A1844" s="388"/>
      <c r="B1844" s="386"/>
      <c r="C1844" s="386"/>
      <c r="D1844" s="386"/>
      <c r="E1844" s="386"/>
      <c r="F1844" s="408"/>
    </row>
    <row r="1845" spans="1:6" x14ac:dyDescent="0.2">
      <c r="A1845" s="388"/>
      <c r="B1845" s="386"/>
      <c r="C1845" s="386"/>
      <c r="D1845" s="386"/>
      <c r="E1845" s="386"/>
      <c r="F1845" s="408"/>
    </row>
    <row r="1846" spans="1:6" x14ac:dyDescent="0.2">
      <c r="A1846" s="388"/>
      <c r="B1846" s="386"/>
      <c r="C1846" s="386"/>
      <c r="D1846" s="386"/>
      <c r="E1846" s="386"/>
      <c r="F1846" s="408"/>
    </row>
    <row r="1847" spans="1:6" x14ac:dyDescent="0.2">
      <c r="A1847" s="388"/>
      <c r="B1847" s="386"/>
      <c r="C1847" s="386"/>
      <c r="D1847" s="386"/>
      <c r="E1847" s="386"/>
      <c r="F1847" s="408"/>
    </row>
    <row r="1848" spans="1:6" x14ac:dyDescent="0.2">
      <c r="A1848" s="388"/>
      <c r="B1848" s="386"/>
      <c r="C1848" s="386"/>
      <c r="D1848" s="386"/>
      <c r="E1848" s="386"/>
      <c r="F1848" s="408"/>
    </row>
    <row r="1849" spans="1:6" x14ac:dyDescent="0.2">
      <c r="A1849" s="388"/>
      <c r="B1849" s="386"/>
      <c r="C1849" s="386"/>
      <c r="D1849" s="386"/>
      <c r="E1849" s="386"/>
      <c r="F1849" s="408"/>
    </row>
    <row r="1850" spans="1:6" x14ac:dyDescent="0.2">
      <c r="A1850" s="388"/>
      <c r="B1850" s="386"/>
      <c r="C1850" s="386"/>
      <c r="D1850" s="386"/>
      <c r="E1850" s="386"/>
      <c r="F1850" s="408"/>
    </row>
    <row r="1851" spans="1:6" x14ac:dyDescent="0.2">
      <c r="A1851" s="388"/>
      <c r="B1851" s="386"/>
      <c r="C1851" s="386"/>
      <c r="D1851" s="386"/>
      <c r="E1851" s="386"/>
      <c r="F1851" s="408"/>
    </row>
    <row r="1852" spans="1:6" x14ac:dyDescent="0.2">
      <c r="A1852" s="388"/>
      <c r="B1852" s="386"/>
      <c r="C1852" s="386"/>
      <c r="D1852" s="386"/>
      <c r="E1852" s="386"/>
      <c r="F1852" s="408"/>
    </row>
    <row r="1853" spans="1:6" x14ac:dyDescent="0.2">
      <c r="A1853" s="388"/>
      <c r="B1853" s="386"/>
      <c r="C1853" s="386"/>
      <c r="D1853" s="386"/>
      <c r="E1853" s="386"/>
      <c r="F1853" s="408"/>
    </row>
    <row r="1854" spans="1:6" x14ac:dyDescent="0.2">
      <c r="A1854" s="388"/>
      <c r="B1854" s="386"/>
      <c r="C1854" s="386"/>
      <c r="D1854" s="386"/>
      <c r="E1854" s="386"/>
      <c r="F1854" s="408"/>
    </row>
    <row r="1855" spans="1:6" x14ac:dyDescent="0.2">
      <c r="A1855" s="388"/>
      <c r="B1855" s="386"/>
      <c r="C1855" s="386"/>
      <c r="D1855" s="386"/>
      <c r="E1855" s="386"/>
      <c r="F1855" s="408"/>
    </row>
    <row r="1856" spans="1:6" x14ac:dyDescent="0.2">
      <c r="A1856" s="388"/>
      <c r="B1856" s="386"/>
      <c r="C1856" s="386"/>
      <c r="D1856" s="386"/>
      <c r="E1856" s="386"/>
      <c r="F1856" s="408"/>
    </row>
    <row r="1857" spans="1:6" x14ac:dyDescent="0.2">
      <c r="A1857" s="388"/>
      <c r="B1857" s="386"/>
      <c r="C1857" s="386"/>
      <c r="D1857" s="386"/>
      <c r="E1857" s="386"/>
      <c r="F1857" s="408"/>
    </row>
    <row r="1858" spans="1:6" x14ac:dyDescent="0.2">
      <c r="A1858" s="388"/>
      <c r="B1858" s="386"/>
      <c r="C1858" s="386"/>
      <c r="D1858" s="386"/>
      <c r="E1858" s="386"/>
      <c r="F1858" s="408"/>
    </row>
    <row r="1859" spans="1:6" x14ac:dyDescent="0.2">
      <c r="A1859" s="388"/>
      <c r="B1859" s="386"/>
      <c r="C1859" s="386"/>
      <c r="D1859" s="386"/>
      <c r="E1859" s="386"/>
      <c r="F1859" s="408"/>
    </row>
    <row r="1860" spans="1:6" x14ac:dyDescent="0.2">
      <c r="A1860" s="388"/>
      <c r="B1860" s="386"/>
      <c r="C1860" s="386"/>
      <c r="D1860" s="386"/>
      <c r="E1860" s="386"/>
      <c r="F1860" s="408"/>
    </row>
    <row r="1861" spans="1:6" x14ac:dyDescent="0.2">
      <c r="A1861" s="388"/>
      <c r="B1861" s="386"/>
      <c r="C1861" s="386"/>
      <c r="D1861" s="386"/>
      <c r="E1861" s="386"/>
      <c r="F1861" s="408"/>
    </row>
    <row r="1862" spans="1:6" x14ac:dyDescent="0.2">
      <c r="A1862" s="388"/>
      <c r="B1862" s="386"/>
      <c r="C1862" s="386"/>
      <c r="D1862" s="386"/>
      <c r="E1862" s="386"/>
      <c r="F1862" s="408"/>
    </row>
    <row r="1863" spans="1:6" x14ac:dyDescent="0.2">
      <c r="A1863" s="388"/>
      <c r="B1863" s="386"/>
      <c r="C1863" s="386"/>
      <c r="D1863" s="386"/>
      <c r="E1863" s="386"/>
      <c r="F1863" s="408"/>
    </row>
    <row r="1864" spans="1:6" x14ac:dyDescent="0.2">
      <c r="A1864" s="388"/>
      <c r="B1864" s="386"/>
      <c r="C1864" s="386"/>
      <c r="D1864" s="386"/>
      <c r="E1864" s="386"/>
      <c r="F1864" s="408"/>
    </row>
    <row r="1865" spans="1:6" x14ac:dyDescent="0.2">
      <c r="A1865" s="388"/>
      <c r="B1865" s="386"/>
      <c r="C1865" s="386"/>
      <c r="D1865" s="386"/>
      <c r="E1865" s="386"/>
      <c r="F1865" s="408"/>
    </row>
    <row r="1866" spans="1:6" x14ac:dyDescent="0.2">
      <c r="A1866" s="388"/>
      <c r="B1866" s="386"/>
      <c r="C1866" s="386"/>
      <c r="D1866" s="386"/>
      <c r="E1866" s="386"/>
      <c r="F1866" s="408"/>
    </row>
    <row r="1867" spans="1:6" x14ac:dyDescent="0.2">
      <c r="A1867" s="388"/>
      <c r="B1867" s="386"/>
      <c r="C1867" s="386"/>
      <c r="D1867" s="386"/>
      <c r="E1867" s="386"/>
      <c r="F1867" s="408"/>
    </row>
    <row r="1868" spans="1:6" x14ac:dyDescent="0.2">
      <c r="A1868" s="388"/>
      <c r="B1868" s="386"/>
      <c r="C1868" s="386"/>
      <c r="D1868" s="386"/>
      <c r="E1868" s="386"/>
      <c r="F1868" s="408"/>
    </row>
    <row r="1869" spans="1:6" x14ac:dyDescent="0.2">
      <c r="A1869" s="388"/>
      <c r="B1869" s="386"/>
      <c r="C1869" s="386"/>
      <c r="D1869" s="386"/>
      <c r="E1869" s="386"/>
      <c r="F1869" s="408"/>
    </row>
    <row r="1870" spans="1:6" x14ac:dyDescent="0.2">
      <c r="A1870" s="388"/>
      <c r="B1870" s="386"/>
      <c r="C1870" s="386"/>
      <c r="D1870" s="386"/>
      <c r="E1870" s="386"/>
      <c r="F1870" s="408"/>
    </row>
    <row r="1871" spans="1:6" x14ac:dyDescent="0.2">
      <c r="A1871" s="388"/>
      <c r="B1871" s="386"/>
      <c r="C1871" s="386"/>
      <c r="D1871" s="386"/>
      <c r="E1871" s="386"/>
      <c r="F1871" s="408"/>
    </row>
    <row r="1872" spans="1:6" x14ac:dyDescent="0.2">
      <c r="A1872" s="388"/>
      <c r="B1872" s="386"/>
      <c r="C1872" s="386"/>
      <c r="D1872" s="386"/>
      <c r="E1872" s="386"/>
      <c r="F1872" s="408"/>
    </row>
    <row r="1873" spans="1:6" x14ac:dyDescent="0.2">
      <c r="A1873" s="388"/>
      <c r="B1873" s="386"/>
      <c r="C1873" s="386"/>
      <c r="D1873" s="386"/>
      <c r="E1873" s="386"/>
      <c r="F1873" s="408"/>
    </row>
    <row r="1874" spans="1:6" x14ac:dyDescent="0.2">
      <c r="A1874" s="388"/>
      <c r="B1874" s="386"/>
      <c r="C1874" s="386"/>
      <c r="D1874" s="386"/>
      <c r="E1874" s="386"/>
      <c r="F1874" s="408"/>
    </row>
    <row r="1875" spans="1:6" x14ac:dyDescent="0.2">
      <c r="A1875" s="388"/>
      <c r="B1875" s="386"/>
      <c r="C1875" s="386"/>
      <c r="D1875" s="386"/>
      <c r="E1875" s="386"/>
      <c r="F1875" s="408"/>
    </row>
    <row r="1876" spans="1:6" x14ac:dyDescent="0.2">
      <c r="A1876" s="388"/>
      <c r="B1876" s="386"/>
      <c r="C1876" s="386"/>
      <c r="D1876" s="386"/>
      <c r="E1876" s="386"/>
      <c r="F1876" s="408"/>
    </row>
    <row r="1877" spans="1:6" x14ac:dyDescent="0.2">
      <c r="A1877" s="388"/>
      <c r="B1877" s="386"/>
      <c r="C1877" s="386"/>
      <c r="D1877" s="386"/>
      <c r="E1877" s="386"/>
      <c r="F1877" s="408"/>
    </row>
    <row r="1878" spans="1:6" x14ac:dyDescent="0.2">
      <c r="A1878" s="388"/>
      <c r="B1878" s="386"/>
      <c r="C1878" s="386"/>
      <c r="D1878" s="386"/>
      <c r="E1878" s="386"/>
      <c r="F1878" s="408"/>
    </row>
    <row r="1879" spans="1:6" x14ac:dyDescent="0.2">
      <c r="A1879" s="388"/>
      <c r="B1879" s="386"/>
      <c r="C1879" s="386"/>
      <c r="D1879" s="386"/>
      <c r="E1879" s="386"/>
      <c r="F1879" s="408"/>
    </row>
    <row r="1880" spans="1:6" x14ac:dyDescent="0.2">
      <c r="A1880" s="388"/>
      <c r="B1880" s="386"/>
      <c r="C1880" s="386"/>
      <c r="D1880" s="386"/>
      <c r="E1880" s="386"/>
      <c r="F1880" s="408"/>
    </row>
    <row r="1881" spans="1:6" x14ac:dyDescent="0.2">
      <c r="A1881" s="388"/>
      <c r="B1881" s="386"/>
      <c r="C1881" s="386"/>
      <c r="D1881" s="386"/>
      <c r="E1881" s="386"/>
      <c r="F1881" s="408"/>
    </row>
    <row r="1882" spans="1:6" x14ac:dyDescent="0.2">
      <c r="A1882" s="388"/>
      <c r="B1882" s="386"/>
      <c r="C1882" s="386"/>
      <c r="D1882" s="386"/>
      <c r="E1882" s="386"/>
      <c r="F1882" s="408"/>
    </row>
    <row r="1883" spans="1:6" x14ac:dyDescent="0.2">
      <c r="A1883" s="388"/>
      <c r="B1883" s="386"/>
      <c r="C1883" s="386"/>
      <c r="D1883" s="386"/>
      <c r="E1883" s="386"/>
      <c r="F1883" s="408"/>
    </row>
    <row r="1884" spans="1:6" x14ac:dyDescent="0.2">
      <c r="A1884" s="388"/>
      <c r="B1884" s="386"/>
      <c r="C1884" s="386"/>
      <c r="D1884" s="386"/>
      <c r="E1884" s="386"/>
      <c r="F1884" s="408"/>
    </row>
    <row r="1885" spans="1:6" x14ac:dyDescent="0.2">
      <c r="A1885" s="388"/>
      <c r="B1885" s="386"/>
      <c r="C1885" s="386"/>
      <c r="D1885" s="386"/>
      <c r="E1885" s="386"/>
      <c r="F1885" s="408"/>
    </row>
    <row r="1886" spans="1:6" x14ac:dyDescent="0.2">
      <c r="A1886" s="388"/>
      <c r="B1886" s="386"/>
      <c r="C1886" s="386"/>
      <c r="D1886" s="386"/>
      <c r="E1886" s="386"/>
      <c r="F1886" s="408"/>
    </row>
    <row r="1887" spans="1:6" x14ac:dyDescent="0.2">
      <c r="A1887" s="388"/>
      <c r="B1887" s="386"/>
      <c r="C1887" s="386"/>
      <c r="D1887" s="386"/>
      <c r="E1887" s="386"/>
      <c r="F1887" s="408"/>
    </row>
    <row r="1888" spans="1:6" x14ac:dyDescent="0.2">
      <c r="A1888" s="388"/>
      <c r="B1888" s="386"/>
      <c r="C1888" s="386"/>
      <c r="D1888" s="386"/>
      <c r="E1888" s="386"/>
      <c r="F1888" s="408"/>
    </row>
    <row r="1889" spans="1:6" x14ac:dyDescent="0.2">
      <c r="A1889" s="388"/>
      <c r="B1889" s="386"/>
      <c r="C1889" s="386"/>
      <c r="D1889" s="386"/>
      <c r="E1889" s="386"/>
      <c r="F1889" s="408"/>
    </row>
    <row r="1890" spans="1:6" x14ac:dyDescent="0.2">
      <c r="A1890" s="388"/>
      <c r="B1890" s="386"/>
      <c r="C1890" s="386"/>
      <c r="D1890" s="386"/>
      <c r="E1890" s="386"/>
      <c r="F1890" s="408"/>
    </row>
    <row r="1891" spans="1:6" x14ac:dyDescent="0.2">
      <c r="A1891" s="388"/>
      <c r="B1891" s="386"/>
      <c r="C1891" s="386"/>
      <c r="D1891" s="386"/>
      <c r="E1891" s="386"/>
      <c r="F1891" s="408"/>
    </row>
    <row r="1892" spans="1:6" x14ac:dyDescent="0.2">
      <c r="A1892" s="388"/>
      <c r="B1892" s="386"/>
      <c r="C1892" s="386"/>
      <c r="D1892" s="386"/>
      <c r="E1892" s="386"/>
      <c r="F1892" s="408"/>
    </row>
    <row r="1893" spans="1:6" x14ac:dyDescent="0.2">
      <c r="A1893" s="388"/>
      <c r="B1893" s="386"/>
      <c r="C1893" s="386"/>
      <c r="D1893" s="386"/>
      <c r="E1893" s="386"/>
      <c r="F1893" s="408"/>
    </row>
    <row r="1894" spans="1:6" x14ac:dyDescent="0.2">
      <c r="A1894" s="388"/>
      <c r="B1894" s="386"/>
      <c r="C1894" s="386"/>
      <c r="D1894" s="386"/>
      <c r="E1894" s="386"/>
      <c r="F1894" s="408"/>
    </row>
    <row r="1895" spans="1:6" x14ac:dyDescent="0.2">
      <c r="A1895" s="388"/>
      <c r="B1895" s="386"/>
      <c r="C1895" s="386"/>
      <c r="D1895" s="386"/>
      <c r="E1895" s="386"/>
      <c r="F1895" s="408"/>
    </row>
    <row r="1896" spans="1:6" x14ac:dyDescent="0.2">
      <c r="A1896" s="388"/>
      <c r="B1896" s="386"/>
      <c r="C1896" s="386"/>
      <c r="D1896" s="386"/>
      <c r="E1896" s="386"/>
      <c r="F1896" s="408"/>
    </row>
    <row r="1897" spans="1:6" x14ac:dyDescent="0.2">
      <c r="A1897" s="388"/>
      <c r="B1897" s="386"/>
      <c r="C1897" s="386"/>
      <c r="D1897" s="386"/>
      <c r="E1897" s="386"/>
      <c r="F1897" s="408"/>
    </row>
    <row r="1898" spans="1:6" x14ac:dyDescent="0.2">
      <c r="A1898" s="388"/>
      <c r="B1898" s="386"/>
      <c r="C1898" s="386"/>
      <c r="D1898" s="386"/>
      <c r="E1898" s="386"/>
      <c r="F1898" s="408"/>
    </row>
    <row r="1899" spans="1:6" x14ac:dyDescent="0.2">
      <c r="A1899" s="388"/>
      <c r="B1899" s="386"/>
      <c r="C1899" s="386"/>
      <c r="D1899" s="386"/>
      <c r="E1899" s="386"/>
      <c r="F1899" s="408"/>
    </row>
    <row r="1900" spans="1:6" x14ac:dyDescent="0.2">
      <c r="A1900" s="388"/>
      <c r="B1900" s="386"/>
      <c r="C1900" s="386"/>
      <c r="D1900" s="386"/>
      <c r="E1900" s="386"/>
      <c r="F1900" s="408"/>
    </row>
    <row r="1901" spans="1:6" x14ac:dyDescent="0.2">
      <c r="A1901" s="388"/>
      <c r="B1901" s="386"/>
      <c r="C1901" s="386"/>
      <c r="D1901" s="386"/>
      <c r="E1901" s="386"/>
      <c r="F1901" s="408"/>
    </row>
    <row r="1902" spans="1:6" x14ac:dyDescent="0.2">
      <c r="A1902" s="388"/>
      <c r="B1902" s="386"/>
      <c r="C1902" s="386"/>
      <c r="D1902" s="386"/>
      <c r="E1902" s="386"/>
      <c r="F1902" s="408"/>
    </row>
    <row r="1903" spans="1:6" x14ac:dyDescent="0.2">
      <c r="A1903" s="388"/>
      <c r="B1903" s="386"/>
      <c r="C1903" s="386"/>
      <c r="D1903" s="386"/>
      <c r="E1903" s="386"/>
      <c r="F1903" s="408"/>
    </row>
    <row r="1904" spans="1:6" x14ac:dyDescent="0.2">
      <c r="A1904" s="388"/>
      <c r="B1904" s="386"/>
      <c r="C1904" s="386"/>
      <c r="D1904" s="386"/>
      <c r="E1904" s="386"/>
      <c r="F1904" s="408"/>
    </row>
    <row r="1905" spans="1:6" x14ac:dyDescent="0.2">
      <c r="A1905" s="388"/>
      <c r="B1905" s="386"/>
      <c r="C1905" s="386"/>
      <c r="D1905" s="386"/>
      <c r="E1905" s="386"/>
      <c r="F1905" s="408"/>
    </row>
    <row r="1906" spans="1:6" x14ac:dyDescent="0.2">
      <c r="A1906" s="388"/>
      <c r="B1906" s="386"/>
      <c r="C1906" s="386"/>
      <c r="D1906" s="386"/>
      <c r="E1906" s="386"/>
      <c r="F1906" s="408"/>
    </row>
    <row r="1907" spans="1:6" x14ac:dyDescent="0.2">
      <c r="A1907" s="388"/>
      <c r="B1907" s="386"/>
      <c r="C1907" s="386"/>
      <c r="D1907" s="386"/>
      <c r="E1907" s="386"/>
      <c r="F1907" s="408"/>
    </row>
    <row r="1908" spans="1:6" x14ac:dyDescent="0.2">
      <c r="A1908" s="388"/>
      <c r="B1908" s="386"/>
      <c r="C1908" s="386"/>
      <c r="D1908" s="386"/>
      <c r="E1908" s="386"/>
      <c r="F1908" s="408"/>
    </row>
    <row r="1909" spans="1:6" x14ac:dyDescent="0.2">
      <c r="A1909" s="388"/>
      <c r="B1909" s="386"/>
      <c r="C1909" s="386"/>
      <c r="D1909" s="386"/>
      <c r="E1909" s="386"/>
      <c r="F1909" s="408"/>
    </row>
    <row r="1910" spans="1:6" x14ac:dyDescent="0.2">
      <c r="A1910" s="388"/>
      <c r="B1910" s="386"/>
      <c r="C1910" s="386"/>
      <c r="D1910" s="386"/>
      <c r="E1910" s="386"/>
      <c r="F1910" s="408"/>
    </row>
    <row r="1911" spans="1:6" x14ac:dyDescent="0.2">
      <c r="A1911" s="388"/>
      <c r="B1911" s="386"/>
      <c r="C1911" s="386"/>
      <c r="D1911" s="386"/>
      <c r="E1911" s="386"/>
      <c r="F1911" s="408"/>
    </row>
    <row r="1912" spans="1:6" x14ac:dyDescent="0.2">
      <c r="A1912" s="388"/>
      <c r="B1912" s="386"/>
      <c r="C1912" s="386"/>
      <c r="D1912" s="386"/>
      <c r="E1912" s="386"/>
      <c r="F1912" s="408"/>
    </row>
    <row r="1913" spans="1:6" x14ac:dyDescent="0.2">
      <c r="A1913" s="388"/>
      <c r="B1913" s="386"/>
      <c r="C1913" s="386"/>
      <c r="D1913" s="386"/>
      <c r="E1913" s="386"/>
      <c r="F1913" s="408"/>
    </row>
    <row r="1914" spans="1:6" x14ac:dyDescent="0.2">
      <c r="A1914" s="388"/>
      <c r="B1914" s="386"/>
      <c r="C1914" s="386"/>
      <c r="D1914" s="386"/>
      <c r="E1914" s="386"/>
      <c r="F1914" s="408"/>
    </row>
    <row r="1915" spans="1:6" x14ac:dyDescent="0.2">
      <c r="A1915" s="388"/>
      <c r="B1915" s="386"/>
      <c r="C1915" s="386"/>
      <c r="D1915" s="386"/>
      <c r="E1915" s="386"/>
      <c r="F1915" s="408"/>
    </row>
    <row r="1916" spans="1:6" x14ac:dyDescent="0.2">
      <c r="A1916" s="388"/>
      <c r="B1916" s="386"/>
      <c r="C1916" s="386"/>
      <c r="D1916" s="386"/>
      <c r="E1916" s="386"/>
      <c r="F1916" s="408"/>
    </row>
    <row r="1917" spans="1:6" x14ac:dyDescent="0.2">
      <c r="A1917" s="388"/>
      <c r="B1917" s="386"/>
      <c r="C1917" s="386"/>
      <c r="D1917" s="386"/>
      <c r="E1917" s="386"/>
      <c r="F1917" s="408"/>
    </row>
    <row r="1918" spans="1:6" x14ac:dyDescent="0.2">
      <c r="A1918" s="388"/>
      <c r="B1918" s="386"/>
      <c r="C1918" s="386"/>
      <c r="D1918" s="386"/>
      <c r="E1918" s="386"/>
      <c r="F1918" s="408"/>
    </row>
    <row r="1919" spans="1:6" x14ac:dyDescent="0.2">
      <c r="A1919" s="388"/>
      <c r="B1919" s="386"/>
      <c r="C1919" s="386"/>
      <c r="D1919" s="386"/>
      <c r="E1919" s="386"/>
      <c r="F1919" s="408"/>
    </row>
    <row r="1920" spans="1:6" x14ac:dyDescent="0.2">
      <c r="A1920" s="388"/>
      <c r="B1920" s="386"/>
      <c r="C1920" s="386"/>
      <c r="D1920" s="386"/>
      <c r="E1920" s="386"/>
      <c r="F1920" s="408"/>
    </row>
    <row r="1921" spans="1:6" x14ac:dyDescent="0.2">
      <c r="A1921" s="388"/>
      <c r="B1921" s="386"/>
      <c r="C1921" s="386"/>
      <c r="D1921" s="386"/>
      <c r="E1921" s="386"/>
      <c r="F1921" s="408"/>
    </row>
    <row r="1922" spans="1:6" x14ac:dyDescent="0.2">
      <c r="A1922" s="388"/>
      <c r="B1922" s="386"/>
      <c r="C1922" s="386"/>
      <c r="D1922" s="386"/>
      <c r="E1922" s="386"/>
      <c r="F1922" s="408"/>
    </row>
    <row r="1923" spans="1:6" x14ac:dyDescent="0.2">
      <c r="A1923" s="388"/>
      <c r="B1923" s="386"/>
      <c r="C1923" s="386"/>
      <c r="D1923" s="386"/>
      <c r="E1923" s="386"/>
      <c r="F1923" s="408"/>
    </row>
    <row r="1924" spans="1:6" x14ac:dyDescent="0.2">
      <c r="A1924" s="388"/>
      <c r="B1924" s="386"/>
      <c r="C1924" s="386"/>
      <c r="D1924" s="386"/>
      <c r="E1924" s="386"/>
      <c r="F1924" s="408"/>
    </row>
    <row r="1925" spans="1:6" x14ac:dyDescent="0.2">
      <c r="A1925" s="388"/>
      <c r="B1925" s="386"/>
      <c r="C1925" s="386"/>
      <c r="D1925" s="386"/>
      <c r="E1925" s="386"/>
      <c r="F1925" s="408"/>
    </row>
    <row r="1926" spans="1:6" x14ac:dyDescent="0.2">
      <c r="A1926" s="388"/>
      <c r="B1926" s="386"/>
      <c r="C1926" s="386"/>
      <c r="D1926" s="386"/>
      <c r="E1926" s="386"/>
      <c r="F1926" s="408"/>
    </row>
    <row r="1927" spans="1:6" x14ac:dyDescent="0.2">
      <c r="A1927" s="388"/>
      <c r="B1927" s="386"/>
      <c r="C1927" s="386"/>
      <c r="D1927" s="386"/>
      <c r="E1927" s="386"/>
      <c r="F1927" s="408"/>
    </row>
    <row r="1928" spans="1:6" x14ac:dyDescent="0.2">
      <c r="A1928" s="388"/>
      <c r="B1928" s="386"/>
      <c r="C1928" s="386"/>
      <c r="D1928" s="386"/>
      <c r="E1928" s="386"/>
      <c r="F1928" s="408"/>
    </row>
    <row r="1929" spans="1:6" x14ac:dyDescent="0.2">
      <c r="A1929" s="388"/>
      <c r="B1929" s="386"/>
      <c r="C1929" s="386"/>
      <c r="D1929" s="386"/>
      <c r="E1929" s="386"/>
      <c r="F1929" s="408"/>
    </row>
    <row r="1930" spans="1:6" x14ac:dyDescent="0.2">
      <c r="A1930" s="388"/>
      <c r="B1930" s="386"/>
      <c r="C1930" s="386"/>
      <c r="D1930" s="386"/>
      <c r="E1930" s="386"/>
      <c r="F1930" s="408"/>
    </row>
    <row r="1931" spans="1:6" x14ac:dyDescent="0.2">
      <c r="A1931" s="388"/>
      <c r="B1931" s="386"/>
      <c r="C1931" s="386"/>
      <c r="D1931" s="386"/>
      <c r="E1931" s="386"/>
      <c r="F1931" s="408"/>
    </row>
    <row r="1932" spans="1:6" x14ac:dyDescent="0.2">
      <c r="A1932" s="388"/>
      <c r="B1932" s="386"/>
      <c r="C1932" s="386"/>
      <c r="D1932" s="386"/>
      <c r="E1932" s="386"/>
      <c r="F1932" s="408"/>
    </row>
    <row r="1933" spans="1:6" x14ac:dyDescent="0.2">
      <c r="A1933" s="388"/>
      <c r="B1933" s="386"/>
      <c r="C1933" s="386"/>
      <c r="D1933" s="386"/>
      <c r="E1933" s="386"/>
      <c r="F1933" s="408"/>
    </row>
    <row r="1934" spans="1:6" x14ac:dyDescent="0.2">
      <c r="A1934" s="388"/>
      <c r="B1934" s="386"/>
      <c r="C1934" s="386"/>
      <c r="D1934" s="386"/>
      <c r="E1934" s="386"/>
      <c r="F1934" s="408"/>
    </row>
    <row r="1935" spans="1:6" x14ac:dyDescent="0.2">
      <c r="A1935" s="388"/>
      <c r="B1935" s="386"/>
      <c r="C1935" s="386"/>
      <c r="D1935" s="386"/>
      <c r="E1935" s="386"/>
      <c r="F1935" s="408"/>
    </row>
    <row r="1936" spans="1:6" x14ac:dyDescent="0.2">
      <c r="A1936" s="388"/>
      <c r="B1936" s="386"/>
      <c r="C1936" s="386"/>
      <c r="D1936" s="386"/>
      <c r="E1936" s="386"/>
      <c r="F1936" s="408"/>
    </row>
    <row r="1937" spans="1:6" x14ac:dyDescent="0.2">
      <c r="A1937" s="388"/>
      <c r="B1937" s="386"/>
      <c r="C1937" s="386"/>
      <c r="D1937" s="386"/>
      <c r="E1937" s="386"/>
      <c r="F1937" s="408"/>
    </row>
    <row r="1938" spans="1:6" x14ac:dyDescent="0.2">
      <c r="A1938" s="388"/>
      <c r="B1938" s="386"/>
      <c r="C1938" s="386"/>
      <c r="D1938" s="386"/>
      <c r="E1938" s="386"/>
      <c r="F1938" s="408"/>
    </row>
    <row r="1939" spans="1:6" x14ac:dyDescent="0.2">
      <c r="A1939" s="388"/>
      <c r="B1939" s="386"/>
      <c r="C1939" s="386"/>
      <c r="D1939" s="386"/>
      <c r="E1939" s="386"/>
      <c r="F1939" s="408"/>
    </row>
    <row r="1940" spans="1:6" x14ac:dyDescent="0.2">
      <c r="A1940" s="388"/>
      <c r="B1940" s="386"/>
      <c r="C1940" s="386"/>
      <c r="D1940" s="386"/>
      <c r="E1940" s="386"/>
      <c r="F1940" s="408"/>
    </row>
    <row r="1941" spans="1:6" x14ac:dyDescent="0.2">
      <c r="A1941" s="388"/>
      <c r="B1941" s="386"/>
      <c r="C1941" s="386"/>
      <c r="D1941" s="386"/>
      <c r="E1941" s="386"/>
      <c r="F1941" s="408"/>
    </row>
    <row r="1942" spans="1:6" x14ac:dyDescent="0.2">
      <c r="A1942" s="388"/>
      <c r="B1942" s="386"/>
      <c r="C1942" s="386"/>
      <c r="D1942" s="386"/>
      <c r="E1942" s="386"/>
      <c r="F1942" s="408"/>
    </row>
    <row r="1943" spans="1:6" x14ac:dyDescent="0.2">
      <c r="A1943" s="388"/>
      <c r="B1943" s="386"/>
      <c r="C1943" s="386"/>
      <c r="D1943" s="386"/>
      <c r="E1943" s="386"/>
      <c r="F1943" s="408"/>
    </row>
    <row r="1944" spans="1:6" x14ac:dyDescent="0.2">
      <c r="A1944" s="388"/>
      <c r="B1944" s="386"/>
      <c r="C1944" s="386"/>
      <c r="D1944" s="386"/>
      <c r="E1944" s="386"/>
      <c r="F1944" s="408"/>
    </row>
    <row r="1945" spans="1:6" x14ac:dyDescent="0.2">
      <c r="A1945" s="388"/>
      <c r="B1945" s="386"/>
      <c r="C1945" s="386"/>
      <c r="D1945" s="386"/>
      <c r="E1945" s="386"/>
      <c r="F1945" s="408"/>
    </row>
    <row r="1946" spans="1:6" x14ac:dyDescent="0.2">
      <c r="A1946" s="388"/>
      <c r="B1946" s="386"/>
      <c r="C1946" s="386"/>
      <c r="D1946" s="386"/>
      <c r="E1946" s="386"/>
      <c r="F1946" s="408"/>
    </row>
    <row r="1947" spans="1:6" x14ac:dyDescent="0.2">
      <c r="A1947" s="388"/>
      <c r="B1947" s="386"/>
      <c r="C1947" s="386"/>
      <c r="D1947" s="386"/>
      <c r="E1947" s="386"/>
      <c r="F1947" s="408"/>
    </row>
    <row r="1948" spans="1:6" x14ac:dyDescent="0.2">
      <c r="A1948" s="388"/>
      <c r="B1948" s="386"/>
      <c r="C1948" s="386"/>
      <c r="D1948" s="386"/>
      <c r="E1948" s="386"/>
      <c r="F1948" s="408"/>
    </row>
    <row r="1949" spans="1:6" x14ac:dyDescent="0.2">
      <c r="A1949" s="388"/>
      <c r="B1949" s="386"/>
      <c r="C1949" s="386"/>
      <c r="D1949" s="386"/>
      <c r="E1949" s="386"/>
      <c r="F1949" s="408"/>
    </row>
    <row r="1950" spans="1:6" x14ac:dyDescent="0.2">
      <c r="A1950" s="388"/>
      <c r="B1950" s="386"/>
      <c r="C1950" s="386"/>
      <c r="D1950" s="386"/>
      <c r="E1950" s="386"/>
      <c r="F1950" s="408"/>
    </row>
    <row r="1951" spans="1:6" x14ac:dyDescent="0.2">
      <c r="A1951" s="388"/>
      <c r="B1951" s="386"/>
      <c r="C1951" s="386"/>
      <c r="D1951" s="386"/>
      <c r="E1951" s="386"/>
      <c r="F1951" s="408"/>
    </row>
    <row r="1952" spans="1:6" x14ac:dyDescent="0.2">
      <c r="A1952" s="388"/>
      <c r="B1952" s="386"/>
      <c r="C1952" s="386"/>
      <c r="D1952" s="386"/>
      <c r="E1952" s="386"/>
      <c r="F1952" s="408"/>
    </row>
    <row r="1953" spans="1:6" x14ac:dyDescent="0.2">
      <c r="A1953" s="388"/>
      <c r="B1953" s="386"/>
      <c r="C1953" s="386"/>
      <c r="D1953" s="386"/>
      <c r="E1953" s="386"/>
      <c r="F1953" s="408"/>
    </row>
    <row r="1954" spans="1:6" x14ac:dyDescent="0.2">
      <c r="A1954" s="388"/>
      <c r="B1954" s="386"/>
      <c r="C1954" s="386"/>
      <c r="D1954" s="386"/>
      <c r="E1954" s="386"/>
      <c r="F1954" s="408"/>
    </row>
    <row r="1955" spans="1:6" x14ac:dyDescent="0.2">
      <c r="A1955" s="388"/>
      <c r="B1955" s="386"/>
      <c r="C1955" s="386"/>
      <c r="D1955" s="386"/>
      <c r="E1955" s="386"/>
      <c r="F1955" s="408"/>
    </row>
    <row r="1956" spans="1:6" x14ac:dyDescent="0.2">
      <c r="A1956" s="388"/>
      <c r="B1956" s="386"/>
      <c r="C1956" s="386"/>
      <c r="D1956" s="386"/>
      <c r="E1956" s="386"/>
      <c r="F1956" s="408"/>
    </row>
    <row r="1957" spans="1:6" x14ac:dyDescent="0.2">
      <c r="A1957" s="388"/>
      <c r="B1957" s="386"/>
      <c r="C1957" s="386"/>
      <c r="D1957" s="386"/>
      <c r="E1957" s="386"/>
      <c r="F1957" s="408"/>
    </row>
    <row r="1958" spans="1:6" x14ac:dyDescent="0.2">
      <c r="A1958" s="388"/>
      <c r="B1958" s="386"/>
      <c r="C1958" s="386"/>
      <c r="D1958" s="386"/>
      <c r="E1958" s="386"/>
      <c r="F1958" s="408"/>
    </row>
    <row r="1959" spans="1:6" x14ac:dyDescent="0.2">
      <c r="A1959" s="388"/>
      <c r="B1959" s="386"/>
      <c r="C1959" s="386"/>
      <c r="D1959" s="386"/>
      <c r="E1959" s="386"/>
      <c r="F1959" s="408"/>
    </row>
    <row r="1960" spans="1:6" x14ac:dyDescent="0.2">
      <c r="A1960" s="388"/>
      <c r="B1960" s="386"/>
      <c r="C1960" s="386"/>
      <c r="D1960" s="386"/>
      <c r="E1960" s="386"/>
      <c r="F1960" s="408"/>
    </row>
    <row r="1961" spans="1:6" x14ac:dyDescent="0.2">
      <c r="A1961" s="388"/>
      <c r="B1961" s="386"/>
      <c r="C1961" s="386"/>
      <c r="D1961" s="386"/>
      <c r="E1961" s="386"/>
      <c r="F1961" s="408"/>
    </row>
    <row r="1962" spans="1:6" x14ac:dyDescent="0.2">
      <c r="A1962" s="388"/>
      <c r="B1962" s="386"/>
      <c r="C1962" s="386"/>
      <c r="D1962" s="386"/>
      <c r="E1962" s="386"/>
      <c r="F1962" s="408"/>
    </row>
    <row r="1963" spans="1:6" x14ac:dyDescent="0.2">
      <c r="A1963" s="388"/>
      <c r="B1963" s="386"/>
      <c r="C1963" s="386"/>
      <c r="D1963" s="386"/>
      <c r="E1963" s="386"/>
      <c r="F1963" s="408"/>
    </row>
    <row r="1964" spans="1:6" x14ac:dyDescent="0.2">
      <c r="A1964" s="388"/>
      <c r="B1964" s="386"/>
      <c r="C1964" s="386"/>
      <c r="D1964" s="386"/>
      <c r="E1964" s="386"/>
      <c r="F1964" s="408"/>
    </row>
    <row r="1965" spans="1:6" x14ac:dyDescent="0.2">
      <c r="A1965" s="388"/>
      <c r="B1965" s="386"/>
      <c r="C1965" s="386"/>
      <c r="D1965" s="386"/>
      <c r="E1965" s="386"/>
      <c r="F1965" s="408"/>
    </row>
    <row r="1966" spans="1:6" x14ac:dyDescent="0.2">
      <c r="A1966" s="388"/>
      <c r="B1966" s="386"/>
      <c r="C1966" s="386"/>
      <c r="D1966" s="386"/>
      <c r="E1966" s="386"/>
      <c r="F1966" s="408"/>
    </row>
    <row r="1967" spans="1:6" x14ac:dyDescent="0.2">
      <c r="A1967" s="388"/>
      <c r="B1967" s="386"/>
      <c r="C1967" s="386"/>
      <c r="D1967" s="386"/>
      <c r="E1967" s="386"/>
      <c r="F1967" s="408"/>
    </row>
    <row r="1968" spans="1:6" x14ac:dyDescent="0.2">
      <c r="A1968" s="388"/>
      <c r="B1968" s="386"/>
      <c r="C1968" s="386"/>
      <c r="D1968" s="386"/>
      <c r="E1968" s="386"/>
      <c r="F1968" s="408"/>
    </row>
    <row r="1969" spans="1:6" x14ac:dyDescent="0.2">
      <c r="A1969" s="388"/>
      <c r="B1969" s="386"/>
      <c r="C1969" s="386"/>
      <c r="D1969" s="386"/>
      <c r="E1969" s="386"/>
      <c r="F1969" s="408"/>
    </row>
    <row r="1970" spans="1:6" x14ac:dyDescent="0.2">
      <c r="A1970" s="388"/>
      <c r="B1970" s="386"/>
      <c r="C1970" s="386"/>
      <c r="D1970" s="386"/>
      <c r="E1970" s="386"/>
      <c r="F1970" s="408"/>
    </row>
    <row r="1971" spans="1:6" x14ac:dyDescent="0.2">
      <c r="A1971" s="388"/>
      <c r="B1971" s="386"/>
      <c r="C1971" s="386"/>
      <c r="D1971" s="386"/>
      <c r="E1971" s="386"/>
      <c r="F1971" s="408"/>
    </row>
    <row r="1972" spans="1:6" x14ac:dyDescent="0.2">
      <c r="A1972" s="388"/>
      <c r="B1972" s="386"/>
      <c r="C1972" s="386"/>
      <c r="D1972" s="386"/>
      <c r="E1972" s="386"/>
      <c r="F1972" s="408"/>
    </row>
    <row r="1973" spans="1:6" x14ac:dyDescent="0.2">
      <c r="A1973" s="388"/>
      <c r="B1973" s="386"/>
      <c r="C1973" s="386"/>
      <c r="D1973" s="386"/>
      <c r="E1973" s="386"/>
      <c r="F1973" s="408"/>
    </row>
    <row r="1974" spans="1:6" x14ac:dyDescent="0.2">
      <c r="A1974" s="388"/>
      <c r="B1974" s="386"/>
      <c r="C1974" s="386"/>
      <c r="D1974" s="386"/>
      <c r="E1974" s="386"/>
      <c r="F1974" s="408"/>
    </row>
    <row r="1975" spans="1:6" x14ac:dyDescent="0.2">
      <c r="A1975" s="388"/>
      <c r="B1975" s="386"/>
      <c r="C1975" s="386"/>
      <c r="D1975" s="386"/>
      <c r="E1975" s="386"/>
      <c r="F1975" s="408"/>
    </row>
    <row r="1976" spans="1:6" x14ac:dyDescent="0.2">
      <c r="A1976" s="388"/>
      <c r="B1976" s="386"/>
      <c r="C1976" s="386"/>
      <c r="D1976" s="386"/>
      <c r="E1976" s="386"/>
      <c r="F1976" s="408"/>
    </row>
    <row r="1977" spans="1:6" x14ac:dyDescent="0.2">
      <c r="A1977" s="388"/>
      <c r="B1977" s="386"/>
      <c r="C1977" s="386"/>
      <c r="D1977" s="386"/>
      <c r="E1977" s="386"/>
      <c r="F1977" s="408"/>
    </row>
    <row r="1978" spans="1:6" x14ac:dyDescent="0.2">
      <c r="A1978" s="388"/>
      <c r="B1978" s="386"/>
      <c r="C1978" s="386"/>
      <c r="D1978" s="386"/>
      <c r="E1978" s="386"/>
      <c r="F1978" s="408"/>
    </row>
    <row r="1979" spans="1:6" x14ac:dyDescent="0.2">
      <c r="A1979" s="388"/>
      <c r="B1979" s="386"/>
      <c r="C1979" s="386"/>
      <c r="D1979" s="386"/>
      <c r="E1979" s="386"/>
      <c r="F1979" s="408"/>
    </row>
    <row r="1980" spans="1:6" x14ac:dyDescent="0.2">
      <c r="A1980" s="388"/>
      <c r="B1980" s="386"/>
      <c r="C1980" s="386"/>
      <c r="D1980" s="386"/>
      <c r="E1980" s="386"/>
      <c r="F1980" s="408"/>
    </row>
    <row r="1981" spans="1:6" x14ac:dyDescent="0.2">
      <c r="A1981" s="388"/>
      <c r="B1981" s="386"/>
      <c r="C1981" s="386"/>
      <c r="D1981" s="386"/>
      <c r="E1981" s="386"/>
      <c r="F1981" s="408"/>
    </row>
    <row r="1982" spans="1:6" x14ac:dyDescent="0.2">
      <c r="A1982" s="388"/>
      <c r="B1982" s="386"/>
      <c r="C1982" s="386"/>
      <c r="D1982" s="386"/>
      <c r="E1982" s="386"/>
      <c r="F1982" s="408"/>
    </row>
    <row r="1983" spans="1:6" x14ac:dyDescent="0.2">
      <c r="A1983" s="388"/>
      <c r="B1983" s="386"/>
      <c r="C1983" s="386"/>
      <c r="D1983" s="386"/>
      <c r="E1983" s="386"/>
      <c r="F1983" s="408"/>
    </row>
    <row r="1984" spans="1:6" x14ac:dyDescent="0.2">
      <c r="A1984" s="388"/>
      <c r="B1984" s="386"/>
      <c r="C1984" s="386"/>
      <c r="D1984" s="386"/>
      <c r="E1984" s="386"/>
      <c r="F1984" s="408"/>
    </row>
    <row r="1985" spans="1:6" x14ac:dyDescent="0.2">
      <c r="A1985" s="388"/>
      <c r="B1985" s="386"/>
      <c r="C1985" s="386"/>
      <c r="D1985" s="386"/>
      <c r="E1985" s="386"/>
      <c r="F1985" s="408"/>
    </row>
    <row r="1986" spans="1:6" x14ac:dyDescent="0.2">
      <c r="A1986" s="388"/>
      <c r="B1986" s="386"/>
      <c r="C1986" s="386"/>
      <c r="D1986" s="386"/>
      <c r="E1986" s="386"/>
      <c r="F1986" s="408"/>
    </row>
    <row r="1987" spans="1:6" x14ac:dyDescent="0.2">
      <c r="A1987" s="388"/>
      <c r="B1987" s="386"/>
      <c r="C1987" s="386"/>
      <c r="D1987" s="386"/>
      <c r="E1987" s="386"/>
      <c r="F1987" s="408"/>
    </row>
    <row r="1988" spans="1:6" x14ac:dyDescent="0.2">
      <c r="A1988" s="388"/>
      <c r="B1988" s="386"/>
      <c r="C1988" s="386"/>
      <c r="D1988" s="386"/>
      <c r="E1988" s="386"/>
      <c r="F1988" s="408"/>
    </row>
    <row r="1989" spans="1:6" x14ac:dyDescent="0.2">
      <c r="A1989" s="388"/>
      <c r="B1989" s="386"/>
      <c r="C1989" s="386"/>
      <c r="D1989" s="386"/>
      <c r="E1989" s="386"/>
      <c r="F1989" s="408"/>
    </row>
    <row r="1990" spans="1:6" x14ac:dyDescent="0.2">
      <c r="A1990" s="388"/>
      <c r="B1990" s="386"/>
      <c r="C1990" s="386"/>
      <c r="D1990" s="386"/>
      <c r="E1990" s="386"/>
      <c r="F1990" s="408"/>
    </row>
    <row r="1991" spans="1:6" x14ac:dyDescent="0.2">
      <c r="A1991" s="388"/>
      <c r="B1991" s="386"/>
      <c r="C1991" s="386"/>
      <c r="D1991" s="386"/>
      <c r="E1991" s="386"/>
      <c r="F1991" s="408"/>
    </row>
    <row r="1992" spans="1:6" x14ac:dyDescent="0.2">
      <c r="A1992" s="388"/>
      <c r="B1992" s="386"/>
      <c r="C1992" s="386"/>
      <c r="D1992" s="386"/>
      <c r="E1992" s="386"/>
      <c r="F1992" s="408"/>
    </row>
    <row r="1993" spans="1:6" x14ac:dyDescent="0.2">
      <c r="A1993" s="388"/>
      <c r="B1993" s="386"/>
      <c r="C1993" s="386"/>
      <c r="D1993" s="386"/>
      <c r="E1993" s="386"/>
      <c r="F1993" s="408"/>
    </row>
    <row r="1994" spans="1:6" x14ac:dyDescent="0.2">
      <c r="A1994" s="388"/>
      <c r="B1994" s="386"/>
      <c r="C1994" s="386"/>
      <c r="D1994" s="386"/>
      <c r="E1994" s="386"/>
      <c r="F1994" s="408"/>
    </row>
    <row r="1995" spans="1:6" x14ac:dyDescent="0.2">
      <c r="A1995" s="388"/>
      <c r="B1995" s="386"/>
      <c r="C1995" s="386"/>
      <c r="D1995" s="386"/>
      <c r="E1995" s="386"/>
      <c r="F1995" s="408"/>
    </row>
    <row r="1996" spans="1:6" x14ac:dyDescent="0.2">
      <c r="A1996" s="388"/>
      <c r="B1996" s="386"/>
      <c r="C1996" s="386"/>
      <c r="D1996" s="386"/>
      <c r="E1996" s="386"/>
      <c r="F1996" s="408"/>
    </row>
    <row r="1997" spans="1:6" x14ac:dyDescent="0.2">
      <c r="A1997" s="388"/>
      <c r="B1997" s="386"/>
      <c r="C1997" s="386"/>
      <c r="D1997" s="386"/>
      <c r="E1997" s="386"/>
      <c r="F1997" s="408"/>
    </row>
    <row r="1998" spans="1:6" x14ac:dyDescent="0.2">
      <c r="A1998" s="388"/>
      <c r="B1998" s="386"/>
      <c r="C1998" s="386"/>
      <c r="D1998" s="386"/>
      <c r="E1998" s="386"/>
      <c r="F1998" s="408"/>
    </row>
    <row r="1999" spans="1:6" x14ac:dyDescent="0.2">
      <c r="A1999" s="388"/>
      <c r="B1999" s="386"/>
      <c r="C1999" s="386"/>
      <c r="D1999" s="386"/>
      <c r="E1999" s="386"/>
      <c r="F1999" s="408"/>
    </row>
    <row r="2000" spans="1:6" x14ac:dyDescent="0.2">
      <c r="A2000" s="388"/>
      <c r="B2000" s="386"/>
      <c r="C2000" s="386"/>
      <c r="D2000" s="386"/>
      <c r="E2000" s="386"/>
      <c r="F2000" s="408"/>
    </row>
    <row r="2001" spans="1:6" x14ac:dyDescent="0.2">
      <c r="A2001" s="388"/>
      <c r="B2001" s="386"/>
      <c r="C2001" s="386"/>
      <c r="D2001" s="386"/>
      <c r="E2001" s="386"/>
      <c r="F2001" s="408"/>
    </row>
    <row r="2002" spans="1:6" x14ac:dyDescent="0.2">
      <c r="A2002" s="388"/>
      <c r="B2002" s="386"/>
      <c r="C2002" s="386"/>
      <c r="D2002" s="386"/>
      <c r="E2002" s="386"/>
      <c r="F2002" s="408"/>
    </row>
    <row r="2003" spans="1:6" x14ac:dyDescent="0.2">
      <c r="A2003" s="388"/>
      <c r="B2003" s="386"/>
      <c r="C2003" s="386"/>
      <c r="D2003" s="386"/>
      <c r="E2003" s="386"/>
      <c r="F2003" s="408"/>
    </row>
    <row r="2004" spans="1:6" x14ac:dyDescent="0.2">
      <c r="A2004" s="388"/>
      <c r="B2004" s="386"/>
      <c r="C2004" s="386"/>
      <c r="D2004" s="386"/>
      <c r="E2004" s="386"/>
      <c r="F2004" s="408"/>
    </row>
    <row r="2005" spans="1:6" x14ac:dyDescent="0.2">
      <c r="A2005" s="388"/>
      <c r="B2005" s="386"/>
      <c r="C2005" s="386"/>
      <c r="D2005" s="386"/>
      <c r="E2005" s="386"/>
      <c r="F2005" s="408"/>
    </row>
    <row r="2006" spans="1:6" x14ac:dyDescent="0.2">
      <c r="A2006" s="388"/>
      <c r="B2006" s="386"/>
      <c r="C2006" s="386"/>
      <c r="D2006" s="386"/>
      <c r="E2006" s="386"/>
      <c r="F2006" s="408"/>
    </row>
    <row r="2007" spans="1:6" x14ac:dyDescent="0.2">
      <c r="A2007" s="388"/>
      <c r="B2007" s="386"/>
      <c r="C2007" s="386"/>
      <c r="D2007" s="386"/>
      <c r="E2007" s="386"/>
      <c r="F2007" s="408"/>
    </row>
    <row r="2008" spans="1:6" x14ac:dyDescent="0.2">
      <c r="A2008" s="388"/>
      <c r="B2008" s="386"/>
      <c r="C2008" s="386"/>
      <c r="D2008" s="386"/>
      <c r="E2008" s="386"/>
      <c r="F2008" s="408"/>
    </row>
    <row r="2009" spans="1:6" x14ac:dyDescent="0.2">
      <c r="A2009" s="388"/>
      <c r="B2009" s="386"/>
      <c r="C2009" s="386"/>
      <c r="D2009" s="386"/>
      <c r="E2009" s="386"/>
      <c r="F2009" s="408"/>
    </row>
    <row r="2010" spans="1:6" x14ac:dyDescent="0.2">
      <c r="A2010" s="388"/>
      <c r="B2010" s="386"/>
      <c r="C2010" s="386"/>
      <c r="D2010" s="386"/>
      <c r="E2010" s="386"/>
      <c r="F2010" s="408"/>
    </row>
    <row r="2011" spans="1:6" x14ac:dyDescent="0.2">
      <c r="A2011" s="388"/>
      <c r="B2011" s="386"/>
      <c r="C2011" s="386"/>
      <c r="D2011" s="386"/>
      <c r="E2011" s="386"/>
      <c r="F2011" s="408"/>
    </row>
    <row r="2012" spans="1:6" x14ac:dyDescent="0.2">
      <c r="A2012" s="388"/>
      <c r="B2012" s="386"/>
      <c r="C2012" s="386"/>
      <c r="D2012" s="386"/>
      <c r="E2012" s="386"/>
      <c r="F2012" s="408"/>
    </row>
    <row r="2013" spans="1:6" x14ac:dyDescent="0.2">
      <c r="A2013" s="388"/>
      <c r="B2013" s="386"/>
      <c r="C2013" s="386"/>
      <c r="D2013" s="386"/>
      <c r="E2013" s="386"/>
      <c r="F2013" s="408"/>
    </row>
    <row r="2014" spans="1:6" x14ac:dyDescent="0.2">
      <c r="A2014" s="388"/>
      <c r="B2014" s="386"/>
      <c r="C2014" s="386"/>
      <c r="D2014" s="386"/>
      <c r="E2014" s="386"/>
      <c r="F2014" s="408"/>
    </row>
    <row r="2015" spans="1:6" x14ac:dyDescent="0.2">
      <c r="A2015" s="388"/>
      <c r="B2015" s="386"/>
      <c r="C2015" s="386"/>
      <c r="D2015" s="386"/>
      <c r="E2015" s="386"/>
      <c r="F2015" s="408"/>
    </row>
    <row r="2016" spans="1:6" x14ac:dyDescent="0.2">
      <c r="A2016" s="388"/>
      <c r="B2016" s="386"/>
      <c r="C2016" s="386"/>
      <c r="D2016" s="386"/>
      <c r="E2016" s="386"/>
      <c r="F2016" s="408"/>
    </row>
    <row r="2017" spans="1:6" x14ac:dyDescent="0.2">
      <c r="A2017" s="388"/>
      <c r="B2017" s="386"/>
      <c r="C2017" s="386"/>
      <c r="D2017" s="386"/>
      <c r="E2017" s="386"/>
      <c r="F2017" s="408"/>
    </row>
    <row r="2018" spans="1:6" x14ac:dyDescent="0.2">
      <c r="A2018" s="388"/>
      <c r="B2018" s="386"/>
      <c r="C2018" s="386"/>
      <c r="D2018" s="386"/>
      <c r="E2018" s="386"/>
      <c r="F2018" s="408"/>
    </row>
    <row r="2019" spans="1:6" x14ac:dyDescent="0.2">
      <c r="A2019" s="388"/>
      <c r="B2019" s="386"/>
      <c r="C2019" s="386"/>
      <c r="D2019" s="386"/>
      <c r="E2019" s="386"/>
      <c r="F2019" s="408"/>
    </row>
    <row r="2020" spans="1:6" x14ac:dyDescent="0.2">
      <c r="A2020" s="388"/>
      <c r="B2020" s="386"/>
      <c r="C2020" s="386"/>
      <c r="D2020" s="386"/>
      <c r="E2020" s="386"/>
      <c r="F2020" s="408"/>
    </row>
    <row r="2021" spans="1:6" x14ac:dyDescent="0.2">
      <c r="A2021" s="388"/>
      <c r="B2021" s="386"/>
      <c r="C2021" s="386"/>
      <c r="D2021" s="386"/>
      <c r="E2021" s="386"/>
      <c r="F2021" s="408"/>
    </row>
    <row r="2022" spans="1:6" x14ac:dyDescent="0.2">
      <c r="A2022" s="388"/>
      <c r="B2022" s="386"/>
      <c r="C2022" s="386"/>
      <c r="D2022" s="386"/>
      <c r="E2022" s="386"/>
      <c r="F2022" s="408"/>
    </row>
    <row r="2023" spans="1:6" x14ac:dyDescent="0.2">
      <c r="A2023" s="388"/>
      <c r="B2023" s="386"/>
      <c r="C2023" s="386"/>
      <c r="D2023" s="386"/>
      <c r="E2023" s="386"/>
      <c r="F2023" s="408"/>
    </row>
    <row r="2024" spans="1:6" x14ac:dyDescent="0.2">
      <c r="A2024" s="388"/>
      <c r="B2024" s="386"/>
      <c r="C2024" s="386"/>
      <c r="D2024" s="386"/>
      <c r="E2024" s="386"/>
      <c r="F2024" s="408"/>
    </row>
    <row r="2025" spans="1:6" x14ac:dyDescent="0.2">
      <c r="A2025" s="388"/>
      <c r="B2025" s="386"/>
      <c r="C2025" s="386"/>
      <c r="D2025" s="386"/>
      <c r="E2025" s="386"/>
      <c r="F2025" s="408"/>
    </row>
    <row r="2026" spans="1:6" x14ac:dyDescent="0.2">
      <c r="A2026" s="388"/>
      <c r="B2026" s="386"/>
      <c r="C2026" s="386"/>
      <c r="D2026" s="386"/>
      <c r="E2026" s="386"/>
      <c r="F2026" s="408"/>
    </row>
    <row r="2027" spans="1:6" x14ac:dyDescent="0.2">
      <c r="A2027" s="388"/>
      <c r="B2027" s="386"/>
      <c r="C2027" s="386"/>
      <c r="D2027" s="386"/>
      <c r="E2027" s="386"/>
      <c r="F2027" s="408"/>
    </row>
    <row r="2028" spans="1:6" x14ac:dyDescent="0.2">
      <c r="A2028" s="388"/>
      <c r="B2028" s="386"/>
      <c r="C2028" s="386"/>
      <c r="D2028" s="386"/>
      <c r="E2028" s="386"/>
      <c r="F2028" s="408"/>
    </row>
    <row r="2029" spans="1:6" x14ac:dyDescent="0.2">
      <c r="A2029" s="388"/>
      <c r="B2029" s="386"/>
      <c r="C2029" s="386"/>
      <c r="D2029" s="386"/>
      <c r="E2029" s="386"/>
      <c r="F2029" s="408"/>
    </row>
    <row r="2030" spans="1:6" x14ac:dyDescent="0.2">
      <c r="A2030" s="388"/>
      <c r="B2030" s="386"/>
      <c r="C2030" s="386"/>
      <c r="D2030" s="386"/>
      <c r="E2030" s="386"/>
      <c r="F2030" s="408"/>
    </row>
    <row r="2031" spans="1:6" x14ac:dyDescent="0.2">
      <c r="A2031" s="388"/>
      <c r="B2031" s="386"/>
      <c r="C2031" s="386"/>
      <c r="D2031" s="386"/>
      <c r="E2031" s="386"/>
      <c r="F2031" s="408"/>
    </row>
    <row r="2032" spans="1:6" x14ac:dyDescent="0.2">
      <c r="A2032" s="388"/>
      <c r="B2032" s="386"/>
      <c r="C2032" s="386"/>
      <c r="D2032" s="386"/>
      <c r="E2032" s="386"/>
      <c r="F2032" s="408"/>
    </row>
    <row r="2033" spans="1:6" x14ac:dyDescent="0.2">
      <c r="A2033" s="388"/>
      <c r="B2033" s="386"/>
      <c r="C2033" s="386"/>
      <c r="D2033" s="386"/>
      <c r="E2033" s="386"/>
      <c r="F2033" s="408"/>
    </row>
    <row r="2034" spans="1:6" x14ac:dyDescent="0.2">
      <c r="A2034" s="388"/>
      <c r="B2034" s="386"/>
      <c r="C2034" s="386"/>
      <c r="D2034" s="386"/>
      <c r="E2034" s="386"/>
      <c r="F2034" s="408"/>
    </row>
    <row r="2035" spans="1:6" x14ac:dyDescent="0.2">
      <c r="A2035" s="388"/>
      <c r="B2035" s="386"/>
      <c r="C2035" s="386"/>
      <c r="D2035" s="386"/>
      <c r="E2035" s="386"/>
      <c r="F2035" s="408"/>
    </row>
    <row r="2036" spans="1:6" x14ac:dyDescent="0.2">
      <c r="A2036" s="388"/>
      <c r="B2036" s="386"/>
      <c r="C2036" s="386"/>
      <c r="D2036" s="386"/>
      <c r="E2036" s="386"/>
      <c r="F2036" s="408"/>
    </row>
    <row r="2037" spans="1:6" x14ac:dyDescent="0.2">
      <c r="A2037" s="388"/>
      <c r="B2037" s="386"/>
      <c r="C2037" s="386"/>
      <c r="D2037" s="386"/>
      <c r="E2037" s="386"/>
      <c r="F2037" s="408"/>
    </row>
    <row r="2038" spans="1:6" x14ac:dyDescent="0.2">
      <c r="A2038" s="388"/>
      <c r="B2038" s="386"/>
      <c r="C2038" s="386"/>
      <c r="D2038" s="386"/>
      <c r="E2038" s="386"/>
      <c r="F2038" s="408"/>
    </row>
    <row r="2039" spans="1:6" x14ac:dyDescent="0.2">
      <c r="A2039" s="388"/>
      <c r="B2039" s="386"/>
      <c r="C2039" s="386"/>
      <c r="D2039" s="386"/>
      <c r="E2039" s="386"/>
      <c r="F2039" s="408"/>
    </row>
    <row r="2040" spans="1:6" x14ac:dyDescent="0.2">
      <c r="A2040" s="388"/>
      <c r="B2040" s="386"/>
      <c r="C2040" s="386"/>
      <c r="D2040" s="386"/>
      <c r="E2040" s="386"/>
      <c r="F2040" s="408"/>
    </row>
    <row r="2041" spans="1:6" x14ac:dyDescent="0.2">
      <c r="A2041" s="388"/>
      <c r="B2041" s="386"/>
      <c r="C2041" s="386"/>
      <c r="D2041" s="386"/>
      <c r="E2041" s="386"/>
      <c r="F2041" s="408"/>
    </row>
    <row r="2042" spans="1:6" x14ac:dyDescent="0.2">
      <c r="A2042" s="388"/>
      <c r="B2042" s="386"/>
      <c r="C2042" s="386"/>
      <c r="D2042" s="386"/>
      <c r="E2042" s="386"/>
      <c r="F2042" s="408"/>
    </row>
    <row r="2043" spans="1:6" x14ac:dyDescent="0.2">
      <c r="A2043" s="388"/>
      <c r="B2043" s="386"/>
      <c r="C2043" s="386"/>
      <c r="D2043" s="386"/>
      <c r="E2043" s="386"/>
      <c r="F2043" s="408"/>
    </row>
    <row r="2044" spans="1:6" x14ac:dyDescent="0.2">
      <c r="A2044" s="388"/>
      <c r="B2044" s="386"/>
      <c r="C2044" s="386"/>
      <c r="D2044" s="386"/>
      <c r="E2044" s="386"/>
      <c r="F2044" s="408"/>
    </row>
    <row r="2045" spans="1:6" x14ac:dyDescent="0.2">
      <c r="A2045" s="388"/>
      <c r="B2045" s="386"/>
      <c r="C2045" s="386"/>
      <c r="D2045" s="386"/>
      <c r="E2045" s="386"/>
      <c r="F2045" s="408"/>
    </row>
    <row r="2046" spans="1:6" x14ac:dyDescent="0.2">
      <c r="A2046" s="388"/>
      <c r="B2046" s="386"/>
      <c r="C2046" s="386"/>
      <c r="D2046" s="386"/>
      <c r="E2046" s="386"/>
      <c r="F2046" s="408"/>
    </row>
    <row r="2047" spans="1:6" x14ac:dyDescent="0.2">
      <c r="A2047" s="388"/>
      <c r="B2047" s="386"/>
      <c r="C2047" s="386"/>
      <c r="D2047" s="386"/>
      <c r="E2047" s="386"/>
      <c r="F2047" s="408"/>
    </row>
    <row r="2048" spans="1:6" x14ac:dyDescent="0.2">
      <c r="A2048" s="388"/>
      <c r="B2048" s="386"/>
      <c r="C2048" s="386"/>
      <c r="D2048" s="386"/>
      <c r="E2048" s="386"/>
      <c r="F2048" s="408"/>
    </row>
    <row r="2049" spans="1:6" x14ac:dyDescent="0.2">
      <c r="A2049" s="388"/>
      <c r="B2049" s="386"/>
      <c r="C2049" s="386"/>
      <c r="D2049" s="386"/>
      <c r="E2049" s="386"/>
      <c r="F2049" s="408"/>
    </row>
    <row r="2050" spans="1:6" x14ac:dyDescent="0.2">
      <c r="A2050" s="388"/>
      <c r="B2050" s="386"/>
      <c r="C2050" s="386"/>
      <c r="D2050" s="386"/>
      <c r="E2050" s="386"/>
      <c r="F2050" s="408"/>
    </row>
    <row r="2051" spans="1:6" x14ac:dyDescent="0.2">
      <c r="A2051" s="388"/>
      <c r="B2051" s="386"/>
      <c r="C2051" s="386"/>
      <c r="D2051" s="386"/>
      <c r="E2051" s="386"/>
      <c r="F2051" s="408"/>
    </row>
    <row r="2052" spans="1:6" x14ac:dyDescent="0.2">
      <c r="A2052" s="388"/>
      <c r="B2052" s="386"/>
      <c r="C2052" s="386"/>
      <c r="D2052" s="386"/>
      <c r="E2052" s="386"/>
      <c r="F2052" s="408"/>
    </row>
    <row r="2053" spans="1:6" x14ac:dyDescent="0.2">
      <c r="A2053" s="388"/>
      <c r="B2053" s="386"/>
      <c r="C2053" s="386"/>
      <c r="D2053" s="386"/>
      <c r="E2053" s="386"/>
      <c r="F2053" s="408"/>
    </row>
    <row r="2054" spans="1:6" x14ac:dyDescent="0.2">
      <c r="A2054" s="388"/>
      <c r="B2054" s="386"/>
      <c r="C2054" s="386"/>
      <c r="D2054" s="386"/>
      <c r="E2054" s="386"/>
      <c r="F2054" s="408"/>
    </row>
    <row r="2055" spans="1:6" x14ac:dyDescent="0.2">
      <c r="A2055" s="388"/>
      <c r="B2055" s="386"/>
      <c r="C2055" s="386"/>
      <c r="D2055" s="386"/>
      <c r="E2055" s="386"/>
      <c r="F2055" s="408"/>
    </row>
    <row r="2056" spans="1:6" x14ac:dyDescent="0.2">
      <c r="A2056" s="388"/>
      <c r="B2056" s="386"/>
      <c r="C2056" s="386"/>
      <c r="D2056" s="386"/>
      <c r="E2056" s="386"/>
      <c r="F2056" s="408"/>
    </row>
    <row r="2057" spans="1:6" x14ac:dyDescent="0.2">
      <c r="A2057" s="388"/>
      <c r="B2057" s="386"/>
      <c r="C2057" s="386"/>
      <c r="D2057" s="386"/>
      <c r="E2057" s="386"/>
      <c r="F2057" s="408"/>
    </row>
    <row r="2058" spans="1:6" x14ac:dyDescent="0.2">
      <c r="A2058" s="388"/>
      <c r="B2058" s="386"/>
      <c r="C2058" s="386"/>
      <c r="D2058" s="386"/>
      <c r="E2058" s="386"/>
      <c r="F2058" s="408"/>
    </row>
    <row r="2059" spans="1:6" x14ac:dyDescent="0.2">
      <c r="A2059" s="388"/>
      <c r="B2059" s="386"/>
      <c r="C2059" s="386"/>
      <c r="D2059" s="386"/>
      <c r="E2059" s="386"/>
      <c r="F2059" s="408"/>
    </row>
    <row r="2060" spans="1:6" x14ac:dyDescent="0.2">
      <c r="A2060" s="388"/>
      <c r="B2060" s="386"/>
      <c r="C2060" s="386"/>
      <c r="D2060" s="386"/>
      <c r="E2060" s="386"/>
      <c r="F2060" s="408"/>
    </row>
    <row r="2061" spans="1:6" x14ac:dyDescent="0.2">
      <c r="A2061" s="388"/>
      <c r="B2061" s="386"/>
      <c r="C2061" s="386"/>
      <c r="D2061" s="386"/>
      <c r="E2061" s="386"/>
      <c r="F2061" s="408"/>
    </row>
    <row r="2062" spans="1:6" x14ac:dyDescent="0.2">
      <c r="A2062" s="388"/>
      <c r="B2062" s="386"/>
      <c r="C2062" s="386"/>
      <c r="D2062" s="386"/>
      <c r="E2062" s="386"/>
      <c r="F2062" s="408"/>
    </row>
    <row r="2063" spans="1:6" x14ac:dyDescent="0.2">
      <c r="A2063" s="388"/>
      <c r="B2063" s="386"/>
      <c r="C2063" s="386"/>
      <c r="D2063" s="386"/>
      <c r="E2063" s="386"/>
      <c r="F2063" s="408"/>
    </row>
    <row r="2064" spans="1:6" x14ac:dyDescent="0.2">
      <c r="A2064" s="388"/>
      <c r="B2064" s="386"/>
      <c r="C2064" s="386"/>
      <c r="D2064" s="386"/>
      <c r="E2064" s="386"/>
      <c r="F2064" s="408"/>
    </row>
    <row r="2065" spans="1:6" x14ac:dyDescent="0.2">
      <c r="A2065" s="388"/>
      <c r="B2065" s="386"/>
      <c r="C2065" s="386"/>
      <c r="D2065" s="386"/>
      <c r="E2065" s="386"/>
      <c r="F2065" s="408"/>
    </row>
    <row r="2066" spans="1:6" x14ac:dyDescent="0.2">
      <c r="A2066" s="388"/>
      <c r="B2066" s="386"/>
      <c r="C2066" s="386"/>
      <c r="D2066" s="386"/>
      <c r="E2066" s="386"/>
      <c r="F2066" s="408"/>
    </row>
    <row r="2067" spans="1:6" x14ac:dyDescent="0.2">
      <c r="A2067" s="388"/>
      <c r="B2067" s="386"/>
      <c r="C2067" s="386"/>
      <c r="D2067" s="386"/>
      <c r="E2067" s="386"/>
      <c r="F2067" s="408"/>
    </row>
    <row r="2068" spans="1:6" x14ac:dyDescent="0.2">
      <c r="A2068" s="388"/>
      <c r="B2068" s="386"/>
      <c r="C2068" s="386"/>
      <c r="D2068" s="386"/>
      <c r="E2068" s="386"/>
      <c r="F2068" s="408"/>
    </row>
    <row r="2069" spans="1:6" x14ac:dyDescent="0.2">
      <c r="A2069" s="388"/>
      <c r="B2069" s="386"/>
      <c r="C2069" s="386"/>
      <c r="D2069" s="386"/>
      <c r="E2069" s="386"/>
      <c r="F2069" s="408"/>
    </row>
    <row r="2070" spans="1:6" x14ac:dyDescent="0.2">
      <c r="A2070" s="388"/>
      <c r="B2070" s="386"/>
      <c r="C2070" s="386"/>
      <c r="D2070" s="386"/>
      <c r="E2070" s="386"/>
      <c r="F2070" s="408"/>
    </row>
    <row r="2071" spans="1:6" x14ac:dyDescent="0.2">
      <c r="A2071" s="388"/>
      <c r="B2071" s="386"/>
      <c r="C2071" s="386"/>
      <c r="D2071" s="386"/>
      <c r="E2071" s="386"/>
      <c r="F2071" s="408"/>
    </row>
    <row r="2072" spans="1:6" x14ac:dyDescent="0.2">
      <c r="A2072" s="388"/>
      <c r="B2072" s="386"/>
      <c r="C2072" s="386"/>
      <c r="D2072" s="386"/>
      <c r="E2072" s="386"/>
      <c r="F2072" s="408"/>
    </row>
    <row r="2073" spans="1:6" x14ac:dyDescent="0.2">
      <c r="A2073" s="388"/>
      <c r="B2073" s="386"/>
      <c r="C2073" s="386"/>
      <c r="D2073" s="386"/>
      <c r="E2073" s="386"/>
      <c r="F2073" s="408"/>
    </row>
    <row r="2074" spans="1:6" x14ac:dyDescent="0.2">
      <c r="A2074" s="388"/>
      <c r="B2074" s="386"/>
      <c r="C2074" s="386"/>
      <c r="D2074" s="386"/>
      <c r="E2074" s="386"/>
      <c r="F2074" s="408"/>
    </row>
    <row r="2075" spans="1:6" x14ac:dyDescent="0.2">
      <c r="A2075" s="388"/>
      <c r="B2075" s="386"/>
      <c r="C2075" s="386"/>
      <c r="D2075" s="386"/>
      <c r="E2075" s="386"/>
      <c r="F2075" s="408"/>
    </row>
    <row r="2076" spans="1:6" x14ac:dyDescent="0.2">
      <c r="A2076" s="388"/>
      <c r="B2076" s="386"/>
      <c r="C2076" s="386"/>
      <c r="D2076" s="386"/>
      <c r="E2076" s="386"/>
      <c r="F2076" s="408"/>
    </row>
    <row r="2077" spans="1:6" x14ac:dyDescent="0.2">
      <c r="A2077" s="388"/>
      <c r="B2077" s="386"/>
      <c r="C2077" s="386"/>
      <c r="D2077" s="386"/>
      <c r="E2077" s="386"/>
      <c r="F2077" s="408"/>
    </row>
    <row r="2078" spans="1:6" x14ac:dyDescent="0.2">
      <c r="A2078" s="388"/>
      <c r="B2078" s="386"/>
      <c r="C2078" s="386"/>
      <c r="D2078" s="386"/>
      <c r="E2078" s="386"/>
      <c r="F2078" s="408"/>
    </row>
    <row r="2079" spans="1:6" x14ac:dyDescent="0.2">
      <c r="A2079" s="388"/>
      <c r="B2079" s="386"/>
      <c r="C2079" s="386"/>
      <c r="D2079" s="386"/>
      <c r="E2079" s="386"/>
      <c r="F2079" s="408"/>
    </row>
    <row r="2080" spans="1:6" x14ac:dyDescent="0.2">
      <c r="A2080" s="388"/>
      <c r="B2080" s="386"/>
      <c r="C2080" s="386"/>
      <c r="D2080" s="386"/>
      <c r="E2080" s="386"/>
      <c r="F2080" s="408"/>
    </row>
    <row r="2081" spans="1:6" x14ac:dyDescent="0.2">
      <c r="A2081" s="388"/>
      <c r="B2081" s="386"/>
      <c r="C2081" s="386"/>
      <c r="D2081" s="386"/>
      <c r="E2081" s="386"/>
      <c r="F2081" s="408"/>
    </row>
    <row r="2082" spans="1:6" x14ac:dyDescent="0.2">
      <c r="A2082" s="388"/>
      <c r="B2082" s="386"/>
      <c r="C2082" s="386"/>
      <c r="D2082" s="386"/>
      <c r="E2082" s="386"/>
      <c r="F2082" s="408"/>
    </row>
    <row r="2083" spans="1:6" x14ac:dyDescent="0.2">
      <c r="A2083" s="388"/>
      <c r="B2083" s="386"/>
      <c r="C2083" s="386"/>
      <c r="D2083" s="386"/>
      <c r="E2083" s="386"/>
      <c r="F2083" s="408"/>
    </row>
    <row r="2084" spans="1:6" x14ac:dyDescent="0.2">
      <c r="A2084" s="388"/>
      <c r="B2084" s="386"/>
      <c r="C2084" s="386"/>
      <c r="D2084" s="386"/>
      <c r="E2084" s="386"/>
      <c r="F2084" s="408"/>
    </row>
    <row r="2085" spans="1:6" x14ac:dyDescent="0.2">
      <c r="A2085" s="388"/>
      <c r="B2085" s="386"/>
      <c r="C2085" s="386"/>
      <c r="D2085" s="386"/>
      <c r="E2085" s="386"/>
      <c r="F2085" s="408"/>
    </row>
    <row r="2086" spans="1:6" x14ac:dyDescent="0.2">
      <c r="A2086" s="388"/>
      <c r="B2086" s="386"/>
      <c r="C2086" s="386"/>
      <c r="D2086" s="386"/>
      <c r="E2086" s="386"/>
      <c r="F2086" s="408"/>
    </row>
    <row r="2087" spans="1:6" x14ac:dyDescent="0.2">
      <c r="A2087" s="388"/>
      <c r="B2087" s="386"/>
      <c r="C2087" s="386"/>
      <c r="D2087" s="386"/>
      <c r="E2087" s="386"/>
      <c r="F2087" s="408"/>
    </row>
    <row r="2088" spans="1:6" x14ac:dyDescent="0.2">
      <c r="A2088" s="388"/>
      <c r="B2088" s="386"/>
      <c r="C2088" s="386"/>
      <c r="D2088" s="386"/>
      <c r="E2088" s="386"/>
      <c r="F2088" s="408"/>
    </row>
    <row r="2089" spans="1:6" x14ac:dyDescent="0.2">
      <c r="A2089" s="388"/>
      <c r="B2089" s="386"/>
      <c r="C2089" s="386"/>
      <c r="D2089" s="386"/>
      <c r="E2089" s="386"/>
      <c r="F2089" s="408"/>
    </row>
    <row r="2090" spans="1:6" x14ac:dyDescent="0.2">
      <c r="A2090" s="388"/>
      <c r="B2090" s="386"/>
      <c r="C2090" s="386"/>
      <c r="D2090" s="386"/>
      <c r="E2090" s="386"/>
      <c r="F2090" s="408"/>
    </row>
    <row r="2091" spans="1:6" x14ac:dyDescent="0.2">
      <c r="A2091" s="388"/>
      <c r="B2091" s="386"/>
      <c r="C2091" s="386"/>
      <c r="D2091" s="386"/>
      <c r="E2091" s="386"/>
      <c r="F2091" s="408"/>
    </row>
    <row r="2092" spans="1:6" x14ac:dyDescent="0.2">
      <c r="A2092" s="388"/>
      <c r="B2092" s="386"/>
      <c r="C2092" s="386"/>
      <c r="D2092" s="386"/>
      <c r="E2092" s="386"/>
      <c r="F2092" s="408"/>
    </row>
    <row r="2093" spans="1:6" x14ac:dyDescent="0.2">
      <c r="A2093" s="388"/>
      <c r="B2093" s="386"/>
      <c r="C2093" s="386"/>
      <c r="D2093" s="386"/>
      <c r="E2093" s="386"/>
      <c r="F2093" s="408"/>
    </row>
    <row r="2094" spans="1:6" x14ac:dyDescent="0.2">
      <c r="A2094" s="388"/>
      <c r="B2094" s="386"/>
      <c r="C2094" s="386"/>
      <c r="D2094" s="386"/>
      <c r="E2094" s="386"/>
      <c r="F2094" s="408"/>
    </row>
    <row r="2095" spans="1:6" x14ac:dyDescent="0.2">
      <c r="A2095" s="388"/>
      <c r="B2095" s="386"/>
      <c r="C2095" s="386"/>
      <c r="D2095" s="386"/>
      <c r="E2095" s="386"/>
      <c r="F2095" s="408"/>
    </row>
    <row r="2096" spans="1:6" x14ac:dyDescent="0.2">
      <c r="A2096" s="388"/>
      <c r="B2096" s="386"/>
      <c r="C2096" s="386"/>
      <c r="D2096" s="386"/>
      <c r="E2096" s="386"/>
      <c r="F2096" s="408"/>
    </row>
    <row r="2097" spans="1:6" x14ac:dyDescent="0.2">
      <c r="A2097" s="388"/>
      <c r="B2097" s="386"/>
      <c r="C2097" s="386"/>
      <c r="D2097" s="386"/>
      <c r="E2097" s="386"/>
      <c r="F2097" s="408"/>
    </row>
    <row r="2098" spans="1:6" x14ac:dyDescent="0.2">
      <c r="A2098" s="388"/>
      <c r="B2098" s="386"/>
      <c r="C2098" s="386"/>
      <c r="D2098" s="386"/>
      <c r="E2098" s="386"/>
      <c r="F2098" s="408"/>
    </row>
    <row r="2099" spans="1:6" x14ac:dyDescent="0.2">
      <c r="A2099" s="388"/>
      <c r="B2099" s="386"/>
      <c r="C2099" s="386"/>
      <c r="D2099" s="386"/>
      <c r="E2099" s="386"/>
      <c r="F2099" s="408"/>
    </row>
    <row r="2100" spans="1:6" x14ac:dyDescent="0.2">
      <c r="A2100" s="388"/>
      <c r="B2100" s="386"/>
      <c r="C2100" s="386"/>
      <c r="D2100" s="386"/>
      <c r="E2100" s="386"/>
      <c r="F2100" s="408"/>
    </row>
    <row r="2101" spans="1:6" x14ac:dyDescent="0.2">
      <c r="A2101" s="388"/>
      <c r="B2101" s="386"/>
      <c r="C2101" s="386"/>
      <c r="D2101" s="386"/>
      <c r="E2101" s="386"/>
      <c r="F2101" s="408"/>
    </row>
    <row r="2102" spans="1:6" x14ac:dyDescent="0.2">
      <c r="A2102" s="388"/>
      <c r="B2102" s="386"/>
      <c r="C2102" s="386"/>
      <c r="D2102" s="386"/>
      <c r="E2102" s="386"/>
      <c r="F2102" s="408"/>
    </row>
    <row r="2103" spans="1:6" x14ac:dyDescent="0.2">
      <c r="A2103" s="388"/>
      <c r="B2103" s="386"/>
      <c r="C2103" s="386"/>
      <c r="D2103" s="386"/>
      <c r="E2103" s="386"/>
      <c r="F2103" s="408"/>
    </row>
    <row r="2104" spans="1:6" x14ac:dyDescent="0.2">
      <c r="A2104" s="388"/>
      <c r="B2104" s="386"/>
      <c r="C2104" s="386"/>
      <c r="D2104" s="386"/>
      <c r="E2104" s="386"/>
      <c r="F2104" s="408"/>
    </row>
    <row r="2105" spans="1:6" x14ac:dyDescent="0.2">
      <c r="A2105" s="388"/>
      <c r="B2105" s="386"/>
      <c r="C2105" s="386"/>
      <c r="D2105" s="386"/>
      <c r="E2105" s="386"/>
      <c r="F2105" s="408"/>
    </row>
    <row r="2106" spans="1:6" x14ac:dyDescent="0.2">
      <c r="A2106" s="388"/>
      <c r="B2106" s="386"/>
      <c r="C2106" s="386"/>
      <c r="D2106" s="386"/>
      <c r="E2106" s="386"/>
      <c r="F2106" s="408"/>
    </row>
    <row r="2107" spans="1:6" x14ac:dyDescent="0.2">
      <c r="A2107" s="388"/>
      <c r="B2107" s="386"/>
      <c r="C2107" s="386"/>
      <c r="D2107" s="386"/>
      <c r="E2107" s="386"/>
      <c r="F2107" s="408"/>
    </row>
    <row r="2108" spans="1:6" x14ac:dyDescent="0.2">
      <c r="A2108" s="388"/>
      <c r="B2108" s="386"/>
      <c r="C2108" s="386"/>
      <c r="D2108" s="386"/>
      <c r="E2108" s="386"/>
      <c r="F2108" s="408"/>
    </row>
    <row r="2109" spans="1:6" x14ac:dyDescent="0.2">
      <c r="A2109" s="388"/>
      <c r="B2109" s="386"/>
      <c r="C2109" s="386"/>
      <c r="D2109" s="386"/>
      <c r="E2109" s="386"/>
      <c r="F2109" s="408"/>
    </row>
    <row r="2110" spans="1:6" x14ac:dyDescent="0.2">
      <c r="A2110" s="388"/>
      <c r="B2110" s="386"/>
      <c r="C2110" s="386"/>
      <c r="D2110" s="386"/>
      <c r="E2110" s="386"/>
      <c r="F2110" s="408"/>
    </row>
    <row r="2111" spans="1:6" x14ac:dyDescent="0.2">
      <c r="A2111" s="388"/>
      <c r="B2111" s="386"/>
      <c r="C2111" s="386"/>
      <c r="D2111" s="386"/>
      <c r="E2111" s="386"/>
      <c r="F2111" s="408"/>
    </row>
    <row r="2112" spans="1:6" x14ac:dyDescent="0.2">
      <c r="A2112" s="388"/>
      <c r="B2112" s="386"/>
      <c r="C2112" s="386"/>
      <c r="D2112" s="386"/>
      <c r="E2112" s="386"/>
      <c r="F2112" s="408"/>
    </row>
    <row r="2113" spans="1:6" x14ac:dyDescent="0.2">
      <c r="A2113" s="388"/>
      <c r="B2113" s="386"/>
      <c r="C2113" s="386"/>
      <c r="D2113" s="386"/>
      <c r="E2113" s="386"/>
      <c r="F2113" s="408"/>
    </row>
    <row r="2114" spans="1:6" x14ac:dyDescent="0.2">
      <c r="A2114" s="388"/>
      <c r="B2114" s="386"/>
      <c r="C2114" s="386"/>
      <c r="D2114" s="386"/>
      <c r="E2114" s="386"/>
      <c r="F2114" s="408"/>
    </row>
    <row r="2115" spans="1:6" x14ac:dyDescent="0.2">
      <c r="A2115" s="388"/>
      <c r="B2115" s="386"/>
      <c r="C2115" s="386"/>
      <c r="D2115" s="386"/>
      <c r="E2115" s="386"/>
      <c r="F2115" s="408"/>
    </row>
    <row r="2116" spans="1:6" x14ac:dyDescent="0.2">
      <c r="A2116" s="388"/>
      <c r="B2116" s="386"/>
      <c r="C2116" s="386"/>
      <c r="D2116" s="386"/>
      <c r="E2116" s="386"/>
      <c r="F2116" s="408"/>
    </row>
    <row r="2117" spans="1:6" x14ac:dyDescent="0.2">
      <c r="A2117" s="388"/>
      <c r="B2117" s="386"/>
      <c r="C2117" s="386"/>
      <c r="D2117" s="386"/>
      <c r="E2117" s="386"/>
      <c r="F2117" s="408"/>
    </row>
    <row r="2118" spans="1:6" x14ac:dyDescent="0.2">
      <c r="A2118" s="388"/>
      <c r="B2118" s="386"/>
      <c r="C2118" s="386"/>
      <c r="D2118" s="386"/>
      <c r="E2118" s="386"/>
      <c r="F2118" s="408"/>
    </row>
    <row r="2119" spans="1:6" x14ac:dyDescent="0.2">
      <c r="A2119" s="388"/>
      <c r="B2119" s="386"/>
      <c r="C2119" s="386"/>
      <c r="D2119" s="386"/>
      <c r="E2119" s="386"/>
      <c r="F2119" s="408"/>
    </row>
    <row r="2120" spans="1:6" x14ac:dyDescent="0.2">
      <c r="A2120" s="388"/>
      <c r="B2120" s="386"/>
      <c r="C2120" s="386"/>
      <c r="D2120" s="386"/>
      <c r="E2120" s="386"/>
      <c r="F2120" s="408"/>
    </row>
    <row r="2121" spans="1:6" x14ac:dyDescent="0.2">
      <c r="A2121" s="388"/>
      <c r="B2121" s="386"/>
      <c r="C2121" s="386"/>
      <c r="D2121" s="386"/>
      <c r="E2121" s="386"/>
      <c r="F2121" s="408"/>
    </row>
    <row r="2122" spans="1:6" x14ac:dyDescent="0.2">
      <c r="A2122" s="388"/>
      <c r="B2122" s="386"/>
      <c r="C2122" s="386"/>
      <c r="D2122" s="386"/>
      <c r="E2122" s="386"/>
      <c r="F2122" s="408"/>
    </row>
    <row r="2123" spans="1:6" x14ac:dyDescent="0.2">
      <c r="A2123" s="388"/>
      <c r="B2123" s="386"/>
      <c r="C2123" s="386"/>
      <c r="D2123" s="386"/>
      <c r="E2123" s="386"/>
      <c r="F2123" s="408"/>
    </row>
    <row r="2124" spans="1:6" x14ac:dyDescent="0.2">
      <c r="A2124" s="388"/>
      <c r="B2124" s="386"/>
      <c r="C2124" s="386"/>
      <c r="D2124" s="386"/>
      <c r="E2124" s="386"/>
      <c r="F2124" s="408"/>
    </row>
    <row r="2125" spans="1:6" x14ac:dyDescent="0.2">
      <c r="A2125" s="388"/>
      <c r="B2125" s="386"/>
      <c r="C2125" s="386"/>
      <c r="D2125" s="386"/>
      <c r="E2125" s="386"/>
      <c r="F2125" s="408"/>
    </row>
    <row r="2126" spans="1:6" x14ac:dyDescent="0.2">
      <c r="A2126" s="388"/>
      <c r="B2126" s="386"/>
      <c r="C2126" s="386"/>
      <c r="D2126" s="386"/>
      <c r="E2126" s="386"/>
      <c r="F2126" s="408"/>
    </row>
    <row r="2127" spans="1:6" x14ac:dyDescent="0.2">
      <c r="A2127" s="388"/>
      <c r="B2127" s="386"/>
      <c r="C2127" s="386"/>
      <c r="D2127" s="386"/>
      <c r="E2127" s="386"/>
      <c r="F2127" s="408"/>
    </row>
    <row r="2128" spans="1:6" x14ac:dyDescent="0.2">
      <c r="A2128" s="388"/>
      <c r="B2128" s="386"/>
      <c r="C2128" s="386"/>
      <c r="D2128" s="386"/>
      <c r="E2128" s="386"/>
      <c r="F2128" s="408"/>
    </row>
    <row r="2129" spans="1:6" x14ac:dyDescent="0.2">
      <c r="A2129" s="388"/>
      <c r="B2129" s="386"/>
      <c r="C2129" s="386"/>
      <c r="D2129" s="386"/>
      <c r="E2129" s="386"/>
      <c r="F2129" s="408"/>
    </row>
    <row r="2130" spans="1:6" x14ac:dyDescent="0.2">
      <c r="A2130" s="388"/>
      <c r="B2130" s="386"/>
      <c r="C2130" s="386"/>
      <c r="D2130" s="386"/>
      <c r="E2130" s="386"/>
      <c r="F2130" s="408"/>
    </row>
    <row r="2131" spans="1:6" x14ac:dyDescent="0.2">
      <c r="A2131" s="388"/>
      <c r="B2131" s="386"/>
      <c r="C2131" s="386"/>
      <c r="D2131" s="386"/>
      <c r="E2131" s="386"/>
      <c r="F2131" s="408"/>
    </row>
    <row r="2132" spans="1:6" x14ac:dyDescent="0.2">
      <c r="A2132" s="388"/>
      <c r="B2132" s="386"/>
      <c r="C2132" s="386"/>
      <c r="D2132" s="386"/>
      <c r="E2132" s="386"/>
      <c r="F2132" s="408"/>
    </row>
    <row r="2133" spans="1:6" x14ac:dyDescent="0.2">
      <c r="A2133" s="388"/>
      <c r="B2133" s="386"/>
      <c r="C2133" s="386"/>
      <c r="D2133" s="386"/>
      <c r="E2133" s="386"/>
      <c r="F2133" s="408"/>
    </row>
    <row r="2134" spans="1:6" x14ac:dyDescent="0.2">
      <c r="A2134" s="388"/>
      <c r="B2134" s="386"/>
      <c r="C2134" s="386"/>
      <c r="D2134" s="386"/>
      <c r="E2134" s="386"/>
      <c r="F2134" s="408"/>
    </row>
    <row r="2135" spans="1:6" x14ac:dyDescent="0.2">
      <c r="A2135" s="388"/>
      <c r="B2135" s="386"/>
      <c r="C2135" s="386"/>
      <c r="D2135" s="386"/>
      <c r="E2135" s="386"/>
      <c r="F2135" s="408"/>
    </row>
    <row r="2136" spans="1:6" x14ac:dyDescent="0.2">
      <c r="A2136" s="388"/>
      <c r="B2136" s="386"/>
      <c r="C2136" s="386"/>
      <c r="D2136" s="386"/>
      <c r="E2136" s="386"/>
      <c r="F2136" s="408"/>
    </row>
    <row r="2137" spans="1:6" x14ac:dyDescent="0.2">
      <c r="A2137" s="388"/>
      <c r="B2137" s="386"/>
      <c r="C2137" s="386"/>
      <c r="D2137" s="386"/>
      <c r="E2137" s="386"/>
      <c r="F2137" s="408"/>
    </row>
    <row r="2138" spans="1:6" x14ac:dyDescent="0.2">
      <c r="A2138" s="388"/>
      <c r="B2138" s="386"/>
      <c r="C2138" s="386"/>
      <c r="D2138" s="386"/>
      <c r="E2138" s="386"/>
      <c r="F2138" s="408"/>
    </row>
    <row r="2139" spans="1:6" x14ac:dyDescent="0.2">
      <c r="A2139" s="388"/>
      <c r="B2139" s="386"/>
      <c r="C2139" s="386"/>
      <c r="D2139" s="386"/>
      <c r="E2139" s="386"/>
      <c r="F2139" s="408"/>
    </row>
    <row r="2140" spans="1:6" x14ac:dyDescent="0.2">
      <c r="A2140" s="388"/>
      <c r="B2140" s="386"/>
      <c r="C2140" s="386"/>
      <c r="D2140" s="386"/>
      <c r="E2140" s="386"/>
      <c r="F2140" s="408"/>
    </row>
    <row r="2141" spans="1:6" x14ac:dyDescent="0.2">
      <c r="A2141" s="388"/>
      <c r="B2141" s="386"/>
      <c r="C2141" s="386"/>
      <c r="D2141" s="386"/>
      <c r="E2141" s="386"/>
      <c r="F2141" s="408"/>
    </row>
    <row r="2142" spans="1:6" x14ac:dyDescent="0.2">
      <c r="A2142" s="388"/>
      <c r="B2142" s="386"/>
      <c r="C2142" s="386"/>
      <c r="D2142" s="386"/>
      <c r="E2142" s="386"/>
      <c r="F2142" s="408"/>
    </row>
    <row r="2143" spans="1:6" x14ac:dyDescent="0.2">
      <c r="A2143" s="388"/>
      <c r="B2143" s="386"/>
      <c r="C2143" s="386"/>
      <c r="D2143" s="386"/>
      <c r="E2143" s="386"/>
      <c r="F2143" s="408"/>
    </row>
    <row r="2144" spans="1:6" x14ac:dyDescent="0.2">
      <c r="A2144" s="388"/>
      <c r="B2144" s="386"/>
      <c r="C2144" s="386"/>
      <c r="D2144" s="386"/>
      <c r="E2144" s="386"/>
      <c r="F2144" s="408"/>
    </row>
    <row r="2145" spans="1:6" x14ac:dyDescent="0.2">
      <c r="A2145" s="388"/>
      <c r="B2145" s="386"/>
      <c r="C2145" s="386"/>
      <c r="D2145" s="386"/>
      <c r="E2145" s="386"/>
      <c r="F2145" s="408"/>
    </row>
    <row r="2146" spans="1:6" x14ac:dyDescent="0.2">
      <c r="A2146" s="388"/>
      <c r="B2146" s="386"/>
      <c r="C2146" s="386"/>
      <c r="D2146" s="386"/>
      <c r="E2146" s="386"/>
      <c r="F2146" s="408"/>
    </row>
    <row r="2147" spans="1:6" x14ac:dyDescent="0.2">
      <c r="A2147" s="388"/>
      <c r="B2147" s="386"/>
      <c r="C2147" s="386"/>
      <c r="D2147" s="386"/>
      <c r="E2147" s="386"/>
      <c r="F2147" s="408"/>
    </row>
    <row r="2148" spans="1:6" x14ac:dyDescent="0.2">
      <c r="A2148" s="388"/>
      <c r="B2148" s="386"/>
      <c r="C2148" s="386"/>
      <c r="D2148" s="386"/>
      <c r="E2148" s="386"/>
      <c r="F2148" s="408"/>
    </row>
    <row r="2149" spans="1:6" x14ac:dyDescent="0.2">
      <c r="A2149" s="388"/>
      <c r="B2149" s="386"/>
      <c r="C2149" s="386"/>
      <c r="D2149" s="386"/>
      <c r="E2149" s="386"/>
      <c r="F2149" s="408"/>
    </row>
    <row r="2150" spans="1:6" x14ac:dyDescent="0.2">
      <c r="A2150" s="388"/>
      <c r="B2150" s="386"/>
      <c r="C2150" s="386"/>
      <c r="D2150" s="386"/>
      <c r="E2150" s="386"/>
      <c r="F2150" s="408"/>
    </row>
    <row r="2151" spans="1:6" x14ac:dyDescent="0.2">
      <c r="A2151" s="388"/>
      <c r="B2151" s="386"/>
      <c r="C2151" s="386"/>
      <c r="D2151" s="386"/>
      <c r="E2151" s="386"/>
      <c r="F2151" s="408"/>
    </row>
    <row r="2152" spans="1:6" x14ac:dyDescent="0.2">
      <c r="A2152" s="388"/>
      <c r="B2152" s="386"/>
      <c r="C2152" s="386"/>
      <c r="D2152" s="386"/>
      <c r="E2152" s="386"/>
      <c r="F2152" s="408"/>
    </row>
    <row r="2153" spans="1:6" x14ac:dyDescent="0.2">
      <c r="A2153" s="388"/>
      <c r="B2153" s="386"/>
      <c r="C2153" s="386"/>
      <c r="D2153" s="386"/>
      <c r="E2153" s="386"/>
      <c r="F2153" s="408"/>
    </row>
    <row r="2154" spans="1:6" x14ac:dyDescent="0.2">
      <c r="A2154" s="388"/>
      <c r="B2154" s="386"/>
      <c r="C2154" s="386"/>
      <c r="D2154" s="386"/>
      <c r="E2154" s="386"/>
      <c r="F2154" s="408"/>
    </row>
    <row r="2155" spans="1:6" x14ac:dyDescent="0.2">
      <c r="A2155" s="388"/>
      <c r="B2155" s="386"/>
      <c r="C2155" s="386"/>
      <c r="D2155" s="386"/>
      <c r="E2155" s="386"/>
      <c r="F2155" s="408"/>
    </row>
    <row r="2156" spans="1:6" x14ac:dyDescent="0.2">
      <c r="A2156" s="388"/>
      <c r="B2156" s="386"/>
      <c r="C2156" s="386"/>
      <c r="D2156" s="386"/>
      <c r="E2156" s="386"/>
      <c r="F2156" s="408"/>
    </row>
    <row r="2157" spans="1:6" x14ac:dyDescent="0.2">
      <c r="A2157" s="388"/>
      <c r="B2157" s="386"/>
      <c r="C2157" s="386"/>
      <c r="D2157" s="386"/>
      <c r="E2157" s="386"/>
      <c r="F2157" s="408"/>
    </row>
    <row r="2158" spans="1:6" x14ac:dyDescent="0.2">
      <c r="A2158" s="388"/>
      <c r="B2158" s="386"/>
      <c r="C2158" s="386"/>
      <c r="D2158" s="386"/>
      <c r="E2158" s="386"/>
      <c r="F2158" s="408"/>
    </row>
    <row r="2159" spans="1:6" x14ac:dyDescent="0.2">
      <c r="A2159" s="388"/>
      <c r="B2159" s="386"/>
      <c r="C2159" s="386"/>
      <c r="D2159" s="386"/>
      <c r="E2159" s="386"/>
      <c r="F2159" s="408"/>
    </row>
    <row r="2160" spans="1:6" x14ac:dyDescent="0.2">
      <c r="A2160" s="388"/>
      <c r="B2160" s="386"/>
      <c r="C2160" s="386"/>
      <c r="D2160" s="386"/>
      <c r="E2160" s="386"/>
      <c r="F2160" s="408"/>
    </row>
    <row r="2161" spans="1:6" x14ac:dyDescent="0.2">
      <c r="A2161" s="388"/>
      <c r="B2161" s="386"/>
      <c r="C2161" s="386"/>
      <c r="D2161" s="386"/>
      <c r="E2161" s="386"/>
      <c r="F2161" s="408"/>
    </row>
    <row r="2162" spans="1:6" x14ac:dyDescent="0.2">
      <c r="A2162" s="388"/>
      <c r="B2162" s="386"/>
      <c r="C2162" s="386"/>
      <c r="D2162" s="386"/>
      <c r="E2162" s="386"/>
      <c r="F2162" s="408"/>
    </row>
    <row r="2163" spans="1:6" x14ac:dyDescent="0.2">
      <c r="A2163" s="388"/>
      <c r="B2163" s="386"/>
      <c r="C2163" s="386"/>
      <c r="D2163" s="386"/>
      <c r="E2163" s="386"/>
      <c r="F2163" s="408"/>
    </row>
    <row r="2164" spans="1:6" x14ac:dyDescent="0.2">
      <c r="A2164" s="388"/>
      <c r="B2164" s="386"/>
      <c r="C2164" s="386"/>
      <c r="D2164" s="386"/>
      <c r="E2164" s="386"/>
      <c r="F2164" s="408"/>
    </row>
    <row r="2165" spans="1:6" x14ac:dyDescent="0.2">
      <c r="A2165" s="388"/>
      <c r="B2165" s="386"/>
      <c r="C2165" s="386"/>
      <c r="D2165" s="386"/>
      <c r="E2165" s="386"/>
      <c r="F2165" s="408"/>
    </row>
    <row r="2166" spans="1:6" x14ac:dyDescent="0.2">
      <c r="A2166" s="388"/>
      <c r="B2166" s="386"/>
      <c r="C2166" s="386"/>
      <c r="D2166" s="386"/>
      <c r="E2166" s="386"/>
      <c r="F2166" s="408"/>
    </row>
    <row r="2167" spans="1:6" x14ac:dyDescent="0.2">
      <c r="A2167" s="388"/>
      <c r="B2167" s="386"/>
      <c r="C2167" s="386"/>
      <c r="D2167" s="386"/>
      <c r="E2167" s="386"/>
      <c r="F2167" s="408"/>
    </row>
    <row r="2168" spans="1:6" x14ac:dyDescent="0.2">
      <c r="A2168" s="388"/>
      <c r="B2168" s="386"/>
      <c r="C2168" s="386"/>
      <c r="D2168" s="386"/>
      <c r="E2168" s="386"/>
      <c r="F2168" s="408"/>
    </row>
    <row r="2169" spans="1:6" x14ac:dyDescent="0.2">
      <c r="A2169" s="388"/>
      <c r="B2169" s="386"/>
      <c r="C2169" s="386"/>
      <c r="D2169" s="386"/>
      <c r="E2169" s="386"/>
      <c r="F2169" s="408"/>
    </row>
    <row r="2170" spans="1:6" x14ac:dyDescent="0.2">
      <c r="A2170" s="388"/>
      <c r="B2170" s="386"/>
      <c r="C2170" s="386"/>
      <c r="D2170" s="386"/>
      <c r="E2170" s="386"/>
      <c r="F2170" s="408"/>
    </row>
    <row r="2171" spans="1:6" x14ac:dyDescent="0.2">
      <c r="A2171" s="388"/>
      <c r="B2171" s="386"/>
      <c r="C2171" s="386"/>
      <c r="D2171" s="386"/>
      <c r="E2171" s="386"/>
      <c r="F2171" s="408"/>
    </row>
    <row r="2172" spans="1:6" x14ac:dyDescent="0.2">
      <c r="A2172" s="388"/>
      <c r="B2172" s="386"/>
      <c r="C2172" s="386"/>
      <c r="D2172" s="386"/>
      <c r="E2172" s="386"/>
      <c r="F2172" s="408"/>
    </row>
    <row r="2173" spans="1:6" x14ac:dyDescent="0.2">
      <c r="A2173" s="388"/>
      <c r="B2173" s="386"/>
      <c r="C2173" s="386"/>
      <c r="D2173" s="386"/>
      <c r="E2173" s="386"/>
      <c r="F2173" s="408"/>
    </row>
    <row r="2174" spans="1:6" x14ac:dyDescent="0.2">
      <c r="A2174" s="388"/>
      <c r="B2174" s="386"/>
      <c r="C2174" s="386"/>
      <c r="D2174" s="386"/>
      <c r="E2174" s="386"/>
      <c r="F2174" s="408"/>
    </row>
    <row r="2175" spans="1:6" x14ac:dyDescent="0.2">
      <c r="A2175" s="388"/>
      <c r="B2175" s="386"/>
      <c r="C2175" s="386"/>
      <c r="D2175" s="386"/>
      <c r="E2175" s="386"/>
      <c r="F2175" s="408"/>
    </row>
    <row r="2176" spans="1:6" x14ac:dyDescent="0.2">
      <c r="A2176" s="388"/>
      <c r="B2176" s="386"/>
      <c r="C2176" s="386"/>
      <c r="D2176" s="386"/>
      <c r="E2176" s="386"/>
      <c r="F2176" s="408"/>
    </row>
    <row r="2177" spans="1:6" x14ac:dyDescent="0.2">
      <c r="A2177" s="388"/>
      <c r="B2177" s="386"/>
      <c r="C2177" s="386"/>
      <c r="D2177" s="386"/>
      <c r="E2177" s="386"/>
      <c r="F2177" s="408"/>
    </row>
    <row r="2178" spans="1:6" x14ac:dyDescent="0.2">
      <c r="A2178" s="388"/>
      <c r="B2178" s="386"/>
      <c r="C2178" s="386"/>
      <c r="D2178" s="386"/>
      <c r="E2178" s="386"/>
      <c r="F2178" s="408"/>
    </row>
    <row r="2179" spans="1:6" x14ac:dyDescent="0.2">
      <c r="A2179" s="388"/>
      <c r="B2179" s="386"/>
      <c r="C2179" s="386"/>
      <c r="D2179" s="386"/>
      <c r="E2179" s="386"/>
      <c r="F2179" s="408"/>
    </row>
    <row r="2180" spans="1:6" x14ac:dyDescent="0.2">
      <c r="A2180" s="388"/>
      <c r="B2180" s="386"/>
      <c r="C2180" s="386"/>
      <c r="D2180" s="386"/>
      <c r="E2180" s="386"/>
      <c r="F2180" s="408"/>
    </row>
    <row r="2181" spans="1:6" x14ac:dyDescent="0.2">
      <c r="A2181" s="388"/>
      <c r="B2181" s="386"/>
      <c r="C2181" s="386"/>
      <c r="D2181" s="386"/>
      <c r="E2181" s="386"/>
      <c r="F2181" s="408"/>
    </row>
    <row r="2182" spans="1:6" x14ac:dyDescent="0.2">
      <c r="A2182" s="388"/>
      <c r="B2182" s="386"/>
      <c r="C2182" s="386"/>
      <c r="D2182" s="386"/>
      <c r="E2182" s="386"/>
      <c r="F2182" s="408"/>
    </row>
    <row r="2183" spans="1:6" x14ac:dyDescent="0.2">
      <c r="A2183" s="388"/>
      <c r="B2183" s="386"/>
      <c r="C2183" s="386"/>
      <c r="D2183" s="386"/>
      <c r="E2183" s="386"/>
      <c r="F2183" s="408"/>
    </row>
    <row r="2184" spans="1:6" x14ac:dyDescent="0.2">
      <c r="A2184" s="388"/>
      <c r="B2184" s="386"/>
      <c r="C2184" s="386"/>
      <c r="D2184" s="386"/>
      <c r="E2184" s="386"/>
      <c r="F2184" s="408"/>
    </row>
    <row r="2185" spans="1:6" x14ac:dyDescent="0.2">
      <c r="A2185" s="388"/>
      <c r="B2185" s="386"/>
      <c r="C2185" s="386"/>
      <c r="D2185" s="386"/>
      <c r="E2185" s="386"/>
      <c r="F2185" s="408"/>
    </row>
    <row r="2186" spans="1:6" x14ac:dyDescent="0.2">
      <c r="A2186" s="388"/>
      <c r="B2186" s="386"/>
      <c r="C2186" s="386"/>
      <c r="D2186" s="386"/>
      <c r="E2186" s="386"/>
      <c r="F2186" s="408"/>
    </row>
    <row r="2187" spans="1:6" x14ac:dyDescent="0.2">
      <c r="A2187" s="388"/>
      <c r="B2187" s="386"/>
      <c r="C2187" s="386"/>
      <c r="D2187" s="386"/>
      <c r="E2187" s="386"/>
      <c r="F2187" s="408"/>
    </row>
    <row r="2188" spans="1:6" x14ac:dyDescent="0.2">
      <c r="A2188" s="388"/>
      <c r="B2188" s="386"/>
      <c r="C2188" s="386"/>
      <c r="D2188" s="386"/>
      <c r="E2188" s="386"/>
      <c r="F2188" s="408"/>
    </row>
    <row r="2189" spans="1:6" x14ac:dyDescent="0.2">
      <c r="A2189" s="388"/>
      <c r="B2189" s="386"/>
      <c r="C2189" s="386"/>
      <c r="D2189" s="386"/>
      <c r="E2189" s="386"/>
      <c r="F2189" s="408"/>
    </row>
    <row r="2190" spans="1:6" x14ac:dyDescent="0.2">
      <c r="A2190" s="388"/>
      <c r="B2190" s="386"/>
      <c r="C2190" s="386"/>
      <c r="D2190" s="386"/>
      <c r="E2190" s="386"/>
      <c r="F2190" s="408"/>
    </row>
    <row r="2191" spans="1:6" x14ac:dyDescent="0.2">
      <c r="A2191" s="388"/>
      <c r="B2191" s="386"/>
      <c r="C2191" s="386"/>
      <c r="D2191" s="386"/>
      <c r="E2191" s="386"/>
      <c r="F2191" s="408"/>
    </row>
    <row r="2192" spans="1:6" x14ac:dyDescent="0.2">
      <c r="A2192" s="388"/>
      <c r="B2192" s="386"/>
      <c r="C2192" s="386"/>
      <c r="D2192" s="386"/>
      <c r="E2192" s="386"/>
      <c r="F2192" s="408"/>
    </row>
    <row r="2193" spans="1:6" x14ac:dyDescent="0.2">
      <c r="A2193" s="388"/>
      <c r="B2193" s="386"/>
      <c r="C2193" s="386"/>
      <c r="D2193" s="386"/>
      <c r="E2193" s="386"/>
      <c r="F2193" s="408"/>
    </row>
    <row r="2194" spans="1:6" x14ac:dyDescent="0.2">
      <c r="A2194" s="388"/>
      <c r="B2194" s="386"/>
      <c r="C2194" s="386"/>
      <c r="D2194" s="386"/>
      <c r="E2194" s="386"/>
      <c r="F2194" s="408"/>
    </row>
    <row r="2195" spans="1:6" x14ac:dyDescent="0.2">
      <c r="A2195" s="388"/>
      <c r="B2195" s="386"/>
      <c r="C2195" s="386"/>
      <c r="D2195" s="386"/>
      <c r="E2195" s="386"/>
      <c r="F2195" s="408"/>
    </row>
    <row r="2196" spans="1:6" x14ac:dyDescent="0.2">
      <c r="A2196" s="388"/>
      <c r="B2196" s="386"/>
      <c r="C2196" s="386"/>
      <c r="D2196" s="386"/>
      <c r="E2196" s="386"/>
      <c r="F2196" s="408"/>
    </row>
    <row r="2197" spans="1:6" x14ac:dyDescent="0.2">
      <c r="A2197" s="388"/>
      <c r="B2197" s="386"/>
      <c r="C2197" s="386"/>
      <c r="D2197" s="386"/>
      <c r="E2197" s="386"/>
      <c r="F2197" s="408"/>
    </row>
    <row r="2198" spans="1:6" x14ac:dyDescent="0.2">
      <c r="A2198" s="388"/>
      <c r="B2198" s="386"/>
      <c r="C2198" s="386"/>
      <c r="D2198" s="386"/>
      <c r="E2198" s="386"/>
      <c r="F2198" s="408"/>
    </row>
    <row r="2199" spans="1:6" x14ac:dyDescent="0.2">
      <c r="A2199" s="388"/>
      <c r="B2199" s="386"/>
      <c r="C2199" s="386"/>
      <c r="D2199" s="386"/>
      <c r="E2199" s="386"/>
      <c r="F2199" s="408"/>
    </row>
    <row r="2200" spans="1:6" x14ac:dyDescent="0.2">
      <c r="A2200" s="388"/>
      <c r="B2200" s="386"/>
      <c r="C2200" s="386"/>
      <c r="D2200" s="386"/>
      <c r="E2200" s="386"/>
      <c r="F2200" s="408"/>
    </row>
    <row r="2201" spans="1:6" x14ac:dyDescent="0.2">
      <c r="A2201" s="388"/>
      <c r="B2201" s="386"/>
      <c r="C2201" s="386"/>
      <c r="D2201" s="386"/>
      <c r="E2201" s="386"/>
      <c r="F2201" s="408"/>
    </row>
    <row r="2202" spans="1:6" x14ac:dyDescent="0.2">
      <c r="A2202" s="388"/>
      <c r="B2202" s="386"/>
      <c r="C2202" s="386"/>
      <c r="D2202" s="386"/>
      <c r="E2202" s="386"/>
      <c r="F2202" s="408"/>
    </row>
    <row r="2203" spans="1:6" x14ac:dyDescent="0.2">
      <c r="A2203" s="388"/>
      <c r="B2203" s="386"/>
      <c r="C2203" s="386"/>
      <c r="D2203" s="386"/>
      <c r="E2203" s="386"/>
      <c r="F2203" s="408"/>
    </row>
    <row r="2204" spans="1:6" x14ac:dyDescent="0.2">
      <c r="A2204" s="388"/>
      <c r="B2204" s="386"/>
      <c r="C2204" s="386"/>
      <c r="D2204" s="386"/>
      <c r="E2204" s="386"/>
      <c r="F2204" s="408"/>
    </row>
    <row r="2205" spans="1:6" x14ac:dyDescent="0.2">
      <c r="A2205" s="388"/>
      <c r="B2205" s="386"/>
      <c r="C2205" s="386"/>
      <c r="D2205" s="386"/>
      <c r="E2205" s="386"/>
      <c r="F2205" s="408"/>
    </row>
    <row r="2206" spans="1:6" x14ac:dyDescent="0.2">
      <c r="A2206" s="388"/>
      <c r="B2206" s="386"/>
      <c r="C2206" s="386"/>
      <c r="D2206" s="386"/>
      <c r="E2206" s="386"/>
      <c r="F2206" s="408"/>
    </row>
    <row r="2207" spans="1:6" x14ac:dyDescent="0.2">
      <c r="A2207" s="388"/>
      <c r="B2207" s="386"/>
      <c r="C2207" s="386"/>
      <c r="D2207" s="386"/>
      <c r="E2207" s="386"/>
      <c r="F2207" s="408"/>
    </row>
    <row r="2208" spans="1:6" x14ac:dyDescent="0.2">
      <c r="A2208" s="388"/>
      <c r="B2208" s="386"/>
      <c r="C2208" s="386"/>
      <c r="D2208" s="386"/>
      <c r="E2208" s="386"/>
      <c r="F2208" s="408"/>
    </row>
    <row r="2209" spans="1:6" x14ac:dyDescent="0.2">
      <c r="A2209" s="388"/>
      <c r="B2209" s="386"/>
      <c r="C2209" s="386"/>
      <c r="D2209" s="386"/>
      <c r="E2209" s="386"/>
      <c r="F2209" s="408"/>
    </row>
    <row r="2210" spans="1:6" x14ac:dyDescent="0.2">
      <c r="A2210" s="388"/>
      <c r="B2210" s="386"/>
      <c r="C2210" s="386"/>
      <c r="D2210" s="386"/>
      <c r="E2210" s="386"/>
      <c r="F2210" s="408"/>
    </row>
    <row r="2211" spans="1:6" x14ac:dyDescent="0.2">
      <c r="A2211" s="388"/>
      <c r="B2211" s="386"/>
      <c r="C2211" s="386"/>
      <c r="D2211" s="386"/>
      <c r="E2211" s="386"/>
      <c r="F2211" s="408"/>
    </row>
    <row r="2212" spans="1:6" x14ac:dyDescent="0.2">
      <c r="A2212" s="388"/>
      <c r="B2212" s="386"/>
      <c r="C2212" s="386"/>
      <c r="D2212" s="386"/>
      <c r="E2212" s="386"/>
      <c r="F2212" s="408"/>
    </row>
    <row r="2213" spans="1:6" x14ac:dyDescent="0.2">
      <c r="A2213" s="388"/>
      <c r="B2213" s="386"/>
      <c r="C2213" s="386"/>
      <c r="D2213" s="386"/>
      <c r="E2213" s="386"/>
      <c r="F2213" s="408"/>
    </row>
    <row r="2214" spans="1:6" x14ac:dyDescent="0.2">
      <c r="A2214" s="388"/>
      <c r="B2214" s="386"/>
      <c r="C2214" s="386"/>
      <c r="D2214" s="386"/>
      <c r="E2214" s="386"/>
      <c r="F2214" s="408"/>
    </row>
    <row r="2215" spans="1:6" x14ac:dyDescent="0.2">
      <c r="A2215" s="388"/>
      <c r="B2215" s="386"/>
      <c r="C2215" s="386"/>
      <c r="D2215" s="386"/>
      <c r="E2215" s="386"/>
      <c r="F2215" s="408"/>
    </row>
    <row r="2216" spans="1:6" x14ac:dyDescent="0.2">
      <c r="A2216" s="388"/>
      <c r="B2216" s="386"/>
      <c r="C2216" s="386"/>
      <c r="D2216" s="386"/>
      <c r="E2216" s="386"/>
      <c r="F2216" s="408"/>
    </row>
    <row r="2217" spans="1:6" x14ac:dyDescent="0.2">
      <c r="A2217" s="388"/>
      <c r="B2217" s="386"/>
      <c r="C2217" s="386"/>
      <c r="D2217" s="386"/>
      <c r="E2217" s="386"/>
      <c r="F2217" s="408"/>
    </row>
    <row r="2218" spans="1:6" x14ac:dyDescent="0.2">
      <c r="A2218" s="388"/>
      <c r="B2218" s="386"/>
      <c r="C2218" s="386"/>
      <c r="D2218" s="386"/>
      <c r="E2218" s="386"/>
      <c r="F2218" s="408"/>
    </row>
    <row r="2219" spans="1:6" x14ac:dyDescent="0.2">
      <c r="A2219" s="388"/>
      <c r="B2219" s="386"/>
      <c r="C2219" s="386"/>
      <c r="D2219" s="386"/>
      <c r="E2219" s="386"/>
      <c r="F2219" s="408"/>
    </row>
    <row r="2220" spans="1:6" x14ac:dyDescent="0.2">
      <c r="A2220" s="388"/>
      <c r="B2220" s="386"/>
      <c r="C2220" s="386"/>
      <c r="D2220" s="386"/>
      <c r="E2220" s="386"/>
      <c r="F2220" s="408"/>
    </row>
    <row r="2221" spans="1:6" x14ac:dyDescent="0.2">
      <c r="A2221" s="388"/>
      <c r="B2221" s="386"/>
      <c r="C2221" s="386"/>
      <c r="D2221" s="386"/>
      <c r="E2221" s="386"/>
      <c r="F2221" s="408"/>
    </row>
    <row r="2222" spans="1:6" x14ac:dyDescent="0.2">
      <c r="A2222" s="388"/>
      <c r="B2222" s="386"/>
      <c r="C2222" s="386"/>
      <c r="D2222" s="386"/>
      <c r="E2222" s="386"/>
      <c r="F2222" s="408"/>
    </row>
    <row r="2223" spans="1:6" x14ac:dyDescent="0.2">
      <c r="A2223" s="388"/>
      <c r="B2223" s="386"/>
      <c r="C2223" s="386"/>
      <c r="D2223" s="386"/>
      <c r="E2223" s="386"/>
      <c r="F2223" s="408"/>
    </row>
    <row r="2224" spans="1:6" x14ac:dyDescent="0.2">
      <c r="A2224" s="388"/>
      <c r="B2224" s="386"/>
      <c r="C2224" s="386"/>
      <c r="D2224" s="386"/>
      <c r="E2224" s="386"/>
      <c r="F2224" s="408"/>
    </row>
    <row r="2225" spans="1:6" x14ac:dyDescent="0.2">
      <c r="A2225" s="388"/>
      <c r="B2225" s="386"/>
      <c r="C2225" s="386"/>
      <c r="D2225" s="386"/>
      <c r="E2225" s="386"/>
      <c r="F2225" s="408"/>
    </row>
    <row r="2226" spans="1:6" x14ac:dyDescent="0.2">
      <c r="A2226" s="388"/>
      <c r="B2226" s="386"/>
      <c r="C2226" s="386"/>
      <c r="D2226" s="386"/>
      <c r="E2226" s="386"/>
      <c r="F2226" s="408"/>
    </row>
    <row r="2227" spans="1:6" x14ac:dyDescent="0.2">
      <c r="A2227" s="388"/>
      <c r="B2227" s="386"/>
      <c r="C2227" s="386"/>
      <c r="D2227" s="386"/>
      <c r="E2227" s="386"/>
      <c r="F2227" s="408"/>
    </row>
    <row r="2228" spans="1:6" x14ac:dyDescent="0.2">
      <c r="A2228" s="388"/>
      <c r="B2228" s="386"/>
      <c r="C2228" s="386"/>
      <c r="D2228" s="386"/>
      <c r="E2228" s="386"/>
      <c r="F2228" s="408"/>
    </row>
    <row r="2229" spans="1:6" x14ac:dyDescent="0.2">
      <c r="A2229" s="388"/>
      <c r="B2229" s="386"/>
      <c r="C2229" s="386"/>
      <c r="D2229" s="386"/>
      <c r="E2229" s="386"/>
      <c r="F2229" s="408"/>
    </row>
    <row r="2230" spans="1:6" x14ac:dyDescent="0.2">
      <c r="A2230" s="388"/>
      <c r="B2230" s="386"/>
      <c r="C2230" s="386"/>
      <c r="D2230" s="386"/>
      <c r="E2230" s="386"/>
      <c r="F2230" s="408"/>
    </row>
    <row r="2231" spans="1:6" x14ac:dyDescent="0.2">
      <c r="A2231" s="388"/>
      <c r="B2231" s="386"/>
      <c r="C2231" s="386"/>
      <c r="D2231" s="386"/>
      <c r="E2231" s="386"/>
      <c r="F2231" s="408"/>
    </row>
    <row r="2232" spans="1:6" x14ac:dyDescent="0.2">
      <c r="A2232" s="388"/>
      <c r="B2232" s="386"/>
      <c r="C2232" s="386"/>
      <c r="D2232" s="386"/>
      <c r="E2232" s="386"/>
      <c r="F2232" s="408"/>
    </row>
    <row r="2233" spans="1:6" x14ac:dyDescent="0.2">
      <c r="A2233" s="388"/>
      <c r="B2233" s="386"/>
      <c r="C2233" s="386"/>
      <c r="D2233" s="386"/>
      <c r="E2233" s="386"/>
      <c r="F2233" s="408"/>
    </row>
    <row r="2234" spans="1:6" x14ac:dyDescent="0.2">
      <c r="A2234" s="388"/>
      <c r="B2234" s="386"/>
      <c r="C2234" s="386"/>
      <c r="D2234" s="386"/>
      <c r="E2234" s="386"/>
      <c r="F2234" s="408"/>
    </row>
    <row r="2235" spans="1:6" x14ac:dyDescent="0.2">
      <c r="A2235" s="388"/>
      <c r="B2235" s="386"/>
      <c r="C2235" s="386"/>
      <c r="D2235" s="386"/>
      <c r="E2235" s="386"/>
      <c r="F2235" s="408"/>
    </row>
    <row r="2236" spans="1:6" x14ac:dyDescent="0.2">
      <c r="A2236" s="388"/>
      <c r="B2236" s="386"/>
      <c r="C2236" s="386"/>
      <c r="D2236" s="386"/>
      <c r="E2236" s="386"/>
      <c r="F2236" s="408"/>
    </row>
    <row r="2237" spans="1:6" x14ac:dyDescent="0.2">
      <c r="A2237" s="388"/>
      <c r="B2237" s="386"/>
      <c r="C2237" s="386"/>
      <c r="D2237" s="386"/>
      <c r="E2237" s="386"/>
      <c r="F2237" s="408"/>
    </row>
    <row r="2238" spans="1:6" x14ac:dyDescent="0.2">
      <c r="A2238" s="388"/>
      <c r="B2238" s="386"/>
      <c r="C2238" s="386"/>
      <c r="D2238" s="386"/>
      <c r="E2238" s="386"/>
      <c r="F2238" s="408"/>
    </row>
    <row r="2239" spans="1:6" x14ac:dyDescent="0.2">
      <c r="A2239" s="388"/>
      <c r="B2239" s="386"/>
      <c r="C2239" s="386"/>
      <c r="D2239" s="386"/>
      <c r="E2239" s="386"/>
      <c r="F2239" s="408"/>
    </row>
    <row r="2240" spans="1:6" x14ac:dyDescent="0.2">
      <c r="A2240" s="388"/>
      <c r="B2240" s="386"/>
      <c r="C2240" s="386"/>
      <c r="D2240" s="386"/>
      <c r="E2240" s="386"/>
      <c r="F2240" s="408"/>
    </row>
    <row r="2241" spans="1:6" x14ac:dyDescent="0.2">
      <c r="A2241" s="388"/>
      <c r="B2241" s="386"/>
      <c r="C2241" s="386"/>
      <c r="D2241" s="386"/>
      <c r="E2241" s="386"/>
      <c r="F2241" s="408"/>
    </row>
    <row r="2242" spans="1:6" x14ac:dyDescent="0.2">
      <c r="A2242" s="388"/>
      <c r="B2242" s="386"/>
      <c r="C2242" s="386"/>
      <c r="D2242" s="386"/>
      <c r="E2242" s="386"/>
      <c r="F2242" s="408"/>
    </row>
    <row r="2243" spans="1:6" x14ac:dyDescent="0.2">
      <c r="A2243" s="388"/>
      <c r="B2243" s="386"/>
      <c r="C2243" s="386"/>
      <c r="D2243" s="386"/>
      <c r="E2243" s="386"/>
      <c r="F2243" s="408"/>
    </row>
    <row r="2244" spans="1:6" x14ac:dyDescent="0.2">
      <c r="A2244" s="388"/>
      <c r="B2244" s="386"/>
      <c r="C2244" s="386"/>
      <c r="D2244" s="386"/>
      <c r="E2244" s="386"/>
      <c r="F2244" s="408"/>
    </row>
    <row r="2245" spans="1:6" x14ac:dyDescent="0.2">
      <c r="A2245" s="388"/>
      <c r="B2245" s="386"/>
      <c r="C2245" s="386"/>
      <c r="D2245" s="386"/>
      <c r="E2245" s="386"/>
      <c r="F2245" s="408"/>
    </row>
    <row r="2246" spans="1:6" x14ac:dyDescent="0.2">
      <c r="A2246" s="388"/>
      <c r="B2246" s="386"/>
      <c r="C2246" s="386"/>
      <c r="D2246" s="386"/>
      <c r="E2246" s="386"/>
      <c r="F2246" s="408"/>
    </row>
    <row r="2247" spans="1:6" x14ac:dyDescent="0.2">
      <c r="A2247" s="388"/>
      <c r="B2247" s="386"/>
      <c r="C2247" s="386"/>
      <c r="D2247" s="386"/>
      <c r="E2247" s="386"/>
      <c r="F2247" s="408"/>
    </row>
    <row r="2248" spans="1:6" x14ac:dyDescent="0.2">
      <c r="A2248" s="388"/>
      <c r="B2248" s="386"/>
      <c r="C2248" s="386"/>
      <c r="D2248" s="386"/>
      <c r="E2248" s="386"/>
      <c r="F2248" s="408"/>
    </row>
    <row r="2249" spans="1:6" x14ac:dyDescent="0.2">
      <c r="A2249" s="388"/>
      <c r="B2249" s="386"/>
      <c r="C2249" s="386"/>
      <c r="D2249" s="386"/>
      <c r="E2249" s="386"/>
      <c r="F2249" s="408"/>
    </row>
    <row r="2250" spans="1:6" x14ac:dyDescent="0.2">
      <c r="A2250" s="388"/>
      <c r="B2250" s="386"/>
      <c r="C2250" s="386"/>
      <c r="D2250" s="386"/>
      <c r="E2250" s="386"/>
      <c r="F2250" s="408"/>
    </row>
    <row r="2251" spans="1:6" x14ac:dyDescent="0.2">
      <c r="A2251" s="388"/>
      <c r="B2251" s="386"/>
      <c r="C2251" s="386"/>
      <c r="D2251" s="386"/>
      <c r="E2251" s="386"/>
      <c r="F2251" s="408"/>
    </row>
    <row r="2252" spans="1:6" x14ac:dyDescent="0.2">
      <c r="A2252" s="388"/>
      <c r="B2252" s="386"/>
      <c r="C2252" s="386"/>
      <c r="D2252" s="386"/>
      <c r="E2252" s="386"/>
      <c r="F2252" s="408"/>
    </row>
    <row r="2253" spans="1:6" x14ac:dyDescent="0.2">
      <c r="A2253" s="388"/>
      <c r="B2253" s="386"/>
      <c r="C2253" s="386"/>
      <c r="D2253" s="386"/>
      <c r="E2253" s="386"/>
      <c r="F2253" s="408"/>
    </row>
    <row r="2254" spans="1:6" x14ac:dyDescent="0.2">
      <c r="A2254" s="388"/>
      <c r="B2254" s="386"/>
      <c r="C2254" s="386"/>
      <c r="D2254" s="386"/>
      <c r="E2254" s="386"/>
      <c r="F2254" s="408"/>
    </row>
    <row r="2255" spans="1:6" x14ac:dyDescent="0.2">
      <c r="A2255" s="388"/>
      <c r="B2255" s="386"/>
      <c r="C2255" s="386"/>
      <c r="D2255" s="386"/>
      <c r="E2255" s="386"/>
      <c r="F2255" s="408"/>
    </row>
    <row r="2256" spans="1:6" x14ac:dyDescent="0.2">
      <c r="A2256" s="388"/>
      <c r="B2256" s="386"/>
      <c r="C2256" s="386"/>
      <c r="D2256" s="386"/>
      <c r="E2256" s="386"/>
      <c r="F2256" s="408"/>
    </row>
    <row r="2257" spans="1:6" x14ac:dyDescent="0.2">
      <c r="A2257" s="388"/>
      <c r="B2257" s="386"/>
      <c r="C2257" s="386"/>
      <c r="D2257" s="386"/>
      <c r="E2257" s="386"/>
      <c r="F2257" s="408"/>
    </row>
    <row r="2258" spans="1:6" x14ac:dyDescent="0.2">
      <c r="A2258" s="388"/>
      <c r="B2258" s="386"/>
      <c r="C2258" s="386"/>
      <c r="D2258" s="386"/>
      <c r="E2258" s="386"/>
      <c r="F2258" s="408"/>
    </row>
    <row r="2259" spans="1:6" x14ac:dyDescent="0.2">
      <c r="A2259" s="388"/>
      <c r="B2259" s="386"/>
      <c r="C2259" s="386"/>
      <c r="D2259" s="386"/>
      <c r="E2259" s="386"/>
      <c r="F2259" s="408"/>
    </row>
    <row r="2260" spans="1:6" x14ac:dyDescent="0.2">
      <c r="A2260" s="388"/>
      <c r="B2260" s="386"/>
      <c r="C2260" s="386"/>
      <c r="D2260" s="386"/>
      <c r="E2260" s="386"/>
      <c r="F2260" s="408"/>
    </row>
    <row r="2261" spans="1:6" x14ac:dyDescent="0.2">
      <c r="A2261" s="388"/>
      <c r="B2261" s="386"/>
      <c r="C2261" s="386"/>
      <c r="D2261" s="386"/>
      <c r="E2261" s="386"/>
      <c r="F2261" s="408"/>
    </row>
    <row r="2262" spans="1:6" x14ac:dyDescent="0.2">
      <c r="A2262" s="388"/>
      <c r="B2262" s="386"/>
      <c r="C2262" s="386"/>
      <c r="D2262" s="386"/>
      <c r="E2262" s="386"/>
      <c r="F2262" s="408"/>
    </row>
    <row r="2263" spans="1:6" x14ac:dyDescent="0.2">
      <c r="A2263" s="388"/>
      <c r="B2263" s="386"/>
      <c r="C2263" s="386"/>
      <c r="D2263" s="386"/>
      <c r="E2263" s="386"/>
      <c r="F2263" s="408"/>
    </row>
    <row r="2264" spans="1:6" x14ac:dyDescent="0.2">
      <c r="A2264" s="388"/>
      <c r="B2264" s="386"/>
      <c r="C2264" s="386"/>
      <c r="D2264" s="386"/>
      <c r="E2264" s="386"/>
      <c r="F2264" s="408"/>
    </row>
    <row r="2265" spans="1:6" x14ac:dyDescent="0.2">
      <c r="A2265" s="388"/>
      <c r="B2265" s="386"/>
      <c r="C2265" s="386"/>
      <c r="D2265" s="386"/>
      <c r="E2265" s="386"/>
      <c r="F2265" s="408"/>
    </row>
    <row r="2266" spans="1:6" x14ac:dyDescent="0.2">
      <c r="A2266" s="388"/>
      <c r="B2266" s="386"/>
      <c r="C2266" s="386"/>
      <c r="D2266" s="386"/>
      <c r="E2266" s="386"/>
      <c r="F2266" s="408"/>
    </row>
    <row r="2267" spans="1:6" x14ac:dyDescent="0.2">
      <c r="A2267" s="388"/>
      <c r="B2267" s="386"/>
      <c r="C2267" s="386"/>
      <c r="D2267" s="386"/>
      <c r="E2267" s="386"/>
      <c r="F2267" s="408"/>
    </row>
    <row r="2268" spans="1:6" x14ac:dyDescent="0.2">
      <c r="A2268" s="388"/>
      <c r="B2268" s="386"/>
      <c r="C2268" s="386"/>
      <c r="D2268" s="386"/>
      <c r="E2268" s="386"/>
      <c r="F2268" s="408"/>
    </row>
    <row r="2269" spans="1:6" x14ac:dyDescent="0.2">
      <c r="A2269" s="388"/>
      <c r="B2269" s="386"/>
      <c r="C2269" s="386"/>
      <c r="D2269" s="386"/>
      <c r="E2269" s="386"/>
      <c r="F2269" s="408"/>
    </row>
    <row r="2270" spans="1:6" x14ac:dyDescent="0.2">
      <c r="A2270" s="388"/>
      <c r="B2270" s="386"/>
      <c r="C2270" s="386"/>
      <c r="D2270" s="386"/>
      <c r="E2270" s="386"/>
      <c r="F2270" s="408"/>
    </row>
    <row r="2271" spans="1:6" x14ac:dyDescent="0.2">
      <c r="A2271" s="388"/>
      <c r="B2271" s="386"/>
      <c r="C2271" s="386"/>
      <c r="D2271" s="386"/>
      <c r="E2271" s="386"/>
      <c r="F2271" s="408"/>
    </row>
    <row r="2272" spans="1:6" x14ac:dyDescent="0.2">
      <c r="A2272" s="388"/>
      <c r="B2272" s="386"/>
      <c r="C2272" s="386"/>
      <c r="D2272" s="386"/>
      <c r="E2272" s="386"/>
      <c r="F2272" s="408"/>
    </row>
    <row r="2273" spans="1:6" x14ac:dyDescent="0.2">
      <c r="A2273" s="388"/>
      <c r="B2273" s="386"/>
      <c r="C2273" s="386"/>
      <c r="D2273" s="386"/>
      <c r="E2273" s="386"/>
      <c r="F2273" s="408"/>
    </row>
    <row r="2274" spans="1:6" x14ac:dyDescent="0.2">
      <c r="A2274" s="388"/>
      <c r="B2274" s="386"/>
      <c r="C2274" s="386"/>
      <c r="D2274" s="386"/>
      <c r="E2274" s="386"/>
      <c r="F2274" s="408"/>
    </row>
    <row r="2275" spans="1:6" x14ac:dyDescent="0.2">
      <c r="A2275" s="388"/>
      <c r="B2275" s="386"/>
      <c r="C2275" s="386"/>
      <c r="D2275" s="386"/>
      <c r="E2275" s="386"/>
      <c r="F2275" s="408"/>
    </row>
    <row r="2276" spans="1:6" x14ac:dyDescent="0.2">
      <c r="A2276" s="388"/>
      <c r="B2276" s="386"/>
      <c r="C2276" s="386"/>
      <c r="D2276" s="386"/>
      <c r="E2276" s="386"/>
      <c r="F2276" s="408"/>
    </row>
    <row r="2277" spans="1:6" x14ac:dyDescent="0.2">
      <c r="A2277" s="388"/>
      <c r="B2277" s="386"/>
      <c r="C2277" s="386"/>
      <c r="D2277" s="386"/>
      <c r="E2277" s="386"/>
      <c r="F2277" s="408"/>
    </row>
    <row r="2278" spans="1:6" x14ac:dyDescent="0.2">
      <c r="A2278" s="388"/>
      <c r="B2278" s="386"/>
      <c r="C2278" s="386"/>
      <c r="D2278" s="386"/>
      <c r="E2278" s="386"/>
      <c r="F2278" s="408"/>
    </row>
    <row r="2279" spans="1:6" x14ac:dyDescent="0.2">
      <c r="A2279" s="388"/>
      <c r="B2279" s="386"/>
      <c r="C2279" s="386"/>
      <c r="D2279" s="386"/>
      <c r="E2279" s="386"/>
      <c r="F2279" s="408"/>
    </row>
    <row r="2280" spans="1:6" x14ac:dyDescent="0.2">
      <c r="A2280" s="388"/>
      <c r="B2280" s="386"/>
      <c r="C2280" s="386"/>
      <c r="D2280" s="386"/>
      <c r="E2280" s="386"/>
      <c r="F2280" s="408"/>
    </row>
    <row r="2281" spans="1:6" x14ac:dyDescent="0.2">
      <c r="A2281" s="388"/>
      <c r="B2281" s="386"/>
      <c r="C2281" s="386"/>
      <c r="D2281" s="386"/>
      <c r="E2281" s="386"/>
      <c r="F2281" s="408"/>
    </row>
    <row r="2282" spans="1:6" x14ac:dyDescent="0.2">
      <c r="A2282" s="388"/>
      <c r="B2282" s="386"/>
      <c r="C2282" s="386"/>
      <c r="D2282" s="386"/>
      <c r="E2282" s="386"/>
      <c r="F2282" s="408"/>
    </row>
    <row r="2283" spans="1:6" x14ac:dyDescent="0.2">
      <c r="A2283" s="388"/>
      <c r="B2283" s="386"/>
      <c r="C2283" s="386"/>
      <c r="D2283" s="386"/>
      <c r="E2283" s="386"/>
      <c r="F2283" s="408"/>
    </row>
    <row r="2284" spans="1:6" x14ac:dyDescent="0.2">
      <c r="A2284" s="388"/>
      <c r="B2284" s="386"/>
      <c r="C2284" s="386"/>
      <c r="D2284" s="386"/>
      <c r="E2284" s="386"/>
      <c r="F2284" s="408"/>
    </row>
    <row r="2285" spans="1:6" x14ac:dyDescent="0.2">
      <c r="A2285" s="388"/>
      <c r="B2285" s="386"/>
      <c r="C2285" s="386"/>
      <c r="D2285" s="386"/>
      <c r="E2285" s="386"/>
      <c r="F2285" s="408"/>
    </row>
    <row r="2286" spans="1:6" x14ac:dyDescent="0.2">
      <c r="A2286" s="388"/>
      <c r="B2286" s="386"/>
      <c r="C2286" s="386"/>
      <c r="D2286" s="386"/>
      <c r="E2286" s="386"/>
      <c r="F2286" s="408"/>
    </row>
    <row r="2287" spans="1:6" x14ac:dyDescent="0.2">
      <c r="A2287" s="388"/>
      <c r="B2287" s="386"/>
      <c r="C2287" s="386"/>
      <c r="D2287" s="386"/>
      <c r="E2287" s="386"/>
      <c r="F2287" s="408"/>
    </row>
    <row r="2288" spans="1:6" x14ac:dyDescent="0.2">
      <c r="A2288" s="388"/>
      <c r="B2288" s="386"/>
      <c r="C2288" s="386"/>
      <c r="D2288" s="386"/>
      <c r="E2288" s="386"/>
      <c r="F2288" s="408"/>
    </row>
    <row r="2289" spans="1:6" x14ac:dyDescent="0.2">
      <c r="A2289" s="388"/>
      <c r="B2289" s="386"/>
      <c r="C2289" s="386"/>
      <c r="D2289" s="386"/>
      <c r="E2289" s="386"/>
      <c r="F2289" s="408"/>
    </row>
    <row r="2290" spans="1:6" x14ac:dyDescent="0.2">
      <c r="A2290" s="388"/>
      <c r="B2290" s="386"/>
      <c r="C2290" s="386"/>
      <c r="D2290" s="386"/>
      <c r="E2290" s="386"/>
      <c r="F2290" s="408"/>
    </row>
    <row r="2291" spans="1:6" x14ac:dyDescent="0.2">
      <c r="A2291" s="388"/>
      <c r="B2291" s="386"/>
      <c r="C2291" s="386"/>
      <c r="D2291" s="386"/>
      <c r="E2291" s="386"/>
      <c r="F2291" s="408"/>
    </row>
    <row r="2292" spans="1:6" x14ac:dyDescent="0.2">
      <c r="A2292" s="388"/>
      <c r="B2292" s="386"/>
      <c r="C2292" s="386"/>
      <c r="D2292" s="386"/>
      <c r="E2292" s="386"/>
      <c r="F2292" s="408"/>
    </row>
    <row r="2293" spans="1:6" x14ac:dyDescent="0.2">
      <c r="A2293" s="388"/>
      <c r="B2293" s="386"/>
      <c r="C2293" s="386"/>
      <c r="D2293" s="386"/>
      <c r="E2293" s="386"/>
      <c r="F2293" s="408"/>
    </row>
    <row r="2294" spans="1:6" x14ac:dyDescent="0.2">
      <c r="A2294" s="388"/>
      <c r="B2294" s="386"/>
      <c r="C2294" s="386"/>
      <c r="D2294" s="386"/>
      <c r="E2294" s="386"/>
      <c r="F2294" s="408"/>
    </row>
    <row r="2295" spans="1:6" x14ac:dyDescent="0.2">
      <c r="A2295" s="388"/>
      <c r="B2295" s="386"/>
      <c r="C2295" s="386"/>
      <c r="D2295" s="386"/>
      <c r="E2295" s="386"/>
      <c r="F2295" s="408"/>
    </row>
    <row r="2296" spans="1:6" x14ac:dyDescent="0.2">
      <c r="A2296" s="388"/>
      <c r="B2296" s="386"/>
      <c r="C2296" s="386"/>
      <c r="D2296" s="386"/>
      <c r="E2296" s="386"/>
      <c r="F2296" s="408"/>
    </row>
    <row r="2297" spans="1:6" x14ac:dyDescent="0.2">
      <c r="A2297" s="388"/>
      <c r="B2297" s="386"/>
      <c r="C2297" s="386"/>
      <c r="D2297" s="386"/>
      <c r="E2297" s="386"/>
      <c r="F2297" s="408"/>
    </row>
    <row r="2298" spans="1:6" x14ac:dyDescent="0.2">
      <c r="A2298" s="388"/>
      <c r="B2298" s="386"/>
      <c r="C2298" s="386"/>
      <c r="D2298" s="386"/>
      <c r="E2298" s="386"/>
      <c r="F2298" s="408"/>
    </row>
    <row r="2299" spans="1:6" x14ac:dyDescent="0.2">
      <c r="A2299" s="388"/>
      <c r="B2299" s="386"/>
      <c r="C2299" s="386"/>
      <c r="D2299" s="386"/>
      <c r="E2299" s="386"/>
      <c r="F2299" s="408"/>
    </row>
    <row r="2300" spans="1:6" x14ac:dyDescent="0.2">
      <c r="A2300" s="388"/>
      <c r="B2300" s="386"/>
      <c r="C2300" s="386"/>
      <c r="D2300" s="386"/>
      <c r="E2300" s="386"/>
      <c r="F2300" s="408"/>
    </row>
    <row r="2301" spans="1:6" x14ac:dyDescent="0.2">
      <c r="A2301" s="388"/>
      <c r="B2301" s="386"/>
      <c r="C2301" s="386"/>
      <c r="D2301" s="386"/>
      <c r="E2301" s="386"/>
      <c r="F2301" s="408"/>
    </row>
    <row r="2302" spans="1:6" x14ac:dyDescent="0.2">
      <c r="A2302" s="388"/>
      <c r="B2302" s="386"/>
      <c r="C2302" s="386"/>
      <c r="D2302" s="386"/>
      <c r="E2302" s="386"/>
      <c r="F2302" s="408"/>
    </row>
    <row r="2303" spans="1:6" x14ac:dyDescent="0.2">
      <c r="A2303" s="388"/>
      <c r="B2303" s="386"/>
      <c r="C2303" s="386"/>
      <c r="D2303" s="386"/>
      <c r="E2303" s="386"/>
      <c r="F2303" s="408"/>
    </row>
    <row r="2304" spans="1:6" x14ac:dyDescent="0.2">
      <c r="A2304" s="388"/>
      <c r="B2304" s="386"/>
      <c r="C2304" s="386"/>
      <c r="D2304" s="386"/>
      <c r="E2304" s="386"/>
      <c r="F2304" s="408"/>
    </row>
    <row r="2305" spans="1:6" x14ac:dyDescent="0.2">
      <c r="A2305" s="388"/>
      <c r="B2305" s="386"/>
      <c r="C2305" s="386"/>
      <c r="D2305" s="386"/>
      <c r="E2305" s="386"/>
      <c r="F2305" s="408"/>
    </row>
    <row r="2306" spans="1:6" x14ac:dyDescent="0.2">
      <c r="A2306" s="388"/>
      <c r="B2306" s="386"/>
      <c r="C2306" s="386"/>
      <c r="D2306" s="386"/>
      <c r="E2306" s="386"/>
      <c r="F2306" s="408"/>
    </row>
    <row r="2307" spans="1:6" x14ac:dyDescent="0.2">
      <c r="A2307" s="388"/>
      <c r="B2307" s="386"/>
      <c r="C2307" s="386"/>
      <c r="D2307" s="386"/>
      <c r="E2307" s="386"/>
      <c r="F2307" s="408"/>
    </row>
    <row r="2308" spans="1:6" x14ac:dyDescent="0.2">
      <c r="A2308" s="388"/>
      <c r="B2308" s="386"/>
      <c r="C2308" s="386"/>
      <c r="D2308" s="386"/>
      <c r="E2308" s="386"/>
      <c r="F2308" s="408"/>
    </row>
    <row r="2309" spans="1:6" x14ac:dyDescent="0.2">
      <c r="A2309" s="388"/>
      <c r="B2309" s="386"/>
      <c r="C2309" s="386"/>
      <c r="D2309" s="386"/>
      <c r="E2309" s="386"/>
      <c r="F2309" s="408"/>
    </row>
    <row r="2310" spans="1:6" x14ac:dyDescent="0.2">
      <c r="A2310" s="388"/>
      <c r="B2310" s="386"/>
      <c r="C2310" s="386"/>
      <c r="D2310" s="386"/>
      <c r="E2310" s="386"/>
      <c r="F2310" s="408"/>
    </row>
    <row r="2311" spans="1:6" x14ac:dyDescent="0.2">
      <c r="A2311" s="388"/>
      <c r="B2311" s="386"/>
      <c r="C2311" s="386"/>
      <c r="D2311" s="386"/>
      <c r="E2311" s="386"/>
      <c r="F2311" s="408"/>
    </row>
    <row r="2312" spans="1:6" x14ac:dyDescent="0.2">
      <c r="A2312" s="388"/>
      <c r="B2312" s="386"/>
      <c r="C2312" s="386"/>
      <c r="D2312" s="386"/>
      <c r="E2312" s="386"/>
      <c r="F2312" s="408"/>
    </row>
    <row r="2313" spans="1:6" x14ac:dyDescent="0.2">
      <c r="A2313" s="388"/>
      <c r="B2313" s="386"/>
      <c r="C2313" s="386"/>
      <c r="D2313" s="386"/>
      <c r="E2313" s="386"/>
      <c r="F2313" s="408"/>
    </row>
    <row r="2314" spans="1:6" x14ac:dyDescent="0.2">
      <c r="A2314" s="388"/>
      <c r="B2314" s="386"/>
      <c r="C2314" s="386"/>
      <c r="D2314" s="386"/>
      <c r="E2314" s="386"/>
      <c r="F2314" s="408"/>
    </row>
    <row r="2315" spans="1:6" x14ac:dyDescent="0.2">
      <c r="A2315" s="388"/>
      <c r="B2315" s="386"/>
      <c r="C2315" s="386"/>
      <c r="D2315" s="386"/>
      <c r="E2315" s="386"/>
      <c r="F2315" s="408"/>
    </row>
    <row r="2316" spans="1:6" x14ac:dyDescent="0.2">
      <c r="A2316" s="388"/>
      <c r="B2316" s="386"/>
      <c r="C2316" s="386"/>
      <c r="D2316" s="386"/>
      <c r="E2316" s="386"/>
      <c r="F2316" s="408"/>
    </row>
    <row r="2317" spans="1:6" x14ac:dyDescent="0.2">
      <c r="A2317" s="388"/>
      <c r="B2317" s="386"/>
      <c r="C2317" s="386"/>
      <c r="D2317" s="386"/>
      <c r="E2317" s="386"/>
      <c r="F2317" s="408"/>
    </row>
    <row r="2318" spans="1:6" x14ac:dyDescent="0.2">
      <c r="A2318" s="388"/>
      <c r="B2318" s="386"/>
      <c r="C2318" s="386"/>
      <c r="D2318" s="386"/>
      <c r="E2318" s="386"/>
      <c r="F2318" s="408"/>
    </row>
    <row r="2319" spans="1:6" x14ac:dyDescent="0.2">
      <c r="A2319" s="388"/>
      <c r="B2319" s="386"/>
      <c r="C2319" s="386"/>
      <c r="D2319" s="386"/>
      <c r="E2319" s="386"/>
      <c r="F2319" s="408"/>
    </row>
    <row r="2320" spans="1:6" x14ac:dyDescent="0.2">
      <c r="A2320" s="388"/>
      <c r="B2320" s="386"/>
      <c r="C2320" s="386"/>
      <c r="D2320" s="386"/>
      <c r="E2320" s="386"/>
      <c r="F2320" s="408"/>
    </row>
    <row r="2321" spans="1:6" x14ac:dyDescent="0.2">
      <c r="A2321" s="388"/>
      <c r="B2321" s="386"/>
      <c r="C2321" s="386"/>
      <c r="D2321" s="386"/>
      <c r="E2321" s="386"/>
      <c r="F2321" s="408"/>
    </row>
    <row r="2322" spans="1:6" x14ac:dyDescent="0.2">
      <c r="A2322" s="388"/>
      <c r="B2322" s="386"/>
      <c r="C2322" s="386"/>
      <c r="D2322" s="386"/>
      <c r="E2322" s="386"/>
      <c r="F2322" s="408"/>
    </row>
    <row r="2323" spans="1:6" x14ac:dyDescent="0.2">
      <c r="A2323" s="388"/>
      <c r="B2323" s="386"/>
      <c r="C2323" s="386"/>
      <c r="D2323" s="386"/>
      <c r="E2323" s="386"/>
      <c r="F2323" s="408"/>
    </row>
    <row r="2324" spans="1:6" x14ac:dyDescent="0.2">
      <c r="A2324" s="388"/>
      <c r="B2324" s="386"/>
      <c r="C2324" s="386"/>
      <c r="D2324" s="386"/>
      <c r="E2324" s="386"/>
      <c r="F2324" s="408"/>
    </row>
    <row r="2325" spans="1:6" x14ac:dyDescent="0.2">
      <c r="A2325" s="388"/>
      <c r="B2325" s="386"/>
      <c r="C2325" s="386"/>
      <c r="D2325" s="386"/>
      <c r="E2325" s="386"/>
      <c r="F2325" s="408"/>
    </row>
    <row r="2326" spans="1:6" x14ac:dyDescent="0.2">
      <c r="A2326" s="388"/>
      <c r="B2326" s="386"/>
      <c r="C2326" s="386"/>
      <c r="D2326" s="386"/>
      <c r="E2326" s="386"/>
      <c r="F2326" s="408"/>
    </row>
    <row r="2327" spans="1:6" x14ac:dyDescent="0.2">
      <c r="A2327" s="388"/>
      <c r="B2327" s="386"/>
      <c r="C2327" s="386"/>
      <c r="D2327" s="386"/>
      <c r="E2327" s="386"/>
      <c r="F2327" s="408"/>
    </row>
    <row r="2328" spans="1:6" x14ac:dyDescent="0.2">
      <c r="A2328" s="388"/>
      <c r="B2328" s="386"/>
      <c r="C2328" s="386"/>
      <c r="D2328" s="386"/>
      <c r="E2328" s="386"/>
      <c r="F2328" s="408"/>
    </row>
    <row r="2329" spans="1:6" x14ac:dyDescent="0.2">
      <c r="A2329" s="388"/>
      <c r="B2329" s="386"/>
      <c r="C2329" s="386"/>
      <c r="D2329" s="386"/>
      <c r="E2329" s="386"/>
      <c r="F2329" s="408"/>
    </row>
    <row r="2330" spans="1:6" x14ac:dyDescent="0.2">
      <c r="A2330" s="388"/>
      <c r="B2330" s="386"/>
      <c r="C2330" s="386"/>
      <c r="D2330" s="386"/>
      <c r="E2330" s="386"/>
      <c r="F2330" s="408"/>
    </row>
    <row r="2331" spans="1:6" x14ac:dyDescent="0.2">
      <c r="A2331" s="388"/>
      <c r="B2331" s="386"/>
      <c r="C2331" s="386"/>
      <c r="D2331" s="386"/>
      <c r="E2331" s="386"/>
      <c r="F2331" s="408"/>
    </row>
    <row r="2332" spans="1:6" x14ac:dyDescent="0.2">
      <c r="A2332" s="388"/>
      <c r="B2332" s="386"/>
      <c r="C2332" s="386"/>
      <c r="D2332" s="386"/>
      <c r="E2332" s="386"/>
      <c r="F2332" s="408"/>
    </row>
    <row r="2333" spans="1:6" x14ac:dyDescent="0.2">
      <c r="A2333" s="388"/>
      <c r="B2333" s="386"/>
      <c r="C2333" s="386"/>
      <c r="D2333" s="386"/>
      <c r="E2333" s="386"/>
      <c r="F2333" s="408"/>
    </row>
    <row r="2334" spans="1:6" x14ac:dyDescent="0.2">
      <c r="A2334" s="388"/>
      <c r="B2334" s="386"/>
      <c r="C2334" s="386"/>
      <c r="D2334" s="386"/>
      <c r="E2334" s="386"/>
      <c r="F2334" s="408"/>
    </row>
    <row r="2335" spans="1:6" x14ac:dyDescent="0.2">
      <c r="A2335" s="388"/>
      <c r="B2335" s="386"/>
      <c r="C2335" s="386"/>
      <c r="D2335" s="386"/>
      <c r="E2335" s="386"/>
      <c r="F2335" s="408"/>
    </row>
    <row r="2336" spans="1:6" x14ac:dyDescent="0.2">
      <c r="A2336" s="388"/>
      <c r="B2336" s="386"/>
      <c r="C2336" s="386"/>
      <c r="D2336" s="386"/>
      <c r="E2336" s="386"/>
      <c r="F2336" s="408"/>
    </row>
    <row r="2337" spans="1:6" x14ac:dyDescent="0.2">
      <c r="A2337" s="388"/>
      <c r="B2337" s="386"/>
      <c r="C2337" s="386"/>
      <c r="D2337" s="386"/>
      <c r="E2337" s="386"/>
      <c r="F2337" s="408"/>
    </row>
    <row r="2338" spans="1:6" x14ac:dyDescent="0.2">
      <c r="A2338" s="388"/>
      <c r="B2338" s="386"/>
      <c r="C2338" s="386"/>
      <c r="D2338" s="386"/>
      <c r="E2338" s="386"/>
      <c r="F2338" s="408"/>
    </row>
    <row r="2339" spans="1:6" x14ac:dyDescent="0.2">
      <c r="A2339" s="388"/>
      <c r="B2339" s="386"/>
      <c r="C2339" s="386"/>
      <c r="D2339" s="386"/>
      <c r="E2339" s="386"/>
      <c r="F2339" s="408"/>
    </row>
    <row r="2340" spans="1:6" x14ac:dyDescent="0.2">
      <c r="A2340" s="388"/>
      <c r="B2340" s="386"/>
      <c r="C2340" s="386"/>
      <c r="D2340" s="386"/>
      <c r="E2340" s="386"/>
      <c r="F2340" s="408"/>
    </row>
    <row r="2341" spans="1:6" x14ac:dyDescent="0.2">
      <c r="A2341" s="388"/>
      <c r="B2341" s="386"/>
      <c r="C2341" s="386"/>
      <c r="D2341" s="386"/>
      <c r="E2341" s="386"/>
      <c r="F2341" s="408"/>
    </row>
    <row r="2342" spans="1:6" x14ac:dyDescent="0.2">
      <c r="A2342" s="388"/>
      <c r="B2342" s="386"/>
      <c r="C2342" s="386"/>
      <c r="D2342" s="386"/>
      <c r="E2342" s="386"/>
      <c r="F2342" s="408"/>
    </row>
    <row r="2343" spans="1:6" x14ac:dyDescent="0.2">
      <c r="A2343" s="388"/>
      <c r="B2343" s="386"/>
      <c r="C2343" s="386"/>
      <c r="D2343" s="386"/>
      <c r="E2343" s="386"/>
      <c r="F2343" s="408"/>
    </row>
    <row r="2344" spans="1:6" x14ac:dyDescent="0.2">
      <c r="A2344" s="388"/>
      <c r="B2344" s="386"/>
      <c r="C2344" s="386"/>
      <c r="D2344" s="386"/>
      <c r="E2344" s="386"/>
      <c r="F2344" s="408"/>
    </row>
    <row r="2345" spans="1:6" x14ac:dyDescent="0.2">
      <c r="A2345" s="388"/>
      <c r="B2345" s="386"/>
      <c r="C2345" s="386"/>
      <c r="D2345" s="386"/>
      <c r="E2345" s="386"/>
      <c r="F2345" s="408"/>
    </row>
    <row r="2346" spans="1:6" x14ac:dyDescent="0.2">
      <c r="A2346" s="388"/>
      <c r="B2346" s="386"/>
      <c r="C2346" s="386"/>
      <c r="D2346" s="386"/>
      <c r="E2346" s="386"/>
      <c r="F2346" s="408"/>
    </row>
    <row r="2347" spans="1:6" x14ac:dyDescent="0.2">
      <c r="A2347" s="388"/>
      <c r="B2347" s="386"/>
      <c r="C2347" s="386"/>
      <c r="D2347" s="386"/>
      <c r="E2347" s="386"/>
      <c r="F2347" s="408"/>
    </row>
    <row r="2348" spans="1:6" x14ac:dyDescent="0.2">
      <c r="A2348" s="388"/>
      <c r="B2348" s="386"/>
      <c r="C2348" s="386"/>
      <c r="D2348" s="386"/>
      <c r="E2348" s="386"/>
      <c r="F2348" s="408"/>
    </row>
    <row r="2349" spans="1:6" x14ac:dyDescent="0.2">
      <c r="A2349" s="388"/>
      <c r="B2349" s="386"/>
      <c r="C2349" s="386"/>
      <c r="D2349" s="386"/>
      <c r="E2349" s="386"/>
      <c r="F2349" s="408"/>
    </row>
    <row r="2350" spans="1:6" x14ac:dyDescent="0.2">
      <c r="A2350" s="388"/>
      <c r="B2350" s="386"/>
      <c r="C2350" s="386"/>
      <c r="D2350" s="386"/>
      <c r="E2350" s="386"/>
      <c r="F2350" s="408"/>
    </row>
    <row r="2351" spans="1:6" x14ac:dyDescent="0.2">
      <c r="A2351" s="388"/>
      <c r="B2351" s="386"/>
      <c r="C2351" s="386"/>
      <c r="D2351" s="386"/>
      <c r="E2351" s="386"/>
      <c r="F2351" s="408"/>
    </row>
    <row r="2352" spans="1:6" x14ac:dyDescent="0.2">
      <c r="A2352" s="388"/>
      <c r="B2352" s="386"/>
      <c r="C2352" s="386"/>
      <c r="D2352" s="386"/>
      <c r="E2352" s="386"/>
      <c r="F2352" s="408"/>
    </row>
    <row r="2353" spans="1:6" x14ac:dyDescent="0.2">
      <c r="A2353" s="388"/>
      <c r="B2353" s="386"/>
      <c r="C2353" s="386"/>
      <c r="D2353" s="386"/>
      <c r="E2353" s="386"/>
      <c r="F2353" s="408"/>
    </row>
    <row r="2354" spans="1:6" x14ac:dyDescent="0.2">
      <c r="A2354" s="388"/>
      <c r="B2354" s="386"/>
      <c r="C2354" s="386"/>
      <c r="D2354" s="386"/>
      <c r="E2354" s="386"/>
      <c r="F2354" s="408"/>
    </row>
    <row r="2355" spans="1:6" x14ac:dyDescent="0.2">
      <c r="A2355" s="388"/>
      <c r="B2355" s="386"/>
      <c r="C2355" s="386"/>
      <c r="D2355" s="386"/>
      <c r="E2355" s="386"/>
      <c r="F2355" s="408"/>
    </row>
    <row r="2356" spans="1:6" x14ac:dyDescent="0.2">
      <c r="A2356" s="388"/>
      <c r="B2356" s="386"/>
      <c r="C2356" s="386"/>
      <c r="D2356" s="386"/>
      <c r="E2356" s="386"/>
      <c r="F2356" s="408"/>
    </row>
    <row r="2357" spans="1:6" x14ac:dyDescent="0.2">
      <c r="A2357" s="388"/>
      <c r="B2357" s="386"/>
      <c r="C2357" s="386"/>
      <c r="D2357" s="386"/>
      <c r="E2357" s="386"/>
      <c r="F2357" s="408"/>
    </row>
    <row r="2358" spans="1:6" x14ac:dyDescent="0.2">
      <c r="A2358" s="388"/>
      <c r="B2358" s="386"/>
      <c r="C2358" s="386"/>
      <c r="D2358" s="386"/>
      <c r="E2358" s="386"/>
      <c r="F2358" s="408"/>
    </row>
    <row r="2359" spans="1:6" x14ac:dyDescent="0.2">
      <c r="A2359" s="388"/>
      <c r="B2359" s="386"/>
      <c r="C2359" s="386"/>
      <c r="D2359" s="386"/>
      <c r="E2359" s="386"/>
      <c r="F2359" s="408"/>
    </row>
    <row r="2360" spans="1:6" x14ac:dyDescent="0.2">
      <c r="A2360" s="388"/>
      <c r="B2360" s="386"/>
      <c r="C2360" s="386"/>
      <c r="D2360" s="386"/>
      <c r="E2360" s="386"/>
      <c r="F2360" s="408"/>
    </row>
    <row r="2361" spans="1:6" x14ac:dyDescent="0.2">
      <c r="A2361" s="388"/>
      <c r="B2361" s="386"/>
      <c r="C2361" s="386"/>
      <c r="D2361" s="386"/>
      <c r="E2361" s="386"/>
      <c r="F2361" s="408"/>
    </row>
    <row r="2362" spans="1:6" x14ac:dyDescent="0.2">
      <c r="A2362" s="388"/>
      <c r="B2362" s="386"/>
      <c r="C2362" s="386"/>
      <c r="D2362" s="386"/>
      <c r="E2362" s="386"/>
      <c r="F2362" s="408"/>
    </row>
    <row r="2363" spans="1:6" x14ac:dyDescent="0.2">
      <c r="A2363" s="388"/>
      <c r="B2363" s="386"/>
      <c r="C2363" s="386"/>
      <c r="D2363" s="386"/>
      <c r="E2363" s="386"/>
      <c r="F2363" s="408"/>
    </row>
    <row r="2364" spans="1:6" x14ac:dyDescent="0.2">
      <c r="A2364" s="388"/>
      <c r="B2364" s="386"/>
      <c r="C2364" s="386"/>
      <c r="D2364" s="386"/>
      <c r="E2364" s="386"/>
      <c r="F2364" s="408"/>
    </row>
    <row r="2365" spans="1:6" x14ac:dyDescent="0.2">
      <c r="A2365" s="388"/>
      <c r="B2365" s="386"/>
      <c r="C2365" s="386"/>
      <c r="D2365" s="386"/>
      <c r="E2365" s="386"/>
      <c r="F2365" s="408"/>
    </row>
    <row r="2366" spans="1:6" x14ac:dyDescent="0.2">
      <c r="A2366" s="388"/>
      <c r="B2366" s="386"/>
      <c r="C2366" s="386"/>
      <c r="D2366" s="386"/>
      <c r="E2366" s="386"/>
      <c r="F2366" s="408"/>
    </row>
    <row r="2367" spans="1:6" x14ac:dyDescent="0.2">
      <c r="A2367" s="388"/>
      <c r="B2367" s="386"/>
      <c r="C2367" s="386"/>
      <c r="D2367" s="386"/>
      <c r="E2367" s="386"/>
      <c r="F2367" s="408"/>
    </row>
    <row r="2368" spans="1:6" x14ac:dyDescent="0.2">
      <c r="A2368" s="388"/>
      <c r="B2368" s="386"/>
      <c r="C2368" s="386"/>
      <c r="D2368" s="386"/>
      <c r="E2368" s="386"/>
      <c r="F2368" s="408"/>
    </row>
    <row r="2369" spans="1:6" x14ac:dyDescent="0.2">
      <c r="A2369" s="388"/>
      <c r="B2369" s="386"/>
      <c r="C2369" s="386"/>
      <c r="D2369" s="386"/>
      <c r="E2369" s="386"/>
      <c r="F2369" s="408"/>
    </row>
    <row r="2370" spans="1:6" x14ac:dyDescent="0.2">
      <c r="A2370" s="388"/>
      <c r="B2370" s="386"/>
      <c r="C2370" s="386"/>
      <c r="D2370" s="386"/>
      <c r="E2370" s="386"/>
      <c r="F2370" s="408"/>
    </row>
    <row r="2371" spans="1:6" x14ac:dyDescent="0.2">
      <c r="A2371" s="388"/>
      <c r="B2371" s="386"/>
      <c r="C2371" s="386"/>
      <c r="D2371" s="386"/>
      <c r="E2371" s="386"/>
      <c r="F2371" s="408"/>
    </row>
    <row r="2372" spans="1:6" x14ac:dyDescent="0.2">
      <c r="A2372" s="388"/>
      <c r="B2372" s="386"/>
      <c r="C2372" s="386"/>
      <c r="D2372" s="386"/>
      <c r="E2372" s="386"/>
      <c r="F2372" s="408"/>
    </row>
    <row r="2373" spans="1:6" x14ac:dyDescent="0.2">
      <c r="A2373" s="388"/>
      <c r="B2373" s="386"/>
      <c r="C2373" s="386"/>
      <c r="D2373" s="386"/>
      <c r="E2373" s="386"/>
      <c r="F2373" s="408"/>
    </row>
    <row r="2374" spans="1:6" x14ac:dyDescent="0.2">
      <c r="A2374" s="388"/>
      <c r="B2374" s="386"/>
      <c r="C2374" s="386"/>
      <c r="D2374" s="386"/>
      <c r="E2374" s="386"/>
      <c r="F2374" s="408"/>
    </row>
    <row r="2375" spans="1:6" x14ac:dyDescent="0.2">
      <c r="A2375" s="388"/>
      <c r="B2375" s="386"/>
      <c r="C2375" s="386"/>
      <c r="D2375" s="386"/>
      <c r="E2375" s="386"/>
      <c r="F2375" s="408"/>
    </row>
    <row r="2376" spans="1:6" x14ac:dyDescent="0.2">
      <c r="A2376" s="388"/>
      <c r="B2376" s="386"/>
      <c r="C2376" s="386"/>
      <c r="D2376" s="386"/>
      <c r="E2376" s="386"/>
      <c r="F2376" s="408"/>
    </row>
    <row r="2377" spans="1:6" x14ac:dyDescent="0.2">
      <c r="A2377" s="388"/>
      <c r="B2377" s="386"/>
      <c r="C2377" s="386"/>
      <c r="D2377" s="386"/>
      <c r="E2377" s="386"/>
      <c r="F2377" s="408"/>
    </row>
    <row r="2378" spans="1:6" x14ac:dyDescent="0.2">
      <c r="A2378" s="388"/>
      <c r="B2378" s="386"/>
      <c r="C2378" s="386"/>
      <c r="D2378" s="386"/>
      <c r="E2378" s="386"/>
      <c r="F2378" s="408"/>
    </row>
    <row r="2379" spans="1:6" x14ac:dyDescent="0.2">
      <c r="A2379" s="388"/>
      <c r="B2379" s="386"/>
      <c r="C2379" s="386"/>
      <c r="D2379" s="386"/>
      <c r="E2379" s="386"/>
      <c r="F2379" s="408"/>
    </row>
    <row r="2380" spans="1:6" x14ac:dyDescent="0.2">
      <c r="A2380" s="388"/>
      <c r="B2380" s="386"/>
      <c r="C2380" s="386"/>
      <c r="D2380" s="386"/>
      <c r="E2380" s="386"/>
      <c r="F2380" s="408"/>
    </row>
    <row r="2381" spans="1:6" x14ac:dyDescent="0.2">
      <c r="A2381" s="388"/>
      <c r="B2381" s="386"/>
      <c r="C2381" s="386"/>
      <c r="D2381" s="386"/>
      <c r="E2381" s="386"/>
      <c r="F2381" s="408"/>
    </row>
    <row r="2382" spans="1:6" x14ac:dyDescent="0.2">
      <c r="A2382" s="388"/>
      <c r="B2382" s="386"/>
      <c r="C2382" s="386"/>
      <c r="D2382" s="386"/>
      <c r="E2382" s="386"/>
      <c r="F2382" s="408"/>
    </row>
    <row r="2383" spans="1:6" x14ac:dyDescent="0.2">
      <c r="A2383" s="388"/>
      <c r="B2383" s="386"/>
      <c r="C2383" s="386"/>
      <c r="D2383" s="386"/>
      <c r="E2383" s="386"/>
      <c r="F2383" s="408"/>
    </row>
    <row r="2384" spans="1:6" x14ac:dyDescent="0.2">
      <c r="A2384" s="388"/>
      <c r="B2384" s="386"/>
      <c r="C2384" s="386"/>
      <c r="D2384" s="386"/>
      <c r="E2384" s="386"/>
      <c r="F2384" s="408"/>
    </row>
    <row r="2385" spans="1:6" x14ac:dyDescent="0.2">
      <c r="A2385" s="388"/>
      <c r="B2385" s="386"/>
      <c r="C2385" s="386"/>
      <c r="D2385" s="386"/>
      <c r="E2385" s="386"/>
      <c r="F2385" s="408"/>
    </row>
    <row r="2386" spans="1:6" x14ac:dyDescent="0.2">
      <c r="A2386" s="388"/>
      <c r="B2386" s="386"/>
      <c r="C2386" s="386"/>
      <c r="D2386" s="386"/>
      <c r="E2386" s="386"/>
      <c r="F2386" s="408"/>
    </row>
    <row r="2387" spans="1:6" x14ac:dyDescent="0.2">
      <c r="A2387" s="388"/>
      <c r="B2387" s="386"/>
      <c r="C2387" s="386"/>
      <c r="D2387" s="386"/>
      <c r="E2387" s="386"/>
      <c r="F2387" s="408"/>
    </row>
    <row r="2388" spans="1:6" x14ac:dyDescent="0.2">
      <c r="A2388" s="388"/>
      <c r="B2388" s="386"/>
      <c r="C2388" s="386"/>
      <c r="D2388" s="386"/>
      <c r="E2388" s="386"/>
      <c r="F2388" s="408"/>
    </row>
    <row r="2389" spans="1:6" x14ac:dyDescent="0.2">
      <c r="A2389" s="388"/>
      <c r="B2389" s="386"/>
      <c r="C2389" s="386"/>
      <c r="D2389" s="386"/>
      <c r="E2389" s="386"/>
      <c r="F2389" s="408"/>
    </row>
    <row r="2390" spans="1:6" x14ac:dyDescent="0.2">
      <c r="A2390" s="388"/>
      <c r="B2390" s="386"/>
      <c r="C2390" s="386"/>
      <c r="D2390" s="386"/>
      <c r="E2390" s="386"/>
      <c r="F2390" s="408"/>
    </row>
    <row r="2391" spans="1:6" x14ac:dyDescent="0.2">
      <c r="A2391" s="388"/>
      <c r="B2391" s="386"/>
      <c r="C2391" s="386"/>
      <c r="D2391" s="386"/>
      <c r="E2391" s="386"/>
      <c r="F2391" s="408"/>
    </row>
    <row r="2392" spans="1:6" x14ac:dyDescent="0.2">
      <c r="A2392" s="388"/>
      <c r="B2392" s="386"/>
      <c r="C2392" s="386"/>
      <c r="D2392" s="386"/>
      <c r="E2392" s="386"/>
      <c r="F2392" s="408"/>
    </row>
    <row r="2393" spans="1:6" x14ac:dyDescent="0.2">
      <c r="A2393" s="388"/>
      <c r="B2393" s="386"/>
      <c r="C2393" s="386"/>
      <c r="D2393" s="386"/>
      <c r="E2393" s="386"/>
      <c r="F2393" s="408"/>
    </row>
    <row r="2394" spans="1:6" x14ac:dyDescent="0.2">
      <c r="A2394" s="388"/>
      <c r="B2394" s="386"/>
      <c r="C2394" s="386"/>
      <c r="D2394" s="386"/>
      <c r="E2394" s="386"/>
      <c r="F2394" s="408"/>
    </row>
    <row r="2395" spans="1:6" x14ac:dyDescent="0.2">
      <c r="A2395" s="388"/>
      <c r="B2395" s="386"/>
      <c r="C2395" s="386"/>
      <c r="D2395" s="386"/>
      <c r="E2395" s="386"/>
      <c r="F2395" s="408"/>
    </row>
    <row r="2396" spans="1:6" x14ac:dyDescent="0.2">
      <c r="A2396" s="388"/>
      <c r="B2396" s="386"/>
      <c r="C2396" s="386"/>
      <c r="D2396" s="386"/>
      <c r="E2396" s="386"/>
      <c r="F2396" s="408"/>
    </row>
    <row r="2397" spans="1:6" x14ac:dyDescent="0.2">
      <c r="A2397" s="388"/>
      <c r="B2397" s="386"/>
      <c r="C2397" s="386"/>
      <c r="D2397" s="386"/>
      <c r="E2397" s="386"/>
      <c r="F2397" s="408"/>
    </row>
    <row r="2398" spans="1:6" x14ac:dyDescent="0.2">
      <c r="A2398" s="388"/>
      <c r="B2398" s="386"/>
      <c r="C2398" s="386"/>
      <c r="D2398" s="386"/>
      <c r="E2398" s="386"/>
      <c r="F2398" s="408"/>
    </row>
    <row r="2399" spans="1:6" x14ac:dyDescent="0.2">
      <c r="A2399" s="388"/>
      <c r="B2399" s="386"/>
      <c r="C2399" s="386"/>
      <c r="D2399" s="386"/>
      <c r="E2399" s="386"/>
      <c r="F2399" s="408"/>
    </row>
    <row r="2400" spans="1:6" x14ac:dyDescent="0.2">
      <c r="A2400" s="388"/>
      <c r="B2400" s="386"/>
      <c r="C2400" s="386"/>
      <c r="D2400" s="386"/>
      <c r="E2400" s="386"/>
      <c r="F2400" s="408"/>
    </row>
    <row r="2401" spans="1:6" x14ac:dyDescent="0.2">
      <c r="A2401" s="388"/>
      <c r="B2401" s="386"/>
      <c r="C2401" s="386"/>
      <c r="D2401" s="386"/>
      <c r="E2401" s="386"/>
      <c r="F2401" s="408"/>
    </row>
    <row r="2402" spans="1:6" x14ac:dyDescent="0.2">
      <c r="A2402" s="388"/>
      <c r="B2402" s="386"/>
      <c r="C2402" s="386"/>
      <c r="D2402" s="386"/>
      <c r="E2402" s="386"/>
      <c r="F2402" s="408"/>
    </row>
    <row r="2403" spans="1:6" x14ac:dyDescent="0.2">
      <c r="A2403" s="388"/>
      <c r="B2403" s="386"/>
      <c r="C2403" s="386"/>
      <c r="D2403" s="386"/>
      <c r="E2403" s="386"/>
      <c r="F2403" s="408"/>
    </row>
    <row r="2404" spans="1:6" x14ac:dyDescent="0.2">
      <c r="A2404" s="388"/>
      <c r="B2404" s="386"/>
      <c r="C2404" s="386"/>
      <c r="D2404" s="386"/>
      <c r="E2404" s="386"/>
      <c r="F2404" s="408"/>
    </row>
    <row r="2405" spans="1:6" x14ac:dyDescent="0.2">
      <c r="A2405" s="388"/>
      <c r="B2405" s="386"/>
      <c r="C2405" s="386"/>
      <c r="D2405" s="386"/>
      <c r="E2405" s="386"/>
      <c r="F2405" s="408"/>
    </row>
    <row r="2406" spans="1:6" x14ac:dyDescent="0.2">
      <c r="A2406" s="388"/>
      <c r="B2406" s="386"/>
      <c r="C2406" s="386"/>
      <c r="D2406" s="386"/>
      <c r="E2406" s="386"/>
      <c r="F2406" s="408"/>
    </row>
    <row r="2407" spans="1:6" x14ac:dyDescent="0.2">
      <c r="A2407" s="388"/>
      <c r="B2407" s="386"/>
      <c r="C2407" s="386"/>
      <c r="D2407" s="386"/>
      <c r="E2407" s="386"/>
      <c r="F2407" s="408"/>
    </row>
    <row r="2408" spans="1:6" x14ac:dyDescent="0.2">
      <c r="A2408" s="388"/>
      <c r="B2408" s="386"/>
      <c r="C2408" s="386"/>
      <c r="D2408" s="386"/>
      <c r="E2408" s="386"/>
      <c r="F2408" s="408"/>
    </row>
    <row r="2409" spans="1:6" x14ac:dyDescent="0.2">
      <c r="A2409" s="388"/>
      <c r="B2409" s="386"/>
      <c r="C2409" s="386"/>
      <c r="D2409" s="386"/>
      <c r="E2409" s="386"/>
      <c r="F2409" s="408"/>
    </row>
    <row r="2410" spans="1:6" x14ac:dyDescent="0.2">
      <c r="A2410" s="388"/>
      <c r="B2410" s="386"/>
      <c r="C2410" s="386"/>
      <c r="D2410" s="386"/>
      <c r="E2410" s="386"/>
      <c r="F2410" s="408"/>
    </row>
    <row r="2411" spans="1:6" x14ac:dyDescent="0.2">
      <c r="A2411" s="388"/>
      <c r="B2411" s="386"/>
      <c r="C2411" s="386"/>
      <c r="D2411" s="386"/>
      <c r="E2411" s="386"/>
      <c r="F2411" s="408"/>
    </row>
    <row r="2412" spans="1:6" x14ac:dyDescent="0.2">
      <c r="A2412" s="388"/>
      <c r="B2412" s="386"/>
      <c r="C2412" s="386"/>
      <c r="D2412" s="386"/>
      <c r="E2412" s="386"/>
      <c r="F2412" s="408"/>
    </row>
    <row r="2413" spans="1:6" x14ac:dyDescent="0.2">
      <c r="A2413" s="388"/>
      <c r="B2413" s="386"/>
      <c r="C2413" s="386"/>
      <c r="D2413" s="386"/>
      <c r="E2413" s="386"/>
      <c r="F2413" s="408"/>
    </row>
    <row r="2414" spans="1:6" x14ac:dyDescent="0.2">
      <c r="A2414" s="388"/>
      <c r="B2414" s="386"/>
      <c r="C2414" s="386"/>
      <c r="D2414" s="386"/>
      <c r="E2414" s="386"/>
      <c r="F2414" s="408"/>
    </row>
    <row r="2415" spans="1:6" x14ac:dyDescent="0.2">
      <c r="A2415" s="388"/>
      <c r="B2415" s="386"/>
      <c r="C2415" s="386"/>
      <c r="D2415" s="386"/>
      <c r="E2415" s="386"/>
      <c r="F2415" s="408"/>
    </row>
    <row r="2416" spans="1:6" x14ac:dyDescent="0.2">
      <c r="A2416" s="388"/>
      <c r="B2416" s="386"/>
      <c r="C2416" s="386"/>
      <c r="D2416" s="386"/>
      <c r="E2416" s="386"/>
      <c r="F2416" s="408"/>
    </row>
    <row r="2417" spans="1:6" x14ac:dyDescent="0.2">
      <c r="A2417" s="388"/>
      <c r="B2417" s="386"/>
      <c r="C2417" s="386"/>
      <c r="D2417" s="386"/>
      <c r="E2417" s="386"/>
      <c r="F2417" s="408"/>
    </row>
    <row r="2418" spans="1:6" x14ac:dyDescent="0.2">
      <c r="A2418" s="388"/>
      <c r="B2418" s="386"/>
      <c r="C2418" s="386"/>
      <c r="D2418" s="386"/>
      <c r="E2418" s="386"/>
      <c r="F2418" s="408"/>
    </row>
    <row r="2419" spans="1:6" x14ac:dyDescent="0.2">
      <c r="A2419" s="388"/>
      <c r="B2419" s="386"/>
      <c r="C2419" s="386"/>
      <c r="D2419" s="386"/>
      <c r="E2419" s="386"/>
      <c r="F2419" s="408"/>
    </row>
    <row r="2420" spans="1:6" x14ac:dyDescent="0.2">
      <c r="A2420" s="388"/>
      <c r="B2420" s="386"/>
      <c r="C2420" s="386"/>
      <c r="D2420" s="386"/>
      <c r="E2420" s="386"/>
      <c r="F2420" s="408"/>
    </row>
    <row r="2421" spans="1:6" x14ac:dyDescent="0.2">
      <c r="A2421" s="388"/>
      <c r="B2421" s="386"/>
      <c r="C2421" s="386"/>
      <c r="D2421" s="386"/>
      <c r="E2421" s="386"/>
      <c r="F2421" s="408"/>
    </row>
    <row r="2422" spans="1:6" x14ac:dyDescent="0.2">
      <c r="A2422" s="388"/>
      <c r="B2422" s="386"/>
      <c r="C2422" s="386"/>
      <c r="D2422" s="386"/>
      <c r="E2422" s="386"/>
      <c r="F2422" s="408"/>
    </row>
    <row r="2423" spans="1:6" x14ac:dyDescent="0.2">
      <c r="A2423" s="388"/>
      <c r="B2423" s="386"/>
      <c r="C2423" s="386"/>
      <c r="D2423" s="386"/>
      <c r="E2423" s="386"/>
      <c r="F2423" s="408"/>
    </row>
    <row r="2424" spans="1:6" x14ac:dyDescent="0.2">
      <c r="A2424" s="388"/>
      <c r="B2424" s="386"/>
      <c r="C2424" s="386"/>
      <c r="D2424" s="386"/>
      <c r="E2424" s="386"/>
      <c r="F2424" s="408"/>
    </row>
    <row r="2425" spans="1:6" x14ac:dyDescent="0.2">
      <c r="A2425" s="388"/>
      <c r="B2425" s="386"/>
      <c r="C2425" s="386"/>
      <c r="D2425" s="386"/>
      <c r="E2425" s="386"/>
      <c r="F2425" s="408"/>
    </row>
    <row r="2426" spans="1:6" x14ac:dyDescent="0.2">
      <c r="A2426" s="388"/>
      <c r="B2426" s="386"/>
      <c r="C2426" s="386"/>
      <c r="D2426" s="386"/>
      <c r="E2426" s="386"/>
      <c r="F2426" s="408"/>
    </row>
    <row r="2427" spans="1:6" x14ac:dyDescent="0.2">
      <c r="A2427" s="388"/>
      <c r="B2427" s="386"/>
      <c r="C2427" s="386"/>
      <c r="D2427" s="386"/>
      <c r="E2427" s="386"/>
      <c r="F2427" s="408"/>
    </row>
    <row r="2428" spans="1:6" x14ac:dyDescent="0.2">
      <c r="A2428" s="388"/>
      <c r="B2428" s="386"/>
      <c r="C2428" s="386"/>
      <c r="D2428" s="386"/>
      <c r="E2428" s="386"/>
      <c r="F2428" s="408"/>
    </row>
    <row r="2429" spans="1:6" x14ac:dyDescent="0.2">
      <c r="A2429" s="388"/>
      <c r="B2429" s="386"/>
      <c r="C2429" s="386"/>
      <c r="D2429" s="386"/>
      <c r="E2429" s="386"/>
      <c r="F2429" s="408"/>
    </row>
    <row r="2430" spans="1:6" x14ac:dyDescent="0.2">
      <c r="A2430" s="388"/>
      <c r="B2430" s="386"/>
      <c r="C2430" s="386"/>
      <c r="D2430" s="386"/>
      <c r="E2430" s="386"/>
      <c r="F2430" s="408"/>
    </row>
    <row r="2431" spans="1:6" x14ac:dyDescent="0.2">
      <c r="A2431" s="388"/>
      <c r="B2431" s="386"/>
      <c r="C2431" s="386"/>
      <c r="D2431" s="386"/>
      <c r="E2431" s="386"/>
      <c r="F2431" s="408"/>
    </row>
    <row r="2432" spans="1:6" x14ac:dyDescent="0.2">
      <c r="A2432" s="388"/>
      <c r="B2432" s="386"/>
      <c r="C2432" s="386"/>
      <c r="D2432" s="386"/>
      <c r="E2432" s="386"/>
      <c r="F2432" s="408"/>
    </row>
    <row r="2433" spans="1:6" x14ac:dyDescent="0.2">
      <c r="A2433" s="388"/>
      <c r="B2433" s="386"/>
      <c r="C2433" s="386"/>
      <c r="D2433" s="386"/>
      <c r="E2433" s="386"/>
      <c r="F2433" s="408"/>
    </row>
    <row r="2434" spans="1:6" x14ac:dyDescent="0.2">
      <c r="A2434" s="388"/>
      <c r="B2434" s="386"/>
      <c r="C2434" s="386"/>
      <c r="D2434" s="386"/>
      <c r="E2434" s="386"/>
      <c r="F2434" s="408"/>
    </row>
    <row r="2435" spans="1:6" x14ac:dyDescent="0.2">
      <c r="A2435" s="388"/>
      <c r="B2435" s="386"/>
      <c r="C2435" s="386"/>
      <c r="D2435" s="386"/>
      <c r="E2435" s="386"/>
      <c r="F2435" s="408"/>
    </row>
    <row r="2436" spans="1:6" x14ac:dyDescent="0.2">
      <c r="A2436" s="388"/>
      <c r="B2436" s="386"/>
      <c r="C2436" s="386"/>
      <c r="D2436" s="386"/>
      <c r="E2436" s="386"/>
      <c r="F2436" s="408"/>
    </row>
    <row r="2437" spans="1:6" x14ac:dyDescent="0.2">
      <c r="A2437" s="388"/>
      <c r="B2437" s="386"/>
      <c r="C2437" s="386"/>
      <c r="D2437" s="386"/>
      <c r="E2437" s="386"/>
      <c r="F2437" s="408"/>
    </row>
    <row r="2438" spans="1:6" x14ac:dyDescent="0.2">
      <c r="A2438" s="388"/>
      <c r="B2438" s="386"/>
      <c r="C2438" s="386"/>
      <c r="D2438" s="386"/>
      <c r="E2438" s="386"/>
      <c r="F2438" s="408"/>
    </row>
    <row r="2439" spans="1:6" x14ac:dyDescent="0.2">
      <c r="A2439" s="388"/>
      <c r="B2439" s="386"/>
      <c r="C2439" s="386"/>
      <c r="D2439" s="386"/>
      <c r="E2439" s="386"/>
      <c r="F2439" s="408"/>
    </row>
    <row r="2440" spans="1:6" x14ac:dyDescent="0.2">
      <c r="A2440" s="388"/>
      <c r="B2440" s="386"/>
      <c r="C2440" s="386"/>
      <c r="D2440" s="386"/>
      <c r="E2440" s="386"/>
      <c r="F2440" s="408"/>
    </row>
    <row r="2441" spans="1:6" x14ac:dyDescent="0.2">
      <c r="A2441" s="388"/>
      <c r="B2441" s="386"/>
      <c r="C2441" s="386"/>
      <c r="D2441" s="386"/>
      <c r="E2441" s="386"/>
      <c r="F2441" s="408"/>
    </row>
    <row r="2442" spans="1:6" x14ac:dyDescent="0.2">
      <c r="A2442" s="388"/>
      <c r="B2442" s="386"/>
      <c r="C2442" s="386"/>
      <c r="D2442" s="386"/>
      <c r="E2442" s="386"/>
      <c r="F2442" s="408"/>
    </row>
    <row r="2443" spans="1:6" x14ac:dyDescent="0.2">
      <c r="A2443" s="388"/>
      <c r="B2443" s="386"/>
      <c r="C2443" s="386"/>
      <c r="D2443" s="386"/>
      <c r="E2443" s="386"/>
      <c r="F2443" s="408"/>
    </row>
    <row r="2444" spans="1:6" x14ac:dyDescent="0.2">
      <c r="A2444" s="388"/>
      <c r="B2444" s="386"/>
      <c r="C2444" s="386"/>
      <c r="D2444" s="386"/>
      <c r="E2444" s="386"/>
      <c r="F2444" s="408"/>
    </row>
    <row r="2445" spans="1:6" x14ac:dyDescent="0.2">
      <c r="A2445" s="388"/>
      <c r="B2445" s="386"/>
      <c r="C2445" s="386"/>
      <c r="D2445" s="386"/>
      <c r="E2445" s="386"/>
      <c r="F2445" s="408"/>
    </row>
    <row r="2446" spans="1:6" x14ac:dyDescent="0.2">
      <c r="A2446" s="388"/>
      <c r="B2446" s="386"/>
      <c r="C2446" s="386"/>
      <c r="D2446" s="386"/>
      <c r="E2446" s="386"/>
      <c r="F2446" s="408"/>
    </row>
    <row r="2447" spans="1:6" x14ac:dyDescent="0.2">
      <c r="A2447" s="388"/>
      <c r="B2447" s="386"/>
      <c r="C2447" s="386"/>
      <c r="D2447" s="386"/>
      <c r="E2447" s="386"/>
      <c r="F2447" s="408"/>
    </row>
    <row r="2448" spans="1:6" x14ac:dyDescent="0.2">
      <c r="A2448" s="388"/>
      <c r="B2448" s="386"/>
      <c r="C2448" s="386"/>
      <c r="D2448" s="386"/>
      <c r="E2448" s="386"/>
      <c r="F2448" s="408"/>
    </row>
    <row r="2449" spans="1:6" x14ac:dyDescent="0.2">
      <c r="A2449" s="388"/>
      <c r="B2449" s="386"/>
      <c r="C2449" s="386"/>
      <c r="D2449" s="386"/>
      <c r="E2449" s="386"/>
      <c r="F2449" s="408"/>
    </row>
    <row r="2450" spans="1:6" x14ac:dyDescent="0.2">
      <c r="A2450" s="388"/>
      <c r="B2450" s="386"/>
      <c r="C2450" s="386"/>
      <c r="D2450" s="386"/>
      <c r="E2450" s="386"/>
      <c r="F2450" s="408"/>
    </row>
    <row r="2451" spans="1:6" x14ac:dyDescent="0.2">
      <c r="A2451" s="388"/>
      <c r="B2451" s="386"/>
      <c r="C2451" s="386"/>
      <c r="D2451" s="386"/>
      <c r="E2451" s="386"/>
      <c r="F2451" s="408"/>
    </row>
    <row r="2452" spans="1:6" x14ac:dyDescent="0.2">
      <c r="A2452" s="388"/>
      <c r="B2452" s="386"/>
      <c r="C2452" s="386"/>
      <c r="D2452" s="386"/>
      <c r="E2452" s="386"/>
      <c r="F2452" s="408"/>
    </row>
    <row r="2453" spans="1:6" x14ac:dyDescent="0.2">
      <c r="A2453" s="388"/>
      <c r="B2453" s="386"/>
      <c r="C2453" s="386"/>
      <c r="D2453" s="386"/>
      <c r="E2453" s="386"/>
      <c r="F2453" s="408"/>
    </row>
    <row r="2454" spans="1:6" x14ac:dyDescent="0.2">
      <c r="A2454" s="388"/>
      <c r="B2454" s="386"/>
      <c r="C2454" s="386"/>
      <c r="D2454" s="386"/>
      <c r="E2454" s="386"/>
      <c r="F2454" s="408"/>
    </row>
    <row r="2455" spans="1:6" x14ac:dyDescent="0.2">
      <c r="A2455" s="388"/>
      <c r="B2455" s="386"/>
      <c r="C2455" s="386"/>
      <c r="D2455" s="386"/>
      <c r="E2455" s="386"/>
      <c r="F2455" s="408"/>
    </row>
    <row r="2456" spans="1:6" x14ac:dyDescent="0.2">
      <c r="A2456" s="388"/>
      <c r="B2456" s="386"/>
      <c r="C2456" s="386"/>
      <c r="D2456" s="386"/>
      <c r="E2456" s="386"/>
      <c r="F2456" s="408"/>
    </row>
    <row r="2457" spans="1:6" x14ac:dyDescent="0.2">
      <c r="A2457" s="388"/>
      <c r="B2457" s="386"/>
      <c r="C2457" s="386"/>
      <c r="D2457" s="386"/>
      <c r="E2457" s="386"/>
      <c r="F2457" s="408"/>
    </row>
    <row r="2458" spans="1:6" x14ac:dyDescent="0.2">
      <c r="A2458" s="388"/>
      <c r="B2458" s="386"/>
      <c r="C2458" s="386"/>
      <c r="D2458" s="386"/>
      <c r="E2458" s="386"/>
      <c r="F2458" s="408"/>
    </row>
    <row r="2459" spans="1:6" x14ac:dyDescent="0.2">
      <c r="A2459" s="388"/>
      <c r="B2459" s="386"/>
      <c r="C2459" s="386"/>
      <c r="D2459" s="386"/>
      <c r="E2459" s="386"/>
      <c r="F2459" s="408"/>
    </row>
    <row r="2460" spans="1:6" x14ac:dyDescent="0.2">
      <c r="A2460" s="388"/>
      <c r="B2460" s="386"/>
      <c r="C2460" s="386"/>
      <c r="D2460" s="386"/>
      <c r="E2460" s="386"/>
      <c r="F2460" s="408"/>
    </row>
    <row r="2461" spans="1:6" x14ac:dyDescent="0.2">
      <c r="A2461" s="388"/>
      <c r="B2461" s="386"/>
      <c r="C2461" s="386"/>
      <c r="D2461" s="386"/>
      <c r="E2461" s="386"/>
      <c r="F2461" s="408"/>
    </row>
    <row r="2462" spans="1:6" x14ac:dyDescent="0.2">
      <c r="A2462" s="388"/>
      <c r="B2462" s="386"/>
      <c r="C2462" s="386"/>
      <c r="D2462" s="386"/>
      <c r="E2462" s="386"/>
      <c r="F2462" s="408"/>
    </row>
    <row r="2463" spans="1:6" x14ac:dyDescent="0.2">
      <c r="A2463" s="388"/>
      <c r="B2463" s="386"/>
      <c r="C2463" s="386"/>
      <c r="D2463" s="386"/>
      <c r="E2463" s="386"/>
      <c r="F2463" s="408"/>
    </row>
    <row r="2464" spans="1:6" x14ac:dyDescent="0.2">
      <c r="A2464" s="388"/>
      <c r="B2464" s="386"/>
      <c r="C2464" s="386"/>
      <c r="D2464" s="386"/>
      <c r="E2464" s="386"/>
      <c r="F2464" s="408"/>
    </row>
    <row r="2465" spans="1:6" x14ac:dyDescent="0.2">
      <c r="A2465" s="388"/>
      <c r="B2465" s="386"/>
      <c r="C2465" s="386"/>
      <c r="D2465" s="386"/>
      <c r="E2465" s="386"/>
      <c r="F2465" s="408"/>
    </row>
    <row r="2466" spans="1:6" x14ac:dyDescent="0.2">
      <c r="A2466" s="388"/>
      <c r="B2466" s="386"/>
      <c r="C2466" s="386"/>
      <c r="D2466" s="386"/>
      <c r="E2466" s="386"/>
      <c r="F2466" s="408"/>
    </row>
    <row r="2467" spans="1:6" x14ac:dyDescent="0.2">
      <c r="A2467" s="388"/>
      <c r="B2467" s="386"/>
      <c r="C2467" s="386"/>
      <c r="D2467" s="386"/>
      <c r="E2467" s="386"/>
      <c r="F2467" s="408"/>
    </row>
    <row r="2468" spans="1:6" x14ac:dyDescent="0.2">
      <c r="A2468" s="388"/>
      <c r="B2468" s="386"/>
      <c r="C2468" s="386"/>
      <c r="D2468" s="386"/>
      <c r="E2468" s="386"/>
      <c r="F2468" s="408"/>
    </row>
    <row r="2469" spans="1:6" x14ac:dyDescent="0.2">
      <c r="A2469" s="388"/>
      <c r="B2469" s="386"/>
      <c r="C2469" s="386"/>
      <c r="D2469" s="386"/>
      <c r="E2469" s="386"/>
      <c r="F2469" s="408"/>
    </row>
    <row r="2470" spans="1:6" x14ac:dyDescent="0.2">
      <c r="A2470" s="388"/>
      <c r="B2470" s="386"/>
      <c r="C2470" s="386"/>
      <c r="D2470" s="386"/>
      <c r="E2470" s="386"/>
      <c r="F2470" s="408"/>
    </row>
    <row r="2471" spans="1:6" x14ac:dyDescent="0.2">
      <c r="A2471" s="388"/>
      <c r="B2471" s="386"/>
      <c r="C2471" s="386"/>
      <c r="D2471" s="386"/>
      <c r="E2471" s="386"/>
      <c r="F2471" s="408"/>
    </row>
    <row r="2472" spans="1:6" x14ac:dyDescent="0.2">
      <c r="A2472" s="388"/>
      <c r="B2472" s="386"/>
      <c r="C2472" s="386"/>
      <c r="D2472" s="386"/>
      <c r="E2472" s="386"/>
      <c r="F2472" s="408"/>
    </row>
    <row r="2473" spans="1:6" x14ac:dyDescent="0.2">
      <c r="A2473" s="388"/>
      <c r="B2473" s="386"/>
      <c r="C2473" s="386"/>
      <c r="D2473" s="386"/>
      <c r="E2473" s="386"/>
      <c r="F2473" s="408"/>
    </row>
    <row r="2474" spans="1:6" x14ac:dyDescent="0.2">
      <c r="A2474" s="388"/>
      <c r="B2474" s="386"/>
      <c r="C2474" s="386"/>
      <c r="D2474" s="386"/>
      <c r="E2474" s="386"/>
      <c r="F2474" s="408"/>
    </row>
    <row r="2475" spans="1:6" x14ac:dyDescent="0.2">
      <c r="A2475" s="388"/>
      <c r="B2475" s="386"/>
      <c r="C2475" s="386"/>
      <c r="D2475" s="386"/>
      <c r="E2475" s="386"/>
      <c r="F2475" s="408"/>
    </row>
    <row r="2476" spans="1:6" x14ac:dyDescent="0.2">
      <c r="A2476" s="388"/>
      <c r="B2476" s="386"/>
      <c r="C2476" s="386"/>
      <c r="D2476" s="386"/>
      <c r="E2476" s="386"/>
      <c r="F2476" s="408"/>
    </row>
    <row r="2477" spans="1:6" x14ac:dyDescent="0.2">
      <c r="A2477" s="388"/>
      <c r="B2477" s="386"/>
      <c r="C2477" s="386"/>
      <c r="D2477" s="386"/>
      <c r="E2477" s="386"/>
      <c r="F2477" s="408"/>
    </row>
    <row r="2478" spans="1:6" x14ac:dyDescent="0.2">
      <c r="A2478" s="388"/>
      <c r="B2478" s="386"/>
      <c r="C2478" s="386"/>
      <c r="D2478" s="386"/>
      <c r="E2478" s="386"/>
      <c r="F2478" s="408"/>
    </row>
    <row r="2479" spans="1:6" x14ac:dyDescent="0.2">
      <c r="A2479" s="388"/>
      <c r="B2479" s="386"/>
      <c r="C2479" s="386"/>
      <c r="D2479" s="386"/>
      <c r="E2479" s="386"/>
      <c r="F2479" s="408"/>
    </row>
    <row r="2480" spans="1:6" x14ac:dyDescent="0.2">
      <c r="A2480" s="388"/>
      <c r="B2480" s="386"/>
      <c r="C2480" s="386"/>
      <c r="D2480" s="386"/>
      <c r="E2480" s="386"/>
      <c r="F2480" s="408"/>
    </row>
    <row r="2481" spans="1:6" x14ac:dyDescent="0.2">
      <c r="A2481" s="388"/>
      <c r="B2481" s="386"/>
      <c r="C2481" s="386"/>
      <c r="D2481" s="386"/>
      <c r="E2481" s="386"/>
      <c r="F2481" s="408"/>
    </row>
    <row r="2482" spans="1:6" x14ac:dyDescent="0.2">
      <c r="A2482" s="388"/>
      <c r="B2482" s="386"/>
      <c r="C2482" s="386"/>
      <c r="D2482" s="386"/>
      <c r="E2482" s="386"/>
      <c r="F2482" s="408"/>
    </row>
    <row r="2483" spans="1:6" x14ac:dyDescent="0.2">
      <c r="A2483" s="388"/>
      <c r="B2483" s="386"/>
      <c r="C2483" s="386"/>
      <c r="D2483" s="386"/>
      <c r="E2483" s="386"/>
      <c r="F2483" s="408"/>
    </row>
    <row r="2484" spans="1:6" x14ac:dyDescent="0.2">
      <c r="A2484" s="388"/>
      <c r="B2484" s="386"/>
      <c r="C2484" s="386"/>
      <c r="D2484" s="386"/>
      <c r="E2484" s="386"/>
      <c r="F2484" s="408"/>
    </row>
    <row r="2485" spans="1:6" x14ac:dyDescent="0.2">
      <c r="A2485" s="388"/>
      <c r="B2485" s="386"/>
      <c r="C2485" s="386"/>
      <c r="D2485" s="386"/>
      <c r="E2485" s="386"/>
      <c r="F2485" s="408"/>
    </row>
    <row r="2486" spans="1:6" x14ac:dyDescent="0.2">
      <c r="A2486" s="388"/>
      <c r="B2486" s="386"/>
      <c r="C2486" s="386"/>
      <c r="D2486" s="386"/>
      <c r="E2486" s="386"/>
      <c r="F2486" s="408"/>
    </row>
    <row r="2487" spans="1:6" x14ac:dyDescent="0.2">
      <c r="A2487" s="388"/>
      <c r="B2487" s="386"/>
      <c r="C2487" s="386"/>
      <c r="D2487" s="386"/>
      <c r="E2487" s="386"/>
      <c r="F2487" s="408"/>
    </row>
    <row r="2488" spans="1:6" x14ac:dyDescent="0.2">
      <c r="A2488" s="388"/>
      <c r="B2488" s="386"/>
      <c r="C2488" s="386"/>
      <c r="D2488" s="386"/>
      <c r="E2488" s="386"/>
      <c r="F2488" s="408"/>
    </row>
    <row r="2489" spans="1:6" x14ac:dyDescent="0.2">
      <c r="A2489" s="388"/>
      <c r="B2489" s="386"/>
      <c r="C2489" s="386"/>
      <c r="D2489" s="386"/>
      <c r="E2489" s="386"/>
      <c r="F2489" s="408"/>
    </row>
    <row r="2490" spans="1:6" x14ac:dyDescent="0.2">
      <c r="A2490" s="388"/>
      <c r="B2490" s="386"/>
      <c r="C2490" s="386"/>
      <c r="D2490" s="386"/>
      <c r="E2490" s="386"/>
      <c r="F2490" s="408"/>
    </row>
    <row r="2491" spans="1:6" x14ac:dyDescent="0.2">
      <c r="A2491" s="388"/>
      <c r="B2491" s="386"/>
      <c r="C2491" s="386"/>
      <c r="D2491" s="386"/>
      <c r="E2491" s="386"/>
      <c r="F2491" s="408"/>
    </row>
    <row r="2492" spans="1:6" x14ac:dyDescent="0.2">
      <c r="A2492" s="388"/>
      <c r="B2492" s="386"/>
      <c r="C2492" s="386"/>
      <c r="D2492" s="386"/>
      <c r="E2492" s="386"/>
      <c r="F2492" s="408"/>
    </row>
    <row r="2493" spans="1:6" x14ac:dyDescent="0.2">
      <c r="A2493" s="388"/>
      <c r="B2493" s="386"/>
      <c r="C2493" s="386"/>
      <c r="D2493" s="386"/>
      <c r="E2493" s="386"/>
      <c r="F2493" s="408"/>
    </row>
    <row r="2494" spans="1:6" x14ac:dyDescent="0.2">
      <c r="A2494" s="388"/>
      <c r="B2494" s="386"/>
      <c r="C2494" s="386"/>
      <c r="D2494" s="386"/>
      <c r="E2494" s="386"/>
      <c r="F2494" s="408"/>
    </row>
    <row r="2495" spans="1:6" x14ac:dyDescent="0.2">
      <c r="A2495" s="388"/>
      <c r="B2495" s="386"/>
      <c r="C2495" s="386"/>
      <c r="D2495" s="386"/>
      <c r="E2495" s="386"/>
      <c r="F2495" s="408"/>
    </row>
    <row r="2496" spans="1:6" x14ac:dyDescent="0.2">
      <c r="A2496" s="388"/>
      <c r="B2496" s="386"/>
      <c r="C2496" s="386"/>
      <c r="D2496" s="386"/>
      <c r="E2496" s="386"/>
      <c r="F2496" s="408"/>
    </row>
    <row r="2497" spans="1:6" x14ac:dyDescent="0.2">
      <c r="A2497" s="388"/>
      <c r="B2497" s="386"/>
      <c r="C2497" s="386"/>
      <c r="D2497" s="386"/>
      <c r="E2497" s="386"/>
      <c r="F2497" s="408"/>
    </row>
    <row r="2498" spans="1:6" x14ac:dyDescent="0.2">
      <c r="A2498" s="388"/>
      <c r="B2498" s="386"/>
      <c r="C2498" s="386"/>
      <c r="D2498" s="386"/>
      <c r="E2498" s="386"/>
      <c r="F2498" s="408"/>
    </row>
    <row r="2499" spans="1:6" x14ac:dyDescent="0.2">
      <c r="A2499" s="388"/>
      <c r="B2499" s="386"/>
      <c r="C2499" s="386"/>
      <c r="D2499" s="386"/>
      <c r="E2499" s="386"/>
      <c r="F2499" s="408"/>
    </row>
    <row r="2500" spans="1:6" x14ac:dyDescent="0.2">
      <c r="A2500" s="388"/>
      <c r="B2500" s="386"/>
      <c r="C2500" s="386"/>
      <c r="D2500" s="386"/>
      <c r="E2500" s="386"/>
      <c r="F2500" s="408"/>
    </row>
    <row r="2501" spans="1:6" x14ac:dyDescent="0.2">
      <c r="A2501" s="388"/>
      <c r="B2501" s="386"/>
      <c r="C2501" s="386"/>
      <c r="D2501" s="386"/>
      <c r="E2501" s="386"/>
      <c r="F2501" s="408"/>
    </row>
    <row r="2502" spans="1:6" x14ac:dyDescent="0.2">
      <c r="A2502" s="388"/>
      <c r="B2502" s="386"/>
      <c r="C2502" s="386"/>
      <c r="D2502" s="386"/>
      <c r="E2502" s="386"/>
      <c r="F2502" s="408"/>
    </row>
    <row r="2503" spans="1:6" x14ac:dyDescent="0.2">
      <c r="A2503" s="388"/>
      <c r="B2503" s="386"/>
      <c r="C2503" s="386"/>
      <c r="D2503" s="386"/>
      <c r="E2503" s="386"/>
      <c r="F2503" s="408"/>
    </row>
    <row r="2504" spans="1:6" x14ac:dyDescent="0.2">
      <c r="A2504" s="388"/>
      <c r="B2504" s="386"/>
      <c r="C2504" s="386"/>
      <c r="D2504" s="386"/>
      <c r="E2504" s="386"/>
      <c r="F2504" s="408"/>
    </row>
    <row r="2505" spans="1:6" x14ac:dyDescent="0.2">
      <c r="A2505" s="388"/>
      <c r="B2505" s="386"/>
      <c r="C2505" s="386"/>
      <c r="D2505" s="386"/>
      <c r="E2505" s="386"/>
      <c r="F2505" s="408"/>
    </row>
    <row r="2506" spans="1:6" x14ac:dyDescent="0.2">
      <c r="A2506" s="388"/>
      <c r="B2506" s="386"/>
      <c r="C2506" s="386"/>
      <c r="D2506" s="386"/>
      <c r="E2506" s="386"/>
      <c r="F2506" s="408"/>
    </row>
    <row r="2507" spans="1:6" x14ac:dyDescent="0.2">
      <c r="A2507" s="388"/>
      <c r="B2507" s="386"/>
      <c r="C2507" s="386"/>
      <c r="D2507" s="386"/>
      <c r="E2507" s="386"/>
      <c r="F2507" s="408"/>
    </row>
    <row r="2508" spans="1:6" x14ac:dyDescent="0.2">
      <c r="A2508" s="388"/>
      <c r="B2508" s="386"/>
      <c r="C2508" s="386"/>
      <c r="D2508" s="386"/>
      <c r="E2508" s="386"/>
      <c r="F2508" s="408"/>
    </row>
    <row r="2509" spans="1:6" x14ac:dyDescent="0.2">
      <c r="A2509" s="388"/>
      <c r="B2509" s="386"/>
      <c r="C2509" s="386"/>
      <c r="D2509" s="386"/>
      <c r="E2509" s="386"/>
      <c r="F2509" s="408"/>
    </row>
    <row r="2510" spans="1:6" x14ac:dyDescent="0.2">
      <c r="A2510" s="388"/>
      <c r="B2510" s="386"/>
      <c r="C2510" s="386"/>
      <c r="D2510" s="386"/>
      <c r="E2510" s="386"/>
      <c r="F2510" s="408"/>
    </row>
    <row r="2511" spans="1:6" x14ac:dyDescent="0.2">
      <c r="A2511" s="388"/>
      <c r="B2511" s="386"/>
      <c r="C2511" s="386"/>
      <c r="D2511" s="386"/>
      <c r="E2511" s="386"/>
      <c r="F2511" s="408"/>
    </row>
    <row r="2512" spans="1:6" x14ac:dyDescent="0.2">
      <c r="A2512" s="388"/>
      <c r="B2512" s="386"/>
      <c r="C2512" s="386"/>
      <c r="D2512" s="386"/>
      <c r="E2512" s="386"/>
      <c r="F2512" s="408"/>
    </row>
    <row r="2513" spans="1:6" x14ac:dyDescent="0.2">
      <c r="A2513" s="388"/>
      <c r="B2513" s="386"/>
      <c r="C2513" s="386"/>
      <c r="D2513" s="386"/>
      <c r="E2513" s="386"/>
      <c r="F2513" s="408"/>
    </row>
    <row r="2514" spans="1:6" x14ac:dyDescent="0.2">
      <c r="A2514" s="388"/>
      <c r="B2514" s="386"/>
      <c r="C2514" s="386"/>
      <c r="D2514" s="386"/>
      <c r="E2514" s="386"/>
      <c r="F2514" s="408"/>
    </row>
    <row r="2515" spans="1:6" x14ac:dyDescent="0.2">
      <c r="A2515" s="388"/>
      <c r="B2515" s="386"/>
      <c r="C2515" s="386"/>
      <c r="D2515" s="386"/>
      <c r="E2515" s="386"/>
      <c r="F2515" s="408"/>
    </row>
    <row r="2516" spans="1:6" x14ac:dyDescent="0.2">
      <c r="A2516" s="388"/>
      <c r="B2516" s="386"/>
      <c r="C2516" s="386"/>
      <c r="D2516" s="386"/>
      <c r="E2516" s="386"/>
      <c r="F2516" s="408"/>
    </row>
    <row r="2517" spans="1:6" x14ac:dyDescent="0.2">
      <c r="A2517" s="388"/>
      <c r="B2517" s="386"/>
      <c r="C2517" s="386"/>
      <c r="D2517" s="386"/>
      <c r="E2517" s="386"/>
      <c r="F2517" s="408"/>
    </row>
    <row r="2518" spans="1:6" x14ac:dyDescent="0.2">
      <c r="A2518" s="388"/>
      <c r="B2518" s="386"/>
      <c r="C2518" s="386"/>
      <c r="D2518" s="386"/>
      <c r="E2518" s="386"/>
      <c r="F2518" s="408"/>
    </row>
    <row r="2519" spans="1:6" x14ac:dyDescent="0.2">
      <c r="A2519" s="388"/>
      <c r="B2519" s="386"/>
      <c r="C2519" s="386"/>
      <c r="D2519" s="386"/>
      <c r="E2519" s="386"/>
      <c r="F2519" s="408"/>
    </row>
    <row r="2520" spans="1:6" x14ac:dyDescent="0.2">
      <c r="A2520" s="388"/>
      <c r="B2520" s="386"/>
      <c r="C2520" s="386"/>
      <c r="D2520" s="386"/>
      <c r="E2520" s="386"/>
      <c r="F2520" s="408"/>
    </row>
    <row r="2521" spans="1:6" x14ac:dyDescent="0.2">
      <c r="A2521" s="388"/>
      <c r="B2521" s="386"/>
      <c r="C2521" s="386"/>
      <c r="D2521" s="386"/>
      <c r="E2521" s="386"/>
      <c r="F2521" s="408"/>
    </row>
    <row r="2522" spans="1:6" x14ac:dyDescent="0.2">
      <c r="A2522" s="388"/>
      <c r="B2522" s="386"/>
      <c r="C2522" s="386"/>
      <c r="D2522" s="386"/>
      <c r="E2522" s="386"/>
      <c r="F2522" s="408"/>
    </row>
    <row r="2523" spans="1:6" x14ac:dyDescent="0.2">
      <c r="A2523" s="388"/>
      <c r="B2523" s="386"/>
      <c r="C2523" s="386"/>
      <c r="D2523" s="386"/>
      <c r="E2523" s="386"/>
      <c r="F2523" s="408"/>
    </row>
    <row r="2524" spans="1:6" x14ac:dyDescent="0.2">
      <c r="A2524" s="388"/>
      <c r="B2524" s="386"/>
      <c r="C2524" s="386"/>
      <c r="D2524" s="386"/>
      <c r="E2524" s="386"/>
      <c r="F2524" s="408"/>
    </row>
    <row r="2525" spans="1:6" x14ac:dyDescent="0.2">
      <c r="A2525" s="388"/>
      <c r="B2525" s="386"/>
      <c r="C2525" s="386"/>
      <c r="D2525" s="386"/>
      <c r="E2525" s="386"/>
      <c r="F2525" s="408"/>
    </row>
    <row r="2526" spans="1:6" x14ac:dyDescent="0.2">
      <c r="A2526" s="388"/>
      <c r="B2526" s="386"/>
      <c r="C2526" s="386"/>
      <c r="D2526" s="386"/>
      <c r="E2526" s="386"/>
      <c r="F2526" s="408"/>
    </row>
    <row r="2527" spans="1:6" x14ac:dyDescent="0.2">
      <c r="A2527" s="388"/>
      <c r="B2527" s="386"/>
      <c r="C2527" s="386"/>
      <c r="D2527" s="386"/>
      <c r="E2527" s="386"/>
      <c r="F2527" s="408"/>
    </row>
    <row r="2528" spans="1:6" x14ac:dyDescent="0.2">
      <c r="A2528" s="388"/>
      <c r="B2528" s="386"/>
      <c r="C2528" s="386"/>
      <c r="D2528" s="386"/>
      <c r="E2528" s="386"/>
      <c r="F2528" s="408"/>
    </row>
    <row r="2529" spans="1:6" x14ac:dyDescent="0.2">
      <c r="A2529" s="388"/>
      <c r="B2529" s="386"/>
      <c r="C2529" s="386"/>
      <c r="D2529" s="386"/>
      <c r="E2529" s="386"/>
      <c r="F2529" s="408"/>
    </row>
    <row r="2530" spans="1:6" x14ac:dyDescent="0.2">
      <c r="A2530" s="388"/>
      <c r="B2530" s="386"/>
      <c r="C2530" s="386"/>
      <c r="D2530" s="386"/>
      <c r="E2530" s="386"/>
      <c r="F2530" s="408"/>
    </row>
    <row r="2531" spans="1:6" x14ac:dyDescent="0.2">
      <c r="A2531" s="388"/>
      <c r="B2531" s="386"/>
      <c r="C2531" s="386"/>
      <c r="D2531" s="386"/>
      <c r="E2531" s="386"/>
      <c r="F2531" s="408"/>
    </row>
    <row r="2532" spans="1:6" x14ac:dyDescent="0.2">
      <c r="A2532" s="388"/>
      <c r="B2532" s="386"/>
      <c r="C2532" s="386"/>
      <c r="D2532" s="386"/>
      <c r="E2532" s="386"/>
      <c r="F2532" s="408"/>
    </row>
    <row r="2533" spans="1:6" x14ac:dyDescent="0.2">
      <c r="A2533" s="388"/>
      <c r="B2533" s="386"/>
      <c r="C2533" s="386"/>
      <c r="D2533" s="386"/>
      <c r="E2533" s="386"/>
      <c r="F2533" s="408"/>
    </row>
    <row r="2534" spans="1:6" x14ac:dyDescent="0.2">
      <c r="A2534" s="388"/>
      <c r="B2534" s="386"/>
      <c r="C2534" s="386"/>
      <c r="D2534" s="386"/>
      <c r="E2534" s="386"/>
      <c r="F2534" s="408"/>
    </row>
    <row r="2535" spans="1:6" x14ac:dyDescent="0.2">
      <c r="A2535" s="388"/>
      <c r="B2535" s="386"/>
      <c r="C2535" s="386"/>
      <c r="D2535" s="386"/>
      <c r="E2535" s="386"/>
      <c r="F2535" s="408"/>
    </row>
    <row r="2536" spans="1:6" x14ac:dyDescent="0.2">
      <c r="A2536" s="388"/>
      <c r="B2536" s="386"/>
      <c r="C2536" s="386"/>
      <c r="D2536" s="386"/>
      <c r="E2536" s="386"/>
      <c r="F2536" s="408"/>
    </row>
    <row r="2537" spans="1:6" x14ac:dyDescent="0.2">
      <c r="A2537" s="388"/>
      <c r="B2537" s="386"/>
      <c r="C2537" s="386"/>
      <c r="D2537" s="386"/>
      <c r="E2537" s="386"/>
      <c r="F2537" s="408"/>
    </row>
    <row r="2538" spans="1:6" x14ac:dyDescent="0.2">
      <c r="A2538" s="388"/>
      <c r="B2538" s="386"/>
      <c r="C2538" s="386"/>
      <c r="D2538" s="386"/>
      <c r="E2538" s="386"/>
      <c r="F2538" s="408"/>
    </row>
    <row r="2539" spans="1:6" x14ac:dyDescent="0.2">
      <c r="A2539" s="388"/>
      <c r="B2539" s="386"/>
      <c r="C2539" s="386"/>
      <c r="D2539" s="386"/>
      <c r="E2539" s="386"/>
      <c r="F2539" s="408"/>
    </row>
    <row r="2540" spans="1:6" x14ac:dyDescent="0.2">
      <c r="A2540" s="388"/>
      <c r="B2540" s="386"/>
      <c r="C2540" s="386"/>
      <c r="D2540" s="386"/>
      <c r="E2540" s="386"/>
      <c r="F2540" s="408"/>
    </row>
    <row r="2541" spans="1:6" x14ac:dyDescent="0.2">
      <c r="A2541" s="388"/>
      <c r="B2541" s="386"/>
      <c r="C2541" s="386"/>
      <c r="D2541" s="386"/>
      <c r="E2541" s="386"/>
      <c r="F2541" s="408"/>
    </row>
    <row r="2542" spans="1:6" x14ac:dyDescent="0.2">
      <c r="A2542" s="388"/>
      <c r="B2542" s="386"/>
      <c r="C2542" s="386"/>
      <c r="D2542" s="386"/>
      <c r="E2542" s="386"/>
      <c r="F2542" s="408"/>
    </row>
    <row r="2543" spans="1:6" x14ac:dyDescent="0.2">
      <c r="A2543" s="388"/>
      <c r="B2543" s="386"/>
      <c r="C2543" s="386"/>
      <c r="D2543" s="386"/>
      <c r="E2543" s="386"/>
      <c r="F2543" s="408"/>
    </row>
    <row r="2544" spans="1:6" x14ac:dyDescent="0.2">
      <c r="A2544" s="388"/>
      <c r="B2544" s="386"/>
      <c r="C2544" s="386"/>
      <c r="D2544" s="386"/>
      <c r="E2544" s="386"/>
      <c r="F2544" s="408"/>
    </row>
    <row r="2545" spans="1:6" x14ac:dyDescent="0.2">
      <c r="A2545" s="388"/>
      <c r="B2545" s="386"/>
      <c r="C2545" s="386"/>
      <c r="D2545" s="386"/>
      <c r="E2545" s="386"/>
      <c r="F2545" s="408"/>
    </row>
    <row r="2546" spans="1:6" x14ac:dyDescent="0.2">
      <c r="A2546" s="388"/>
      <c r="B2546" s="386"/>
      <c r="C2546" s="386"/>
      <c r="D2546" s="386"/>
      <c r="E2546" s="386"/>
      <c r="F2546" s="408"/>
    </row>
    <row r="2547" spans="1:6" x14ac:dyDescent="0.2">
      <c r="A2547" s="388"/>
      <c r="B2547" s="386"/>
      <c r="C2547" s="386"/>
      <c r="D2547" s="386"/>
      <c r="E2547" s="386"/>
      <c r="F2547" s="408"/>
    </row>
    <row r="2548" spans="1:6" x14ac:dyDescent="0.2">
      <c r="A2548" s="388"/>
      <c r="B2548" s="386"/>
      <c r="C2548" s="386"/>
      <c r="D2548" s="386"/>
      <c r="E2548" s="386"/>
      <c r="F2548" s="408"/>
    </row>
    <row r="2549" spans="1:6" x14ac:dyDescent="0.2">
      <c r="A2549" s="388"/>
      <c r="B2549" s="386"/>
      <c r="C2549" s="386"/>
      <c r="D2549" s="386"/>
      <c r="E2549" s="386"/>
      <c r="F2549" s="408"/>
    </row>
    <row r="2550" spans="1:6" x14ac:dyDescent="0.2">
      <c r="A2550" s="388"/>
      <c r="B2550" s="386"/>
      <c r="C2550" s="386"/>
      <c r="D2550" s="386"/>
      <c r="E2550" s="386"/>
      <c r="F2550" s="408"/>
    </row>
    <row r="2551" spans="1:6" x14ac:dyDescent="0.2">
      <c r="A2551" s="388"/>
      <c r="B2551" s="386"/>
      <c r="C2551" s="386"/>
      <c r="D2551" s="386"/>
      <c r="E2551" s="386"/>
      <c r="F2551" s="408"/>
    </row>
    <row r="2552" spans="1:6" x14ac:dyDescent="0.2">
      <c r="A2552" s="388"/>
      <c r="B2552" s="386"/>
      <c r="C2552" s="386"/>
      <c r="D2552" s="386"/>
      <c r="E2552" s="386"/>
      <c r="F2552" s="408"/>
    </row>
    <row r="2553" spans="1:6" x14ac:dyDescent="0.2">
      <c r="A2553" s="388"/>
      <c r="B2553" s="386"/>
      <c r="C2553" s="386"/>
      <c r="D2553" s="386"/>
      <c r="E2553" s="386"/>
      <c r="F2553" s="408"/>
    </row>
    <row r="2554" spans="1:6" x14ac:dyDescent="0.2">
      <c r="A2554" s="388"/>
      <c r="B2554" s="386"/>
      <c r="C2554" s="386"/>
      <c r="D2554" s="386"/>
      <c r="E2554" s="386"/>
      <c r="F2554" s="408"/>
    </row>
    <row r="2555" spans="1:6" x14ac:dyDescent="0.2">
      <c r="A2555" s="388"/>
      <c r="B2555" s="386"/>
      <c r="C2555" s="386"/>
      <c r="D2555" s="386"/>
      <c r="E2555" s="386"/>
      <c r="F2555" s="408"/>
    </row>
    <row r="2556" spans="1:6" x14ac:dyDescent="0.2">
      <c r="A2556" s="388"/>
      <c r="B2556" s="386"/>
      <c r="C2556" s="386"/>
      <c r="D2556" s="386"/>
      <c r="E2556" s="386"/>
      <c r="F2556" s="408"/>
    </row>
    <row r="2557" spans="1:6" x14ac:dyDescent="0.2">
      <c r="A2557" s="388"/>
      <c r="B2557" s="386"/>
      <c r="C2557" s="386"/>
      <c r="D2557" s="386"/>
      <c r="E2557" s="386"/>
      <c r="F2557" s="408"/>
    </row>
    <row r="2558" spans="1:6" x14ac:dyDescent="0.2">
      <c r="A2558" s="388"/>
      <c r="B2558" s="386"/>
      <c r="C2558" s="386"/>
      <c r="D2558" s="386"/>
      <c r="E2558" s="386"/>
      <c r="F2558" s="408"/>
    </row>
    <row r="2559" spans="1:6" x14ac:dyDescent="0.2">
      <c r="A2559" s="388"/>
      <c r="B2559" s="386"/>
      <c r="C2559" s="386"/>
      <c r="D2559" s="386"/>
      <c r="E2559" s="386"/>
      <c r="F2559" s="408"/>
    </row>
    <row r="2560" spans="1:6" x14ac:dyDescent="0.2">
      <c r="A2560" s="388"/>
      <c r="B2560" s="386"/>
      <c r="C2560" s="386"/>
      <c r="D2560" s="386"/>
      <c r="E2560" s="386"/>
      <c r="F2560" s="408"/>
    </row>
    <row r="2561" spans="1:6" x14ac:dyDescent="0.2">
      <c r="A2561" s="388"/>
      <c r="B2561" s="386"/>
      <c r="C2561" s="386"/>
      <c r="D2561" s="386"/>
      <c r="E2561" s="386"/>
      <c r="F2561" s="408"/>
    </row>
    <row r="2562" spans="1:6" x14ac:dyDescent="0.2">
      <c r="A2562" s="388"/>
      <c r="B2562" s="386"/>
      <c r="C2562" s="386"/>
      <c r="D2562" s="386"/>
      <c r="E2562" s="386"/>
      <c r="F2562" s="408"/>
    </row>
    <row r="2563" spans="1:6" x14ac:dyDescent="0.2">
      <c r="A2563" s="388"/>
      <c r="B2563" s="386"/>
      <c r="C2563" s="386"/>
      <c r="D2563" s="386"/>
      <c r="E2563" s="386"/>
      <c r="F2563" s="408"/>
    </row>
    <row r="2564" spans="1:6" x14ac:dyDescent="0.2">
      <c r="A2564" s="388"/>
      <c r="B2564" s="386"/>
      <c r="C2564" s="386"/>
      <c r="D2564" s="386"/>
      <c r="E2564" s="386"/>
      <c r="F2564" s="408"/>
    </row>
    <row r="2565" spans="1:6" x14ac:dyDescent="0.2">
      <c r="A2565" s="388"/>
      <c r="B2565" s="386"/>
      <c r="C2565" s="386"/>
      <c r="D2565" s="386"/>
      <c r="E2565" s="386"/>
      <c r="F2565" s="408"/>
    </row>
    <row r="2566" spans="1:6" x14ac:dyDescent="0.2">
      <c r="A2566" s="388"/>
      <c r="B2566" s="386"/>
      <c r="C2566" s="386"/>
      <c r="D2566" s="386"/>
      <c r="E2566" s="386"/>
      <c r="F2566" s="408"/>
    </row>
    <row r="2567" spans="1:6" x14ac:dyDescent="0.2">
      <c r="A2567" s="388"/>
      <c r="B2567" s="386"/>
      <c r="C2567" s="386"/>
      <c r="D2567" s="386"/>
      <c r="E2567" s="386"/>
      <c r="F2567" s="408"/>
    </row>
    <row r="2568" spans="1:6" x14ac:dyDescent="0.2">
      <c r="A2568" s="388"/>
      <c r="B2568" s="386"/>
      <c r="C2568" s="386"/>
      <c r="D2568" s="386"/>
      <c r="E2568" s="386"/>
      <c r="F2568" s="408"/>
    </row>
    <row r="2569" spans="1:6" x14ac:dyDescent="0.2">
      <c r="A2569" s="388"/>
      <c r="B2569" s="386"/>
      <c r="C2569" s="386"/>
      <c r="D2569" s="386"/>
      <c r="E2569" s="386"/>
      <c r="F2569" s="408"/>
    </row>
    <row r="2570" spans="1:6" x14ac:dyDescent="0.2">
      <c r="A2570" s="388"/>
      <c r="B2570" s="386"/>
      <c r="C2570" s="386"/>
      <c r="D2570" s="386"/>
      <c r="E2570" s="386"/>
      <c r="F2570" s="408"/>
    </row>
    <row r="2571" spans="1:6" x14ac:dyDescent="0.2">
      <c r="A2571" s="388"/>
      <c r="B2571" s="386"/>
      <c r="C2571" s="386"/>
      <c r="D2571" s="386"/>
      <c r="E2571" s="386"/>
      <c r="F2571" s="408"/>
    </row>
    <row r="2572" spans="1:6" x14ac:dyDescent="0.2">
      <c r="A2572" s="388"/>
      <c r="B2572" s="386"/>
      <c r="C2572" s="386"/>
      <c r="D2572" s="386"/>
      <c r="E2572" s="386"/>
      <c r="F2572" s="408"/>
    </row>
    <row r="2573" spans="1:6" x14ac:dyDescent="0.2">
      <c r="A2573" s="388"/>
      <c r="B2573" s="386"/>
      <c r="C2573" s="386"/>
      <c r="D2573" s="386"/>
      <c r="E2573" s="386"/>
      <c r="F2573" s="408"/>
    </row>
    <row r="2574" spans="1:6" x14ac:dyDescent="0.2">
      <c r="A2574" s="388"/>
      <c r="B2574" s="386"/>
      <c r="C2574" s="386"/>
      <c r="D2574" s="386"/>
      <c r="E2574" s="386"/>
      <c r="F2574" s="408"/>
    </row>
    <row r="2575" spans="1:6" x14ac:dyDescent="0.2">
      <c r="A2575" s="388"/>
      <c r="B2575" s="386"/>
      <c r="C2575" s="386"/>
      <c r="D2575" s="386"/>
      <c r="E2575" s="386"/>
      <c r="F2575" s="408"/>
    </row>
    <row r="2576" spans="1:6" x14ac:dyDescent="0.2">
      <c r="A2576" s="388"/>
      <c r="B2576" s="386"/>
      <c r="C2576" s="386"/>
      <c r="D2576" s="386"/>
      <c r="E2576" s="386"/>
      <c r="F2576" s="408"/>
    </row>
    <row r="2577" spans="1:6" x14ac:dyDescent="0.2">
      <c r="A2577" s="388"/>
      <c r="B2577" s="386"/>
      <c r="C2577" s="386"/>
      <c r="D2577" s="386"/>
      <c r="E2577" s="386"/>
      <c r="F2577" s="408"/>
    </row>
    <row r="2578" spans="1:6" x14ac:dyDescent="0.2">
      <c r="A2578" s="388"/>
      <c r="B2578" s="386"/>
      <c r="C2578" s="386"/>
      <c r="D2578" s="386"/>
      <c r="E2578" s="386"/>
      <c r="F2578" s="408"/>
    </row>
    <row r="2579" spans="1:6" x14ac:dyDescent="0.2">
      <c r="A2579" s="388"/>
      <c r="B2579" s="386"/>
      <c r="C2579" s="386"/>
      <c r="D2579" s="386"/>
      <c r="E2579" s="386"/>
      <c r="F2579" s="408"/>
    </row>
    <row r="2580" spans="1:6" x14ac:dyDescent="0.2">
      <c r="A2580" s="388"/>
      <c r="B2580" s="386"/>
      <c r="C2580" s="386"/>
      <c r="D2580" s="386"/>
      <c r="E2580" s="386"/>
      <c r="F2580" s="408"/>
    </row>
    <row r="2581" spans="1:6" x14ac:dyDescent="0.2">
      <c r="A2581" s="388"/>
      <c r="B2581" s="386"/>
      <c r="C2581" s="386"/>
      <c r="D2581" s="386"/>
      <c r="E2581" s="386"/>
      <c r="F2581" s="408"/>
    </row>
    <row r="2582" spans="1:6" x14ac:dyDescent="0.2">
      <c r="A2582" s="388"/>
      <c r="B2582" s="386"/>
      <c r="C2582" s="386"/>
      <c r="D2582" s="386"/>
      <c r="E2582" s="386"/>
      <c r="F2582" s="408"/>
    </row>
    <row r="2583" spans="1:6" x14ac:dyDescent="0.2">
      <c r="A2583" s="388"/>
      <c r="B2583" s="386"/>
      <c r="C2583" s="386"/>
      <c r="D2583" s="386"/>
      <c r="E2583" s="386"/>
      <c r="F2583" s="408"/>
    </row>
    <row r="2584" spans="1:6" x14ac:dyDescent="0.2">
      <c r="A2584" s="388"/>
      <c r="B2584" s="386"/>
      <c r="C2584" s="386"/>
      <c r="D2584" s="386"/>
      <c r="E2584" s="386"/>
      <c r="F2584" s="408"/>
    </row>
    <row r="2585" spans="1:6" x14ac:dyDescent="0.2">
      <c r="A2585" s="388"/>
      <c r="B2585" s="386"/>
      <c r="C2585" s="386"/>
      <c r="D2585" s="386"/>
      <c r="E2585" s="386"/>
      <c r="F2585" s="408"/>
    </row>
    <row r="2586" spans="1:6" x14ac:dyDescent="0.2">
      <c r="A2586" s="388"/>
      <c r="B2586" s="386"/>
      <c r="C2586" s="386"/>
      <c r="D2586" s="386"/>
      <c r="E2586" s="386"/>
      <c r="F2586" s="408"/>
    </row>
    <row r="2587" spans="1:6" x14ac:dyDescent="0.2">
      <c r="A2587" s="388"/>
      <c r="B2587" s="386"/>
      <c r="C2587" s="386"/>
      <c r="D2587" s="386"/>
      <c r="E2587" s="386"/>
      <c r="F2587" s="408"/>
    </row>
    <row r="2588" spans="1:6" x14ac:dyDescent="0.2">
      <c r="A2588" s="388"/>
      <c r="B2588" s="386"/>
      <c r="C2588" s="386"/>
      <c r="D2588" s="386"/>
      <c r="E2588" s="386"/>
      <c r="F2588" s="408"/>
    </row>
    <row r="2589" spans="1:6" x14ac:dyDescent="0.2">
      <c r="A2589" s="388"/>
      <c r="B2589" s="386"/>
      <c r="C2589" s="386"/>
      <c r="D2589" s="386"/>
      <c r="E2589" s="386"/>
      <c r="F2589" s="408"/>
    </row>
    <row r="2590" spans="1:6" x14ac:dyDescent="0.2">
      <c r="A2590" s="388"/>
      <c r="B2590" s="386"/>
      <c r="C2590" s="386"/>
      <c r="D2590" s="386"/>
      <c r="E2590" s="386"/>
      <c r="F2590" s="408"/>
    </row>
    <row r="2591" spans="1:6" x14ac:dyDescent="0.2">
      <c r="A2591" s="388"/>
      <c r="B2591" s="386"/>
      <c r="C2591" s="386"/>
      <c r="D2591" s="386"/>
      <c r="E2591" s="386"/>
      <c r="F2591" s="408"/>
    </row>
    <row r="2592" spans="1:6" x14ac:dyDescent="0.2">
      <c r="A2592" s="388"/>
      <c r="B2592" s="386"/>
      <c r="C2592" s="386"/>
      <c r="D2592" s="386"/>
      <c r="E2592" s="386"/>
      <c r="F2592" s="408"/>
    </row>
    <row r="2593" spans="1:6" x14ac:dyDescent="0.2">
      <c r="A2593" s="388"/>
      <c r="B2593" s="386"/>
      <c r="C2593" s="386"/>
      <c r="D2593" s="386"/>
      <c r="E2593" s="386"/>
      <c r="F2593" s="408"/>
    </row>
    <row r="2594" spans="1:6" x14ac:dyDescent="0.2">
      <c r="A2594" s="388"/>
      <c r="B2594" s="386"/>
      <c r="C2594" s="386"/>
      <c r="D2594" s="386"/>
      <c r="E2594" s="386"/>
      <c r="F2594" s="408"/>
    </row>
    <row r="2595" spans="1:6" x14ac:dyDescent="0.2">
      <c r="A2595" s="388"/>
      <c r="B2595" s="386"/>
      <c r="C2595" s="386"/>
      <c r="D2595" s="386"/>
      <c r="E2595" s="386"/>
      <c r="F2595" s="408"/>
    </row>
    <row r="2596" spans="1:6" x14ac:dyDescent="0.2">
      <c r="A2596" s="388"/>
      <c r="B2596" s="386"/>
      <c r="C2596" s="386"/>
      <c r="D2596" s="386"/>
      <c r="E2596" s="386"/>
      <c r="F2596" s="408"/>
    </row>
    <row r="2597" spans="1:6" x14ac:dyDescent="0.2">
      <c r="A2597" s="388"/>
      <c r="B2597" s="386"/>
      <c r="C2597" s="386"/>
      <c r="D2597" s="386"/>
      <c r="E2597" s="386"/>
      <c r="F2597" s="408"/>
    </row>
    <row r="2598" spans="1:6" x14ac:dyDescent="0.2">
      <c r="A2598" s="388"/>
      <c r="B2598" s="386"/>
      <c r="C2598" s="386"/>
      <c r="D2598" s="386"/>
      <c r="E2598" s="386"/>
      <c r="F2598" s="408"/>
    </row>
    <row r="2599" spans="1:6" x14ac:dyDescent="0.2">
      <c r="A2599" s="388"/>
      <c r="B2599" s="386"/>
      <c r="C2599" s="386"/>
      <c r="D2599" s="386"/>
      <c r="E2599" s="386"/>
      <c r="F2599" s="408"/>
    </row>
    <row r="2600" spans="1:6" x14ac:dyDescent="0.2">
      <c r="A2600" s="388"/>
      <c r="B2600" s="386"/>
      <c r="C2600" s="386"/>
      <c r="D2600" s="386"/>
      <c r="E2600" s="386"/>
      <c r="F2600" s="408"/>
    </row>
    <row r="2601" spans="1:6" x14ac:dyDescent="0.2">
      <c r="A2601" s="388"/>
      <c r="B2601" s="386"/>
      <c r="C2601" s="386"/>
      <c r="D2601" s="386"/>
      <c r="E2601" s="386"/>
      <c r="F2601" s="408"/>
    </row>
    <row r="2602" spans="1:6" x14ac:dyDescent="0.2">
      <c r="A2602" s="388"/>
      <c r="B2602" s="386"/>
      <c r="C2602" s="386"/>
      <c r="D2602" s="386"/>
      <c r="E2602" s="386"/>
      <c r="F2602" s="408"/>
    </row>
    <row r="2603" spans="1:6" x14ac:dyDescent="0.2">
      <c r="A2603" s="388"/>
      <c r="B2603" s="386"/>
      <c r="C2603" s="386"/>
      <c r="D2603" s="386"/>
      <c r="E2603" s="386"/>
      <c r="F2603" s="408"/>
    </row>
    <row r="2604" spans="1:6" x14ac:dyDescent="0.2">
      <c r="A2604" s="388"/>
      <c r="B2604" s="386"/>
      <c r="C2604" s="386"/>
      <c r="D2604" s="386"/>
      <c r="E2604" s="386"/>
      <c r="F2604" s="408"/>
    </row>
    <row r="2605" spans="1:6" x14ac:dyDescent="0.2">
      <c r="A2605" s="388"/>
      <c r="B2605" s="386"/>
      <c r="C2605" s="386"/>
      <c r="D2605" s="386"/>
      <c r="E2605" s="386"/>
      <c r="F2605" s="408"/>
    </row>
    <row r="2606" spans="1:6" x14ac:dyDescent="0.2">
      <c r="A2606" s="388"/>
      <c r="B2606" s="386"/>
      <c r="C2606" s="386"/>
      <c r="D2606" s="386"/>
      <c r="E2606" s="386"/>
      <c r="F2606" s="408"/>
    </row>
    <row r="2607" spans="1:6" x14ac:dyDescent="0.2">
      <c r="A2607" s="388"/>
      <c r="B2607" s="386"/>
      <c r="C2607" s="386"/>
      <c r="D2607" s="386"/>
      <c r="E2607" s="386"/>
      <c r="F2607" s="408"/>
    </row>
    <row r="2608" spans="1:6" x14ac:dyDescent="0.2">
      <c r="A2608" s="388"/>
      <c r="B2608" s="386"/>
      <c r="C2608" s="386"/>
      <c r="D2608" s="386"/>
      <c r="E2608" s="386"/>
      <c r="F2608" s="408"/>
    </row>
    <row r="2609" spans="1:6" x14ac:dyDescent="0.2">
      <c r="A2609" s="388"/>
      <c r="B2609" s="386"/>
      <c r="C2609" s="386"/>
      <c r="D2609" s="386"/>
      <c r="E2609" s="386"/>
      <c r="F2609" s="408"/>
    </row>
    <row r="2610" spans="1:6" x14ac:dyDescent="0.2">
      <c r="A2610" s="388"/>
      <c r="B2610" s="386"/>
      <c r="C2610" s="386"/>
      <c r="D2610" s="386"/>
      <c r="E2610" s="386"/>
      <c r="F2610" s="408"/>
    </row>
    <row r="2611" spans="1:6" x14ac:dyDescent="0.2">
      <c r="A2611" s="388"/>
      <c r="B2611" s="386"/>
      <c r="C2611" s="386"/>
      <c r="D2611" s="386"/>
      <c r="E2611" s="386"/>
      <c r="F2611" s="408"/>
    </row>
    <row r="2612" spans="1:6" x14ac:dyDescent="0.2">
      <c r="A2612" s="388"/>
      <c r="B2612" s="386"/>
      <c r="C2612" s="386"/>
      <c r="D2612" s="386"/>
      <c r="E2612" s="386"/>
      <c r="F2612" s="408"/>
    </row>
    <row r="2613" spans="1:6" x14ac:dyDescent="0.2">
      <c r="A2613" s="388"/>
      <c r="B2613" s="386"/>
      <c r="C2613" s="386"/>
      <c r="D2613" s="386"/>
      <c r="E2613" s="386"/>
      <c r="F2613" s="408"/>
    </row>
    <row r="2614" spans="1:6" x14ac:dyDescent="0.2">
      <c r="A2614" s="388"/>
      <c r="B2614" s="386"/>
      <c r="C2614" s="386"/>
      <c r="D2614" s="386"/>
      <c r="E2614" s="386"/>
      <c r="F2614" s="408"/>
    </row>
    <row r="2615" spans="1:6" x14ac:dyDescent="0.2">
      <c r="A2615" s="388"/>
      <c r="B2615" s="386"/>
      <c r="C2615" s="386"/>
      <c r="D2615" s="386"/>
      <c r="E2615" s="386"/>
      <c r="F2615" s="408"/>
    </row>
    <row r="2616" spans="1:6" x14ac:dyDescent="0.2">
      <c r="A2616" s="388"/>
      <c r="B2616" s="386"/>
      <c r="C2616" s="386"/>
      <c r="D2616" s="386"/>
      <c r="E2616" s="386"/>
      <c r="F2616" s="408"/>
    </row>
    <row r="2617" spans="1:6" x14ac:dyDescent="0.2">
      <c r="A2617" s="388"/>
      <c r="B2617" s="386"/>
      <c r="C2617" s="386"/>
      <c r="D2617" s="386"/>
      <c r="E2617" s="386"/>
      <c r="F2617" s="408"/>
    </row>
  </sheetData>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33122" r:id="rId4" name="Button 2">
              <controlPr defaultSize="0" print="0" autoFill="0" autoPict="0" macro="[0]!Import_CSVFF">
                <anchor moveWithCells="1">
                  <from>
                    <xdr:col>6</xdr:col>
                    <xdr:colOff>0</xdr:colOff>
                    <xdr:row>0</xdr:row>
                    <xdr:rowOff>9525</xdr:rowOff>
                  </from>
                  <to>
                    <xdr:col>7</xdr:col>
                    <xdr:colOff>476250</xdr:colOff>
                    <xdr:row>0</xdr:row>
                    <xdr:rowOff>152400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DB70F6-A00E-46AC-9850-C44D71844DA2}">
  <sheetPr codeName="Sheet4"/>
  <dimension ref="A1:G14"/>
  <sheetViews>
    <sheetView zoomScaleNormal="100" workbookViewId="0"/>
  </sheetViews>
  <sheetFormatPr defaultRowHeight="12.75" x14ac:dyDescent="0.2"/>
  <cols>
    <col min="1" max="2" width="15.7109375" style="1177" customWidth="1"/>
    <col min="3" max="3" width="60.7109375" style="824" customWidth="1"/>
    <col min="4" max="4" width="15.7109375" style="1177" customWidth="1"/>
    <col min="5" max="5" width="60.7109375" style="824" customWidth="1"/>
    <col min="6" max="6" width="30.7109375" customWidth="1"/>
    <col min="7" max="7" width="15.7109375" customWidth="1"/>
  </cols>
  <sheetData>
    <row r="1" spans="1:7" ht="13.5" thickBot="1" x14ac:dyDescent="0.25">
      <c r="A1" s="1176" t="s">
        <v>3384</v>
      </c>
      <c r="B1" s="1176" t="s">
        <v>3385</v>
      </c>
      <c r="C1" s="1211" t="s">
        <v>3386</v>
      </c>
      <c r="D1" s="1176" t="s">
        <v>3547</v>
      </c>
      <c r="E1" s="1211" t="s">
        <v>3548</v>
      </c>
      <c r="F1" s="3" t="s">
        <v>3505</v>
      </c>
      <c r="G1" s="1225"/>
    </row>
    <row r="2" spans="1:7" ht="15" x14ac:dyDescent="0.25">
      <c r="B2" s="1178">
        <f>ROUNDUP((A2-PS_Table[[#This Row],[Credit]])/1.1/1.28,2)</f>
        <v>0</v>
      </c>
      <c r="C2" s="1212"/>
      <c r="D2" s="1180"/>
      <c r="E2" s="1212"/>
    </row>
    <row r="3" spans="1:7" ht="15" x14ac:dyDescent="0.25">
      <c r="A3" s="1180"/>
      <c r="B3" s="1178">
        <f>ROUNDUP((A3-PS_Table[[#This Row],[Credit]])/1.1/1.28,2)</f>
        <v>0</v>
      </c>
      <c r="C3" s="464"/>
      <c r="D3" s="1180"/>
      <c r="E3" s="1212"/>
    </row>
    <row r="4" spans="1:7" ht="15" x14ac:dyDescent="0.25">
      <c r="A4" s="1180"/>
      <c r="B4" s="1178">
        <f>ROUNDUP((A4-PS_Table[[#This Row],[Credit]])/1.1/1.28,2)</f>
        <v>0</v>
      </c>
      <c r="C4" s="464"/>
      <c r="D4" s="1180"/>
      <c r="E4" s="464"/>
    </row>
    <row r="5" spans="1:7" ht="15" x14ac:dyDescent="0.25">
      <c r="B5" s="1178">
        <f>ROUNDUP((A5-PS_Table[[#This Row],[Credit]])/1.1/1.28,2)</f>
        <v>0</v>
      </c>
      <c r="C5" s="464"/>
      <c r="D5" s="1180"/>
      <c r="E5" s="464"/>
    </row>
    <row r="6" spans="1:7" ht="15" x14ac:dyDescent="0.25">
      <c r="B6" s="1178">
        <f>ROUNDUP((A6-PS_Table[[#This Row],[Credit]])/1.1/1.28,2)</f>
        <v>0</v>
      </c>
      <c r="C6" s="1212"/>
      <c r="D6" s="1180"/>
      <c r="E6" s="1219"/>
    </row>
    <row r="7" spans="1:7" ht="15" x14ac:dyDescent="0.25">
      <c r="B7" s="1178">
        <f>ROUNDUP((A7-PS_Table[[#This Row],[Credit]])/1.1/1.28,2)</f>
        <v>0</v>
      </c>
      <c r="C7" s="464"/>
      <c r="D7" s="1180"/>
      <c r="E7" s="464"/>
    </row>
    <row r="8" spans="1:7" ht="15" x14ac:dyDescent="0.25">
      <c r="B8" s="1178">
        <f>ROUNDUP((A8-PS_Table[[#This Row],[Credit]])/1.1/1.28,2)</f>
        <v>0</v>
      </c>
      <c r="C8" s="1212"/>
      <c r="D8" s="1180"/>
      <c r="E8" s="1212"/>
    </row>
    <row r="9" spans="1:7" ht="15" x14ac:dyDescent="0.25">
      <c r="B9" s="1178">
        <f>ROUNDUP((A9-PS_Table[[#This Row],[Credit]])/1.1/1.28,2)</f>
        <v>0</v>
      </c>
      <c r="C9" s="464"/>
      <c r="D9" s="1180"/>
    </row>
    <row r="10" spans="1:7" ht="15" x14ac:dyDescent="0.25">
      <c r="B10" s="1220">
        <f>ROUNDUP((A10-PS_Table[[#This Row],[Credit]])/1.1/1.28,2)</f>
        <v>0</v>
      </c>
      <c r="C10" s="464"/>
      <c r="D10" s="1180"/>
      <c r="E10" s="464"/>
    </row>
    <row r="11" spans="1:7" ht="15" x14ac:dyDescent="0.25">
      <c r="B11" s="1220">
        <f>ROUNDUP((A11-PS_Table[[#This Row],[Credit]])/1.1/1.28,2)</f>
        <v>0</v>
      </c>
      <c r="C11" s="464"/>
      <c r="D11" s="1180"/>
      <c r="E11" s="464"/>
    </row>
    <row r="12" spans="1:7" ht="15" x14ac:dyDescent="0.25">
      <c r="B12" s="1220">
        <f>ROUNDUP((A12-PS_Table[[#This Row],[Credit]])/1.1/1.28,2)</f>
        <v>0</v>
      </c>
      <c r="C12" s="464"/>
      <c r="D12" s="1180"/>
      <c r="E12" s="464"/>
    </row>
    <row r="13" spans="1:7" ht="15" x14ac:dyDescent="0.25">
      <c r="B13" s="1220">
        <f>ROUNDUP((A13-PS_Table[[#This Row],[Credit]])/1.1/1.28,2)</f>
        <v>0</v>
      </c>
      <c r="C13" s="464"/>
      <c r="D13" s="1180"/>
      <c r="E13" s="464"/>
    </row>
    <row r="14" spans="1:7" ht="15" x14ac:dyDescent="0.25">
      <c r="A14" s="1180" t="s">
        <v>11</v>
      </c>
      <c r="B14" s="1179">
        <f>SUBTOTAL(109,PS_Table[BOQ Amount])</f>
        <v>0</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C7F607-E7C5-4765-8A07-C5ABB26585BD}">
  <sheetPr codeName="Sheet9"/>
  <dimension ref="A1:J82"/>
  <sheetViews>
    <sheetView workbookViewId="0"/>
  </sheetViews>
  <sheetFormatPr defaultRowHeight="12.75" x14ac:dyDescent="0.2"/>
  <cols>
    <col min="1" max="1" width="63.42578125" style="824" bestFit="1" customWidth="1"/>
    <col min="2" max="2" width="15.7109375" style="1183" customWidth="1"/>
    <col min="3" max="3" width="30.7109375" style="1182" customWidth="1"/>
    <col min="4" max="4" width="49.28515625" style="1182" customWidth="1"/>
    <col min="5" max="5" width="15.42578125" customWidth="1"/>
    <col min="8" max="8" width="24.85546875" bestFit="1" customWidth="1"/>
    <col min="9" max="9" width="19.85546875" style="824" bestFit="1" customWidth="1"/>
  </cols>
  <sheetData>
    <row r="1" spans="1:6" x14ac:dyDescent="0.2">
      <c r="A1" s="1110" t="s">
        <v>237</v>
      </c>
      <c r="B1" s="1183" t="s">
        <v>3387</v>
      </c>
      <c r="C1" s="830" t="s">
        <v>348</v>
      </c>
      <c r="D1" s="830" t="s">
        <v>3405</v>
      </c>
      <c r="E1" s="87"/>
    </row>
    <row r="2" spans="1:6" x14ac:dyDescent="0.2">
      <c r="A2" s="1110" t="s">
        <v>3399</v>
      </c>
      <c r="B2" s="1115"/>
      <c r="C2" s="830" t="s">
        <v>3821</v>
      </c>
      <c r="D2" s="1184"/>
      <c r="F2" s="1175"/>
    </row>
    <row r="3" spans="1:6" x14ac:dyDescent="0.2">
      <c r="A3" s="1127" t="s">
        <v>3388</v>
      </c>
      <c r="B3" s="1115"/>
      <c r="D3" s="1184"/>
    </row>
    <row r="4" spans="1:6" x14ac:dyDescent="0.2">
      <c r="A4" s="1127" t="s">
        <v>3389</v>
      </c>
      <c r="B4" s="1115"/>
      <c r="D4" s="1184"/>
    </row>
    <row r="5" spans="1:6" x14ac:dyDescent="0.2">
      <c r="A5" s="1127" t="s">
        <v>3390</v>
      </c>
      <c r="B5" s="1115"/>
      <c r="D5" s="1184"/>
    </row>
    <row r="6" spans="1:6" x14ac:dyDescent="0.2">
      <c r="A6" s="1127" t="s">
        <v>3391</v>
      </c>
      <c r="B6" s="1115"/>
      <c r="D6" s="1184"/>
    </row>
    <row r="7" spans="1:6" x14ac:dyDescent="0.2">
      <c r="A7" s="1127" t="s">
        <v>3392</v>
      </c>
      <c r="B7" s="1115"/>
      <c r="D7" s="1184"/>
    </row>
    <row r="8" spans="1:6" x14ac:dyDescent="0.2">
      <c r="A8" s="1127" t="s">
        <v>3393</v>
      </c>
      <c r="B8" s="1115"/>
      <c r="D8" s="1184"/>
    </row>
    <row r="9" spans="1:6" x14ac:dyDescent="0.2">
      <c r="A9" s="1110" t="s">
        <v>3506</v>
      </c>
      <c r="B9" s="1115"/>
      <c r="D9" s="1184"/>
      <c r="E9" s="87" t="s">
        <v>3512</v>
      </c>
    </row>
    <row r="10" spans="1:6" x14ac:dyDescent="0.2">
      <c r="A10" s="1110" t="s">
        <v>3400</v>
      </c>
      <c r="B10" s="1115"/>
      <c r="C10" s="830" t="s">
        <v>3394</v>
      </c>
      <c r="D10" s="1184"/>
    </row>
    <row r="11" spans="1:6" x14ac:dyDescent="0.2">
      <c r="A11" s="1110" t="s">
        <v>3462</v>
      </c>
      <c r="B11" s="1115"/>
      <c r="C11" s="830" t="s">
        <v>3822</v>
      </c>
      <c r="D11" s="1184"/>
      <c r="E11" s="87"/>
    </row>
    <row r="12" spans="1:6" x14ac:dyDescent="0.2">
      <c r="A12" s="1110" t="s">
        <v>542</v>
      </c>
      <c r="B12" s="1115"/>
      <c r="C12" s="830" t="str">
        <f>C11</f>
        <v>Independent</v>
      </c>
      <c r="D12" s="1184"/>
      <c r="E12" s="87"/>
    </row>
    <row r="13" spans="1:6" x14ac:dyDescent="0.2">
      <c r="A13" s="1110" t="s">
        <v>3463</v>
      </c>
      <c r="B13" s="1116"/>
      <c r="C13" s="830" t="str">
        <f>C11</f>
        <v>Independent</v>
      </c>
      <c r="D13" s="1184"/>
      <c r="E13" s="87"/>
    </row>
    <row r="14" spans="1:6" x14ac:dyDescent="0.2">
      <c r="A14" s="1110" t="s">
        <v>3395</v>
      </c>
      <c r="B14" s="1115"/>
      <c r="C14" s="830" t="s">
        <v>3621</v>
      </c>
      <c r="D14" s="1184"/>
    </row>
    <row r="15" spans="1:6" x14ac:dyDescent="0.2">
      <c r="A15" s="1110" t="s">
        <v>3397</v>
      </c>
      <c r="B15" s="1115"/>
      <c r="C15" s="830" t="s">
        <v>1127</v>
      </c>
      <c r="D15" s="1184"/>
    </row>
    <row r="16" spans="1:6" x14ac:dyDescent="0.2">
      <c r="A16" s="1110" t="s">
        <v>3398</v>
      </c>
      <c r="B16" s="1115"/>
      <c r="C16" s="1182" t="s">
        <v>3719</v>
      </c>
      <c r="D16" s="1184"/>
      <c r="E16" s="87"/>
    </row>
    <row r="17" spans="1:10" x14ac:dyDescent="0.2">
      <c r="A17" s="1110" t="s">
        <v>3401</v>
      </c>
      <c r="B17" s="1115"/>
      <c r="C17" s="830" t="s">
        <v>3402</v>
      </c>
      <c r="D17" s="1184"/>
    </row>
    <row r="18" spans="1:10" x14ac:dyDescent="0.2">
      <c r="A18" s="1110" t="s">
        <v>3403</v>
      </c>
      <c r="B18" s="1115"/>
      <c r="C18" s="830" t="s">
        <v>3404</v>
      </c>
      <c r="D18" s="1184"/>
    </row>
    <row r="19" spans="1:10" x14ac:dyDescent="0.2">
      <c r="A19" s="1110" t="s">
        <v>3458</v>
      </c>
      <c r="B19" s="1115"/>
      <c r="C19" s="830" t="s">
        <v>3460</v>
      </c>
      <c r="D19" s="1184"/>
    </row>
    <row r="20" spans="1:10" x14ac:dyDescent="0.2">
      <c r="A20" s="1110" t="s">
        <v>3459</v>
      </c>
      <c r="B20" s="1115"/>
      <c r="C20" s="830" t="s">
        <v>3460</v>
      </c>
      <c r="D20" s="1184"/>
    </row>
    <row r="21" spans="1:10" x14ac:dyDescent="0.2">
      <c r="A21" s="1110" t="s">
        <v>3464</v>
      </c>
      <c r="B21" s="1115"/>
      <c r="C21" s="830" t="str">
        <f>IF(COUNTIF(Addenda!A:A,"*plunkett*")&gt;0,"Ikon","Jason")</f>
        <v>Jason</v>
      </c>
      <c r="D21" s="1184"/>
    </row>
    <row r="22" spans="1:10" x14ac:dyDescent="0.2">
      <c r="A22" s="1110" t="s">
        <v>3549</v>
      </c>
      <c r="B22" s="1115"/>
      <c r="C22" s="830" t="s">
        <v>3550</v>
      </c>
      <c r="D22" s="1184"/>
    </row>
    <row r="23" spans="1:10" x14ac:dyDescent="0.2">
      <c r="A23" s="1110" t="s">
        <v>3557</v>
      </c>
      <c r="B23" s="1115"/>
      <c r="C23" s="830" t="s">
        <v>3559</v>
      </c>
      <c r="D23" s="1184"/>
    </row>
    <row r="24" spans="1:10" x14ac:dyDescent="0.2">
      <c r="A24" s="1110" t="s">
        <v>3574</v>
      </c>
      <c r="B24" s="1115"/>
      <c r="C24" s="830" t="s">
        <v>3575</v>
      </c>
      <c r="D24" s="1184"/>
      <c r="E24" s="87"/>
    </row>
    <row r="25" spans="1:10" x14ac:dyDescent="0.2">
      <c r="A25" s="1110" t="s">
        <v>3723</v>
      </c>
      <c r="B25" s="1115"/>
      <c r="C25" s="830" t="s">
        <v>3724</v>
      </c>
      <c r="D25" s="1184"/>
    </row>
    <row r="26" spans="1:10" x14ac:dyDescent="0.2">
      <c r="A26" s="1110" t="s">
        <v>3728</v>
      </c>
      <c r="B26" s="1115"/>
      <c r="C26" s="830" t="s">
        <v>3732</v>
      </c>
      <c r="D26" s="1184"/>
    </row>
    <row r="27" spans="1:10" x14ac:dyDescent="0.2">
      <c r="A27" s="1110"/>
      <c r="B27" s="1115"/>
      <c r="C27" s="830"/>
      <c r="D27" s="1184"/>
    </row>
    <row r="28" spans="1:10" x14ac:dyDescent="0.2">
      <c r="A28" s="1110"/>
      <c r="B28" s="1115"/>
      <c r="D28" s="1184"/>
    </row>
    <row r="29" spans="1:10" x14ac:dyDescent="0.2">
      <c r="A29" s="1269" t="s">
        <v>3659</v>
      </c>
      <c r="B29" s="1270"/>
      <c r="C29" s="1270"/>
      <c r="D29" s="1270"/>
      <c r="E29" s="1270"/>
      <c r="F29" s="1271"/>
      <c r="G29" s="824"/>
    </row>
    <row r="30" spans="1:10" x14ac:dyDescent="0.2">
      <c r="A30" s="3" t="s">
        <v>3679</v>
      </c>
      <c r="B30" s="3" t="s">
        <v>65</v>
      </c>
      <c r="C30" s="3" t="s">
        <v>660</v>
      </c>
      <c r="D30" s="3" t="s">
        <v>186</v>
      </c>
      <c r="E30" s="3" t="s">
        <v>11</v>
      </c>
      <c r="F30" s="1211" t="s">
        <v>3680</v>
      </c>
      <c r="G30" s="824"/>
      <c r="H30" s="1268" t="s">
        <v>3679</v>
      </c>
      <c r="I30" s="1268"/>
      <c r="J30" s="1234" t="s">
        <v>3678</v>
      </c>
    </row>
    <row r="31" spans="1:10" ht="15" x14ac:dyDescent="0.25">
      <c r="A31" s="1231"/>
      <c r="B31" s="1232"/>
      <c r="C31" s="1233"/>
      <c r="D31" s="1233"/>
      <c r="E31" s="1231"/>
      <c r="F31" s="1230" cm="1">
        <f t="array" ref="F31">IFERROR(INDEX($J$31:$J$58,MATCH($B31,IF($I$31:$I$58=$C31,$H$31:$H$58),0))*$E31,0)</f>
        <v>0</v>
      </c>
      <c r="G31" s="824"/>
      <c r="H31" s="1235" t="s">
        <v>3660</v>
      </c>
      <c r="I31" s="1236" t="s">
        <v>3661</v>
      </c>
      <c r="J31" s="1237">
        <v>90.76</v>
      </c>
    </row>
    <row r="32" spans="1:10" ht="15" x14ac:dyDescent="0.25">
      <c r="A32" s="1231"/>
      <c r="B32" s="1232"/>
      <c r="C32" s="1231"/>
      <c r="D32" s="1233"/>
      <c r="E32" s="1231"/>
      <c r="F32" s="1230" cm="1">
        <f t="array" ref="F32">IFERROR(INDEX($J$31:$J$58,MATCH($B32,IF($I$31:$I$58=$C32,$H$31:$H$58),0))*$E32,0)</f>
        <v>0</v>
      </c>
      <c r="G32" s="824"/>
      <c r="H32" s="1235" t="s">
        <v>3662</v>
      </c>
      <c r="I32" s="1236" t="s">
        <v>3663</v>
      </c>
      <c r="J32" s="1237">
        <v>36.39</v>
      </c>
    </row>
    <row r="33" spans="1:10" ht="15" x14ac:dyDescent="0.25">
      <c r="A33" s="1231"/>
      <c r="B33" s="1232"/>
      <c r="C33" s="1231"/>
      <c r="D33" s="1233"/>
      <c r="E33" s="1231"/>
      <c r="F33" s="1230" cm="1">
        <f t="array" ref="F33">IFERROR(INDEX($J$31:$J$58,MATCH($B33,IF($I$31:$I$58=$C33,$H$31:$H$58),0))*$E33,0)</f>
        <v>0</v>
      </c>
      <c r="G33" s="824"/>
      <c r="H33" s="1235" t="s">
        <v>3782</v>
      </c>
      <c r="I33" s="1236" t="s">
        <v>3663</v>
      </c>
      <c r="J33" s="1237">
        <v>43.68</v>
      </c>
    </row>
    <row r="34" spans="1:10" ht="15" x14ac:dyDescent="0.25">
      <c r="A34" s="1231"/>
      <c r="B34" s="1232"/>
      <c r="C34" s="1231"/>
      <c r="D34" s="1233"/>
      <c r="E34" s="1231"/>
      <c r="F34" s="1230" cm="1">
        <f t="array" ref="F34">IFERROR(INDEX($J$31:$J$58,MATCH($B34,IF($I$31:$I$58=$C34,$H$31:$H$58),0))*$E34,0)</f>
        <v>0</v>
      </c>
      <c r="G34" s="824"/>
      <c r="H34" s="1235" t="s">
        <v>3664</v>
      </c>
      <c r="I34" s="1236" t="s">
        <v>3663</v>
      </c>
      <c r="J34" s="1237">
        <v>54.6</v>
      </c>
    </row>
    <row r="35" spans="1:10" ht="15" x14ac:dyDescent="0.25">
      <c r="A35" s="1231"/>
      <c r="B35" s="1232"/>
      <c r="C35" s="1231"/>
      <c r="D35" s="1233"/>
      <c r="E35" s="1231"/>
      <c r="F35" s="1230" cm="1">
        <f t="array" ref="F35">IFERROR(INDEX($J$31:$J$58,MATCH($B35,IF($I$31:$I$58=$C35,$H$31:$H$58),0))*$E35,0)</f>
        <v>0</v>
      </c>
      <c r="G35" s="824"/>
      <c r="H35" s="1235" t="s">
        <v>3783</v>
      </c>
      <c r="I35" s="1236" t="s">
        <v>3663</v>
      </c>
      <c r="J35" s="1237">
        <v>65.510000000000005</v>
      </c>
    </row>
    <row r="36" spans="1:10" ht="15" x14ac:dyDescent="0.25">
      <c r="A36" s="1231"/>
      <c r="B36" s="1232"/>
      <c r="C36" s="1233"/>
      <c r="D36" s="1233"/>
      <c r="E36" s="1231"/>
      <c r="F36" s="1230" cm="1">
        <f t="array" ref="F36">IFERROR(INDEX($J$31:$J$58,MATCH($B36,IF($I$31:$I$58=$C36,$H$31:$H$58),0))*$E36,0)</f>
        <v>0</v>
      </c>
      <c r="G36" s="824"/>
      <c r="H36" s="1235" t="s">
        <v>3665</v>
      </c>
      <c r="I36" s="1236" t="s">
        <v>3666</v>
      </c>
      <c r="J36" s="1237">
        <v>13.83</v>
      </c>
    </row>
    <row r="37" spans="1:10" ht="15" x14ac:dyDescent="0.25">
      <c r="A37" s="1231"/>
      <c r="B37" s="1232"/>
      <c r="C37" s="1233"/>
      <c r="D37" s="1233"/>
      <c r="E37" s="1231"/>
      <c r="F37" s="1230" cm="1">
        <f t="array" ref="F37">IFERROR(INDEX($J$31:$J$58,MATCH($B37,IF($I$31:$I$58=$C37,$H$31:$H$58),0))*$E37,0)</f>
        <v>0</v>
      </c>
      <c r="G37" s="824"/>
      <c r="H37" s="1235" t="s">
        <v>3667</v>
      </c>
      <c r="I37" s="1236" t="s">
        <v>3666</v>
      </c>
      <c r="J37" s="1237">
        <v>5.29</v>
      </c>
    </row>
    <row r="38" spans="1:10" ht="15" x14ac:dyDescent="0.25">
      <c r="A38" s="1231"/>
      <c r="B38" s="1232"/>
      <c r="C38" s="1233"/>
      <c r="D38" s="1233"/>
      <c r="E38" s="1231"/>
      <c r="F38" s="1230" cm="1">
        <f t="array" ref="F38">IFERROR(INDEX($J$31:$J$58,MATCH($B38,IF($I$31:$I$58=$C38,$H$31:$H$58),0))*$E38,0)</f>
        <v>0</v>
      </c>
      <c r="G38" s="824"/>
      <c r="H38" s="1235" t="s">
        <v>3668</v>
      </c>
      <c r="I38" s="1236" t="s">
        <v>3666</v>
      </c>
      <c r="J38" s="1237">
        <v>7.21</v>
      </c>
    </row>
    <row r="39" spans="1:10" ht="15" x14ac:dyDescent="0.25">
      <c r="A39" s="1231"/>
      <c r="B39" s="1232"/>
      <c r="C39" s="1233"/>
      <c r="D39" s="1233"/>
      <c r="E39" s="1231"/>
      <c r="F39" s="1230" cm="1">
        <f t="array" ref="F39">IFERROR(INDEX($J$31:$J$58,MATCH($B39,IF($I$31:$I$58=$C39,$H$31:$H$58),0))*$E39,0)</f>
        <v>0</v>
      </c>
      <c r="G39" s="824"/>
      <c r="H39" s="1235" t="s">
        <v>3669</v>
      </c>
      <c r="I39" s="1236" t="s">
        <v>3666</v>
      </c>
      <c r="J39" s="1237">
        <v>3.95</v>
      </c>
    </row>
    <row r="40" spans="1:10" ht="15" x14ac:dyDescent="0.25">
      <c r="A40" s="1231"/>
      <c r="B40" s="1232"/>
      <c r="C40" s="1233"/>
      <c r="D40" s="1233"/>
      <c r="E40" s="1231"/>
      <c r="F40" s="1230" cm="1">
        <f t="array" ref="F40">IFERROR(INDEX($J$31:$J$58,MATCH($B40,IF($I$31:$I$58=$C40,$H$31:$H$58),0))*$E40,0)</f>
        <v>0</v>
      </c>
      <c r="G40" s="824"/>
      <c r="H40" s="1235" t="s">
        <v>3671</v>
      </c>
      <c r="I40" s="1236" t="s">
        <v>3666</v>
      </c>
      <c r="J40" s="1237">
        <v>9.02</v>
      </c>
    </row>
    <row r="41" spans="1:10" ht="15" x14ac:dyDescent="0.25">
      <c r="A41" s="1231"/>
      <c r="B41" s="1232"/>
      <c r="C41" s="1233"/>
      <c r="D41" s="1233"/>
      <c r="E41" s="1231"/>
      <c r="F41" s="1230" cm="1">
        <f t="array" ref="F41">IFERROR(INDEX($J$31:$J$58,MATCH($B41,IF($I$31:$I$58=$C41,$H$31:$H$58),0))*$E41,0)</f>
        <v>0</v>
      </c>
      <c r="G41" s="824"/>
      <c r="H41" s="1235" t="s">
        <v>3672</v>
      </c>
      <c r="I41" s="1236" t="s">
        <v>3666</v>
      </c>
      <c r="J41" s="1237">
        <v>10.16</v>
      </c>
    </row>
    <row r="42" spans="1:10" ht="15" x14ac:dyDescent="0.25">
      <c r="A42" s="1231"/>
      <c r="B42" s="1232"/>
      <c r="C42" s="1233"/>
      <c r="D42" s="1233"/>
      <c r="E42" s="1231"/>
      <c r="F42" s="1230" cm="1">
        <f t="array" ref="F42">IFERROR(INDEX($J$31:$J$58,MATCH($B42,IF($I$31:$I$58=$C42,$H$31:$H$58),0))*$E42,0)</f>
        <v>0</v>
      </c>
      <c r="G42" s="824"/>
      <c r="H42" s="1235" t="s">
        <v>3667</v>
      </c>
      <c r="I42" s="1236" t="s">
        <v>2463</v>
      </c>
      <c r="J42" s="1237">
        <v>4.55</v>
      </c>
    </row>
    <row r="43" spans="1:10" ht="15" x14ac:dyDescent="0.25">
      <c r="A43" s="1231"/>
      <c r="B43" s="1232"/>
      <c r="C43" s="1233"/>
      <c r="D43" s="1233"/>
      <c r="E43" s="1231"/>
      <c r="F43" s="1230" cm="1">
        <f t="array" ref="F43">IFERROR(INDEX($J$31:$J$58,MATCH($B43,IF($I$31:$I$58=$C43,$H$31:$H$58),0))*$E43,0)</f>
        <v>0</v>
      </c>
      <c r="G43" s="824"/>
      <c r="H43" s="1235" t="s">
        <v>3673</v>
      </c>
      <c r="I43" s="1236" t="s">
        <v>3674</v>
      </c>
      <c r="J43" s="1237">
        <v>11.56</v>
      </c>
    </row>
    <row r="44" spans="1:10" ht="15" x14ac:dyDescent="0.25">
      <c r="A44" s="1231"/>
      <c r="B44" s="1232"/>
      <c r="C44" s="1233"/>
      <c r="D44" s="1233"/>
      <c r="E44" s="1231"/>
      <c r="F44" s="1230" cm="1">
        <f t="array" ref="F44">IFERROR(INDEX($J$31:$J$58,MATCH($B44,IF($I$31:$I$58=$C44,$H$31:$H$58),0))*$E44,0)</f>
        <v>0</v>
      </c>
      <c r="G44" s="824"/>
      <c r="H44" s="1238" t="s">
        <v>3675</v>
      </c>
      <c r="I44" s="1236" t="s">
        <v>3676</v>
      </c>
      <c r="J44" s="1237">
        <v>4.24</v>
      </c>
    </row>
    <row r="45" spans="1:10" ht="15" x14ac:dyDescent="0.25">
      <c r="A45" s="1231"/>
      <c r="B45" s="1232"/>
      <c r="C45" s="1233"/>
      <c r="D45" s="1233"/>
      <c r="E45" s="1231"/>
      <c r="F45" s="1230" cm="1">
        <f t="array" ref="F45">IFERROR(INDEX($J$31:$J$58,MATCH($B45,IF($I$31:$I$58=$C45,$H$31:$H$58),0))*$E45,0)</f>
        <v>0</v>
      </c>
      <c r="G45" s="824"/>
      <c r="H45" s="1238" t="s">
        <v>3669</v>
      </c>
      <c r="I45" s="1236" t="s">
        <v>3677</v>
      </c>
      <c r="J45" s="1237">
        <v>5.81</v>
      </c>
    </row>
    <row r="46" spans="1:10" ht="15" x14ac:dyDescent="0.25">
      <c r="A46" s="1231"/>
      <c r="B46" s="1232"/>
      <c r="C46" s="1233"/>
      <c r="D46" s="1233"/>
      <c r="E46" s="1231"/>
      <c r="F46" s="1230" cm="1">
        <f t="array" ref="F46">IFERROR(INDEX($J$31:$J$58,MATCH($B46,IF($I$31:$I$58=$C46,$H$31:$H$58),0))*$E46,0)</f>
        <v>0</v>
      </c>
      <c r="G46" s="824"/>
      <c r="H46" s="1242" t="s">
        <v>3781</v>
      </c>
      <c r="I46" s="1262" t="s">
        <v>1829</v>
      </c>
      <c r="J46" s="1237">
        <f>35.7/4.2</f>
        <v>8.5</v>
      </c>
    </row>
    <row r="47" spans="1:10" ht="15" x14ac:dyDescent="0.25">
      <c r="A47" s="1231"/>
      <c r="B47" s="1232"/>
      <c r="C47" s="1233"/>
      <c r="D47" s="1233"/>
      <c r="E47" s="1231"/>
      <c r="F47" s="1230" cm="1">
        <f t="array" ref="F47">IFERROR(INDEX($J$31:$J$58,MATCH($B47,IF($I$31:$I$58=$C47,$H$31:$H$58),0))*$E47,0)</f>
        <v>0</v>
      </c>
      <c r="G47" s="1229"/>
      <c r="H47" s="1242" t="s">
        <v>3786</v>
      </c>
      <c r="I47" s="1262" t="s">
        <v>3784</v>
      </c>
      <c r="J47" s="1237">
        <v>120.05</v>
      </c>
    </row>
    <row r="48" spans="1:10" ht="15" x14ac:dyDescent="0.25">
      <c r="A48" s="1231"/>
      <c r="B48" s="1232"/>
      <c r="C48" s="1233"/>
      <c r="D48" s="1233"/>
      <c r="E48" s="1231"/>
      <c r="F48" s="1230" cm="1">
        <f t="array" ref="F48">IFERROR(INDEX($J$31:$J$58,MATCH($B48,IF($I$31:$I$58=$C48,$H$31:$H$58),0))*$E48,0)</f>
        <v>0</v>
      </c>
      <c r="G48" s="824"/>
      <c r="H48" s="1236" t="s">
        <v>3785</v>
      </c>
      <c r="I48" s="1236" t="s">
        <v>3677</v>
      </c>
      <c r="J48" s="1237">
        <v>14.6</v>
      </c>
    </row>
    <row r="49" spans="1:10" ht="15" x14ac:dyDescent="0.25">
      <c r="A49" s="1231"/>
      <c r="B49" s="1232"/>
      <c r="C49" s="1233"/>
      <c r="D49" s="1233"/>
      <c r="E49" s="1231"/>
      <c r="F49" s="1230" cm="1">
        <f t="array" ref="F49">IFERROR(INDEX($J$31:$J$58,MATCH($B49,IF($I$31:$I$58=$C49,$H$31:$H$58),0))*$E49,0)</f>
        <v>0</v>
      </c>
      <c r="G49" s="824"/>
      <c r="H49" s="1236" t="s">
        <v>3789</v>
      </c>
      <c r="I49" s="1236" t="s">
        <v>3787</v>
      </c>
      <c r="J49" s="1237">
        <v>52.75</v>
      </c>
    </row>
    <row r="50" spans="1:10" ht="15" x14ac:dyDescent="0.25">
      <c r="A50" s="1231"/>
      <c r="B50" s="1232"/>
      <c r="C50" s="1233"/>
      <c r="D50" s="1233"/>
      <c r="E50" s="1231"/>
      <c r="F50" s="1230" cm="1">
        <f t="array" ref="F50">IFERROR(INDEX($J$31:$J$58,MATCH($B50,IF($I$31:$I$58=$C50,$H$31:$H$58),0))*$E50,0)</f>
        <v>0</v>
      </c>
      <c r="G50" s="824"/>
      <c r="H50" s="1236" t="s">
        <v>3790</v>
      </c>
      <c r="I50" s="1236" t="s">
        <v>3788</v>
      </c>
      <c r="J50" s="1237">
        <v>9.67</v>
      </c>
    </row>
    <row r="51" spans="1:10" ht="15" x14ac:dyDescent="0.25">
      <c r="A51" s="1231"/>
      <c r="B51" s="1232"/>
      <c r="C51" s="1233"/>
      <c r="D51" s="1233"/>
      <c r="E51" s="1231"/>
      <c r="F51" s="1230" cm="1">
        <f t="array" ref="F51">IFERROR(INDEX($J$31:$J$58,MATCH($B51,IF($I$31:$I$58=$C51,$H$31:$H$58),0))*$E51,0)</f>
        <v>0</v>
      </c>
      <c r="G51" s="824"/>
      <c r="H51" s="824"/>
      <c r="J51" s="1229"/>
    </row>
    <row r="52" spans="1:10" ht="15" x14ac:dyDescent="0.25">
      <c r="A52" s="1231"/>
      <c r="B52" s="1232"/>
      <c r="C52" s="1233"/>
      <c r="D52" s="1233"/>
      <c r="E52" s="1231"/>
      <c r="F52" s="1230" cm="1">
        <f t="array" ref="F52">IFERROR(INDEX($J$31:$J$58,MATCH($B52,IF($I$31:$I$58=$C52,$H$31:$H$58),0))*$E52,0)</f>
        <v>0</v>
      </c>
      <c r="G52" s="824"/>
      <c r="H52" s="824"/>
      <c r="J52" s="1229"/>
    </row>
    <row r="53" spans="1:10" ht="15" x14ac:dyDescent="0.25">
      <c r="A53" s="1231"/>
      <c r="B53" s="1232"/>
      <c r="C53" s="1233"/>
      <c r="D53" s="1233"/>
      <c r="E53" s="1231"/>
      <c r="F53" s="1230" cm="1">
        <f t="array" ref="F53">IFERROR(INDEX($J$31:$J$58,MATCH($B53,IF($I$31:$I$58=$C53,$H$31:$H$58),0))*$E53,0)</f>
        <v>0</v>
      </c>
      <c r="G53" s="824"/>
      <c r="H53" s="824"/>
      <c r="J53" s="1229"/>
    </row>
    <row r="54" spans="1:10" ht="15" x14ac:dyDescent="0.25">
      <c r="A54" s="1231"/>
      <c r="B54" s="1232"/>
      <c r="C54" s="1233"/>
      <c r="D54" s="1233"/>
      <c r="E54" s="1231"/>
      <c r="F54" s="1230" cm="1">
        <f t="array" ref="F54">IFERROR(INDEX($J$31:$J$58,MATCH($B54,IF($I$31:$I$58=$C54,$H$31:$H$58),0))*$E54,0)</f>
        <v>0</v>
      </c>
      <c r="G54" s="824"/>
      <c r="H54" s="824"/>
      <c r="J54" s="1229"/>
    </row>
    <row r="55" spans="1:10" ht="15" x14ac:dyDescent="0.25">
      <c r="A55" s="1231"/>
      <c r="B55" s="1232"/>
      <c r="C55" s="1233"/>
      <c r="D55" s="1233"/>
      <c r="E55" s="1231"/>
      <c r="F55" s="1230" cm="1">
        <f t="array" ref="F55">IFERROR(INDEX($J$31:$J$58,MATCH($B55,IF($I$31:$I$58=$C55,$H$31:$H$58),0))*$E55,0)</f>
        <v>0</v>
      </c>
      <c r="G55" s="824"/>
      <c r="H55" s="824"/>
      <c r="J55" s="1229"/>
    </row>
    <row r="56" spans="1:10" x14ac:dyDescent="0.2">
      <c r="H56" s="824"/>
      <c r="J56" s="1229"/>
    </row>
    <row r="57" spans="1:10" x14ac:dyDescent="0.2">
      <c r="H57" s="824"/>
      <c r="J57" s="1229"/>
    </row>
    <row r="58" spans="1:10" x14ac:dyDescent="0.2">
      <c r="H58" s="824"/>
      <c r="J58" s="1229"/>
    </row>
    <row r="62" spans="1:10" x14ac:dyDescent="0.2">
      <c r="A62" s="1272" t="s">
        <v>3682</v>
      </c>
      <c r="B62" s="1272"/>
      <c r="C62" s="1272"/>
      <c r="D62" s="1272"/>
      <c r="E62" s="1272"/>
      <c r="F62" s="1272"/>
    </row>
    <row r="63" spans="1:10" ht="15" x14ac:dyDescent="0.25">
      <c r="A63" s="1239"/>
      <c r="B63" s="1239"/>
      <c r="C63" s="1239"/>
      <c r="D63" s="1240"/>
      <c r="E63" s="1241"/>
      <c r="F63" s="1230">
        <f>IFERROR(VLOOKUP(C63,H63:I70,2,FALSE)*E63,0)</f>
        <v>0</v>
      </c>
      <c r="H63" s="1242" t="s">
        <v>3683</v>
      </c>
      <c r="I63" s="1243">
        <v>44.4</v>
      </c>
    </row>
    <row r="64" spans="1:10" ht="15" x14ac:dyDescent="0.25">
      <c r="A64" s="1239"/>
      <c r="B64" s="1239"/>
      <c r="C64" s="1239"/>
      <c r="D64" s="1240"/>
      <c r="E64" s="1241"/>
      <c r="H64" s="1242" t="s">
        <v>3684</v>
      </c>
      <c r="I64" s="1243">
        <v>34.200000000000003</v>
      </c>
    </row>
    <row r="65" spans="1:10" ht="15" x14ac:dyDescent="0.25">
      <c r="A65" s="1239"/>
      <c r="B65" s="1239"/>
      <c r="C65" s="1239"/>
      <c r="D65" s="1240"/>
      <c r="E65" s="1241"/>
      <c r="F65" s="6"/>
      <c r="H65" s="1242" t="s">
        <v>3685</v>
      </c>
      <c r="I65" s="1243">
        <v>28.8</v>
      </c>
    </row>
    <row r="66" spans="1:10" x14ac:dyDescent="0.2">
      <c r="H66" s="1242" t="s">
        <v>3686</v>
      </c>
      <c r="I66" s="1243">
        <v>29.41</v>
      </c>
    </row>
    <row r="67" spans="1:10" x14ac:dyDescent="0.2">
      <c r="A67" s="6" t="s">
        <v>3692</v>
      </c>
      <c r="B67" s="6"/>
      <c r="C67" s="6"/>
      <c r="D67" s="6"/>
      <c r="E67" s="6"/>
      <c r="H67" s="1242" t="s">
        <v>3687</v>
      </c>
      <c r="I67" s="1243">
        <v>30.26</v>
      </c>
    </row>
    <row r="68" spans="1:10" ht="15" x14ac:dyDescent="0.25">
      <c r="A68" s="1244"/>
      <c r="B68" s="1244"/>
      <c r="C68" s="1244"/>
      <c r="D68" s="1245"/>
      <c r="E68" s="1246"/>
      <c r="F68" s="1230" cm="1">
        <f t="array" ref="F68">IFERROR(INDEX($J$72:$J$82,MATCH($B68,IF($I$72:$I$82=$C68,$H$72:$H$82),0))*$E68,0)</f>
        <v>0</v>
      </c>
      <c r="H68" s="1242" t="s">
        <v>3688</v>
      </c>
      <c r="I68" s="1243">
        <v>24.33</v>
      </c>
    </row>
    <row r="69" spans="1:10" ht="15" x14ac:dyDescent="0.25">
      <c r="A69" s="1244"/>
      <c r="B69" s="1244"/>
      <c r="C69" s="1244"/>
      <c r="D69" s="1245"/>
      <c r="E69" s="1246"/>
      <c r="F69" s="1230" cm="1">
        <f t="array" ref="F69">IFERROR(INDEX($J$72:$J$82,MATCH($B69,IF($I$72:$I$82=$C69,$H$72:$H$82),0))*$E69,0)</f>
        <v>0</v>
      </c>
      <c r="H69" s="1242" t="s">
        <v>3689</v>
      </c>
      <c r="I69" s="1243">
        <v>14.71</v>
      </c>
    </row>
    <row r="70" spans="1:10" ht="15" x14ac:dyDescent="0.25">
      <c r="A70" s="1244"/>
      <c r="B70" s="1244"/>
      <c r="C70" s="1244"/>
      <c r="D70" s="1245"/>
      <c r="E70" s="1246"/>
      <c r="F70" s="1230" cm="1">
        <f t="array" ref="F70">IFERROR(INDEX($J$72:$J$82,MATCH($B70,IF($I$72:$I$82=$C70,$H$72:$H$82),0))*$E70,0)</f>
        <v>0</v>
      </c>
      <c r="H70" s="1242" t="s">
        <v>3690</v>
      </c>
      <c r="I70" s="1243">
        <v>20.78</v>
      </c>
    </row>
    <row r="71" spans="1:10" ht="15" x14ac:dyDescent="0.25">
      <c r="A71" s="1244"/>
      <c r="B71" s="1244"/>
      <c r="C71" s="1244"/>
      <c r="D71" s="1245"/>
      <c r="E71" s="1246"/>
      <c r="F71" s="1230" cm="1">
        <f t="array" ref="F71">IFERROR(INDEX($J$72:$J$82,MATCH($B71,IF($I$72:$I$82=$C71,$H$72:$H$82),0))*$E71,0)</f>
        <v>0</v>
      </c>
    </row>
    <row r="72" spans="1:10" x14ac:dyDescent="0.2">
      <c r="H72" s="1242" t="s">
        <v>3670</v>
      </c>
      <c r="I72" s="1247" t="s">
        <v>3691</v>
      </c>
      <c r="J72" s="1237">
        <v>38.03</v>
      </c>
    </row>
    <row r="73" spans="1:10" x14ac:dyDescent="0.2">
      <c r="A73" s="1273" t="s">
        <v>3711</v>
      </c>
      <c r="B73" s="1273"/>
      <c r="C73" s="1273"/>
      <c r="D73" s="1273"/>
      <c r="E73" s="1273"/>
      <c r="H73" s="1242" t="s">
        <v>3693</v>
      </c>
      <c r="I73" s="1247" t="s">
        <v>3691</v>
      </c>
      <c r="J73" s="1237">
        <v>28.53</v>
      </c>
    </row>
    <row r="74" spans="1:10" ht="15" x14ac:dyDescent="0.25">
      <c r="A74" s="1231"/>
      <c r="B74" s="1181"/>
      <c r="C74" s="1250"/>
      <c r="D74" s="1250"/>
      <c r="E74" s="1251"/>
      <c r="H74" s="1242" t="s">
        <v>3694</v>
      </c>
      <c r="I74" s="1247" t="s">
        <v>3691</v>
      </c>
      <c r="J74" s="1237">
        <v>42.8</v>
      </c>
    </row>
    <row r="75" spans="1:10" ht="15" x14ac:dyDescent="0.25">
      <c r="A75" s="1231"/>
      <c r="B75" s="1181"/>
      <c r="C75" s="1250"/>
      <c r="D75" s="1250"/>
      <c r="E75" s="1251"/>
      <c r="H75" s="1242" t="s">
        <v>3695</v>
      </c>
      <c r="I75" s="1247" t="s">
        <v>3691</v>
      </c>
      <c r="J75" s="1237">
        <v>47.56</v>
      </c>
    </row>
    <row r="76" spans="1:10" ht="15" x14ac:dyDescent="0.25">
      <c r="A76" s="1231"/>
      <c r="B76" s="1181"/>
      <c r="C76" s="1250"/>
      <c r="D76" s="1250"/>
      <c r="E76" s="1251"/>
      <c r="H76" s="1248" t="s">
        <v>3696</v>
      </c>
      <c r="I76" s="1235" t="s">
        <v>3701</v>
      </c>
      <c r="J76" s="1237">
        <v>18.8</v>
      </c>
    </row>
    <row r="77" spans="1:10" ht="15" x14ac:dyDescent="0.25">
      <c r="A77" s="1231"/>
      <c r="B77" s="1181"/>
      <c r="C77" s="1250"/>
      <c r="D77" s="1250"/>
      <c r="E77" s="1251"/>
      <c r="H77" s="1248" t="s">
        <v>3697</v>
      </c>
      <c r="I77" s="1235" t="s">
        <v>3701</v>
      </c>
      <c r="J77" s="1237">
        <v>9.4</v>
      </c>
    </row>
    <row r="78" spans="1:10" ht="15" x14ac:dyDescent="0.25">
      <c r="A78" s="1231"/>
      <c r="B78" s="1181"/>
      <c r="C78" s="1250"/>
      <c r="D78" s="1250"/>
      <c r="E78" s="1251"/>
      <c r="H78" s="1248" t="s">
        <v>3698</v>
      </c>
      <c r="I78" s="1235" t="s">
        <v>3701</v>
      </c>
      <c r="J78" s="1237">
        <v>12.53</v>
      </c>
    </row>
    <row r="79" spans="1:10" ht="15" x14ac:dyDescent="0.25">
      <c r="A79" s="1231"/>
      <c r="B79" s="1181"/>
      <c r="C79" s="1250"/>
      <c r="D79" s="1250"/>
      <c r="E79" s="1251"/>
      <c r="H79" s="1248" t="s">
        <v>3699</v>
      </c>
      <c r="I79" s="1235" t="s">
        <v>3701</v>
      </c>
      <c r="J79" s="1237">
        <v>15.66</v>
      </c>
    </row>
    <row r="80" spans="1:10" ht="15" x14ac:dyDescent="0.25">
      <c r="A80" s="1231"/>
      <c r="B80" s="1181"/>
      <c r="C80" s="1250"/>
      <c r="D80" s="1250"/>
      <c r="E80" s="1251"/>
      <c r="H80" s="1248" t="s">
        <v>3700</v>
      </c>
      <c r="I80" s="1235" t="s">
        <v>3701</v>
      </c>
      <c r="J80" s="1237">
        <v>25.04</v>
      </c>
    </row>
    <row r="81" spans="1:10" ht="15" x14ac:dyDescent="0.25">
      <c r="A81" s="1231"/>
      <c r="B81" s="1181"/>
      <c r="C81" s="1250"/>
      <c r="D81" s="1250"/>
      <c r="E81" s="1251"/>
      <c r="H81" s="1249" t="s">
        <v>3702</v>
      </c>
      <c r="I81" s="1235" t="s">
        <v>3701</v>
      </c>
      <c r="J81" s="1237">
        <v>28.19</v>
      </c>
    </row>
    <row r="82" spans="1:10" x14ac:dyDescent="0.2">
      <c r="H82" s="1249" t="s">
        <v>3703</v>
      </c>
      <c r="I82" s="1235" t="s">
        <v>3701</v>
      </c>
      <c r="J82" s="1237">
        <v>31.31</v>
      </c>
    </row>
  </sheetData>
  <autoFilter ref="A30:F55" xr:uid="{ECC7F607-E7C5-4765-8A07-C5ABB26585BD}">
    <sortState xmlns:xlrd2="http://schemas.microsoft.com/office/spreadsheetml/2017/richdata2" ref="A31:F55">
      <sortCondition ref="F30:F55"/>
    </sortState>
  </autoFilter>
  <mergeCells count="4">
    <mergeCell ref="H30:I30"/>
    <mergeCell ref="A29:F29"/>
    <mergeCell ref="A62:F62"/>
    <mergeCell ref="A73:E73"/>
  </mergeCells>
  <phoneticPr fontId="12" type="noConversion"/>
  <conditionalFormatting sqref="B2:B28">
    <cfRule type="expression" dxfId="246" priority="2">
      <formula>D2&gt;0</formula>
    </cfRule>
  </conditionalFormatting>
  <dataValidations count="5">
    <dataValidation type="list" allowBlank="1" showInputMessage="1" showErrorMessage="1" sqref="C16" xr:uid="{36DBE840-A94D-4024-9147-9886590CC331}">
      <formula1>"KCM, A&amp;A Kitchens WA, Hough"</formula1>
    </dataValidation>
    <dataValidation type="list" allowBlank="1" showInputMessage="1" showErrorMessage="1" sqref="C23" xr:uid="{42382691-489F-4DAA-920F-9C13769BFD2B}">
      <formula1>"Hearth House Bunbury, Hearth House Busselton"</formula1>
    </dataValidation>
    <dataValidation type="list" allowBlank="1" showInputMessage="1" showErrorMessage="1" sqref="C14" xr:uid="{827B4BAA-FCA7-4BC9-8A46-CAC75966C24A}">
      <formula1>"Jesse Adams, Steck Roofing, WA External Solutions"</formula1>
    </dataValidation>
    <dataValidation type="list" allowBlank="1" showInputMessage="1" showErrorMessage="1" sqref="C2" xr:uid="{458C3CD3-352A-445E-A7E8-6914F6D5C964}">
      <formula1>"Augusta Electrics, Cousins, Custom, Powerlec"</formula1>
    </dataValidation>
    <dataValidation type="list" allowBlank="1" showInputMessage="1" showErrorMessage="1" sqref="C11:C13" xr:uid="{54F6C724-B9BD-4BB6-AB55-0C6F4413A071}">
      <formula1>"Independent,Eagle, Sean"</formula1>
    </dataValidation>
  </dataValidations>
  <pageMargins left="0.7" right="0.7" top="0.75" bottom="0.75" header="0.3" footer="0.3"/>
  <legacy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pageSetUpPr fitToPage="1"/>
  </sheetPr>
  <dimension ref="A1:AC91"/>
  <sheetViews>
    <sheetView workbookViewId="0"/>
  </sheetViews>
  <sheetFormatPr defaultColWidth="9.140625" defaultRowHeight="12.75" x14ac:dyDescent="0.2"/>
  <cols>
    <col min="1" max="1" width="52.5703125" style="14" customWidth="1"/>
    <col min="2" max="2" width="35.7109375" style="420" customWidth="1"/>
    <col min="3" max="4" width="25.7109375" style="14" customWidth="1"/>
    <col min="5" max="5" width="13.140625" style="14" bestFit="1" customWidth="1"/>
    <col min="6" max="6" width="35.140625" style="14" customWidth="1"/>
    <col min="7" max="7" width="15.7109375" style="14" customWidth="1"/>
    <col min="8" max="8" width="40.42578125" style="14" bestFit="1" customWidth="1"/>
    <col min="9" max="9" width="10" style="14" customWidth="1"/>
    <col min="10" max="10" width="7.42578125" style="14" customWidth="1"/>
    <col min="11" max="11" width="8.28515625" style="14" customWidth="1"/>
    <col min="12" max="12" width="10.42578125" style="14" customWidth="1"/>
    <col min="13" max="13" width="25.5703125" style="14" bestFit="1" customWidth="1"/>
    <col min="14" max="14" width="13.28515625" style="14" bestFit="1" customWidth="1"/>
    <col min="15" max="15" width="43.5703125" style="14" customWidth="1"/>
    <col min="16" max="16" width="12.85546875" style="14" customWidth="1"/>
    <col min="17" max="17" width="17" style="14" customWidth="1"/>
    <col min="18" max="18" width="15" style="14" customWidth="1"/>
    <col min="19" max="19" width="14.7109375" style="14" bestFit="1" customWidth="1"/>
    <col min="20" max="20" width="14.5703125" style="14" customWidth="1"/>
    <col min="21" max="21" width="32.85546875" style="14" customWidth="1"/>
    <col min="22" max="22" width="16.7109375" style="14" bestFit="1" customWidth="1"/>
    <col min="23" max="23" width="18.42578125" style="14" customWidth="1"/>
    <col min="24" max="24" width="13.140625" style="14" customWidth="1"/>
    <col min="25" max="25" width="9.140625" style="14"/>
    <col min="26" max="26" width="17.7109375" style="14" customWidth="1"/>
    <col min="27" max="27" width="17.5703125" style="14" customWidth="1"/>
    <col min="28" max="28" width="11.28515625" style="14" customWidth="1"/>
    <col min="29" max="29" width="13.85546875" style="14" customWidth="1"/>
    <col min="30" max="16384" width="9.140625" style="14"/>
  </cols>
  <sheetData>
    <row r="1" spans="1:19" ht="23.25" x14ac:dyDescent="0.35">
      <c r="A1" s="873" t="s">
        <v>2</v>
      </c>
      <c r="B1" s="1025"/>
      <c r="C1" s="1026"/>
      <c r="D1" s="874"/>
      <c r="E1" s="875"/>
      <c r="F1" s="171" t="s">
        <v>989</v>
      </c>
      <c r="G1" s="390" t="s">
        <v>990</v>
      </c>
      <c r="H1" s="393" t="s">
        <v>991</v>
      </c>
      <c r="I1" s="182"/>
      <c r="J1" s="394"/>
      <c r="N1" s="395"/>
      <c r="S1" s="395"/>
    </row>
    <row r="2" spans="1:19" x14ac:dyDescent="0.2">
      <c r="A2" s="876"/>
      <c r="B2" s="1085"/>
      <c r="C2" s="403"/>
      <c r="D2" s="1086" t="b">
        <v>0</v>
      </c>
      <c r="E2" s="877"/>
      <c r="F2" s="25"/>
      <c r="G2" s="27"/>
      <c r="H2" s="16"/>
      <c r="I2" s="17"/>
      <c r="J2" s="18"/>
      <c r="S2" s="396"/>
    </row>
    <row r="3" spans="1:19" ht="13.5" thickBot="1" x14ac:dyDescent="0.25">
      <c r="A3" s="876"/>
      <c r="B3" s="1085"/>
      <c r="C3" s="403"/>
      <c r="D3" s="403"/>
      <c r="E3" s="877"/>
      <c r="F3" s="26"/>
      <c r="G3" s="28"/>
      <c r="H3" s="15"/>
      <c r="J3" s="19"/>
      <c r="S3" s="397"/>
    </row>
    <row r="4" spans="1:19" ht="15" customHeight="1" thickBot="1" x14ac:dyDescent="0.25">
      <c r="A4" s="1027" t="s">
        <v>1</v>
      </c>
      <c r="B4" s="1163">
        <v>304909</v>
      </c>
      <c r="C4" s="403"/>
      <c r="D4" s="1085"/>
      <c r="E4" s="1087"/>
      <c r="F4" s="26"/>
      <c r="G4" s="28"/>
      <c r="H4" s="15"/>
      <c r="J4" s="19"/>
      <c r="S4" s="396"/>
    </row>
    <row r="5" spans="1:19" ht="15" customHeight="1" thickBot="1" x14ac:dyDescent="0.25">
      <c r="A5" s="1027" t="s">
        <v>3</v>
      </c>
      <c r="B5" s="1164" t="str">
        <f>IFERROR(MID(INDEX(Addenda!A:A,MATCH("Lot Address:*",Addenda!A:A,0),1),14,LEN(INDEX(Addenda!A:A,MATCH("Lot Address:*",Addenda!A:A,0),1))),"")</f>
        <v/>
      </c>
      <c r="C5" s="1165"/>
      <c r="D5" s="1166"/>
      <c r="E5" s="1087"/>
      <c r="F5" s="26"/>
      <c r="G5" s="28"/>
      <c r="H5" s="100"/>
      <c r="J5" s="19"/>
      <c r="S5" s="396"/>
    </row>
    <row r="6" spans="1:19" ht="15" customHeight="1" thickBot="1" x14ac:dyDescent="0.25">
      <c r="A6" s="1028"/>
      <c r="B6" s="1088" t="s">
        <v>547</v>
      </c>
      <c r="C6" s="1088"/>
      <c r="D6" s="1088" t="s">
        <v>1429</v>
      </c>
      <c r="E6" s="1087"/>
      <c r="F6" s="26"/>
      <c r="G6" s="28"/>
      <c r="H6" s="15"/>
      <c r="J6" s="19"/>
      <c r="S6" s="396"/>
    </row>
    <row r="7" spans="1:19" ht="15" customHeight="1" thickBot="1" x14ac:dyDescent="0.25">
      <c r="A7" s="1027" t="s">
        <v>194</v>
      </c>
      <c r="B7" s="1167">
        <f>ROUND(SUMIF(Name,"House Area",Area),1)</f>
        <v>0</v>
      </c>
      <c r="C7" s="398" t="s">
        <v>1438</v>
      </c>
      <c r="D7" s="817"/>
      <c r="E7" s="1090" t="s">
        <v>1438</v>
      </c>
      <c r="F7" s="26"/>
      <c r="G7" s="28"/>
      <c r="H7" s="15"/>
      <c r="J7" s="19"/>
      <c r="S7" s="396"/>
    </row>
    <row r="8" spans="1:19" ht="15" customHeight="1" thickBot="1" x14ac:dyDescent="0.25">
      <c r="A8" s="1027" t="s">
        <v>193</v>
      </c>
      <c r="B8" s="1167">
        <f>ROUNDUP(SUMIF(Name,"House Area",Length),1)</f>
        <v>0</v>
      </c>
      <c r="C8" s="398" t="s">
        <v>679</v>
      </c>
      <c r="D8" s="817"/>
      <c r="E8" s="1090" t="s">
        <v>679</v>
      </c>
      <c r="F8" s="26"/>
      <c r="G8" s="28"/>
      <c r="H8" s="15"/>
      <c r="J8" s="19"/>
      <c r="S8" s="396"/>
    </row>
    <row r="9" spans="1:19" ht="15" customHeight="1" thickBot="1" x14ac:dyDescent="0.25">
      <c r="A9" s="1027" t="s">
        <v>192</v>
      </c>
      <c r="B9" s="817"/>
      <c r="C9" s="398" t="s">
        <v>1438</v>
      </c>
      <c r="D9" s="817"/>
      <c r="E9" s="1090" t="s">
        <v>1438</v>
      </c>
      <c r="F9" s="26"/>
      <c r="G9" s="28"/>
      <c r="H9" s="15"/>
      <c r="J9" s="19"/>
    </row>
    <row r="10" spans="1:19" ht="15" customHeight="1" thickBot="1" x14ac:dyDescent="0.25">
      <c r="A10" s="1027" t="s">
        <v>195</v>
      </c>
      <c r="B10" s="1167">
        <f>ROUNDUP(SUMIF(Name,"Garage Area",Area),1)</f>
        <v>0</v>
      </c>
      <c r="C10" s="398" t="s">
        <v>1438</v>
      </c>
      <c r="D10" s="1091"/>
      <c r="E10" s="1090"/>
      <c r="F10" s="26"/>
      <c r="G10" s="28"/>
      <c r="H10" s="15"/>
      <c r="J10" s="19"/>
    </row>
    <row r="11" spans="1:19" ht="15" customHeight="1" thickBot="1" x14ac:dyDescent="0.25">
      <c r="A11" s="1027" t="s">
        <v>3406</v>
      </c>
      <c r="B11" s="1167">
        <f ca="1">ROUNDUP(SUMIF(Name,"Fibre Cement Ceiling",Area),1)+SUMIFS(Area,Name,"Garage Area",Material,"&lt;&gt;Plasterboard")+SUMIFS(Area,Name,"Raked Ceiling Ext",Material,"*Fibre Cement*")</f>
        <v>0</v>
      </c>
      <c r="C11" s="398" t="s">
        <v>1438</v>
      </c>
      <c r="D11" s="817"/>
      <c r="E11" s="1090" t="s">
        <v>1438</v>
      </c>
      <c r="F11" s="26"/>
      <c r="G11" s="28"/>
      <c r="H11" s="15"/>
      <c r="J11" s="19"/>
    </row>
    <row r="12" spans="1:19" ht="15" customHeight="1" thickBot="1" x14ac:dyDescent="0.25">
      <c r="A12" s="1027" t="s">
        <v>3843</v>
      </c>
      <c r="B12" s="1167" cm="1">
        <f t="array" aca="1" ref="B12" ca="1">ROUNDUP(SUMIF(Name,"Ext Plasterboard Ceiling",Area),1)+SUMIFS(Area,Name,"Garage Area",Material,"Plasterboard")+SUMIFS(Area,Name,Raked Ceiling Ext,Material,"*Plasterboard*")</f>
        <v>0</v>
      </c>
      <c r="C12" s="398" t="s">
        <v>1438</v>
      </c>
      <c r="D12" s="817"/>
      <c r="E12" s="1090" t="s">
        <v>1438</v>
      </c>
      <c r="F12" s="26"/>
      <c r="G12" s="28"/>
      <c r="H12" s="15"/>
      <c r="J12" s="19"/>
    </row>
    <row r="13" spans="1:19" s="101" customFormat="1" ht="15" customHeight="1" thickBot="1" x14ac:dyDescent="0.25">
      <c r="A13" s="1027"/>
      <c r="B13" s="1091"/>
      <c r="C13" s="1091"/>
      <c r="D13" s="1091"/>
      <c r="E13" s="1090"/>
      <c r="F13" s="26"/>
      <c r="G13" s="99"/>
      <c r="H13" s="15"/>
      <c r="I13" s="14"/>
      <c r="J13" s="19"/>
    </row>
    <row r="14" spans="1:19" ht="15" customHeight="1" thickBot="1" x14ac:dyDescent="0.25">
      <c r="A14" s="1027" t="s">
        <v>55</v>
      </c>
      <c r="B14" s="1089" t="s">
        <v>41</v>
      </c>
      <c r="C14" s="399"/>
      <c r="D14" s="1085"/>
      <c r="E14" s="1087"/>
      <c r="F14" s="26"/>
      <c r="G14" s="28"/>
      <c r="H14" s="15"/>
      <c r="J14" s="19"/>
    </row>
    <row r="15" spans="1:19" ht="15" customHeight="1" thickBot="1" x14ac:dyDescent="0.25">
      <c r="A15" s="1027" t="s">
        <v>422</v>
      </c>
      <c r="B15" s="1089">
        <f>SUMIF(Name,"Common Wall",Length)</f>
        <v>0</v>
      </c>
      <c r="C15" s="398" t="s">
        <v>679</v>
      </c>
      <c r="D15" s="1091"/>
      <c r="E15" s="1090"/>
      <c r="F15" s="26"/>
      <c r="G15" s="28"/>
      <c r="H15" s="15"/>
      <c r="J15" s="19"/>
    </row>
    <row r="16" spans="1:19" s="101" customFormat="1" ht="15" customHeight="1" x14ac:dyDescent="0.2">
      <c r="A16" s="1027"/>
      <c r="B16" s="1092"/>
      <c r="C16" s="1091"/>
      <c r="D16" s="1091"/>
      <c r="E16" s="1090"/>
      <c r="F16" s="301"/>
      <c r="G16" s="99"/>
      <c r="H16" s="15"/>
      <c r="I16" s="14"/>
      <c r="J16" s="19"/>
    </row>
    <row r="17" spans="1:29" ht="15" customHeight="1" thickBot="1" x14ac:dyDescent="0.25">
      <c r="A17" s="1028"/>
      <c r="B17" s="1085"/>
      <c r="C17" s="1085"/>
      <c r="D17" s="1085"/>
      <c r="E17" s="1087"/>
      <c r="F17" s="26"/>
      <c r="G17" s="28"/>
      <c r="H17" s="15"/>
      <c r="J17" s="19"/>
    </row>
    <row r="18" spans="1:29" ht="15" customHeight="1" thickBot="1" x14ac:dyDescent="0.25">
      <c r="A18" s="1027" t="s">
        <v>191</v>
      </c>
      <c r="B18" s="1089">
        <f ca="1">IFERROR((((Roof_Area+FF_Roof_Area)-(H_Area+SUM(B11:B12)))/0.48-FF_Eave_Length),"")</f>
        <v>0</v>
      </c>
      <c r="C18" s="398" t="s">
        <v>679</v>
      </c>
      <c r="D18" s="1089">
        <f>SUM(FF_Roof_Area-FF_Area-D11-D12)/0.48</f>
        <v>0</v>
      </c>
      <c r="E18" s="1090" t="s">
        <v>679</v>
      </c>
      <c r="F18" s="26"/>
      <c r="G18" s="28"/>
      <c r="H18" s="15"/>
      <c r="J18" s="19"/>
    </row>
    <row r="19" spans="1:29" ht="15" customHeight="1" thickBot="1" x14ac:dyDescent="0.25">
      <c r="A19" s="1027" t="s">
        <v>414</v>
      </c>
      <c r="B19" s="1089">
        <f ca="1">Roof_Area-H_Area-Gyprock_Ceilings-Hardiflex_Ceilings</f>
        <v>0</v>
      </c>
      <c r="C19" s="398" t="s">
        <v>1438</v>
      </c>
      <c r="D19" s="1089">
        <f>SUM(FF_Eave_Length*0.48)</f>
        <v>0</v>
      </c>
      <c r="E19" s="1090" t="s">
        <v>1438</v>
      </c>
      <c r="F19" s="26"/>
      <c r="G19" s="28"/>
      <c r="H19" s="15"/>
      <c r="J19" s="19"/>
    </row>
    <row r="20" spans="1:29" ht="15" customHeight="1" thickBot="1" x14ac:dyDescent="0.25">
      <c r="A20" s="1029"/>
      <c r="B20" s="1085"/>
      <c r="C20" s="1085"/>
      <c r="D20" s="1085"/>
      <c r="E20" s="1087"/>
      <c r="F20" s="26"/>
      <c r="G20" s="28"/>
      <c r="H20" s="15"/>
      <c r="J20" s="19"/>
      <c r="L20" s="400"/>
      <c r="M20" s="400"/>
    </row>
    <row r="21" spans="1:29" ht="15" customHeight="1" thickBot="1" x14ac:dyDescent="0.25">
      <c r="A21" s="1030" t="s">
        <v>293</v>
      </c>
      <c r="B21" s="831"/>
      <c r="C21" s="399"/>
      <c r="D21" s="1085"/>
      <c r="E21" s="1087"/>
      <c r="F21" s="26"/>
      <c r="G21" s="28"/>
      <c r="H21" s="15"/>
      <c r="J21" s="19"/>
      <c r="L21" s="401"/>
      <c r="M21" s="402"/>
    </row>
    <row r="22" spans="1:29" ht="15" customHeight="1" thickBot="1" x14ac:dyDescent="0.25">
      <c r="A22" s="1030" t="s">
        <v>294</v>
      </c>
      <c r="B22" s="1167">
        <f>ROUNDUP(SUMIF(Name,"Diagonal Slab",Length),1)</f>
        <v>0</v>
      </c>
      <c r="C22" s="398" t="s">
        <v>679</v>
      </c>
      <c r="D22" s="1091"/>
      <c r="E22" s="1090"/>
      <c r="F22" s="26"/>
      <c r="G22" s="28"/>
      <c r="H22" s="15"/>
      <c r="J22" s="19"/>
      <c r="L22" s="401"/>
      <c r="M22" s="402"/>
    </row>
    <row r="23" spans="1:29" ht="15" customHeight="1" thickBot="1" x14ac:dyDescent="0.25">
      <c r="A23" s="1030" t="s">
        <v>306</v>
      </c>
      <c r="B23" s="1089" t="str">
        <f>IF(COUNTIF(Brick_type,"*Face")+COUNTIF(Corrosion_Classification,"R4")&gt;1,"Yes","No")</f>
        <v>No</v>
      </c>
      <c r="C23" s="399"/>
      <c r="D23" s="1085"/>
      <c r="E23" s="1087"/>
      <c r="F23" s="26"/>
      <c r="G23" s="28"/>
      <c r="H23" s="15"/>
      <c r="J23" s="19"/>
      <c r="L23" s="401"/>
      <c r="M23" s="402"/>
    </row>
    <row r="24" spans="1:29" ht="15" customHeight="1" thickBot="1" x14ac:dyDescent="0.25">
      <c r="A24" s="1030" t="s">
        <v>353</v>
      </c>
      <c r="B24" s="817"/>
      <c r="C24" s="399"/>
      <c r="D24" s="817"/>
      <c r="E24" s="1087"/>
      <c r="F24" s="26"/>
      <c r="G24" s="28"/>
      <c r="H24" s="15"/>
      <c r="J24" s="19"/>
      <c r="L24" s="401"/>
      <c r="M24" s="402"/>
    </row>
    <row r="25" spans="1:29" ht="13.5" thickBot="1" x14ac:dyDescent="0.25">
      <c r="A25" s="868" t="s">
        <v>1577</v>
      </c>
      <c r="B25" s="817" t="str">
        <f>IF(COUNTIF('Eng Site Report'!A:A,"*R1 *"),"R1","")&amp;IF(COUNTIF('Eng Site Report'!A:A,"*R2 *"),"R2","")&amp;IF(COUNTIF('Eng Site Report'!A:A,"*R3 *"),"R3","")&amp;IF(COUNTIF('Eng Site Report'!A:A,"*R4 *"),"R4","")</f>
        <v/>
      </c>
      <c r="C25" s="403"/>
      <c r="D25" s="1093"/>
      <c r="E25" s="1094"/>
      <c r="F25" s="26"/>
      <c r="G25" s="29"/>
      <c r="H25" s="15"/>
      <c r="J25" s="19"/>
      <c r="K25" s="20"/>
      <c r="L25" s="401"/>
      <c r="M25" s="402"/>
      <c r="N25" s="404"/>
    </row>
    <row r="26" spans="1:29" ht="13.5" thickBot="1" x14ac:dyDescent="0.25">
      <c r="A26" s="868" t="s">
        <v>1752</v>
      </c>
      <c r="B26" s="817" t="str">
        <f>IF(COUNTIF('Eng Site Report'!A:A,"*N1 *"),"N1","")&amp;IF(COUNTIF('Eng Site Report'!A:A,"*N2 *"),"N2","")&amp;IF(COUNTIF('Eng Site Report'!A:A,"*N3 *"),"N3","")&amp;IF(COUNTIF('Eng Site Report'!A:A,"*N4 *"),"N4","")</f>
        <v/>
      </c>
      <c r="C26" s="403"/>
      <c r="D26" s="403"/>
      <c r="E26" s="877"/>
      <c r="F26"/>
      <c r="G26" s="28"/>
      <c r="H26" s="15"/>
      <c r="J26" s="19"/>
      <c r="L26" s="401"/>
      <c r="M26" s="402"/>
      <c r="N26" s="395"/>
      <c r="Y26" s="395"/>
    </row>
    <row r="27" spans="1:29" ht="13.5" hidden="1" thickBot="1" x14ac:dyDescent="0.25">
      <c r="A27" s="868" t="s">
        <v>1847</v>
      </c>
      <c r="B27" s="1095"/>
      <c r="C27" s="403"/>
      <c r="D27" s="403"/>
      <c r="E27" s="877"/>
      <c r="F27" s="26"/>
      <c r="G27" s="28"/>
      <c r="H27" s="15"/>
      <c r="J27" s="19"/>
      <c r="L27" s="401"/>
      <c r="M27" s="402"/>
      <c r="N27" s="405"/>
    </row>
    <row r="28" spans="1:29" ht="13.5" hidden="1" thickBot="1" x14ac:dyDescent="0.25">
      <c r="A28" s="868" t="s">
        <v>1819</v>
      </c>
      <c r="B28" s="817"/>
      <c r="C28" s="403"/>
      <c r="D28" s="403"/>
      <c r="E28" s="877"/>
      <c r="F28" s="26"/>
      <c r="G28" s="28"/>
      <c r="H28" s="15"/>
      <c r="J28" s="19"/>
      <c r="L28" s="401"/>
      <c r="M28" s="402"/>
      <c r="Y28" s="406"/>
      <c r="Z28" s="406"/>
      <c r="AA28" s="406"/>
      <c r="AB28" s="406"/>
      <c r="AC28" s="406"/>
    </row>
    <row r="29" spans="1:29" ht="13.5" thickBot="1" x14ac:dyDescent="0.25">
      <c r="A29" s="868" t="s">
        <v>1835</v>
      </c>
      <c r="B29" s="1224">
        <f>IF(COUNTIF(Addenda!A:A,"*BAL 40*")*40,40,IF(COUNTIF(Addenda!A:A,"*BAL 29*")&gt;0,29,IF(COUNTIF(Addenda!A:A,"*BAL 19*")&gt;0,19,IF(COUNTIF(Addenda!A:A,"*BAL 12.5*")&gt;0,12.5,IF(COUNTIF(Addenda!A:A,"*BAL LOW*")&gt;0,0,0)))))</f>
        <v>0</v>
      </c>
      <c r="C29" s="403"/>
      <c r="D29" s="403"/>
      <c r="E29" s="877"/>
      <c r="F29" s="26"/>
      <c r="G29" s="28"/>
      <c r="H29" s="15"/>
      <c r="J29" s="19"/>
      <c r="L29" s="401"/>
      <c r="M29" s="402"/>
      <c r="Y29" s="35"/>
      <c r="AB29" s="35"/>
      <c r="AC29" s="35"/>
    </row>
    <row r="30" spans="1:29" x14ac:dyDescent="0.2">
      <c r="A30" s="1031"/>
      <c r="B30" s="1032"/>
      <c r="C30" s="884"/>
      <c r="D30" s="884"/>
      <c r="E30" s="1096"/>
      <c r="F30" s="1033"/>
      <c r="G30" s="1034"/>
      <c r="H30" s="1035"/>
      <c r="I30" s="1036"/>
      <c r="J30" s="1037"/>
      <c r="L30" s="401"/>
      <c r="M30" s="402"/>
      <c r="N30" s="404"/>
      <c r="Y30" s="35"/>
      <c r="AB30" s="35"/>
      <c r="AC30" s="35"/>
    </row>
    <row r="32" spans="1:29" x14ac:dyDescent="0.2">
      <c r="B32" s="14"/>
    </row>
    <row r="33" spans="2:2" x14ac:dyDescent="0.2">
      <c r="B33" s="14"/>
    </row>
    <row r="34" spans="2:2" x14ac:dyDescent="0.2">
      <c r="B34" s="14"/>
    </row>
    <row r="35" spans="2:2" x14ac:dyDescent="0.2">
      <c r="B35" s="14"/>
    </row>
    <row r="36" spans="2:2" x14ac:dyDescent="0.2">
      <c r="B36" s="14"/>
    </row>
    <row r="37" spans="2:2" x14ac:dyDescent="0.2">
      <c r="B37" s="14"/>
    </row>
    <row r="38" spans="2:2" x14ac:dyDescent="0.2">
      <c r="B38" s="14"/>
    </row>
    <row r="39" spans="2:2" x14ac:dyDescent="0.2">
      <c r="B39" s="14"/>
    </row>
    <row r="40" spans="2:2" x14ac:dyDescent="0.2">
      <c r="B40" s="14"/>
    </row>
    <row r="41" spans="2:2" x14ac:dyDescent="0.2">
      <c r="B41" s="14"/>
    </row>
    <row r="42" spans="2:2" x14ac:dyDescent="0.2">
      <c r="B42" s="14"/>
    </row>
    <row r="43" spans="2:2" x14ac:dyDescent="0.2">
      <c r="B43" s="14"/>
    </row>
    <row r="44" spans="2:2" x14ac:dyDescent="0.2">
      <c r="B44" s="14"/>
    </row>
    <row r="45" spans="2:2" x14ac:dyDescent="0.2">
      <c r="B45" s="14"/>
    </row>
    <row r="46" spans="2:2" x14ac:dyDescent="0.2">
      <c r="B46" s="14"/>
    </row>
    <row r="47" spans="2:2" x14ac:dyDescent="0.2">
      <c r="B47" s="14"/>
    </row>
    <row r="48" spans="2:2" x14ac:dyDescent="0.2">
      <c r="B48" s="14"/>
    </row>
    <row r="49" spans="2:2" x14ac:dyDescent="0.2">
      <c r="B49" s="14"/>
    </row>
    <row r="50" spans="2:2" x14ac:dyDescent="0.2">
      <c r="B50" s="14"/>
    </row>
    <row r="51" spans="2:2" hidden="1" x14ac:dyDescent="0.2">
      <c r="B51" s="14"/>
    </row>
    <row r="52" spans="2:2" hidden="1" x14ac:dyDescent="0.2">
      <c r="B52" s="14"/>
    </row>
    <row r="53" spans="2:2" hidden="1" x14ac:dyDescent="0.2">
      <c r="B53" s="14"/>
    </row>
    <row r="54" spans="2:2" hidden="1" x14ac:dyDescent="0.2">
      <c r="B54" s="14"/>
    </row>
    <row r="55" spans="2:2" hidden="1" x14ac:dyDescent="0.2">
      <c r="B55" s="14"/>
    </row>
    <row r="56" spans="2:2" x14ac:dyDescent="0.2">
      <c r="B56" s="14"/>
    </row>
    <row r="57" spans="2:2" x14ac:dyDescent="0.2">
      <c r="B57" s="14"/>
    </row>
    <row r="58" spans="2:2" x14ac:dyDescent="0.2">
      <c r="B58" s="14"/>
    </row>
    <row r="59" spans="2:2" hidden="1" x14ac:dyDescent="0.2">
      <c r="B59" s="14"/>
    </row>
    <row r="60" spans="2:2" x14ac:dyDescent="0.2">
      <c r="B60" s="14"/>
    </row>
    <row r="61" spans="2:2" x14ac:dyDescent="0.2">
      <c r="B61" s="14"/>
    </row>
    <row r="62" spans="2:2" x14ac:dyDescent="0.2">
      <c r="B62" s="14"/>
    </row>
    <row r="63" spans="2:2" x14ac:dyDescent="0.2">
      <c r="B63" s="14"/>
    </row>
    <row r="64" spans="2:2" hidden="1" x14ac:dyDescent="0.2">
      <c r="B64" s="14"/>
    </row>
    <row r="65" spans="2:2" x14ac:dyDescent="0.2">
      <c r="B65" s="14"/>
    </row>
    <row r="66" spans="2:2" x14ac:dyDescent="0.2">
      <c r="B66" s="14"/>
    </row>
    <row r="67" spans="2:2" x14ac:dyDescent="0.2">
      <c r="B67" s="14"/>
    </row>
    <row r="68" spans="2:2" x14ac:dyDescent="0.2">
      <c r="B68" s="14"/>
    </row>
    <row r="69" spans="2:2" hidden="1" x14ac:dyDescent="0.2">
      <c r="B69" s="14"/>
    </row>
    <row r="70" spans="2:2" x14ac:dyDescent="0.2">
      <c r="B70" s="14"/>
    </row>
    <row r="71" spans="2:2" x14ac:dyDescent="0.2">
      <c r="B71" s="14"/>
    </row>
    <row r="72" spans="2:2" x14ac:dyDescent="0.2">
      <c r="B72" s="14"/>
    </row>
    <row r="73" spans="2:2" x14ac:dyDescent="0.2">
      <c r="B73" s="14"/>
    </row>
    <row r="74" spans="2:2" hidden="1" x14ac:dyDescent="0.2">
      <c r="B74" s="14"/>
    </row>
    <row r="75" spans="2:2" x14ac:dyDescent="0.2">
      <c r="B75" s="14"/>
    </row>
    <row r="76" spans="2:2" x14ac:dyDescent="0.2">
      <c r="B76" s="14"/>
    </row>
    <row r="77" spans="2:2" x14ac:dyDescent="0.2">
      <c r="B77" s="14"/>
    </row>
    <row r="78" spans="2:2" x14ac:dyDescent="0.2">
      <c r="B78" s="14"/>
    </row>
    <row r="79" spans="2:2" hidden="1" x14ac:dyDescent="0.2">
      <c r="B79" s="14"/>
    </row>
    <row r="80" spans="2:2" x14ac:dyDescent="0.2">
      <c r="B80" s="14"/>
    </row>
    <row r="81" spans="2:2" x14ac:dyDescent="0.2">
      <c r="B81" s="14"/>
    </row>
    <row r="82" spans="2:2" x14ac:dyDescent="0.2">
      <c r="B82" s="14"/>
    </row>
    <row r="83" spans="2:2" x14ac:dyDescent="0.2">
      <c r="B83" s="14"/>
    </row>
    <row r="84" spans="2:2" hidden="1" x14ac:dyDescent="0.2">
      <c r="B84" s="14"/>
    </row>
    <row r="85" spans="2:2" x14ac:dyDescent="0.2">
      <c r="B85" s="14"/>
    </row>
    <row r="86" spans="2:2" x14ac:dyDescent="0.2">
      <c r="B86" s="14"/>
    </row>
    <row r="87" spans="2:2" x14ac:dyDescent="0.2">
      <c r="B87" s="14"/>
    </row>
    <row r="88" spans="2:2" x14ac:dyDescent="0.2">
      <c r="B88" s="14"/>
    </row>
    <row r="89" spans="2:2" hidden="1" x14ac:dyDescent="0.2">
      <c r="B89" s="14"/>
    </row>
    <row r="90" spans="2:2" x14ac:dyDescent="0.2">
      <c r="B90" s="14"/>
    </row>
    <row r="91" spans="2:2" x14ac:dyDescent="0.2">
      <c r="B91" s="14"/>
    </row>
  </sheetData>
  <sheetProtection selectLockedCells="1"/>
  <phoneticPr fontId="12" type="noConversion"/>
  <conditionalFormatting sqref="B27">
    <cfRule type="cellIs" dxfId="241" priority="51" operator="equal">
      <formula>""</formula>
    </cfRule>
  </conditionalFormatting>
  <conditionalFormatting sqref="B18:B19">
    <cfRule type="cellIs" dxfId="240" priority="50" operator="lessThan">
      <formula>0</formula>
    </cfRule>
  </conditionalFormatting>
  <conditionalFormatting sqref="B24">
    <cfRule type="cellIs" dxfId="239" priority="49" operator="equal">
      <formula>""</formula>
    </cfRule>
  </conditionalFormatting>
  <conditionalFormatting sqref="B14:B15">
    <cfRule type="cellIs" dxfId="238" priority="48" operator="lessThan">
      <formula>0</formula>
    </cfRule>
  </conditionalFormatting>
  <conditionalFormatting sqref="B25">
    <cfRule type="cellIs" dxfId="237" priority="45" operator="equal">
      <formula>""</formula>
    </cfRule>
  </conditionalFormatting>
  <conditionalFormatting sqref="D24">
    <cfRule type="expression" dxfId="236" priority="44">
      <formula>IF(FF_Area&gt;0,IF(Brick_typeFF="",1,0))</formula>
    </cfRule>
  </conditionalFormatting>
  <conditionalFormatting sqref="B26">
    <cfRule type="cellIs" dxfId="235" priority="39" operator="equal">
      <formula>""</formula>
    </cfRule>
  </conditionalFormatting>
  <conditionalFormatting sqref="B28">
    <cfRule type="cellIs" dxfId="234" priority="38" operator="equal">
      <formula>""</formula>
    </cfRule>
  </conditionalFormatting>
  <conditionalFormatting sqref="B29">
    <cfRule type="cellIs" dxfId="233" priority="37" operator="equal">
      <formula>""</formula>
    </cfRule>
  </conditionalFormatting>
  <conditionalFormatting sqref="B21">
    <cfRule type="cellIs" dxfId="232" priority="36" operator="equal">
      <formula>""</formula>
    </cfRule>
  </conditionalFormatting>
  <conditionalFormatting sqref="B4">
    <cfRule type="cellIs" dxfId="231" priority="9" operator="lessThan">
      <formula>0</formula>
    </cfRule>
  </conditionalFormatting>
  <conditionalFormatting sqref="B5:D5">
    <cfRule type="cellIs" dxfId="230" priority="8" operator="lessThan">
      <formula>0</formula>
    </cfRule>
  </conditionalFormatting>
  <conditionalFormatting sqref="B7:B8">
    <cfRule type="cellIs" dxfId="229" priority="7" operator="lessThan">
      <formula>0</formula>
    </cfRule>
  </conditionalFormatting>
  <conditionalFormatting sqref="B10">
    <cfRule type="cellIs" dxfId="228" priority="5" operator="lessThan">
      <formula>0</formula>
    </cfRule>
  </conditionalFormatting>
  <conditionalFormatting sqref="B11:B12">
    <cfRule type="cellIs" dxfId="227" priority="3" operator="lessThan">
      <formula>0</formula>
    </cfRule>
  </conditionalFormatting>
  <conditionalFormatting sqref="B22">
    <cfRule type="cellIs" dxfId="226" priority="2" operator="lessThan">
      <formula>0</formula>
    </cfRule>
  </conditionalFormatting>
  <conditionalFormatting sqref="B23">
    <cfRule type="cellIs" dxfId="225" priority="1" operator="lessThan">
      <formula>0</formula>
    </cfRule>
  </conditionalFormatting>
  <dataValidations count="7">
    <dataValidation type="list" allowBlank="1" showInputMessage="1" sqref="B14" xr:uid="{D1DF7BA7-8892-4B86-B062-93BA3F514CBC}">
      <formula1>Rooftype</formula1>
    </dataValidation>
    <dataValidation type="list" allowBlank="1" showInputMessage="1" showErrorMessage="1" sqref="D24" xr:uid="{AA4F38BE-DF8D-4658-93CD-387B8F2024D6}">
      <formula1>"Standard Face, 2c Face, Full Render, Brick Veneer, Reverse Brick Veneer, Timber Frame"</formula1>
    </dataValidation>
    <dataValidation type="list" allowBlank="1" showInputMessage="1" showErrorMessage="1" sqref="B25" xr:uid="{56D722BC-E39C-461C-85A4-4B9A87FDA4F5}">
      <formula1>"R1,R2,R3,R4"</formula1>
    </dataValidation>
    <dataValidation type="list" allowBlank="1" sqref="B26" xr:uid="{D540300C-D0B3-4A01-8C86-DB3BE1678F45}">
      <formula1>"N1,N2,N3,N4"</formula1>
    </dataValidation>
    <dataValidation type="list" allowBlank="1" showInputMessage="1" showErrorMessage="1" sqref="B28" xr:uid="{C82CAB82-372A-490B-8503-BC1B176780DF}">
      <formula1>"A,B,C,D,E"</formula1>
    </dataValidation>
    <dataValidation type="list" showInputMessage="1" sqref="B29" xr:uid="{C2779D66-7CA9-4617-8417-D7BD9F83873D}">
      <formula1>"0,12.5,19,29,40,FZ"</formula1>
    </dataValidation>
    <dataValidation type="list" allowBlank="1" showInputMessage="1" sqref="B24" xr:uid="{D25510A4-3642-4169-8015-F42C485AB327}">
      <formula1>"Standard Face, 2c Face, Full Render, Brick Veneer, Reverse Brick Veneer, Timber Frame"</formula1>
    </dataValidation>
  </dataValidations>
  <pageMargins left="0.19685039370078741" right="0.19685039370078741" top="0.39370078740157483" bottom="0.39370078740157483" header="0.51181102362204722" footer="0.51181102362204722"/>
  <pageSetup paperSize="9" scale="66" orientation="portrait" r:id="rId1"/>
  <headerFooter alignWithMargins="0">
    <oddFooter>Page &amp;P of &amp;N</oddFooter>
  </headerFooter>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7BED8B0A-C098-48D2-8B00-A2F33749F0C6}">
          <x14:formula1>
            <xm:f>'Lists &amp; Tables'!$A$2:$A$40</xm:f>
          </x14:formula1>
          <xm:sqref>B21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pageSetUpPr fitToPage="1"/>
  </sheetPr>
  <dimension ref="A1:H47"/>
  <sheetViews>
    <sheetView zoomScale="85" zoomScaleNormal="85" workbookViewId="0"/>
  </sheetViews>
  <sheetFormatPr defaultColWidth="9.140625" defaultRowHeight="12.75" x14ac:dyDescent="0.2"/>
  <cols>
    <col min="1" max="1" width="44.28515625" style="738" bestFit="1" customWidth="1"/>
    <col min="2" max="8" width="16.7109375" style="730" customWidth="1"/>
    <col min="9" max="16384" width="9.140625" style="730"/>
  </cols>
  <sheetData>
    <row r="1" spans="1:8" ht="23.25" x14ac:dyDescent="0.2">
      <c r="A1" s="736" t="s">
        <v>89</v>
      </c>
      <c r="B1" s="727"/>
      <c r="C1" s="716" t="s">
        <v>680</v>
      </c>
      <c r="D1" s="693">
        <f>Eng_Footing</f>
        <v>0</v>
      </c>
      <c r="E1" s="728"/>
      <c r="F1" s="728"/>
      <c r="G1" s="728"/>
      <c r="H1" s="729">
        <v>0</v>
      </c>
    </row>
    <row r="2" spans="1:8" ht="18" x14ac:dyDescent="0.2">
      <c r="A2" s="694" t="s">
        <v>547</v>
      </c>
      <c r="B2" s="695" t="s">
        <v>548</v>
      </c>
      <c r="C2" s="717" t="s">
        <v>388</v>
      </c>
      <c r="D2" s="695" t="s">
        <v>34</v>
      </c>
      <c r="E2" s="695" t="s">
        <v>99</v>
      </c>
      <c r="F2" s="695" t="s">
        <v>100</v>
      </c>
      <c r="G2" s="695" t="s">
        <v>1441</v>
      </c>
      <c r="H2" s="731"/>
    </row>
    <row r="3" spans="1:8" ht="12.75" customHeight="1" x14ac:dyDescent="0.2">
      <c r="A3" s="700" t="s">
        <v>92</v>
      </c>
      <c r="B3" s="392"/>
      <c r="C3" s="719"/>
      <c r="D3" s="646"/>
      <c r="E3" s="391"/>
      <c r="F3" s="391"/>
      <c r="G3" s="391"/>
      <c r="H3" s="698"/>
    </row>
    <row r="4" spans="1:8" ht="12.75" customHeight="1" x14ac:dyDescent="0.2">
      <c r="A4" s="696" t="s">
        <v>574</v>
      </c>
      <c r="B4" s="699"/>
      <c r="C4" s="718"/>
      <c r="D4" s="697">
        <f>H_Perim</f>
        <v>0</v>
      </c>
      <c r="E4" s="639">
        <f>IFERROR(IF(D1="",0,VLOOKUP($D$1,Footing_Type,3,FALSE)/1000),0)</f>
        <v>0</v>
      </c>
      <c r="F4" s="639">
        <f>IFERROR(IF($D$1="",0,VLOOKUP($D$1,Footing_Type,2,FALSE)/1000),0)</f>
        <v>0</v>
      </c>
      <c r="G4" s="640">
        <f t="shared" ref="G4:G9" si="0">D4*E4*F4</f>
        <v>0</v>
      </c>
      <c r="H4" s="698"/>
    </row>
    <row r="5" spans="1:8" ht="12.75" customHeight="1" x14ac:dyDescent="0.2">
      <c r="A5" s="696"/>
      <c r="B5" s="641"/>
      <c r="C5" s="719"/>
      <c r="D5" s="699">
        <v>0</v>
      </c>
      <c r="E5" s="641"/>
      <c r="F5" s="641"/>
      <c r="G5" s="642">
        <f t="shared" si="0"/>
        <v>0</v>
      </c>
      <c r="H5" s="698"/>
    </row>
    <row r="6" spans="1:8" ht="12.75" customHeight="1" x14ac:dyDescent="0.2">
      <c r="A6" s="696"/>
      <c r="B6" s="641"/>
      <c r="C6" s="719"/>
      <c r="D6" s="699">
        <v>0</v>
      </c>
      <c r="E6" s="641"/>
      <c r="F6" s="641"/>
      <c r="G6" s="642">
        <f t="shared" si="0"/>
        <v>0</v>
      </c>
      <c r="H6" s="698"/>
    </row>
    <row r="7" spans="1:8" ht="12.75" customHeight="1" x14ac:dyDescent="0.2">
      <c r="A7" s="696"/>
      <c r="B7" s="641"/>
      <c r="C7" s="719"/>
      <c r="D7" s="699">
        <v>0</v>
      </c>
      <c r="E7" s="641"/>
      <c r="F7" s="641"/>
      <c r="G7" s="642">
        <f t="shared" si="0"/>
        <v>0</v>
      </c>
      <c r="H7" s="698"/>
    </row>
    <row r="8" spans="1:8" ht="12.75" customHeight="1" x14ac:dyDescent="0.2">
      <c r="A8" s="696"/>
      <c r="B8" s="699"/>
      <c r="C8" s="718"/>
      <c r="D8" s="699">
        <v>0</v>
      </c>
      <c r="E8" s="643"/>
      <c r="F8" s="643"/>
      <c r="G8" s="640">
        <f t="shared" si="0"/>
        <v>0</v>
      </c>
      <c r="H8" s="698"/>
    </row>
    <row r="9" spans="1:8" ht="12.75" customHeight="1" x14ac:dyDescent="0.2">
      <c r="A9" s="696"/>
      <c r="B9" s="699"/>
      <c r="C9" s="718"/>
      <c r="D9" s="699">
        <v>0</v>
      </c>
      <c r="E9" s="643"/>
      <c r="F9" s="643"/>
      <c r="G9" s="640">
        <f t="shared" si="0"/>
        <v>0</v>
      </c>
      <c r="H9" s="698"/>
    </row>
    <row r="10" spans="1:8" ht="12.75" customHeight="1" x14ac:dyDescent="0.2">
      <c r="A10" s="696" t="s">
        <v>584</v>
      </c>
      <c r="B10" s="643"/>
      <c r="C10" s="718"/>
      <c r="D10" s="697">
        <f>IF(COUNTIF(D1,"C*")+COUNTIF(D1,"SJ*")&gt;0,D11,0)</f>
        <v>0</v>
      </c>
      <c r="E10" s="638"/>
      <c r="F10" s="638"/>
      <c r="G10" s="638"/>
      <c r="H10" s="698"/>
    </row>
    <row r="11" spans="1:8" ht="12.75" customHeight="1" x14ac:dyDescent="0.2">
      <c r="A11" s="696" t="s">
        <v>2523</v>
      </c>
      <c r="B11" s="391"/>
      <c r="C11" s="718"/>
      <c r="D11" s="697">
        <f>SUMIF(Name,"Garage wall",Length)</f>
        <v>0</v>
      </c>
      <c r="E11" s="639">
        <f>E4</f>
        <v>0</v>
      </c>
      <c r="F11" s="639">
        <f>IFERROR(IF($D$1="",0,VLOOKUP($D$1,Footing_Type,17,FALSE)/1000),0)</f>
        <v>0</v>
      </c>
      <c r="G11" s="640">
        <f>D11*E11*F11</f>
        <v>0</v>
      </c>
      <c r="H11" s="698"/>
    </row>
    <row r="12" spans="1:8" ht="12.75" customHeight="1" x14ac:dyDescent="0.2">
      <c r="A12" s="696" t="s">
        <v>541</v>
      </c>
      <c r="B12" s="646"/>
      <c r="C12" s="720"/>
      <c r="D12" s="646"/>
      <c r="E12" s="391"/>
      <c r="F12" s="391"/>
      <c r="G12" s="640">
        <f>C12*(F4*E4*0.3)</f>
        <v>0</v>
      </c>
      <c r="H12" s="698"/>
    </row>
    <row r="13" spans="1:8" ht="12.75" customHeight="1" x14ac:dyDescent="0.2">
      <c r="A13" s="696" t="s">
        <v>91</v>
      </c>
      <c r="B13" s="391"/>
      <c r="C13" s="718"/>
      <c r="D13" s="697">
        <f>SUMIF(Name,"Single Wall/Planter",Length)</f>
        <v>0</v>
      </c>
      <c r="E13" s="639">
        <f>E11</f>
        <v>0</v>
      </c>
      <c r="F13" s="639">
        <f>F11</f>
        <v>0</v>
      </c>
      <c r="G13" s="640">
        <f>D13*E13*F13</f>
        <v>0</v>
      </c>
      <c r="H13" s="698"/>
    </row>
    <row r="14" spans="1:8" ht="12.75" customHeight="1" x14ac:dyDescent="0.2">
      <c r="A14" s="696" t="s">
        <v>77</v>
      </c>
      <c r="B14" s="699"/>
      <c r="C14" s="720">
        <f>COUNTIF(Name,"Posts")</f>
        <v>0</v>
      </c>
      <c r="D14" s="639">
        <v>0.5</v>
      </c>
      <c r="E14" s="639">
        <v>0.5</v>
      </c>
      <c r="F14" s="639">
        <v>0.4</v>
      </c>
      <c r="G14" s="640">
        <f t="shared" ref="G14:G19" si="1">C14*D14*E14*F14</f>
        <v>0</v>
      </c>
      <c r="H14" s="698"/>
    </row>
    <row r="15" spans="1:8" ht="12.75" customHeight="1" x14ac:dyDescent="0.2">
      <c r="A15" s="696" t="s">
        <v>3797</v>
      </c>
      <c r="B15" s="699"/>
      <c r="C15" s="720">
        <f>COUNTIF(Name,"Pad Footing")</f>
        <v>0</v>
      </c>
      <c r="D15" s="639">
        <f>IF(Wind_Rating="N1",0.5,IF(Wind_Rating="N2",0.55,IF(OR(Wind_Rating="N3",Wind_Rating="N4"),0.7,)))</f>
        <v>0</v>
      </c>
      <c r="E15" s="639">
        <f>IF(Wind_Rating="N1",0.5,IF(Wind_Rating="N2",0.55,IF(OR(Wind_Rating="N3",Wind_Rating="N4"),0.7,)))</f>
        <v>0</v>
      </c>
      <c r="F15" s="639">
        <f>IF(Wind_Rating="N1",0.45,IF(Wind_Rating="N2",0.45,IF(OR(Wind_Rating="N3",Wind_Rating="N4"),0.55,)))</f>
        <v>0</v>
      </c>
      <c r="G15" s="640">
        <f t="shared" si="1"/>
        <v>0</v>
      </c>
      <c r="H15" s="698"/>
    </row>
    <row r="16" spans="1:8" ht="12.75" customHeight="1" x14ac:dyDescent="0.2">
      <c r="A16" s="696" t="s">
        <v>550</v>
      </c>
      <c r="B16" s="699"/>
      <c r="C16" s="721"/>
      <c r="D16" s="699"/>
      <c r="E16" s="643"/>
      <c r="F16" s="643"/>
      <c r="G16" s="640">
        <f t="shared" si="1"/>
        <v>0</v>
      </c>
      <c r="H16" s="698"/>
    </row>
    <row r="17" spans="1:8" ht="12.75" customHeight="1" x14ac:dyDescent="0.2">
      <c r="A17" s="696" t="s">
        <v>550</v>
      </c>
      <c r="B17" s="699"/>
      <c r="C17" s="721"/>
      <c r="D17" s="699"/>
      <c r="E17" s="643"/>
      <c r="F17" s="643"/>
      <c r="G17" s="640">
        <f>C17*D17*E17*F17</f>
        <v>0</v>
      </c>
      <c r="H17" s="698"/>
    </row>
    <row r="18" spans="1:8" ht="12.75" customHeight="1" x14ac:dyDescent="0.2">
      <c r="A18" s="696" t="s">
        <v>1422</v>
      </c>
      <c r="B18" s="699"/>
      <c r="C18" s="721"/>
      <c r="D18" s="699"/>
      <c r="E18" s="643"/>
      <c r="F18" s="391"/>
      <c r="G18" s="639">
        <f>C18*PI()*(E18/2*E18/2)*D18</f>
        <v>0</v>
      </c>
      <c r="H18" s="698"/>
    </row>
    <row r="19" spans="1:8" ht="12.75" customHeight="1" x14ac:dyDescent="0.2">
      <c r="A19" s="696" t="s">
        <v>8</v>
      </c>
      <c r="B19" s="699"/>
      <c r="C19" s="726"/>
      <c r="D19" s="699"/>
      <c r="E19" s="643"/>
      <c r="F19" s="643"/>
      <c r="G19" s="640">
        <f t="shared" si="1"/>
        <v>0</v>
      </c>
      <c r="H19" s="698"/>
    </row>
    <row r="20" spans="1:8" ht="12.75" customHeight="1" x14ac:dyDescent="0.2">
      <c r="A20" s="696" t="s">
        <v>8</v>
      </c>
      <c r="B20" s="699"/>
      <c r="C20" s="726">
        <v>1</v>
      </c>
      <c r="D20" s="699">
        <v>1.27</v>
      </c>
      <c r="E20" s="643">
        <v>0.33</v>
      </c>
      <c r="F20" s="643">
        <v>0.1</v>
      </c>
      <c r="G20" s="640">
        <f>D20*E20*F20</f>
        <v>4.1910000000000003E-2</v>
      </c>
      <c r="H20" s="698"/>
    </row>
    <row r="21" spans="1:8" ht="12.75" customHeight="1" x14ac:dyDescent="0.2">
      <c r="A21" s="696" t="s">
        <v>8</v>
      </c>
      <c r="B21" s="699"/>
      <c r="C21" s="726"/>
      <c r="D21" s="699"/>
      <c r="E21" s="643"/>
      <c r="F21" s="643"/>
      <c r="G21" s="640">
        <f>D21*E21*F21</f>
        <v>0</v>
      </c>
      <c r="H21" s="698"/>
    </row>
    <row r="22" spans="1:8" ht="12.75" customHeight="1" x14ac:dyDescent="0.2">
      <c r="A22" s="700" t="s">
        <v>11</v>
      </c>
      <c r="B22" s="392"/>
      <c r="C22" s="718"/>
      <c r="D22" s="646"/>
      <c r="E22" s="391"/>
      <c r="F22" s="391"/>
      <c r="G22" s="644">
        <f>CEILING(SUM(G4:G21),0.1)</f>
        <v>0.1</v>
      </c>
      <c r="H22" s="698"/>
    </row>
    <row r="23" spans="1:8" ht="12.75" customHeight="1" x14ac:dyDescent="0.2">
      <c r="A23" s="701" t="s">
        <v>549</v>
      </c>
      <c r="B23" s="714"/>
      <c r="C23" s="722"/>
      <c r="D23" s="703"/>
      <c r="E23" s="702"/>
      <c r="F23" s="702"/>
      <c r="G23" s="644">
        <f>CEILING(Footing_Labour*1.08,0.2)</f>
        <v>0.2</v>
      </c>
      <c r="H23" s="704"/>
    </row>
    <row r="24" spans="1:8" ht="12.75" customHeight="1" x14ac:dyDescent="0.2">
      <c r="A24" s="705"/>
      <c r="B24" s="710"/>
      <c r="C24" s="717" t="s">
        <v>102</v>
      </c>
      <c r="D24" s="695" t="s">
        <v>34</v>
      </c>
      <c r="E24" s="695" t="s">
        <v>99</v>
      </c>
      <c r="F24" s="695" t="s">
        <v>94</v>
      </c>
      <c r="G24" s="695" t="s">
        <v>1438</v>
      </c>
      <c r="H24" s="706" t="s">
        <v>1441</v>
      </c>
    </row>
    <row r="25" spans="1:8" ht="12.75" customHeight="1" x14ac:dyDescent="0.2">
      <c r="A25" s="700" t="s">
        <v>93</v>
      </c>
      <c r="B25" s="392"/>
      <c r="C25" s="718"/>
      <c r="D25" s="646"/>
      <c r="E25" s="391"/>
      <c r="F25" s="391"/>
      <c r="G25" s="391"/>
      <c r="H25" s="698"/>
    </row>
    <row r="26" spans="1:8" x14ac:dyDescent="0.2">
      <c r="A26" s="696" t="s">
        <v>95</v>
      </c>
      <c r="B26" s="391"/>
      <c r="C26" s="718"/>
      <c r="D26" s="646"/>
      <c r="E26" s="391"/>
      <c r="F26" s="691">
        <f>IFERROR(VLOOKUP(Preliminaries!D1,Footing_Type,14,FALSE),0)</f>
        <v>0</v>
      </c>
      <c r="G26" s="639">
        <f>IF(Brick_type="Timber Frame",CEILING(H_Area,0.1),CEILING(H_Area-(H_Perim*0.14),0.1))</f>
        <v>0</v>
      </c>
      <c r="H26" s="707">
        <f>G26*F26</f>
        <v>0</v>
      </c>
    </row>
    <row r="27" spans="1:8" ht="12.75" customHeight="1" x14ac:dyDescent="0.2">
      <c r="A27" s="696" t="s">
        <v>0</v>
      </c>
      <c r="B27" s="391"/>
      <c r="C27" s="723">
        <f>IFERROR(VLOOKUP("sunken area",'CSV GF'!#REF!,5,FALSE),0)</f>
        <v>0</v>
      </c>
      <c r="D27" s="697">
        <f>SUMIF(Name,"sunken area",Length)</f>
        <v>0</v>
      </c>
      <c r="E27" s="645">
        <v>0.15</v>
      </c>
      <c r="F27" s="391"/>
      <c r="G27" s="391"/>
      <c r="H27" s="707">
        <f>C27*0.086*D27*E27</f>
        <v>0</v>
      </c>
    </row>
    <row r="28" spans="1:8" ht="12.75" customHeight="1" x14ac:dyDescent="0.2">
      <c r="A28" s="696" t="s">
        <v>96</v>
      </c>
      <c r="B28" s="391"/>
      <c r="C28" s="718"/>
      <c r="D28" s="697">
        <f>SUMIF(Name,"Thickening",Length)</f>
        <v>0</v>
      </c>
      <c r="E28" s="639">
        <f>IF(D28&gt;0,VLOOKUP(D1,Footing_Type,5,FALSE)/1000,0)</f>
        <v>0</v>
      </c>
      <c r="F28" s="639">
        <f>IF(D28&gt;0,VLOOKUP(D1,Footing_Type,4,FALSE)/1000,0)</f>
        <v>0</v>
      </c>
      <c r="G28" s="391"/>
      <c r="H28" s="707">
        <f>D28*E28*F28</f>
        <v>0</v>
      </c>
    </row>
    <row r="29" spans="1:8" x14ac:dyDescent="0.2">
      <c r="A29" s="696" t="s">
        <v>97</v>
      </c>
      <c r="B29" s="391"/>
      <c r="C29" s="721">
        <v>2</v>
      </c>
      <c r="D29" s="697">
        <f>D4</f>
        <v>0</v>
      </c>
      <c r="E29" s="391"/>
      <c r="F29" s="391"/>
      <c r="G29" s="391"/>
      <c r="H29" s="707">
        <f>D29*(C29*0.086-F26)*(0.15)</f>
        <v>0</v>
      </c>
    </row>
    <row r="30" spans="1:8" ht="12.75" customHeight="1" x14ac:dyDescent="0.2">
      <c r="A30" s="696" t="s">
        <v>1142</v>
      </c>
      <c r="B30" s="641"/>
      <c r="C30" s="724"/>
      <c r="D30" s="699">
        <v>0</v>
      </c>
      <c r="E30" s="641"/>
      <c r="F30" s="391"/>
      <c r="G30" s="639">
        <f>IF(OR(Brick_type="Timber Frame",Brick_type="Reverse Brick Veneer"),Garage_Area,0)</f>
        <v>0</v>
      </c>
      <c r="H30" s="707">
        <f>G30*F26</f>
        <v>0</v>
      </c>
    </row>
    <row r="31" spans="1:8" ht="12.75" customHeight="1" x14ac:dyDescent="0.2">
      <c r="A31" s="696" t="s">
        <v>1713</v>
      </c>
      <c r="B31" s="391"/>
      <c r="C31" s="391"/>
      <c r="D31" s="391"/>
      <c r="E31" s="391"/>
      <c r="F31" s="391"/>
      <c r="G31" s="639">
        <f>SUMIF(Name,"Polished Concrete",Area)</f>
        <v>0</v>
      </c>
      <c r="H31" s="707">
        <f>G31*(0.115-ConcreteSlabThickness)</f>
        <v>0</v>
      </c>
    </row>
    <row r="32" spans="1:8" ht="12.75" customHeight="1" x14ac:dyDescent="0.2">
      <c r="A32" s="700" t="s">
        <v>11</v>
      </c>
      <c r="B32" s="392"/>
      <c r="C32" s="718"/>
      <c r="D32" s="646"/>
      <c r="E32" s="391"/>
      <c r="F32" s="391"/>
      <c r="G32" s="391"/>
      <c r="H32" s="708">
        <f>CEILING(SUM(H26:H31),0.1)</f>
        <v>0</v>
      </c>
    </row>
    <row r="33" spans="1:8" ht="12.75" customHeight="1" x14ac:dyDescent="0.2">
      <c r="A33" s="701" t="s">
        <v>104</v>
      </c>
      <c r="B33" s="714"/>
      <c r="C33" s="722"/>
      <c r="D33" s="703"/>
      <c r="E33" s="702"/>
      <c r="F33" s="702"/>
      <c r="G33" s="702"/>
      <c r="H33" s="708">
        <f>CEILING(Slab_Labour*1.05,0.2)</f>
        <v>0</v>
      </c>
    </row>
    <row r="34" spans="1:8" ht="12.75" customHeight="1" x14ac:dyDescent="0.2">
      <c r="A34" s="701" t="s">
        <v>105</v>
      </c>
      <c r="B34" s="714"/>
      <c r="C34" s="722"/>
      <c r="D34" s="703"/>
      <c r="E34" s="702"/>
      <c r="F34" s="702"/>
      <c r="G34" s="702"/>
      <c r="H34" s="708">
        <f>Slab_Supply+Footing_Supply+IF(Concrete_Pump&gt;0,1.2,0)</f>
        <v>0.2</v>
      </c>
    </row>
    <row r="35" spans="1:8" x14ac:dyDescent="0.2">
      <c r="A35" s="709" t="s">
        <v>1546</v>
      </c>
      <c r="B35" s="695"/>
      <c r="C35" s="717" t="s">
        <v>106</v>
      </c>
      <c r="D35" s="695" t="s">
        <v>107</v>
      </c>
      <c r="E35" s="710"/>
      <c r="F35" s="710"/>
      <c r="G35" s="710"/>
      <c r="H35" s="706"/>
    </row>
    <row r="36" spans="1:8" x14ac:dyDescent="0.2">
      <c r="A36" s="696" t="s">
        <v>114</v>
      </c>
      <c r="B36" s="646"/>
      <c r="C36" s="725">
        <f>CEILING((G26+G30)/(IF(Eng_SlabMesh&gt;0,IF(COUNTIF(Eng_SlabMesh,"*3")&gt;0,11.97,12.76),0)+IF(Eng_SlabMesh=0,IF(COUNTIF(H38,"*3")&gt;0,11.97,12.76),0)),1)</f>
        <v>0</v>
      </c>
      <c r="D36" s="646"/>
      <c r="E36" s="392" t="s">
        <v>159</v>
      </c>
      <c r="F36" s="391"/>
      <c r="G36" s="1274" t="s">
        <v>1542</v>
      </c>
      <c r="H36" s="1275"/>
    </row>
    <row r="37" spans="1:8" x14ac:dyDescent="0.2">
      <c r="A37" s="696" t="s">
        <v>110</v>
      </c>
      <c r="B37" s="691" t="str">
        <f>IFERROR(VLOOKUP($D$1,Footing_Type,6,FALSE),"")</f>
        <v/>
      </c>
      <c r="C37" s="725">
        <f>IF(OR($D$1="D10",$D$1="D10W"),0,CEILING((SUM(D4:D13)+D28)/5.5,1))</f>
        <v>0</v>
      </c>
      <c r="D37" s="647" t="str">
        <f>IF(TrenchMeshType&lt;&gt;"NA","Yes","No")</f>
        <v>Yes</v>
      </c>
      <c r="E37" s="392" t="s">
        <v>159</v>
      </c>
      <c r="F37" s="391"/>
      <c r="G37" s="711" t="s">
        <v>1543</v>
      </c>
      <c r="H37" s="712" t="s">
        <v>1544</v>
      </c>
    </row>
    <row r="38" spans="1:8" x14ac:dyDescent="0.2">
      <c r="A38" s="696" t="s">
        <v>113</v>
      </c>
      <c r="B38" s="646"/>
      <c r="C38" s="648">
        <f>COUNTIF(Name,"House Corner Internal")*2</f>
        <v>0</v>
      </c>
      <c r="D38" s="646"/>
      <c r="E38" s="392"/>
      <c r="F38" s="391"/>
      <c r="G38" s="648"/>
      <c r="H38" s="708" t="str">
        <f>IFERROR(IF(D1="",0,VLOOKUP($D$1,Footing_Type,13,FALSE)),"")</f>
        <v/>
      </c>
    </row>
    <row r="39" spans="1:8" x14ac:dyDescent="0.2">
      <c r="A39" s="696" t="s">
        <v>115</v>
      </c>
      <c r="B39" s="646"/>
      <c r="C39" s="725">
        <f>CEILING((H_Perim+G26)/80,1)</f>
        <v>0</v>
      </c>
      <c r="D39" s="646"/>
      <c r="E39" s="392"/>
      <c r="F39" s="391"/>
      <c r="G39" s="391"/>
      <c r="H39" s="713"/>
    </row>
    <row r="40" spans="1:8" x14ac:dyDescent="0.2">
      <c r="A40" s="696" t="s">
        <v>108</v>
      </c>
      <c r="B40" s="646"/>
      <c r="C40" s="648">
        <f>IFERROR(IF(VLOOKUP(Eng_Footing,Footing_Type,8,FALSE)&gt;0,CEILING((Preliminaries!$D$4)/0.5,1),0),0)+IFERROR(IF(VLOOKUP(Eng_Footing,Footing_Type,10,FALSE)&gt;0,CEILING((InternalThickeningLength)/0.5,1),0),0)</f>
        <v>0</v>
      </c>
      <c r="D40" s="648">
        <f>IF(C40&gt;0,C40+C38,0)</f>
        <v>0</v>
      </c>
      <c r="E40" s="392" t="s">
        <v>159</v>
      </c>
      <c r="F40" s="391"/>
      <c r="G40" s="646" t="s">
        <v>2335</v>
      </c>
      <c r="H40" s="975">
        <f>IF(ConcreteSlabThickness&gt;0.1,1,0)</f>
        <v>0</v>
      </c>
    </row>
    <row r="41" spans="1:8" x14ac:dyDescent="0.2">
      <c r="A41" s="696" t="s">
        <v>250</v>
      </c>
      <c r="B41" s="646"/>
      <c r="C41" s="1100">
        <f>COUNTIF(Name,"THICKENING")*2</f>
        <v>0</v>
      </c>
      <c r="D41" s="646"/>
      <c r="E41" s="392" t="s">
        <v>159</v>
      </c>
      <c r="F41" s="391"/>
      <c r="G41" s="391"/>
      <c r="H41" s="713"/>
    </row>
    <row r="42" spans="1:8" x14ac:dyDescent="0.2">
      <c r="A42" s="709" t="s">
        <v>98</v>
      </c>
      <c r="B42" s="710"/>
      <c r="C42" s="732"/>
      <c r="D42" s="733"/>
      <c r="E42" s="710"/>
      <c r="F42" s="710"/>
      <c r="G42" s="710"/>
      <c r="H42" s="731"/>
    </row>
    <row r="43" spans="1:8" x14ac:dyDescent="0.2">
      <c r="A43" s="696" t="s">
        <v>57</v>
      </c>
      <c r="B43" s="392"/>
      <c r="C43" s="1101">
        <f>CEILING(H_Area-(IF(Brick_type&lt;&gt;"Timber Frame",H_Perim*0.14,0)),0.1)+GarageAreaTimberFrame</f>
        <v>0</v>
      </c>
      <c r="D43" s="392" t="s">
        <v>1438</v>
      </c>
      <c r="E43" s="391"/>
      <c r="F43" s="391"/>
      <c r="G43" s="391"/>
      <c r="H43" s="698"/>
    </row>
    <row r="44" spans="1:8" ht="13.5" thickBot="1" x14ac:dyDescent="0.25">
      <c r="A44" s="737" t="s">
        <v>2440</v>
      </c>
      <c r="B44" s="715"/>
      <c r="C44" s="1102">
        <f>ROUND(SUMIF(Name,"Retic Termite",Length),1)</f>
        <v>0</v>
      </c>
      <c r="D44" s="715" t="s">
        <v>679</v>
      </c>
      <c r="E44" s="734"/>
      <c r="F44" s="734"/>
      <c r="G44" s="734"/>
      <c r="H44" s="735"/>
    </row>
    <row r="45" spans="1:8" ht="12.75" customHeight="1" x14ac:dyDescent="0.2"/>
    <row r="46" spans="1:8" ht="12.75" customHeight="1" x14ac:dyDescent="0.2"/>
    <row r="47" spans="1:8" ht="12.75" customHeight="1" x14ac:dyDescent="0.2"/>
  </sheetData>
  <sheetProtection selectLockedCells="1"/>
  <mergeCells count="1">
    <mergeCell ref="G36:H36"/>
  </mergeCells>
  <phoneticPr fontId="12" type="noConversion"/>
  <conditionalFormatting sqref="E27">
    <cfRule type="expression" dxfId="224" priority="3">
      <formula>IF(AND(D27&gt;0,E27=""),1,0)</formula>
    </cfRule>
  </conditionalFormatting>
  <conditionalFormatting sqref="F26">
    <cfRule type="expression" dxfId="223" priority="2">
      <formula>$F$26=0</formula>
    </cfRule>
  </conditionalFormatting>
  <conditionalFormatting sqref="B37">
    <cfRule type="expression" dxfId="222" priority="1">
      <formula>$F$26=0</formula>
    </cfRule>
  </conditionalFormatting>
  <dataValidations disablePrompts="1" count="4">
    <dataValidation type="whole" allowBlank="1" showInputMessage="1" showErrorMessage="1" error="Do not use decimal places" sqref="C38" xr:uid="{00000000-0002-0000-0600-000000000000}">
      <formula1>0</formula1>
      <formula2>50</formula2>
    </dataValidation>
    <dataValidation type="whole" allowBlank="1" showInputMessage="1" showErrorMessage="1" error="Do not use decimal places" sqref="C41" xr:uid="{00000000-0002-0000-0600-000001000000}">
      <formula1>0</formula1>
      <formula2>700</formula2>
    </dataValidation>
    <dataValidation type="whole" allowBlank="1" showInputMessage="1" showErrorMessage="1" error="Do not use decimal places" sqref="C14:C18" xr:uid="{00000000-0002-0000-0600-000002000000}">
      <formula1>0</formula1>
      <formula2>20</formula2>
    </dataValidation>
    <dataValidation type="list" allowBlank="1" showInputMessage="1" showErrorMessage="1" sqref="C27 C29:C30" xr:uid="{00000000-0002-0000-0600-000003000000}">
      <formula1>Brickcourses</formula1>
    </dataValidation>
  </dataValidations>
  <pageMargins left="0.19685039370078741" right="0.19685039370078741" top="0.39370078740157483" bottom="0.39370078740157483" header="0.51181102362204722" footer="0.51181102362204722"/>
  <pageSetup paperSize="9" scale="62" orientation="portrait" r:id="rId1"/>
  <headerFooter alignWithMargins="0">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321" r:id="rId4" name="Button 81">
              <controlPr defaultSize="0" print="0" autoFill="0" autoPict="0" macro="[0]!FormatPreliminaries">
                <anchor moveWithCells="1">
                  <from>
                    <xdr:col>7</xdr:col>
                    <xdr:colOff>114300</xdr:colOff>
                    <xdr:row>0</xdr:row>
                    <xdr:rowOff>57150</xdr:rowOff>
                  </from>
                  <to>
                    <xdr:col>7</xdr:col>
                    <xdr:colOff>1066800</xdr:colOff>
                    <xdr:row>0</xdr:row>
                    <xdr:rowOff>200025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S72"/>
  <sheetViews>
    <sheetView workbookViewId="0">
      <pane ySplit="4" topLeftCell="A5" activePane="bottomLeft" state="frozen"/>
      <selection activeCell="B4" sqref="B4"/>
      <selection pane="bottomLeft" activeCell="A5" sqref="A5"/>
    </sheetView>
  </sheetViews>
  <sheetFormatPr defaultRowHeight="12.75" x14ac:dyDescent="0.2"/>
  <cols>
    <col min="1" max="1" width="4.7109375" customWidth="1"/>
    <col min="2" max="3" width="11.7109375" customWidth="1"/>
    <col min="4" max="4" width="18.28515625" bestFit="1" customWidth="1"/>
    <col min="5" max="6" width="10.7109375" customWidth="1"/>
    <col min="7" max="8" width="15.7109375" customWidth="1"/>
    <col min="9" max="9" width="9.7109375" customWidth="1"/>
    <col min="10" max="12" width="11.85546875" customWidth="1"/>
    <col min="13" max="15" width="10.7109375" customWidth="1"/>
    <col min="16" max="16" width="6.85546875" customWidth="1"/>
    <col min="17" max="17" width="30.85546875" customWidth="1"/>
    <col min="18" max="18" width="16.7109375" customWidth="1"/>
    <col min="19" max="19" width="27.28515625" customWidth="1"/>
    <col min="21" max="22" width="16.5703125" bestFit="1" customWidth="1"/>
  </cols>
  <sheetData>
    <row r="1" spans="1:19" ht="23.25" x14ac:dyDescent="0.2">
      <c r="A1" s="762"/>
      <c r="B1" s="763"/>
      <c r="C1" s="763" t="s">
        <v>56</v>
      </c>
      <c r="D1" s="762"/>
      <c r="E1" s="762"/>
      <c r="F1" s="762"/>
      <c r="G1" s="762"/>
      <c r="H1" s="762"/>
      <c r="I1" s="762"/>
      <c r="J1" s="762"/>
      <c r="K1" s="762"/>
      <c r="L1" s="762"/>
      <c r="M1" s="762"/>
      <c r="N1" s="762"/>
      <c r="O1" s="762"/>
      <c r="P1" s="764"/>
    </row>
    <row r="2" spans="1:19" ht="48.75" thickBot="1" x14ac:dyDescent="0.25">
      <c r="A2" s="762"/>
      <c r="B2" s="765" t="s">
        <v>148</v>
      </c>
      <c r="C2" s="765" t="s">
        <v>1732</v>
      </c>
      <c r="D2" s="765" t="s">
        <v>552</v>
      </c>
      <c r="E2" s="765" t="s">
        <v>31</v>
      </c>
      <c r="F2" s="765" t="s">
        <v>346</v>
      </c>
      <c r="G2" s="765" t="s">
        <v>35</v>
      </c>
      <c r="H2" s="765" t="s">
        <v>36</v>
      </c>
      <c r="I2" s="765" t="s">
        <v>488</v>
      </c>
      <c r="J2" s="765" t="s">
        <v>553</v>
      </c>
      <c r="K2" s="765" t="s">
        <v>2633</v>
      </c>
      <c r="L2" s="765" t="s">
        <v>2650</v>
      </c>
      <c r="M2" s="765" t="s">
        <v>295</v>
      </c>
      <c r="N2" s="765" t="s">
        <v>296</v>
      </c>
      <c r="O2" s="765" t="s">
        <v>297</v>
      </c>
      <c r="P2" s="1024" t="s">
        <v>1579</v>
      </c>
    </row>
    <row r="3" spans="1:19" ht="16.5" customHeight="1" thickBot="1" x14ac:dyDescent="0.25">
      <c r="A3" s="762"/>
      <c r="B3" s="379"/>
      <c r="C3" s="379"/>
      <c r="D3" s="762"/>
      <c r="E3" s="762"/>
      <c r="F3" s="762"/>
      <c r="G3" s="766" t="str">
        <f>IF(Coastal="No","Not Coastal","Coastal")</f>
        <v>Not Coastal</v>
      </c>
      <c r="H3" s="767" t="str">
        <f>'Data Sheet'!$B$14</f>
        <v>Steel Roof</v>
      </c>
      <c r="I3" s="767"/>
      <c r="J3" s="767"/>
      <c r="K3" s="767"/>
      <c r="L3" s="767"/>
      <c r="M3" s="762"/>
      <c r="N3" s="762"/>
      <c r="O3" s="762"/>
      <c r="P3" s="764"/>
    </row>
    <row r="4" spans="1:19" x14ac:dyDescent="0.2">
      <c r="A4" s="768"/>
      <c r="B4" s="769"/>
      <c r="C4" s="769"/>
      <c r="D4" s="768"/>
      <c r="E4" s="768"/>
      <c r="F4" s="768"/>
      <c r="G4" s="768"/>
      <c r="H4" s="768"/>
      <c r="I4" s="768"/>
      <c r="J4" s="768"/>
      <c r="K4" s="768"/>
      <c r="L4" s="768"/>
      <c r="M4" s="768"/>
      <c r="N4" s="768"/>
      <c r="O4" s="768"/>
      <c r="P4" s="770"/>
    </row>
    <row r="5" spans="1:19" x14ac:dyDescent="0.2">
      <c r="A5" s="768"/>
      <c r="B5" s="771"/>
      <c r="C5" s="771"/>
      <c r="D5" s="772"/>
      <c r="E5" s="772"/>
      <c r="F5" s="772"/>
      <c r="G5" s="773" t="str">
        <f>IF($E5="","",IF(Roof_Type="Steel Roof",IF($M5&lt;=Lists!$I$17,Lists!$J$17,IF(AND($M5&gt;Lists!$I$17,$M5&lt;=Lists!$I$18),Lists!$J$18,IF(AND($M5&gt;Lists!$I$18,$M5&lt;=Lists!$I$19),Lists!$J$19,IF(AND($M5&gt;Lists!$I$19,$M5&lt;=Lists!$I$20),Lists!$J$20,Lists!$J$21)))),IF($M5&lt;=Lists!$I$17,Lists!$K$17,IF(AND($M5&gt;Lists!$I$17,$M5&lt;=Lists!$I$18),Lists!$K$18,IF(AND($M5&gt;Lists!$I$18,$M5&lt;=Lists!$I$19),Lists!$K$19,IF(AND($M5&gt;Lists!$I$20,$M5&lt;=Lists!$I$20),Lists!$K$20,Lists!$K$21))))))</f>
        <v/>
      </c>
      <c r="H5" s="774"/>
      <c r="I5" s="1227" t="str">
        <f>(IF(OR(F5="",H5=""),"",ROUND(IF(AND($M5&lt;Lists!$I$17),Lists!$L$17,IF(AND($M5&gt;Lists!$I$17,$M5&lt;=Lists!$I$18),Lists!$L$18,IF(AND($M5&gt;Lists!$I$18,$M5&lt;=Lists!$I$19),Lists!$L$19,IF(AND($M5&gt;Lists!$I$19,$M5&lt;=Lists!$I$20),Lists!$L$20,IF(AND($M5&gt;Lists!$I$20),Lists!$L$21,)))))*2+(M5),2)))</f>
        <v/>
      </c>
      <c r="J5" s="775"/>
      <c r="K5" s="775"/>
      <c r="L5" s="775"/>
      <c r="M5" s="776" t="str">
        <f>IF(OR($E5="",$E5=0),"",$F5/1000)</f>
        <v/>
      </c>
      <c r="N5" s="776" t="str">
        <f t="shared" ref="N5:N36" si="0">IF(OR($E5="",$E5=0),"",(VLOOKUP($E5,Std_Brick,4,FALSE)/1000))</f>
        <v/>
      </c>
      <c r="O5" s="776" t="str">
        <f>IF(OR($F5="",OR($E5="",$E5=0)),"",($M5*$N5))</f>
        <v/>
      </c>
      <c r="P5" s="777">
        <f t="shared" ref="P5:P36" si="1">IF(AND(Brick_type="2c Face",C5="Face",J5="Internal"),CEILING($E5/2,1),0)</f>
        <v>0</v>
      </c>
      <c r="Q5" t="s">
        <v>407</v>
      </c>
    </row>
    <row r="6" spans="1:19" ht="12.75" customHeight="1" x14ac:dyDescent="0.2">
      <c r="A6" s="768"/>
      <c r="B6" s="778"/>
      <c r="C6" s="778"/>
      <c r="D6" s="779"/>
      <c r="E6" s="779"/>
      <c r="F6" s="779"/>
      <c r="G6" s="780" t="str">
        <f>IF($E6="","",IF(Roof_Type="Steel Roof",IF($M6&lt;=Lists!$I$17,Lists!$J$17,IF(AND($M6&gt;Lists!$I$17,$M6&lt;=Lists!$I$18),Lists!$J$18,IF(AND($M6&gt;Lists!$I$18,$M6&lt;=Lists!$I$19),Lists!$J$19,IF(AND($M6&gt;Lists!$I$19,$M6&lt;=Lists!$I$20),Lists!$J$20,Lists!$J$21)))),IF($M6&lt;=Lists!$I$17,Lists!$K$17,IF(AND($M6&gt;Lists!$I$17,$M6&lt;=Lists!$I$18),Lists!$K$18,IF(AND($M6&gt;Lists!$I$18,$M6&lt;=Lists!$I$19),Lists!$K$19,IF(AND($M6&gt;Lists!$I$20,$M6&lt;=Lists!$I$20),Lists!$K$20,Lists!$K$21))))))</f>
        <v/>
      </c>
      <c r="H6" s="781"/>
      <c r="I6" s="1227" t="str">
        <f>(IF(OR(F6="",H6=""),"",ROUND(IF(AND($M6&lt;Lists!$I$17),Lists!$L$17,IF(AND($M6&gt;Lists!$I$17,$M6&lt;=Lists!$I$18),Lists!$L$18,IF(AND($M6&gt;Lists!$I$18,$M6&lt;=Lists!$I$19),Lists!$L$19,IF(AND($M6&gt;Lists!$I$19,$M6&lt;=Lists!$I$20),Lists!$L$20,IF(AND($M6&gt;Lists!$I$20),Lists!$L$21,)))))*2+(M6),2)))</f>
        <v/>
      </c>
      <c r="J6" s="782"/>
      <c r="K6" s="782"/>
      <c r="L6" s="782"/>
      <c r="M6" s="783" t="str">
        <f t="shared" ref="M6:M69" si="2">IF(OR($E6="",$E6=0),"",$F6/1000)</f>
        <v/>
      </c>
      <c r="N6" s="783" t="str">
        <f t="shared" si="0"/>
        <v/>
      </c>
      <c r="O6" s="783" t="str">
        <f t="shared" ref="O6:O69" si="3">IF(OR($F6="",OR($E6="",$E6=0)),"",($M6*$N6))</f>
        <v/>
      </c>
      <c r="P6" s="777">
        <f t="shared" si="1"/>
        <v>0</v>
      </c>
      <c r="Q6" t="s">
        <v>654</v>
      </c>
    </row>
    <row r="7" spans="1:19" ht="12.75" customHeight="1" x14ac:dyDescent="0.2">
      <c r="A7" s="768"/>
      <c r="B7" s="778"/>
      <c r="C7" s="778"/>
      <c r="D7" s="779"/>
      <c r="E7" s="779"/>
      <c r="F7" s="779"/>
      <c r="G7" s="780" t="str">
        <f>IF($E7="","",IF(Roof_Type="Steel Roof",IF($M7&lt;=Lists!$I$17,Lists!$J$17,IF(AND($M7&gt;Lists!$I$17,$M7&lt;=Lists!$I$18),Lists!$J$18,IF(AND($M7&gt;Lists!$I$18,$M7&lt;=Lists!$I$19),Lists!$J$19,IF(AND($M7&gt;Lists!$I$19,$M7&lt;=Lists!$I$20),Lists!$J$20,Lists!$J$21)))),IF($M7&lt;=Lists!$I$17,Lists!$K$17,IF(AND($M7&gt;Lists!$I$17,$M7&lt;=Lists!$I$18),Lists!$K$18,IF(AND($M7&gt;Lists!$I$18,$M7&lt;=Lists!$I$19),Lists!$K$19,IF(AND($M7&gt;Lists!$I$20,$M7&lt;=Lists!$I$20),Lists!$K$20,Lists!$K$21))))))</f>
        <v/>
      </c>
      <c r="H7" s="781"/>
      <c r="I7" s="1227" t="str">
        <f>(IF(OR(F7="",H7=""),"",ROUND(IF(AND($M7&lt;Lists!$I$17),Lists!$L$17,IF(AND($M7&gt;Lists!$I$17,$M7&lt;=Lists!$I$18),Lists!$L$18,IF(AND($M7&gt;Lists!$I$18,$M7&lt;=Lists!$I$19),Lists!$L$19,IF(AND($M7&gt;Lists!$I$19,$M7&lt;=Lists!$I$20),Lists!$L$20,IF(AND($M7&gt;Lists!$I$20),Lists!$L$21,)))))*2+(M7),2)))</f>
        <v/>
      </c>
      <c r="J7" s="782"/>
      <c r="K7" s="782"/>
      <c r="L7" s="782"/>
      <c r="M7" s="783" t="str">
        <f t="shared" si="2"/>
        <v/>
      </c>
      <c r="N7" s="783" t="str">
        <f t="shared" si="0"/>
        <v/>
      </c>
      <c r="O7" s="783" t="str">
        <f t="shared" si="3"/>
        <v/>
      </c>
      <c r="P7" s="777">
        <f t="shared" si="1"/>
        <v>0</v>
      </c>
      <c r="Q7" t="s">
        <v>655</v>
      </c>
    </row>
    <row r="8" spans="1:19" ht="12.75" customHeight="1" x14ac:dyDescent="0.2">
      <c r="A8" s="768"/>
      <c r="B8" s="778"/>
      <c r="C8" s="778"/>
      <c r="D8" s="779"/>
      <c r="E8" s="779"/>
      <c r="F8" s="779"/>
      <c r="G8" s="780" t="str">
        <f>IF($E8="","",IF(Roof_Type="Steel Roof",IF($M8&lt;=Lists!$I$17,Lists!$J$17,IF(AND($M8&gt;Lists!$I$17,$M8&lt;=Lists!$I$18),Lists!$J$18,IF(AND($M8&gt;Lists!$I$18,$M8&lt;=Lists!$I$19),Lists!$J$19,IF(AND($M8&gt;Lists!$I$19,$M8&lt;=Lists!$I$20),Lists!$J$20,Lists!$J$21)))),IF($M8&lt;=Lists!$I$17,Lists!$K$17,IF(AND($M8&gt;Lists!$I$17,$M8&lt;=Lists!$I$18),Lists!$K$18,IF(AND($M8&gt;Lists!$I$18,$M8&lt;=Lists!$I$19),Lists!$K$19,IF(AND($M8&gt;Lists!$I$20,$M8&lt;=Lists!$I$20),Lists!$K$20,Lists!$K$21))))))</f>
        <v/>
      </c>
      <c r="H8" s="781"/>
      <c r="I8" s="1227" t="str">
        <f>(IF(OR(F8="",H8=""),"",ROUND(IF(AND($M8&lt;Lists!$I$17),Lists!$L$17,IF(AND($M8&gt;Lists!$I$17,$M8&lt;=Lists!$I$18),Lists!$L$18,IF(AND($M8&gt;Lists!$I$18,$M8&lt;=Lists!$I$19),Lists!$L$19,IF(AND($M8&gt;Lists!$I$19,$M8&lt;=Lists!$I$20),Lists!$L$20,IF(AND($M8&gt;Lists!$I$20),Lists!$L$21,)))))*2+(M8),2)))</f>
        <v/>
      </c>
      <c r="J8" s="782"/>
      <c r="K8" s="782"/>
      <c r="L8" s="782"/>
      <c r="M8" s="783" t="str">
        <f t="shared" si="2"/>
        <v/>
      </c>
      <c r="N8" s="783" t="str">
        <f t="shared" si="0"/>
        <v/>
      </c>
      <c r="O8" s="783" t="str">
        <f t="shared" si="3"/>
        <v/>
      </c>
      <c r="P8" s="777">
        <f t="shared" si="1"/>
        <v>0</v>
      </c>
      <c r="Q8" t="s">
        <v>656</v>
      </c>
    </row>
    <row r="9" spans="1:19" ht="12.75" customHeight="1" x14ac:dyDescent="0.2">
      <c r="A9" s="768"/>
      <c r="B9" s="778"/>
      <c r="C9" s="778"/>
      <c r="D9" s="779"/>
      <c r="E9" s="779"/>
      <c r="F9" s="779"/>
      <c r="G9" s="780" t="str">
        <f>IF($E9="","",IF(Roof_Type="Steel Roof",IF($M9&lt;=Lists!$I$17,Lists!$J$17,IF(AND($M9&gt;Lists!$I$17,$M9&lt;=Lists!$I$18),Lists!$J$18,IF(AND($M9&gt;Lists!$I$18,$M9&lt;=Lists!$I$19),Lists!$J$19,IF(AND($M9&gt;Lists!$I$19,$M9&lt;=Lists!$I$20),Lists!$J$20,Lists!$J$21)))),IF($M9&lt;=Lists!$I$17,Lists!$K$17,IF(AND($M9&gt;Lists!$I$17,$M9&lt;=Lists!$I$18),Lists!$K$18,IF(AND($M9&gt;Lists!$I$18,$M9&lt;=Lists!$I$19),Lists!$K$19,IF(AND($M9&gt;Lists!$I$20,$M9&lt;=Lists!$I$20),Lists!$K$20,Lists!$K$21))))))</f>
        <v/>
      </c>
      <c r="H9" s="781"/>
      <c r="I9" s="1227" t="str">
        <f>(IF(OR(F9="",H9=""),"",ROUND(IF(AND($M9&lt;Lists!$I$17),Lists!$L$17,IF(AND($M9&gt;Lists!$I$17,$M9&lt;=Lists!$I$18),Lists!$L$18,IF(AND($M9&gt;Lists!$I$18,$M9&lt;=Lists!$I$19),Lists!$L$19,IF(AND($M9&gt;Lists!$I$19,$M9&lt;=Lists!$I$20),Lists!$L$20,IF(AND($M9&gt;Lists!$I$20),Lists!$L$21,)))))*2+(M9),2)))</f>
        <v/>
      </c>
      <c r="J9" s="782"/>
      <c r="K9" s="782"/>
      <c r="L9" s="782"/>
      <c r="M9" s="783" t="str">
        <f t="shared" si="2"/>
        <v/>
      </c>
      <c r="N9" s="783" t="str">
        <f t="shared" si="0"/>
        <v/>
      </c>
      <c r="O9" s="783" t="str">
        <f t="shared" si="3"/>
        <v/>
      </c>
      <c r="P9" s="777">
        <f t="shared" si="1"/>
        <v>0</v>
      </c>
      <c r="Q9" t="s">
        <v>657</v>
      </c>
    </row>
    <row r="10" spans="1:19" ht="12.75" customHeight="1" x14ac:dyDescent="0.2">
      <c r="A10" s="768"/>
      <c r="B10" s="778"/>
      <c r="C10" s="778"/>
      <c r="D10" s="779"/>
      <c r="E10" s="779"/>
      <c r="F10" s="779"/>
      <c r="G10" s="780" t="str">
        <f>IF($E10="","",IF(Roof_Type="Steel Roof",IF($M10&lt;=Lists!$I$17,Lists!$J$17,IF(AND($M10&gt;Lists!$I$17,$M10&lt;=Lists!$I$18),Lists!$J$18,IF(AND($M10&gt;Lists!$I$18,$M10&lt;=Lists!$I$19),Lists!$J$19,IF(AND($M10&gt;Lists!$I$19,$M10&lt;=Lists!$I$20),Lists!$J$20,Lists!$J$21)))),IF($M10&lt;=Lists!$I$17,Lists!$K$17,IF(AND($M10&gt;Lists!$I$17,$M10&lt;=Lists!$I$18),Lists!$K$18,IF(AND($M10&gt;Lists!$I$18,$M10&lt;=Lists!$I$19),Lists!$K$19,IF(AND($M10&gt;Lists!$I$20,$M10&lt;=Lists!$I$20),Lists!$K$20,Lists!$K$21))))))</f>
        <v/>
      </c>
      <c r="H10" s="781"/>
      <c r="I10" s="1227" t="str">
        <f>(IF(OR(F10="",H10=""),"",ROUND(IF(AND($M10&lt;Lists!$I$17),Lists!$L$17,IF(AND($M10&gt;Lists!$I$17,$M10&lt;=Lists!$I$18),Lists!$L$18,IF(AND($M10&gt;Lists!$I$18,$M10&lt;=Lists!$I$19),Lists!$L$19,IF(AND($M10&gt;Lists!$I$19,$M10&lt;=Lists!$I$20),Lists!$L$20,IF(AND($M10&gt;Lists!$I$20),Lists!$L$21,)))))*2+(M10),2)))</f>
        <v/>
      </c>
      <c r="J10" s="782"/>
      <c r="K10" s="782"/>
      <c r="L10" s="782"/>
      <c r="M10" s="783" t="str">
        <f t="shared" si="2"/>
        <v/>
      </c>
      <c r="N10" s="783" t="str">
        <f t="shared" si="0"/>
        <v/>
      </c>
      <c r="O10" s="783" t="str">
        <f t="shared" si="3"/>
        <v/>
      </c>
      <c r="P10" s="777">
        <f t="shared" si="1"/>
        <v>0</v>
      </c>
      <c r="Q10" t="s">
        <v>873</v>
      </c>
    </row>
    <row r="11" spans="1:19" ht="12.75" customHeight="1" x14ac:dyDescent="0.2">
      <c r="A11" s="768"/>
      <c r="B11" s="778"/>
      <c r="C11" s="778"/>
      <c r="D11" s="779"/>
      <c r="E11" s="779"/>
      <c r="F11" s="779"/>
      <c r="G11" s="780" t="str">
        <f>IF($E11="","",IF(Roof_Type="Steel Roof",IF($M11&lt;=Lists!$I$17,Lists!$J$17,IF(AND($M11&gt;Lists!$I$17,$M11&lt;=Lists!$I$18),Lists!$J$18,IF(AND($M11&gt;Lists!$I$18,$M11&lt;=Lists!$I$19),Lists!$J$19,IF(AND($M11&gt;Lists!$I$19,$M11&lt;=Lists!$I$20),Lists!$J$20,Lists!$J$21)))),IF($M11&lt;=Lists!$I$17,Lists!$K$17,IF(AND($M11&gt;Lists!$I$17,$M11&lt;=Lists!$I$18),Lists!$K$18,IF(AND($M11&gt;Lists!$I$18,$M11&lt;=Lists!$I$19),Lists!$K$19,IF(AND($M11&gt;Lists!$I$20,$M11&lt;=Lists!$I$20),Lists!$K$20,Lists!$K$21))))))</f>
        <v/>
      </c>
      <c r="H11" s="781"/>
      <c r="I11" s="1227" t="str">
        <f>(IF(OR(F11="",H11=""),"",ROUND(IF(AND($M11&lt;Lists!$I$17),Lists!$L$17,IF(AND($M11&gt;Lists!$I$17,$M11&lt;=Lists!$I$18),Lists!$L$18,IF(AND($M11&gt;Lists!$I$18,$M11&lt;=Lists!$I$19),Lists!$L$19,IF(AND($M11&gt;Lists!$I$19,$M11&lt;=Lists!$I$20),Lists!$L$20,IF(AND($M11&gt;Lists!$I$20),Lists!$L$21,)))))*2+(M11),2)))</f>
        <v/>
      </c>
      <c r="J11" s="782"/>
      <c r="K11" s="782"/>
      <c r="L11" s="782"/>
      <c r="M11" s="783" t="str">
        <f t="shared" si="2"/>
        <v/>
      </c>
      <c r="N11" s="783" t="str">
        <f t="shared" si="0"/>
        <v/>
      </c>
      <c r="O11" s="783" t="str">
        <f t="shared" si="3"/>
        <v/>
      </c>
      <c r="P11" s="777">
        <f t="shared" si="1"/>
        <v>0</v>
      </c>
      <c r="Q11" t="s">
        <v>1037</v>
      </c>
    </row>
    <row r="12" spans="1:19" ht="12.75" customHeight="1" x14ac:dyDescent="0.2">
      <c r="A12" s="768"/>
      <c r="B12" s="778"/>
      <c r="C12" s="778"/>
      <c r="D12" s="779"/>
      <c r="E12" s="779"/>
      <c r="F12" s="779"/>
      <c r="G12" s="780" t="str">
        <f>IF($E12="","",IF(Roof_Type="Steel Roof",IF($M12&lt;=Lists!$I$17,Lists!$J$17,IF(AND($M12&gt;Lists!$I$17,$M12&lt;=Lists!$I$18),Lists!$J$18,IF(AND($M12&gt;Lists!$I$18,$M12&lt;=Lists!$I$19),Lists!$J$19,IF(AND($M12&gt;Lists!$I$19,$M12&lt;=Lists!$I$20),Lists!$J$20,Lists!$J$21)))),IF($M12&lt;=Lists!$I$17,Lists!$K$17,IF(AND($M12&gt;Lists!$I$17,$M12&lt;=Lists!$I$18),Lists!$K$18,IF(AND($M12&gt;Lists!$I$18,$M12&lt;=Lists!$I$19),Lists!$K$19,IF(AND($M12&gt;Lists!$I$20,$M12&lt;=Lists!$I$20),Lists!$K$20,Lists!$K$21))))))</f>
        <v/>
      </c>
      <c r="H12" s="781"/>
      <c r="I12" s="1227" t="str">
        <f>(IF(OR(F12="",H12=""),"",ROUND(IF(AND($M12&lt;Lists!$I$17),Lists!$L$17,IF(AND($M12&gt;Lists!$I$17,$M12&lt;=Lists!$I$18),Lists!$L$18,IF(AND($M12&gt;Lists!$I$18,$M12&lt;=Lists!$I$19),Lists!$L$19,IF(AND($M12&gt;Lists!$I$19,$M12&lt;=Lists!$I$20),Lists!$L$20,IF(AND($M12&gt;Lists!$I$20),Lists!$L$21,)))))*2+(M12),2)))</f>
        <v/>
      </c>
      <c r="J12" s="782"/>
      <c r="K12" s="782"/>
      <c r="L12" s="782"/>
      <c r="M12" s="783" t="str">
        <f t="shared" si="2"/>
        <v/>
      </c>
      <c r="N12" s="783" t="str">
        <f t="shared" si="0"/>
        <v/>
      </c>
      <c r="O12" s="783" t="str">
        <f t="shared" si="3"/>
        <v/>
      </c>
      <c r="P12" s="777">
        <f t="shared" si="1"/>
        <v>0</v>
      </c>
      <c r="Q12" s="87" t="s">
        <v>1709</v>
      </c>
      <c r="S12" s="87"/>
    </row>
    <row r="13" spans="1:19" ht="12.75" customHeight="1" x14ac:dyDescent="0.2">
      <c r="A13" s="768"/>
      <c r="B13" s="778"/>
      <c r="C13" s="778"/>
      <c r="D13" s="779"/>
      <c r="E13" s="779"/>
      <c r="F13" s="779"/>
      <c r="G13" s="780" t="str">
        <f>IF($E13="","",IF(Roof_Type="Steel Roof",IF($M13&lt;=Lists!$I$17,Lists!$J$17,IF(AND($M13&gt;Lists!$I$17,$M13&lt;=Lists!$I$18),Lists!$J$18,IF(AND($M13&gt;Lists!$I$18,$M13&lt;=Lists!$I$19),Lists!$J$19,IF(AND($M13&gt;Lists!$I$19,$M13&lt;=Lists!$I$20),Lists!$J$20,Lists!$J$21)))),IF($M13&lt;=Lists!$I$17,Lists!$K$17,IF(AND($M13&gt;Lists!$I$17,$M13&lt;=Lists!$I$18),Lists!$K$18,IF(AND($M13&gt;Lists!$I$18,$M13&lt;=Lists!$I$19),Lists!$K$19,IF(AND($M13&gt;Lists!$I$20,$M13&lt;=Lists!$I$20),Lists!$K$20,Lists!$K$21))))))</f>
        <v/>
      </c>
      <c r="H13" s="781"/>
      <c r="I13" s="1227" t="str">
        <f>(IF(OR(F13="",H13=""),"",ROUND(IF(AND($M13&lt;Lists!$I$17),Lists!$L$17,IF(AND($M13&gt;Lists!$I$17,$M13&lt;=Lists!$I$18),Lists!$L$18,IF(AND($M13&gt;Lists!$I$18,$M13&lt;=Lists!$I$19),Lists!$L$19,IF(AND($M13&gt;Lists!$I$19,$M13&lt;=Lists!$I$20),Lists!$L$20,IF(AND($M13&gt;Lists!$I$20),Lists!$L$21,)))))*2+(M13),2)))</f>
        <v/>
      </c>
      <c r="J13" s="782"/>
      <c r="K13" s="782"/>
      <c r="L13" s="782"/>
      <c r="M13" s="783" t="str">
        <f t="shared" si="2"/>
        <v/>
      </c>
      <c r="N13" s="783" t="str">
        <f t="shared" si="0"/>
        <v/>
      </c>
      <c r="O13" s="783" t="str">
        <f t="shared" si="3"/>
        <v/>
      </c>
      <c r="P13" s="777">
        <f t="shared" si="1"/>
        <v>0</v>
      </c>
      <c r="Q13" s="87" t="s">
        <v>1711</v>
      </c>
      <c r="S13" s="87"/>
    </row>
    <row r="14" spans="1:19" ht="12.75" customHeight="1" x14ac:dyDescent="0.2">
      <c r="A14" s="768"/>
      <c r="B14" s="778"/>
      <c r="C14" s="778"/>
      <c r="D14" s="779"/>
      <c r="E14" s="779"/>
      <c r="F14" s="779"/>
      <c r="G14" s="780" t="str">
        <f>IF($E14="","",IF(Roof_Type="Steel Roof",IF($M14&lt;=Lists!$I$17,Lists!$J$17,IF(AND($M14&gt;Lists!$I$17,$M14&lt;=Lists!$I$18),Lists!$J$18,IF(AND($M14&gt;Lists!$I$18,$M14&lt;=Lists!$I$19),Lists!$J$19,IF(AND($M14&gt;Lists!$I$19,$M14&lt;=Lists!$I$20),Lists!$J$20,Lists!$J$21)))),IF($M14&lt;=Lists!$I$17,Lists!$K$17,IF(AND($M14&gt;Lists!$I$17,$M14&lt;=Lists!$I$18),Lists!$K$18,IF(AND($M14&gt;Lists!$I$18,$M14&lt;=Lists!$I$19),Lists!$K$19,IF(AND($M14&gt;Lists!$I$20,$M14&lt;=Lists!$I$20),Lists!$K$20,Lists!$K$21))))))</f>
        <v/>
      </c>
      <c r="H14" s="781"/>
      <c r="I14" s="1227" t="str">
        <f>(IF(OR(F14="",H14=""),"",ROUND(IF(AND($M14&lt;Lists!$I$17),Lists!$L$17,IF(AND($M14&gt;Lists!$I$17,$M14&lt;=Lists!$I$18),Lists!$L$18,IF(AND($M14&gt;Lists!$I$18,$M14&lt;=Lists!$I$19),Lists!$L$19,IF(AND($M14&gt;Lists!$I$19,$M14&lt;=Lists!$I$20),Lists!$L$20,IF(AND($M14&gt;Lists!$I$20),Lists!$L$21,)))))*2+(M14),2)))</f>
        <v/>
      </c>
      <c r="J14" s="782"/>
      <c r="K14" s="782"/>
      <c r="L14" s="782"/>
      <c r="M14" s="783" t="str">
        <f t="shared" si="2"/>
        <v/>
      </c>
      <c r="N14" s="783" t="str">
        <f t="shared" si="0"/>
        <v/>
      </c>
      <c r="O14" s="783" t="str">
        <f t="shared" si="3"/>
        <v/>
      </c>
      <c r="P14" s="777">
        <f t="shared" si="1"/>
        <v>0</v>
      </c>
      <c r="Q14" t="s">
        <v>1751</v>
      </c>
    </row>
    <row r="15" spans="1:19" ht="12.75" customHeight="1" x14ac:dyDescent="0.2">
      <c r="A15" s="768"/>
      <c r="B15" s="778"/>
      <c r="C15" s="778"/>
      <c r="D15" s="779"/>
      <c r="E15" s="779"/>
      <c r="F15" s="779"/>
      <c r="G15" s="780" t="str">
        <f>IF($E15="","",IF(Roof_Type="Steel Roof",IF($M15&lt;=Lists!$I$17,Lists!$J$17,IF(AND($M15&gt;Lists!$I$17,$M15&lt;=Lists!$I$18),Lists!$J$18,IF(AND($M15&gt;Lists!$I$18,$M15&lt;=Lists!$I$19),Lists!$J$19,IF(AND($M15&gt;Lists!$I$19,$M15&lt;=Lists!$I$20),Lists!$J$20,Lists!$J$21)))),IF($M15&lt;=Lists!$I$17,Lists!$K$17,IF(AND($M15&gt;Lists!$I$17,$M15&lt;=Lists!$I$18),Lists!$K$18,IF(AND($M15&gt;Lists!$I$18,$M15&lt;=Lists!$I$19),Lists!$K$19,IF(AND($M15&gt;Lists!$I$20,$M15&lt;=Lists!$I$20),Lists!$K$20,Lists!$K$21))))))</f>
        <v/>
      </c>
      <c r="H15" s="781"/>
      <c r="I15" s="1227" t="str">
        <f>(IF(OR(F15="",H15=""),"",ROUND(IF(AND($M15&lt;Lists!$I$17),Lists!$L$17,IF(AND($M15&gt;Lists!$I$17,$M15&lt;=Lists!$I$18),Lists!$L$18,IF(AND($M15&gt;Lists!$I$18,$M15&lt;=Lists!$I$19),Lists!$L$19,IF(AND($M15&gt;Lists!$I$19,$M15&lt;=Lists!$I$20),Lists!$L$20,IF(AND($M15&gt;Lists!$I$20),Lists!$L$21,)))))*2+(M15),2)))</f>
        <v/>
      </c>
      <c r="J15" s="782"/>
      <c r="K15" s="782"/>
      <c r="L15" s="782"/>
      <c r="M15" s="783" t="str">
        <f t="shared" si="2"/>
        <v/>
      </c>
      <c r="N15" s="783" t="str">
        <f t="shared" si="0"/>
        <v/>
      </c>
      <c r="O15" s="783" t="str">
        <f t="shared" si="3"/>
        <v/>
      </c>
      <c r="P15" s="777">
        <f t="shared" si="1"/>
        <v>0</v>
      </c>
    </row>
    <row r="16" spans="1:19" ht="12.75" customHeight="1" x14ac:dyDescent="0.2">
      <c r="A16" s="768"/>
      <c r="B16" s="778"/>
      <c r="C16" s="778"/>
      <c r="D16" s="779"/>
      <c r="E16" s="779"/>
      <c r="F16" s="779"/>
      <c r="G16" s="780" t="str">
        <f>IF($E16="","",IF(Roof_Type="Steel Roof",IF($M16&lt;=Lists!$I$17,Lists!$J$17,IF(AND($M16&gt;Lists!$I$17,$M16&lt;=Lists!$I$18),Lists!$J$18,IF(AND($M16&gt;Lists!$I$18,$M16&lt;=Lists!$I$19),Lists!$J$19,IF(AND($M16&gt;Lists!$I$19,$M16&lt;=Lists!$I$20),Lists!$J$20,Lists!$J$21)))),IF($M16&lt;=Lists!$I$17,Lists!$K$17,IF(AND($M16&gt;Lists!$I$17,$M16&lt;=Lists!$I$18),Lists!$K$18,IF(AND($M16&gt;Lists!$I$18,$M16&lt;=Lists!$I$19),Lists!$K$19,IF(AND($M16&gt;Lists!$I$20,$M16&lt;=Lists!$I$20),Lists!$K$20,Lists!$K$21))))))</f>
        <v/>
      </c>
      <c r="H16" s="781"/>
      <c r="I16" s="1227" t="str">
        <f>(IF(OR(F16="",H16=""),"",ROUND(IF(AND($M16&lt;Lists!$I$17),Lists!$L$17,IF(AND($M16&gt;Lists!$I$17,$M16&lt;=Lists!$I$18),Lists!$L$18,IF(AND($M16&gt;Lists!$I$18,$M16&lt;=Lists!$I$19),Lists!$L$19,IF(AND($M16&gt;Lists!$I$19,$M16&lt;=Lists!$I$20),Lists!$L$20,IF(AND($M16&gt;Lists!$I$20),Lists!$L$21,)))))*2+(M16),2)))</f>
        <v/>
      </c>
      <c r="J16" s="782"/>
      <c r="K16" s="782"/>
      <c r="L16" s="782"/>
      <c r="M16" s="783" t="str">
        <f t="shared" si="2"/>
        <v/>
      </c>
      <c r="N16" s="783" t="str">
        <f t="shared" si="0"/>
        <v/>
      </c>
      <c r="O16" s="783" t="str">
        <f t="shared" si="3"/>
        <v/>
      </c>
      <c r="P16" s="777">
        <f t="shared" si="1"/>
        <v>0</v>
      </c>
    </row>
    <row r="17" spans="1:16" ht="12.75" customHeight="1" x14ac:dyDescent="0.2">
      <c r="A17" s="768"/>
      <c r="B17" s="778"/>
      <c r="C17" s="778"/>
      <c r="D17" s="779"/>
      <c r="E17" s="779"/>
      <c r="F17" s="779"/>
      <c r="G17" s="780" t="str">
        <f>IF($E17="","",IF(Roof_Type="Steel Roof",IF($M17&lt;=Lists!$I$17,Lists!$J$17,IF(AND($M17&gt;Lists!$I$17,$M17&lt;=Lists!$I$18),Lists!$J$18,IF(AND($M17&gt;Lists!$I$18,$M17&lt;=Lists!$I$19),Lists!$J$19,IF(AND($M17&gt;Lists!$I$19,$M17&lt;=Lists!$I$20),Lists!$J$20,Lists!$J$21)))),IF($M17&lt;=Lists!$I$17,Lists!$K$17,IF(AND($M17&gt;Lists!$I$17,$M17&lt;=Lists!$I$18),Lists!$K$18,IF(AND($M17&gt;Lists!$I$18,$M17&lt;=Lists!$I$19),Lists!$K$19,IF(AND($M17&gt;Lists!$I$20,$M17&lt;=Lists!$I$20),Lists!$K$20,Lists!$K$21))))))</f>
        <v/>
      </c>
      <c r="H17" s="781"/>
      <c r="I17" s="1227" t="str">
        <f>(IF(OR(F17="",H17=""),"",ROUND(IF(AND($M17&lt;Lists!$I$17),Lists!$L$17,IF(AND($M17&gt;Lists!$I$17,$M17&lt;=Lists!$I$18),Lists!$L$18,IF(AND($M17&gt;Lists!$I$18,$M17&lt;=Lists!$I$19),Lists!$L$19,IF(AND($M17&gt;Lists!$I$19,$M17&lt;=Lists!$I$20),Lists!$L$20,IF(AND($M17&gt;Lists!$I$20),Lists!$L$21,)))))*2+(M17),2)))</f>
        <v/>
      </c>
      <c r="J17" s="782"/>
      <c r="K17" s="782"/>
      <c r="L17" s="782"/>
      <c r="M17" s="783" t="str">
        <f t="shared" si="2"/>
        <v/>
      </c>
      <c r="N17" s="783" t="str">
        <f t="shared" si="0"/>
        <v/>
      </c>
      <c r="O17" s="783" t="str">
        <f t="shared" si="3"/>
        <v/>
      </c>
      <c r="P17" s="777">
        <f t="shared" si="1"/>
        <v>0</v>
      </c>
    </row>
    <row r="18" spans="1:16" ht="12.75" customHeight="1" x14ac:dyDescent="0.2">
      <c r="A18" s="768"/>
      <c r="B18" s="778"/>
      <c r="C18" s="778"/>
      <c r="D18" s="779"/>
      <c r="E18" s="779"/>
      <c r="F18" s="779"/>
      <c r="G18" s="780" t="str">
        <f>IF($E18="","",IF(Roof_Type="Steel Roof",IF($M18&lt;=Lists!$I$17,Lists!$J$17,IF(AND($M18&gt;Lists!$I$17,$M18&lt;=Lists!$I$18),Lists!$J$18,IF(AND($M18&gt;Lists!$I$18,$M18&lt;=Lists!$I$19),Lists!$J$19,IF(AND($M18&gt;Lists!$I$19,$M18&lt;=Lists!$I$20),Lists!$J$20,Lists!$J$21)))),IF($M18&lt;=Lists!$I$17,Lists!$K$17,IF(AND($M18&gt;Lists!$I$17,$M18&lt;=Lists!$I$18),Lists!$K$18,IF(AND($M18&gt;Lists!$I$18,$M18&lt;=Lists!$I$19),Lists!$K$19,IF(AND($M18&gt;Lists!$I$20,$M18&lt;=Lists!$I$20),Lists!$K$20,Lists!$K$21))))))</f>
        <v/>
      </c>
      <c r="H18" s="781"/>
      <c r="I18" s="1227" t="str">
        <f>(IF(OR(F18="",H18=""),"",ROUND(IF(AND($M18&lt;Lists!$I$17),Lists!$L$17,IF(AND($M18&gt;Lists!$I$17,$M18&lt;=Lists!$I$18),Lists!$L$18,IF(AND($M18&gt;Lists!$I$18,$M18&lt;=Lists!$I$19),Lists!$L$19,IF(AND($M18&gt;Lists!$I$19,$M18&lt;=Lists!$I$20),Lists!$L$20,IF(AND($M18&gt;Lists!$I$20),Lists!$L$21,)))))*2+(M18),2)))</f>
        <v/>
      </c>
      <c r="J18" s="782"/>
      <c r="K18" s="782"/>
      <c r="L18" s="782"/>
      <c r="M18" s="783" t="str">
        <f t="shared" si="2"/>
        <v/>
      </c>
      <c r="N18" s="783" t="str">
        <f t="shared" si="0"/>
        <v/>
      </c>
      <c r="O18" s="783" t="str">
        <f t="shared" si="3"/>
        <v/>
      </c>
      <c r="P18" s="777">
        <f t="shared" si="1"/>
        <v>0</v>
      </c>
    </row>
    <row r="19" spans="1:16" ht="12.75" customHeight="1" x14ac:dyDescent="0.2">
      <c r="A19" s="768"/>
      <c r="B19" s="778"/>
      <c r="C19" s="778"/>
      <c r="D19" s="779"/>
      <c r="E19" s="779"/>
      <c r="F19" s="779"/>
      <c r="G19" s="780" t="str">
        <f>IF($E19="","",IF(Roof_Type="Steel Roof",IF($M19&lt;=Lists!$I$17,Lists!$J$17,IF(AND($M19&gt;Lists!$I$17,$M19&lt;=Lists!$I$18),Lists!$J$18,IF(AND($M19&gt;Lists!$I$18,$M19&lt;=Lists!$I$19),Lists!$J$19,IF(AND($M19&gt;Lists!$I$19,$M19&lt;=Lists!$I$20),Lists!$J$20,Lists!$J$21)))),IF($M19&lt;=Lists!$I$17,Lists!$K$17,IF(AND($M19&gt;Lists!$I$17,$M19&lt;=Lists!$I$18),Lists!$K$18,IF(AND($M19&gt;Lists!$I$18,$M19&lt;=Lists!$I$19),Lists!$K$19,IF(AND($M19&gt;Lists!$I$20,$M19&lt;=Lists!$I$20),Lists!$K$20,Lists!$K$21))))))</f>
        <v/>
      </c>
      <c r="H19" s="781"/>
      <c r="I19" s="1227" t="str">
        <f>(IF(OR(F19="",H19=""),"",ROUND(IF(AND($M19&lt;Lists!$I$17),Lists!$L$17,IF(AND($M19&gt;Lists!$I$17,$M19&lt;=Lists!$I$18),Lists!$L$18,IF(AND($M19&gt;Lists!$I$18,$M19&lt;=Lists!$I$19),Lists!$L$19,IF(AND($M19&gt;Lists!$I$19,$M19&lt;=Lists!$I$20),Lists!$L$20,IF(AND($M19&gt;Lists!$I$20),Lists!$L$21,)))))*2+(M19),2)))</f>
        <v/>
      </c>
      <c r="J19" s="782"/>
      <c r="K19" s="782"/>
      <c r="L19" s="782"/>
      <c r="M19" s="783" t="str">
        <f t="shared" si="2"/>
        <v/>
      </c>
      <c r="N19" s="783" t="str">
        <f t="shared" si="0"/>
        <v/>
      </c>
      <c r="O19" s="783" t="str">
        <f t="shared" si="3"/>
        <v/>
      </c>
      <c r="P19" s="777">
        <f t="shared" si="1"/>
        <v>0</v>
      </c>
    </row>
    <row r="20" spans="1:16" ht="12.75" customHeight="1" x14ac:dyDescent="0.2">
      <c r="A20" s="768"/>
      <c r="B20" s="778"/>
      <c r="C20" s="778"/>
      <c r="D20" s="779"/>
      <c r="E20" s="779"/>
      <c r="F20" s="779"/>
      <c r="G20" s="780" t="str">
        <f>IF($E20="","",IF(Roof_Type="Steel Roof",IF($M20&lt;=Lists!$I$17,Lists!$J$17,IF(AND($M20&gt;Lists!$I$17,$M20&lt;=Lists!$I$18),Lists!$J$18,IF(AND($M20&gt;Lists!$I$18,$M20&lt;=Lists!$I$19),Lists!$J$19,IF(AND($M20&gt;Lists!$I$19,$M20&lt;=Lists!$I$20),Lists!$J$20,Lists!$J$21)))),IF($M20&lt;=Lists!$I$17,Lists!$K$17,IF(AND($M20&gt;Lists!$I$17,$M20&lt;=Lists!$I$18),Lists!$K$18,IF(AND($M20&gt;Lists!$I$18,$M20&lt;=Lists!$I$19),Lists!$K$19,IF(AND($M20&gt;Lists!$I$20,$M20&lt;=Lists!$I$20),Lists!$K$20,Lists!$K$21))))))</f>
        <v/>
      </c>
      <c r="H20" s="781"/>
      <c r="I20" s="1227" t="str">
        <f>(IF(OR(F20="",H20=""),"",ROUND(IF(AND($M20&lt;Lists!$I$17),Lists!$L$17,IF(AND($M20&gt;Lists!$I$17,$M20&lt;=Lists!$I$18),Lists!$L$18,IF(AND($M20&gt;Lists!$I$18,$M20&lt;=Lists!$I$19),Lists!$L$19,IF(AND($M20&gt;Lists!$I$19,$M20&lt;=Lists!$I$20),Lists!$L$20,IF(AND($M20&gt;Lists!$I$20),Lists!$L$21,)))))*2+(M20),2)))</f>
        <v/>
      </c>
      <c r="J20" s="782"/>
      <c r="K20" s="782"/>
      <c r="L20" s="782"/>
      <c r="M20" s="783" t="str">
        <f t="shared" si="2"/>
        <v/>
      </c>
      <c r="N20" s="783" t="str">
        <f t="shared" si="0"/>
        <v/>
      </c>
      <c r="O20" s="783" t="str">
        <f t="shared" si="3"/>
        <v/>
      </c>
      <c r="P20" s="777">
        <f t="shared" si="1"/>
        <v>0</v>
      </c>
    </row>
    <row r="21" spans="1:16" ht="12.75" customHeight="1" x14ac:dyDescent="0.2">
      <c r="A21" s="768"/>
      <c r="B21" s="778"/>
      <c r="C21" s="778"/>
      <c r="D21" s="779"/>
      <c r="E21" s="779"/>
      <c r="F21" s="779"/>
      <c r="G21" s="780" t="str">
        <f>IF($E21="","",IF(Roof_Type="Steel Roof",IF($M21&lt;=Lists!$I$17,Lists!$J$17,IF(AND($M21&gt;Lists!$I$17,$M21&lt;=Lists!$I$18),Lists!$J$18,IF(AND($M21&gt;Lists!$I$18,$M21&lt;=Lists!$I$19),Lists!$J$19,IF(AND($M21&gt;Lists!$I$19,$M21&lt;=Lists!$I$20),Lists!$J$20,Lists!$J$21)))),IF($M21&lt;=Lists!$I$17,Lists!$K$17,IF(AND($M21&gt;Lists!$I$17,$M21&lt;=Lists!$I$18),Lists!$K$18,IF(AND($M21&gt;Lists!$I$18,$M21&lt;=Lists!$I$19),Lists!$K$19,IF(AND($M21&gt;Lists!$I$20,$M21&lt;=Lists!$I$20),Lists!$K$20,Lists!$K$21))))))</f>
        <v/>
      </c>
      <c r="H21" s="781"/>
      <c r="I21" s="1227" t="str">
        <f>(IF(OR(F21="",H21=""),"",ROUND(IF(AND($M21&lt;Lists!$I$17),Lists!$L$17,IF(AND($M21&gt;Lists!$I$17,$M21&lt;=Lists!$I$18),Lists!$L$18,IF(AND($M21&gt;Lists!$I$18,$M21&lt;=Lists!$I$19),Lists!$L$19,IF(AND($M21&gt;Lists!$I$19,$M21&lt;=Lists!$I$20),Lists!$L$20,IF(AND($M21&gt;Lists!$I$20),Lists!$L$21,)))))*2+(M21),2)))</f>
        <v/>
      </c>
      <c r="J21" s="782"/>
      <c r="K21" s="782"/>
      <c r="L21" s="782"/>
      <c r="M21" s="783" t="str">
        <f t="shared" si="2"/>
        <v/>
      </c>
      <c r="N21" s="783" t="str">
        <f t="shared" si="0"/>
        <v/>
      </c>
      <c r="O21" s="783" t="str">
        <f t="shared" si="3"/>
        <v/>
      </c>
      <c r="P21" s="777">
        <f t="shared" si="1"/>
        <v>0</v>
      </c>
    </row>
    <row r="22" spans="1:16" ht="12.75" customHeight="1" x14ac:dyDescent="0.2">
      <c r="A22" s="768"/>
      <c r="B22" s="778"/>
      <c r="C22" s="778"/>
      <c r="D22" s="779"/>
      <c r="E22" s="779"/>
      <c r="F22" s="779"/>
      <c r="G22" s="780" t="str">
        <f>IF($E22="","",IF(Roof_Type="Steel Roof",IF($M22&lt;=Lists!$I$17,Lists!$J$17,IF(AND($M22&gt;Lists!$I$17,$M22&lt;=Lists!$I$18),Lists!$J$18,IF(AND($M22&gt;Lists!$I$18,$M22&lt;=Lists!$I$19),Lists!$J$19,IF(AND($M22&gt;Lists!$I$19,$M22&lt;=Lists!$I$20),Lists!$J$20,Lists!$J$21)))),IF($M22&lt;=Lists!$I$17,Lists!$K$17,IF(AND($M22&gt;Lists!$I$17,$M22&lt;=Lists!$I$18),Lists!$K$18,IF(AND($M22&gt;Lists!$I$18,$M22&lt;=Lists!$I$19),Lists!$K$19,IF(AND($M22&gt;Lists!$I$20,$M22&lt;=Lists!$I$20),Lists!$K$20,Lists!$K$21))))))</f>
        <v/>
      </c>
      <c r="H22" s="781"/>
      <c r="I22" s="1227" t="str">
        <f>(IF(OR(F22="",H22=""),"",ROUND(IF(AND($M22&lt;Lists!$I$17),Lists!$L$17,IF(AND($M22&gt;Lists!$I$17,$M22&lt;=Lists!$I$18),Lists!$L$18,IF(AND($M22&gt;Lists!$I$18,$M22&lt;=Lists!$I$19),Lists!$L$19,IF(AND($M22&gt;Lists!$I$19,$M22&lt;=Lists!$I$20),Lists!$L$20,IF(AND($M22&gt;Lists!$I$20),Lists!$L$21,)))))*2+(M22),2)))</f>
        <v/>
      </c>
      <c r="J22" s="782"/>
      <c r="K22" s="782"/>
      <c r="L22" s="782"/>
      <c r="M22" s="783" t="str">
        <f t="shared" si="2"/>
        <v/>
      </c>
      <c r="N22" s="783" t="str">
        <f t="shared" si="0"/>
        <v/>
      </c>
      <c r="O22" s="783" t="str">
        <f t="shared" si="3"/>
        <v/>
      </c>
      <c r="P22" s="777">
        <f t="shared" si="1"/>
        <v>0</v>
      </c>
    </row>
    <row r="23" spans="1:16" ht="12.75" customHeight="1" x14ac:dyDescent="0.2">
      <c r="A23" s="768"/>
      <c r="B23" s="778"/>
      <c r="C23" s="778"/>
      <c r="D23" s="779"/>
      <c r="E23" s="779"/>
      <c r="F23" s="779"/>
      <c r="G23" s="780" t="str">
        <f>IF($E23="","",IF(Roof_Type="Steel Roof",IF($M23&lt;=Lists!$I$17,Lists!$J$17,IF(AND($M23&gt;Lists!$I$17,$M23&lt;=Lists!$I$18),Lists!$J$18,IF(AND($M23&gt;Lists!$I$18,$M23&lt;=Lists!$I$19),Lists!$J$19,IF(AND($M23&gt;Lists!$I$19,$M23&lt;=Lists!$I$20),Lists!$J$20,Lists!$J$21)))),IF($M23&lt;=Lists!$I$17,Lists!$K$17,IF(AND($M23&gt;Lists!$I$17,$M23&lt;=Lists!$I$18),Lists!$K$18,IF(AND($M23&gt;Lists!$I$18,$M23&lt;=Lists!$I$19),Lists!$K$19,IF(AND($M23&gt;Lists!$I$20,$M23&lt;=Lists!$I$20),Lists!$K$20,Lists!$K$21))))))</f>
        <v/>
      </c>
      <c r="H23" s="781"/>
      <c r="I23" s="1227" t="str">
        <f>(IF(OR(F23="",H23=""),"",ROUND(IF(AND($M23&lt;Lists!$I$17),Lists!$L$17,IF(AND($M23&gt;Lists!$I$17,$M23&lt;=Lists!$I$18),Lists!$L$18,IF(AND($M23&gt;Lists!$I$18,$M23&lt;=Lists!$I$19),Lists!$L$19,IF(AND($M23&gt;Lists!$I$19,$M23&lt;=Lists!$I$20),Lists!$L$20,IF(AND($M23&gt;Lists!$I$20),Lists!$L$21,)))))*2+(M23),2)))</f>
        <v/>
      </c>
      <c r="J23" s="782"/>
      <c r="K23" s="782"/>
      <c r="L23" s="782"/>
      <c r="M23" s="783" t="str">
        <f t="shared" si="2"/>
        <v/>
      </c>
      <c r="N23" s="783" t="str">
        <f t="shared" si="0"/>
        <v/>
      </c>
      <c r="O23" s="783" t="str">
        <f t="shared" si="3"/>
        <v/>
      </c>
      <c r="P23" s="777">
        <f t="shared" si="1"/>
        <v>0</v>
      </c>
    </row>
    <row r="24" spans="1:16" ht="12.75" customHeight="1" x14ac:dyDescent="0.2">
      <c r="A24" s="768"/>
      <c r="B24" s="778"/>
      <c r="C24" s="778"/>
      <c r="D24" s="779"/>
      <c r="E24" s="779"/>
      <c r="F24" s="779"/>
      <c r="G24" s="780" t="str">
        <f>IF($E24="","",IF(Roof_Type="Steel Roof",IF($M24&lt;=Lists!$I$17,Lists!$J$17,IF(AND($M24&gt;Lists!$I$17,$M24&lt;=Lists!$I$18),Lists!$J$18,IF(AND($M24&gt;Lists!$I$18,$M24&lt;=Lists!$I$19),Lists!$J$19,IF(AND($M24&gt;Lists!$I$19,$M24&lt;=Lists!$I$20),Lists!$J$20,Lists!$J$21)))),IF($M24&lt;=Lists!$I$17,Lists!$K$17,IF(AND($M24&gt;Lists!$I$17,$M24&lt;=Lists!$I$18),Lists!$K$18,IF(AND($M24&gt;Lists!$I$18,$M24&lt;=Lists!$I$19),Lists!$K$19,IF(AND($M24&gt;Lists!$I$20,$M24&lt;=Lists!$I$20),Lists!$K$20,Lists!$K$21))))))</f>
        <v/>
      </c>
      <c r="H24" s="781"/>
      <c r="I24" s="1227" t="str">
        <f>(IF(OR(F24="",H24=""),"",ROUND(IF(AND($M24&lt;Lists!$I$17),Lists!$L$17,IF(AND($M24&gt;Lists!$I$17,$M24&lt;=Lists!$I$18),Lists!$L$18,IF(AND($M24&gt;Lists!$I$18,$M24&lt;=Lists!$I$19),Lists!$L$19,IF(AND($M24&gt;Lists!$I$19,$M24&lt;=Lists!$I$20),Lists!$L$20,IF(AND($M24&gt;Lists!$I$20),Lists!$L$21,)))))*2+(M24),2)))</f>
        <v/>
      </c>
      <c r="J24" s="782"/>
      <c r="K24" s="782"/>
      <c r="L24" s="782"/>
      <c r="M24" s="783" t="str">
        <f t="shared" si="2"/>
        <v/>
      </c>
      <c r="N24" s="783" t="str">
        <f t="shared" si="0"/>
        <v/>
      </c>
      <c r="O24" s="783" t="str">
        <f t="shared" si="3"/>
        <v/>
      </c>
      <c r="P24" s="777">
        <f t="shared" si="1"/>
        <v>0</v>
      </c>
    </row>
    <row r="25" spans="1:16" ht="12.75" customHeight="1" x14ac:dyDescent="0.2">
      <c r="A25" s="768"/>
      <c r="B25" s="778"/>
      <c r="C25" s="778"/>
      <c r="D25" s="779"/>
      <c r="E25" s="779"/>
      <c r="F25" s="779"/>
      <c r="G25" s="780" t="str">
        <f>IF($E25="","",IF(Roof_Type="Steel Roof",IF($M25&lt;=Lists!$I$17,Lists!$J$17,IF(AND($M25&gt;Lists!$I$17,$M25&lt;=Lists!$I$18),Lists!$J$18,IF(AND($M25&gt;Lists!$I$18,$M25&lt;=Lists!$I$19),Lists!$J$19,IF(AND($M25&gt;Lists!$I$19,$M25&lt;=Lists!$I$20),Lists!$J$20,Lists!$J$21)))),IF($M25&lt;=Lists!$I$17,Lists!$K$17,IF(AND($M25&gt;Lists!$I$17,$M25&lt;=Lists!$I$18),Lists!$K$18,IF(AND($M25&gt;Lists!$I$18,$M25&lt;=Lists!$I$19),Lists!$K$19,IF(AND($M25&gt;Lists!$I$20,$M25&lt;=Lists!$I$20),Lists!$K$20,Lists!$K$21))))))</f>
        <v/>
      </c>
      <c r="H25" s="781"/>
      <c r="I25" s="1227" t="str">
        <f>(IF(OR(F25="",H25=""),"",ROUND(IF(AND($M25&lt;Lists!$I$17),Lists!$L$17,IF(AND($M25&gt;Lists!$I$17,$M25&lt;=Lists!$I$18),Lists!$L$18,IF(AND($M25&gt;Lists!$I$18,$M25&lt;=Lists!$I$19),Lists!$L$19,IF(AND($M25&gt;Lists!$I$19,$M25&lt;=Lists!$I$20),Lists!$L$20,IF(AND($M25&gt;Lists!$I$20),Lists!$L$21,)))))*2+(M25),2)))</f>
        <v/>
      </c>
      <c r="J25" s="782"/>
      <c r="K25" s="782"/>
      <c r="L25" s="782"/>
      <c r="M25" s="783" t="str">
        <f t="shared" si="2"/>
        <v/>
      </c>
      <c r="N25" s="783" t="str">
        <f t="shared" si="0"/>
        <v/>
      </c>
      <c r="O25" s="783" t="str">
        <f t="shared" si="3"/>
        <v/>
      </c>
      <c r="P25" s="777">
        <f t="shared" si="1"/>
        <v>0</v>
      </c>
    </row>
    <row r="26" spans="1:16" ht="12.75" customHeight="1" x14ac:dyDescent="0.2">
      <c r="A26" s="768"/>
      <c r="B26" s="778"/>
      <c r="C26" s="778"/>
      <c r="D26" s="779"/>
      <c r="E26" s="779"/>
      <c r="F26" s="779"/>
      <c r="G26" s="780" t="str">
        <f>IF($E26="","",IF(Roof_Type="Steel Roof",IF($M26&lt;=Lists!$I$17,Lists!$J$17,IF(AND($M26&gt;Lists!$I$17,$M26&lt;=Lists!$I$18),Lists!$J$18,IF(AND($M26&gt;Lists!$I$18,$M26&lt;=Lists!$I$19),Lists!$J$19,IF(AND($M26&gt;Lists!$I$19,$M26&lt;=Lists!$I$20),Lists!$J$20,Lists!$J$21)))),IF($M26&lt;=Lists!$I$17,Lists!$K$17,IF(AND($M26&gt;Lists!$I$17,$M26&lt;=Lists!$I$18),Lists!$K$18,IF(AND($M26&gt;Lists!$I$18,$M26&lt;=Lists!$I$19),Lists!$K$19,IF(AND($M26&gt;Lists!$I$20,$M26&lt;=Lists!$I$20),Lists!$K$20,Lists!$K$21))))))</f>
        <v/>
      </c>
      <c r="H26" s="781"/>
      <c r="I26" s="1227" t="str">
        <f>(IF(OR(F26="",H26=""),"",ROUND(IF(AND($M26&lt;Lists!$I$17),Lists!$L$17,IF(AND($M26&gt;Lists!$I$17,$M26&lt;=Lists!$I$18),Lists!$L$18,IF(AND($M26&gt;Lists!$I$18,$M26&lt;=Lists!$I$19),Lists!$L$19,IF(AND($M26&gt;Lists!$I$19,$M26&lt;=Lists!$I$20),Lists!$L$20,IF(AND($M26&gt;Lists!$I$20),Lists!$L$21,)))))*2+(M26),2)))</f>
        <v/>
      </c>
      <c r="J26" s="782"/>
      <c r="K26" s="782"/>
      <c r="L26" s="782"/>
      <c r="M26" s="783" t="str">
        <f t="shared" si="2"/>
        <v/>
      </c>
      <c r="N26" s="783" t="str">
        <f t="shared" si="0"/>
        <v/>
      </c>
      <c r="O26" s="783" t="str">
        <f t="shared" si="3"/>
        <v/>
      </c>
      <c r="P26" s="777">
        <f t="shared" si="1"/>
        <v>0</v>
      </c>
    </row>
    <row r="27" spans="1:16" ht="12.75" customHeight="1" x14ac:dyDescent="0.2">
      <c r="A27" s="768"/>
      <c r="B27" s="778"/>
      <c r="C27" s="778"/>
      <c r="D27" s="779"/>
      <c r="E27" s="779"/>
      <c r="F27" s="779"/>
      <c r="G27" s="780" t="str">
        <f>IF($E27="","",IF(Roof_Type="Steel Roof",IF($M27&lt;=Lists!$I$17,Lists!$J$17,IF(AND($M27&gt;Lists!$I$17,$M27&lt;=Lists!$I$18),Lists!$J$18,IF(AND($M27&gt;Lists!$I$18,$M27&lt;=Lists!$I$19),Lists!$J$19,IF(AND($M27&gt;Lists!$I$19,$M27&lt;=Lists!$I$20),Lists!$J$20,Lists!$J$21)))),IF($M27&lt;=Lists!$I$17,Lists!$K$17,IF(AND($M27&gt;Lists!$I$17,$M27&lt;=Lists!$I$18),Lists!$K$18,IF(AND($M27&gt;Lists!$I$18,$M27&lt;=Lists!$I$19),Lists!$K$19,IF(AND($M27&gt;Lists!$I$20,$M27&lt;=Lists!$I$20),Lists!$K$20,Lists!$K$21))))))</f>
        <v/>
      </c>
      <c r="H27" s="781"/>
      <c r="I27" s="1227" t="str">
        <f>(IF(OR(F27="",H27=""),"",ROUND(IF(AND($M27&lt;Lists!$I$17),Lists!$L$17,IF(AND($M27&gt;Lists!$I$17,$M27&lt;=Lists!$I$18),Lists!$L$18,IF(AND($M27&gt;Lists!$I$18,$M27&lt;=Lists!$I$19),Lists!$L$19,IF(AND($M27&gt;Lists!$I$19,$M27&lt;=Lists!$I$20),Lists!$L$20,IF(AND($M27&gt;Lists!$I$20),Lists!$L$21,)))))*2+(M27),2)))</f>
        <v/>
      </c>
      <c r="J27" s="782"/>
      <c r="K27" s="782"/>
      <c r="L27" s="782"/>
      <c r="M27" s="783" t="str">
        <f t="shared" si="2"/>
        <v/>
      </c>
      <c r="N27" s="783" t="str">
        <f t="shared" si="0"/>
        <v/>
      </c>
      <c r="O27" s="783" t="str">
        <f t="shared" si="3"/>
        <v/>
      </c>
      <c r="P27" s="777">
        <f t="shared" si="1"/>
        <v>0</v>
      </c>
    </row>
    <row r="28" spans="1:16" ht="12.75" customHeight="1" x14ac:dyDescent="0.2">
      <c r="A28" s="768"/>
      <c r="B28" s="778"/>
      <c r="C28" s="778"/>
      <c r="D28" s="779"/>
      <c r="E28" s="779"/>
      <c r="F28" s="779"/>
      <c r="G28" s="780" t="str">
        <f>IF($E28="","",IF(Roof_Type="Steel Roof",IF($M28&lt;=Lists!$I$17,Lists!$J$17,IF(AND($M28&gt;Lists!$I$17,$M28&lt;=Lists!$I$18),Lists!$J$18,IF(AND($M28&gt;Lists!$I$18,$M28&lt;=Lists!$I$19),Lists!$J$19,IF(AND($M28&gt;Lists!$I$19,$M28&lt;=Lists!$I$20),Lists!$J$20,Lists!$J$21)))),IF($M28&lt;=Lists!$I$17,Lists!$K$17,IF(AND($M28&gt;Lists!$I$17,$M28&lt;=Lists!$I$18),Lists!$K$18,IF(AND($M28&gt;Lists!$I$18,$M28&lt;=Lists!$I$19),Lists!$K$19,IF(AND($M28&gt;Lists!$I$20,$M28&lt;=Lists!$I$20),Lists!$K$20,Lists!$K$21))))))</f>
        <v/>
      </c>
      <c r="H28" s="781"/>
      <c r="I28" s="1227" t="str">
        <f>(IF(OR(F28="",H28=""),"",ROUND(IF(AND($M28&lt;Lists!$I$17),Lists!$L$17,IF(AND($M28&gt;Lists!$I$17,$M28&lt;=Lists!$I$18),Lists!$L$18,IF(AND($M28&gt;Lists!$I$18,$M28&lt;=Lists!$I$19),Lists!$L$19,IF(AND($M28&gt;Lists!$I$19,$M28&lt;=Lists!$I$20),Lists!$L$20,IF(AND($M28&gt;Lists!$I$20),Lists!$L$21,)))))*2+(M28),2)))</f>
        <v/>
      </c>
      <c r="J28" s="782"/>
      <c r="K28" s="782"/>
      <c r="L28" s="782"/>
      <c r="M28" s="783" t="str">
        <f t="shared" si="2"/>
        <v/>
      </c>
      <c r="N28" s="783" t="str">
        <f t="shared" si="0"/>
        <v/>
      </c>
      <c r="O28" s="783" t="str">
        <f t="shared" si="3"/>
        <v/>
      </c>
      <c r="P28" s="777">
        <f t="shared" si="1"/>
        <v>0</v>
      </c>
    </row>
    <row r="29" spans="1:16" ht="12.75" customHeight="1" x14ac:dyDescent="0.2">
      <c r="A29" s="768"/>
      <c r="B29" s="778"/>
      <c r="C29" s="778"/>
      <c r="D29" s="779"/>
      <c r="E29" s="779"/>
      <c r="F29" s="779"/>
      <c r="G29" s="780" t="str">
        <f>IF($E29="","",IF(Roof_Type="Steel Roof",IF($M29&lt;=Lists!$I$17,Lists!$J$17,IF(AND($M29&gt;Lists!$I$17,$M29&lt;=Lists!$I$18),Lists!$J$18,IF(AND($M29&gt;Lists!$I$18,$M29&lt;=Lists!$I$19),Lists!$J$19,IF(AND($M29&gt;Lists!$I$19,$M29&lt;=Lists!$I$20),Lists!$J$20,Lists!$J$21)))),IF($M29&lt;=Lists!$I$17,Lists!$K$17,IF(AND($M29&gt;Lists!$I$17,$M29&lt;=Lists!$I$18),Lists!$K$18,IF(AND($M29&gt;Lists!$I$18,$M29&lt;=Lists!$I$19),Lists!$K$19,IF(AND($M29&gt;Lists!$I$20,$M29&lt;=Lists!$I$20),Lists!$K$20,Lists!$K$21))))))</f>
        <v/>
      </c>
      <c r="H29" s="781"/>
      <c r="I29" s="1227" t="str">
        <f>(IF(OR(F29="",H29=""),"",ROUND(IF(AND($M29&lt;Lists!$I$17),Lists!$L$17,IF(AND($M29&gt;Lists!$I$17,$M29&lt;=Lists!$I$18),Lists!$L$18,IF(AND($M29&gt;Lists!$I$18,$M29&lt;=Lists!$I$19),Lists!$L$19,IF(AND($M29&gt;Lists!$I$19,$M29&lt;=Lists!$I$20),Lists!$L$20,IF(AND($M29&gt;Lists!$I$20),Lists!$L$21,)))))*2+(M29),2)))</f>
        <v/>
      </c>
      <c r="J29" s="782"/>
      <c r="K29" s="782"/>
      <c r="L29" s="782"/>
      <c r="M29" s="783" t="str">
        <f t="shared" si="2"/>
        <v/>
      </c>
      <c r="N29" s="783" t="str">
        <f t="shared" si="0"/>
        <v/>
      </c>
      <c r="O29" s="783" t="str">
        <f t="shared" si="3"/>
        <v/>
      </c>
      <c r="P29" s="777">
        <f t="shared" si="1"/>
        <v>0</v>
      </c>
    </row>
    <row r="30" spans="1:16" ht="12.75" customHeight="1" x14ac:dyDescent="0.2">
      <c r="A30" s="768"/>
      <c r="B30" s="778"/>
      <c r="C30" s="778"/>
      <c r="D30" s="779"/>
      <c r="E30" s="779"/>
      <c r="F30" s="779"/>
      <c r="G30" s="780" t="str">
        <f>IF($E30="","",IF(Roof_Type="Steel Roof",IF($M30&lt;=Lists!$I$17,Lists!$J$17,IF(AND($M30&gt;Lists!$I$17,$M30&lt;=Lists!$I$18),Lists!$J$18,IF(AND($M30&gt;Lists!$I$18,$M30&lt;=Lists!$I$19),Lists!$J$19,IF(AND($M30&gt;Lists!$I$19,$M30&lt;=Lists!$I$20),Lists!$J$20,Lists!$J$21)))),IF($M30&lt;=Lists!$I$17,Lists!$K$17,IF(AND($M30&gt;Lists!$I$17,$M30&lt;=Lists!$I$18),Lists!$K$18,IF(AND($M30&gt;Lists!$I$18,$M30&lt;=Lists!$I$19),Lists!$K$19,IF(AND($M30&gt;Lists!$I$20,$M30&lt;=Lists!$I$20),Lists!$K$20,Lists!$K$21))))))</f>
        <v/>
      </c>
      <c r="H30" s="781"/>
      <c r="I30" s="1227" t="str">
        <f>(IF(OR(F30="",H30=""),"",ROUND(IF(AND($M30&lt;Lists!$I$17),Lists!$L$17,IF(AND($M30&gt;Lists!$I$17,$M30&lt;=Lists!$I$18),Lists!$L$18,IF(AND($M30&gt;Lists!$I$18,$M30&lt;=Lists!$I$19),Lists!$L$19,IF(AND($M30&gt;Lists!$I$19,$M30&lt;=Lists!$I$20),Lists!$L$20,IF(AND($M30&gt;Lists!$I$20),Lists!$L$21,)))))*2+(M30),2)))</f>
        <v/>
      </c>
      <c r="J30" s="782"/>
      <c r="K30" s="782"/>
      <c r="L30" s="782"/>
      <c r="M30" s="783" t="str">
        <f t="shared" si="2"/>
        <v/>
      </c>
      <c r="N30" s="783" t="str">
        <f t="shared" si="0"/>
        <v/>
      </c>
      <c r="O30" s="783" t="str">
        <f t="shared" si="3"/>
        <v/>
      </c>
      <c r="P30" s="777">
        <f t="shared" si="1"/>
        <v>0</v>
      </c>
    </row>
    <row r="31" spans="1:16" ht="12.75" customHeight="1" x14ac:dyDescent="0.2">
      <c r="A31" s="768"/>
      <c r="B31" s="778"/>
      <c r="C31" s="778"/>
      <c r="D31" s="779"/>
      <c r="E31" s="779"/>
      <c r="F31" s="779"/>
      <c r="G31" s="780" t="str">
        <f>IF($E31="","",IF(Roof_Type="Steel Roof",IF($M31&lt;=Lists!$I$17,Lists!$J$17,IF(AND($M31&gt;Lists!$I$17,$M31&lt;=Lists!$I$18),Lists!$J$18,IF(AND($M31&gt;Lists!$I$18,$M31&lt;=Lists!$I$19),Lists!$J$19,IF(AND($M31&gt;Lists!$I$19,$M31&lt;=Lists!$I$20),Lists!$J$20,Lists!$J$21)))),IF($M31&lt;=Lists!$I$17,Lists!$K$17,IF(AND($M31&gt;Lists!$I$17,$M31&lt;=Lists!$I$18),Lists!$K$18,IF(AND($M31&gt;Lists!$I$18,$M31&lt;=Lists!$I$19),Lists!$K$19,IF(AND($M31&gt;Lists!$I$20,$M31&lt;=Lists!$I$20),Lists!$K$20,Lists!$K$21))))))</f>
        <v/>
      </c>
      <c r="H31" s="781"/>
      <c r="I31" s="1227" t="str">
        <f>(IF(OR(F31="",H31=""),"",ROUND(IF(AND($M31&lt;Lists!$I$17),Lists!$L$17,IF(AND($M31&gt;Lists!$I$17,$M31&lt;=Lists!$I$18),Lists!$L$18,IF(AND($M31&gt;Lists!$I$18,$M31&lt;=Lists!$I$19),Lists!$L$19,IF(AND($M31&gt;Lists!$I$19,$M31&lt;=Lists!$I$20),Lists!$L$20,IF(AND($M31&gt;Lists!$I$20),Lists!$L$21,)))))*2+(M31),2)))</f>
        <v/>
      </c>
      <c r="J31" s="782"/>
      <c r="K31" s="782"/>
      <c r="L31" s="782"/>
      <c r="M31" s="783" t="str">
        <f t="shared" si="2"/>
        <v/>
      </c>
      <c r="N31" s="783" t="str">
        <f t="shared" si="0"/>
        <v/>
      </c>
      <c r="O31" s="783" t="str">
        <f t="shared" si="3"/>
        <v/>
      </c>
      <c r="P31" s="777">
        <f t="shared" si="1"/>
        <v>0</v>
      </c>
    </row>
    <row r="32" spans="1:16" ht="12.75" customHeight="1" x14ac:dyDescent="0.2">
      <c r="A32" s="768"/>
      <c r="B32" s="778"/>
      <c r="C32" s="778"/>
      <c r="D32" s="779"/>
      <c r="E32" s="779"/>
      <c r="F32" s="779"/>
      <c r="G32" s="780" t="str">
        <f>IF($E32="","",IF(Roof_Type="Steel Roof",IF($M32&lt;=Lists!$I$17,Lists!$J$17,IF(AND($M32&gt;Lists!$I$17,$M32&lt;=Lists!$I$18),Lists!$J$18,IF(AND($M32&gt;Lists!$I$18,$M32&lt;=Lists!$I$19),Lists!$J$19,IF(AND($M32&gt;Lists!$I$19,$M32&lt;=Lists!$I$20),Lists!$J$20,Lists!$J$21)))),IF($M32&lt;=Lists!$I$17,Lists!$K$17,IF(AND($M32&gt;Lists!$I$17,$M32&lt;=Lists!$I$18),Lists!$K$18,IF(AND($M32&gt;Lists!$I$18,$M32&lt;=Lists!$I$19),Lists!$K$19,IF(AND($M32&gt;Lists!$I$20,$M32&lt;=Lists!$I$20),Lists!$K$20,Lists!$K$21))))))</f>
        <v/>
      </c>
      <c r="H32" s="781"/>
      <c r="I32" s="1227" t="str">
        <f>(IF(OR(F32="",H32=""),"",ROUND(IF(AND($M32&lt;Lists!$I$17),Lists!$L$17,IF(AND($M32&gt;Lists!$I$17,$M32&lt;=Lists!$I$18),Lists!$L$18,IF(AND($M32&gt;Lists!$I$18,$M32&lt;=Lists!$I$19),Lists!$L$19,IF(AND($M32&gt;Lists!$I$19,$M32&lt;=Lists!$I$20),Lists!$L$20,IF(AND($M32&gt;Lists!$I$20),Lists!$L$21,)))))*2+(M32),2)))</f>
        <v/>
      </c>
      <c r="J32" s="782"/>
      <c r="K32" s="782"/>
      <c r="L32" s="782"/>
      <c r="M32" s="783" t="str">
        <f t="shared" si="2"/>
        <v/>
      </c>
      <c r="N32" s="783" t="str">
        <f t="shared" si="0"/>
        <v/>
      </c>
      <c r="O32" s="783" t="str">
        <f t="shared" si="3"/>
        <v/>
      </c>
      <c r="P32" s="777">
        <f t="shared" si="1"/>
        <v>0</v>
      </c>
    </row>
    <row r="33" spans="1:17" ht="12.75" customHeight="1" x14ac:dyDescent="0.2">
      <c r="A33" s="768"/>
      <c r="B33" s="778"/>
      <c r="C33" s="778"/>
      <c r="D33" s="779"/>
      <c r="E33" s="779"/>
      <c r="F33" s="779"/>
      <c r="G33" s="780" t="str">
        <f>IF($E33="","",IF(Roof_Type="Steel Roof",IF($M33&lt;=Lists!$I$17,Lists!$J$17,IF(AND($M33&gt;Lists!$I$17,$M33&lt;=Lists!$I$18),Lists!$J$18,IF(AND($M33&gt;Lists!$I$18,$M33&lt;=Lists!$I$19),Lists!$J$19,IF(AND($M33&gt;Lists!$I$19,$M33&lt;=Lists!$I$20),Lists!$J$20,Lists!$J$21)))),IF($M33&lt;=Lists!$I$17,Lists!$K$17,IF(AND($M33&gt;Lists!$I$17,$M33&lt;=Lists!$I$18),Lists!$K$18,IF(AND($M33&gt;Lists!$I$18,$M33&lt;=Lists!$I$19),Lists!$K$19,IF(AND($M33&gt;Lists!$I$20,$M33&lt;=Lists!$I$20),Lists!$K$20,Lists!$K$21))))))</f>
        <v/>
      </c>
      <c r="H33" s="781"/>
      <c r="I33" s="1227" t="str">
        <f>(IF(OR(F33="",H33=""),"",ROUND(IF(AND($M33&lt;Lists!$I$17),Lists!$L$17,IF(AND($M33&gt;Lists!$I$17,$M33&lt;=Lists!$I$18),Lists!$L$18,IF(AND($M33&gt;Lists!$I$18,$M33&lt;=Lists!$I$19),Lists!$L$19,IF(AND($M33&gt;Lists!$I$19,$M33&lt;=Lists!$I$20),Lists!$L$20,IF(AND($M33&gt;Lists!$I$20),Lists!$L$21,)))))*2+(M33),2)))</f>
        <v/>
      </c>
      <c r="J33" s="782"/>
      <c r="K33" s="782"/>
      <c r="L33" s="782"/>
      <c r="M33" s="783" t="str">
        <f t="shared" si="2"/>
        <v/>
      </c>
      <c r="N33" s="783" t="str">
        <f t="shared" si="0"/>
        <v/>
      </c>
      <c r="O33" s="783" t="str">
        <f t="shared" si="3"/>
        <v/>
      </c>
      <c r="P33" s="777">
        <f t="shared" si="1"/>
        <v>0</v>
      </c>
    </row>
    <row r="34" spans="1:17" ht="12.75" customHeight="1" x14ac:dyDescent="0.2">
      <c r="A34" s="768"/>
      <c r="B34" s="778"/>
      <c r="C34" s="778"/>
      <c r="D34" s="779"/>
      <c r="E34" s="779"/>
      <c r="F34" s="779"/>
      <c r="G34" s="780" t="str">
        <f>IF($E34="","",IF(Roof_Type="Steel Roof",IF($M34&lt;=Lists!$I$17,Lists!$J$17,IF(AND($M34&gt;Lists!$I$17,$M34&lt;=Lists!$I$18),Lists!$J$18,IF(AND($M34&gt;Lists!$I$18,$M34&lt;=Lists!$I$19),Lists!$J$19,IF(AND($M34&gt;Lists!$I$19,$M34&lt;=Lists!$I$20),Lists!$J$20,Lists!$J$21)))),IF($M34&lt;=Lists!$I$17,Lists!$K$17,IF(AND($M34&gt;Lists!$I$17,$M34&lt;=Lists!$I$18),Lists!$K$18,IF(AND($M34&gt;Lists!$I$18,$M34&lt;=Lists!$I$19),Lists!$K$19,IF(AND($M34&gt;Lists!$I$20,$M34&lt;=Lists!$I$20),Lists!$K$20,Lists!$K$21))))))</f>
        <v/>
      </c>
      <c r="H34" s="781"/>
      <c r="I34" s="1227" t="str">
        <f>(IF(OR(F34="",H34=""),"",ROUND(IF(AND($M34&lt;Lists!$I$17),Lists!$L$17,IF(AND($M34&gt;Lists!$I$17,$M34&lt;=Lists!$I$18),Lists!$L$18,IF(AND($M34&gt;Lists!$I$18,$M34&lt;=Lists!$I$19),Lists!$L$19,IF(AND($M34&gt;Lists!$I$19,$M34&lt;=Lists!$I$20),Lists!$L$20,IF(AND($M34&gt;Lists!$I$20),Lists!$L$21,)))))*2+(M34),2)))</f>
        <v/>
      </c>
      <c r="J34" s="782"/>
      <c r="K34" s="782"/>
      <c r="L34" s="782"/>
      <c r="M34" s="783" t="str">
        <f t="shared" si="2"/>
        <v/>
      </c>
      <c r="N34" s="783" t="str">
        <f t="shared" si="0"/>
        <v/>
      </c>
      <c r="O34" s="783" t="str">
        <f t="shared" si="3"/>
        <v/>
      </c>
      <c r="P34" s="777">
        <f t="shared" si="1"/>
        <v>0</v>
      </c>
    </row>
    <row r="35" spans="1:17" ht="12.75" customHeight="1" x14ac:dyDescent="0.2">
      <c r="A35" s="768"/>
      <c r="B35" s="778"/>
      <c r="C35" s="778"/>
      <c r="D35" s="779"/>
      <c r="E35" s="779"/>
      <c r="F35" s="779"/>
      <c r="G35" s="780" t="str">
        <f>IF($E35="","",IF(Roof_Type="Steel Roof",IF($M35&lt;=Lists!$I$17,Lists!$J$17,IF(AND($M35&gt;Lists!$I$17,$M35&lt;=Lists!$I$18),Lists!$J$18,IF(AND($M35&gt;Lists!$I$18,$M35&lt;=Lists!$I$19),Lists!$J$19,IF(AND($M35&gt;Lists!$I$19,$M35&lt;=Lists!$I$20),Lists!$J$20,Lists!$J$21)))),IF($M35&lt;=Lists!$I$17,Lists!$K$17,IF(AND($M35&gt;Lists!$I$17,$M35&lt;=Lists!$I$18),Lists!$K$18,IF(AND($M35&gt;Lists!$I$18,$M35&lt;=Lists!$I$19),Lists!$K$19,IF(AND($M35&gt;Lists!$I$20,$M35&lt;=Lists!$I$20),Lists!$K$20,Lists!$K$21))))))</f>
        <v/>
      </c>
      <c r="H35" s="781"/>
      <c r="I35" s="1227" t="str">
        <f>(IF(OR(F35="",H35=""),"",ROUND(IF(AND($M35&lt;Lists!$I$17),Lists!$L$17,IF(AND($M35&gt;Lists!$I$17,$M35&lt;=Lists!$I$18),Lists!$L$18,IF(AND($M35&gt;Lists!$I$18,$M35&lt;=Lists!$I$19),Lists!$L$19,IF(AND($M35&gt;Lists!$I$19,$M35&lt;=Lists!$I$20),Lists!$L$20,IF(AND($M35&gt;Lists!$I$20),Lists!$L$21,)))))*2+(M35),2)))</f>
        <v/>
      </c>
      <c r="J35" s="782"/>
      <c r="K35" s="782"/>
      <c r="L35" s="782"/>
      <c r="M35" s="783" t="str">
        <f t="shared" si="2"/>
        <v/>
      </c>
      <c r="N35" s="783" t="str">
        <f t="shared" si="0"/>
        <v/>
      </c>
      <c r="O35" s="783" t="str">
        <f t="shared" si="3"/>
        <v/>
      </c>
      <c r="P35" s="777">
        <f t="shared" si="1"/>
        <v>0</v>
      </c>
    </row>
    <row r="36" spans="1:17" ht="12.75" customHeight="1" x14ac:dyDescent="0.2">
      <c r="A36" s="768"/>
      <c r="B36" s="778"/>
      <c r="C36" s="778"/>
      <c r="D36" s="779"/>
      <c r="E36" s="779"/>
      <c r="F36" s="779"/>
      <c r="G36" s="780" t="str">
        <f>IF($E36="","",IF(Roof_Type="Steel Roof",IF($M36&lt;=Lists!$I$17,Lists!$J$17,IF(AND($M36&gt;Lists!$I$17,$M36&lt;=Lists!$I$18),Lists!$J$18,IF(AND($M36&gt;Lists!$I$18,$M36&lt;=Lists!$I$19),Lists!$J$19,IF(AND($M36&gt;Lists!$I$19,$M36&lt;=Lists!$I$20),Lists!$J$20,Lists!$J$21)))),IF($M36&lt;=Lists!$I$17,Lists!$K$17,IF(AND($M36&gt;Lists!$I$17,$M36&lt;=Lists!$I$18),Lists!$K$18,IF(AND($M36&gt;Lists!$I$18,$M36&lt;=Lists!$I$19),Lists!$K$19,IF(AND($M36&gt;Lists!$I$20,$M36&lt;=Lists!$I$20),Lists!$K$20,Lists!$K$21))))))</f>
        <v/>
      </c>
      <c r="H36" s="781"/>
      <c r="I36" s="1227" t="str">
        <f>(IF(OR(F36="",H36=""),"",ROUND(IF(AND($M36&lt;Lists!$I$17),Lists!$L$17,IF(AND($M36&gt;Lists!$I$17,$M36&lt;=Lists!$I$18),Lists!$L$18,IF(AND($M36&gt;Lists!$I$18,$M36&lt;=Lists!$I$19),Lists!$L$19,IF(AND($M36&gt;Lists!$I$19,$M36&lt;=Lists!$I$20),Lists!$L$20,IF(AND($M36&gt;Lists!$I$20),Lists!$L$21,)))))*2+(M36),2)))</f>
        <v/>
      </c>
      <c r="J36" s="782"/>
      <c r="K36" s="782"/>
      <c r="L36" s="782"/>
      <c r="M36" s="783" t="str">
        <f t="shared" si="2"/>
        <v/>
      </c>
      <c r="N36" s="783" t="str">
        <f t="shared" si="0"/>
        <v/>
      </c>
      <c r="O36" s="783" t="str">
        <f t="shared" si="3"/>
        <v/>
      </c>
      <c r="P36" s="777">
        <f t="shared" si="1"/>
        <v>0</v>
      </c>
    </row>
    <row r="37" spans="1:17" ht="12.75" customHeight="1" x14ac:dyDescent="0.2">
      <c r="A37" s="768"/>
      <c r="B37" s="778"/>
      <c r="C37" s="778"/>
      <c r="D37" s="779"/>
      <c r="E37" s="779"/>
      <c r="F37" s="779"/>
      <c r="G37" s="780" t="str">
        <f>IF($E37="","",IF(Roof_Type="Steel Roof",IF($M37&lt;=Lists!$I$17,Lists!$J$17,IF(AND($M37&gt;Lists!$I$17,$M37&lt;=Lists!$I$18),Lists!$J$18,IF(AND($M37&gt;Lists!$I$18,$M37&lt;=Lists!$I$19),Lists!$J$19,IF(AND($M37&gt;Lists!$I$19,$M37&lt;=Lists!$I$20),Lists!$J$20,Lists!$J$21)))),IF($M37&lt;=Lists!$I$17,Lists!$K$17,IF(AND($M37&gt;Lists!$I$17,$M37&lt;=Lists!$I$18),Lists!$K$18,IF(AND($M37&gt;Lists!$I$18,$M37&lt;=Lists!$I$19),Lists!$K$19,IF(AND($M37&gt;Lists!$I$20,$M37&lt;=Lists!$I$20),Lists!$K$20,Lists!$K$21))))))</f>
        <v/>
      </c>
      <c r="H37" s="781"/>
      <c r="I37" s="1227" t="str">
        <f>(IF(OR(F37="",H37=""),"",ROUND(IF(AND($M37&lt;Lists!$I$17),Lists!$L$17,IF(AND($M37&gt;Lists!$I$17,$M37&lt;=Lists!$I$18),Lists!$L$18,IF(AND($M37&gt;Lists!$I$18,$M37&lt;=Lists!$I$19),Lists!$L$19,IF(AND($M37&gt;Lists!$I$19,$M37&lt;=Lists!$I$20),Lists!$L$20,IF(AND($M37&gt;Lists!$I$20),Lists!$L$21,)))))*2+(M37),2)))</f>
        <v/>
      </c>
      <c r="J37" s="782"/>
      <c r="K37" s="782"/>
      <c r="L37" s="782"/>
      <c r="M37" s="783" t="str">
        <f t="shared" si="2"/>
        <v/>
      </c>
      <c r="N37" s="783" t="str">
        <f t="shared" ref="N37:N70" si="4">IF(OR($E37="",$E37=0),"",(VLOOKUP($E37,Std_Brick,4,FALSE)/1000))</f>
        <v/>
      </c>
      <c r="O37" s="783" t="str">
        <f t="shared" si="3"/>
        <v/>
      </c>
      <c r="P37" s="777">
        <f t="shared" ref="P37:P70" si="5">IF(AND(Brick_type="2c Face",C37="Face",J37="Internal"),CEILING($E37/2,1),0)</f>
        <v>0</v>
      </c>
    </row>
    <row r="38" spans="1:17" ht="12.75" customHeight="1" x14ac:dyDescent="0.2">
      <c r="A38" s="768"/>
      <c r="B38" s="778"/>
      <c r="C38" s="778"/>
      <c r="D38" s="779"/>
      <c r="E38" s="779"/>
      <c r="F38" s="779"/>
      <c r="G38" s="780" t="str">
        <f>IF($E38="","",IF(Roof_Type="Steel Roof",IF($M38&lt;=Lists!$I$17,Lists!$J$17,IF(AND($M38&gt;Lists!$I$17,$M38&lt;=Lists!$I$18),Lists!$J$18,IF(AND($M38&gt;Lists!$I$18,$M38&lt;=Lists!$I$19),Lists!$J$19,IF(AND($M38&gt;Lists!$I$19,$M38&lt;=Lists!$I$20),Lists!$J$20,Lists!$J$21)))),IF($M38&lt;=Lists!$I$17,Lists!$K$17,IF(AND($M38&gt;Lists!$I$17,$M38&lt;=Lists!$I$18),Lists!$K$18,IF(AND($M38&gt;Lists!$I$18,$M38&lt;=Lists!$I$19),Lists!$K$19,IF(AND($M38&gt;Lists!$I$20,$M38&lt;=Lists!$I$20),Lists!$K$20,Lists!$K$21))))))</f>
        <v/>
      </c>
      <c r="H38" s="781"/>
      <c r="I38" s="1227" t="str">
        <f>(IF(OR(F38="",H38=""),"",ROUND(IF(AND($M38&lt;Lists!$I$17),Lists!$L$17,IF(AND($M38&gt;Lists!$I$17,$M38&lt;=Lists!$I$18),Lists!$L$18,IF(AND($M38&gt;Lists!$I$18,$M38&lt;=Lists!$I$19),Lists!$L$19,IF(AND($M38&gt;Lists!$I$19,$M38&lt;=Lists!$I$20),Lists!$L$20,IF(AND($M38&gt;Lists!$I$20),Lists!$L$21,)))))*2+(M38),2)))</f>
        <v/>
      </c>
      <c r="J38" s="782"/>
      <c r="K38" s="782"/>
      <c r="L38" s="782"/>
      <c r="M38" s="783" t="str">
        <f t="shared" si="2"/>
        <v/>
      </c>
      <c r="N38" s="783" t="str">
        <f t="shared" si="4"/>
        <v/>
      </c>
      <c r="O38" s="783" t="str">
        <f t="shared" si="3"/>
        <v/>
      </c>
      <c r="P38" s="777">
        <f t="shared" si="5"/>
        <v>0</v>
      </c>
      <c r="Q38" s="87"/>
    </row>
    <row r="39" spans="1:17" ht="12.75" customHeight="1" x14ac:dyDescent="0.2">
      <c r="A39" s="768"/>
      <c r="B39" s="778"/>
      <c r="C39" s="778"/>
      <c r="D39" s="779"/>
      <c r="E39" s="779"/>
      <c r="F39" s="779"/>
      <c r="G39" s="780" t="str">
        <f>IF($E39="","",IF(Roof_Type="Steel Roof",IF($M39&lt;=Lists!$I$17,Lists!$J$17,IF(AND($M39&gt;Lists!$I$17,$M39&lt;=Lists!$I$18),Lists!$J$18,IF(AND($M39&gt;Lists!$I$18,$M39&lt;=Lists!$I$19),Lists!$J$19,IF(AND($M39&gt;Lists!$I$19,$M39&lt;=Lists!$I$20),Lists!$J$20,Lists!$J$21)))),IF($M39&lt;=Lists!$I$17,Lists!$K$17,IF(AND($M39&gt;Lists!$I$17,$M39&lt;=Lists!$I$18),Lists!$K$18,IF(AND($M39&gt;Lists!$I$18,$M39&lt;=Lists!$I$19),Lists!$K$19,IF(AND($M39&gt;Lists!$I$20,$M39&lt;=Lists!$I$20),Lists!$K$20,Lists!$K$21))))))</f>
        <v/>
      </c>
      <c r="H39" s="781"/>
      <c r="I39" s="1227" t="str">
        <f>(IF(OR(F39="",H39=""),"",ROUND(IF(AND($M39&lt;Lists!$I$17),Lists!$L$17,IF(AND($M39&gt;Lists!$I$17,$M39&lt;=Lists!$I$18),Lists!$L$18,IF(AND($M39&gt;Lists!$I$18,$M39&lt;=Lists!$I$19),Lists!$L$19,IF(AND($M39&gt;Lists!$I$19,$M39&lt;=Lists!$I$20),Lists!$L$20,IF(AND($M39&gt;Lists!$I$20),Lists!$L$21,)))))*2+(M39),2)))</f>
        <v/>
      </c>
      <c r="J39" s="782"/>
      <c r="K39" s="782"/>
      <c r="L39" s="782"/>
      <c r="M39" s="783" t="str">
        <f t="shared" si="2"/>
        <v/>
      </c>
      <c r="N39" s="783" t="str">
        <f t="shared" si="4"/>
        <v/>
      </c>
      <c r="O39" s="783" t="str">
        <f t="shared" si="3"/>
        <v/>
      </c>
      <c r="P39" s="777">
        <f t="shared" si="5"/>
        <v>0</v>
      </c>
      <c r="Q39" s="87"/>
    </row>
    <row r="40" spans="1:17" ht="12.75" customHeight="1" x14ac:dyDescent="0.2">
      <c r="A40" s="768"/>
      <c r="B40" s="778"/>
      <c r="C40" s="778"/>
      <c r="D40" s="779"/>
      <c r="E40" s="779"/>
      <c r="F40" s="779"/>
      <c r="G40" s="780" t="str">
        <f>IF($E40="","",IF(Roof_Type="Steel Roof",IF($M40&lt;=Lists!$I$17,Lists!$J$17,IF(AND($M40&gt;Lists!$I$17,$M40&lt;=Lists!$I$18),Lists!$J$18,IF(AND($M40&gt;Lists!$I$18,$M40&lt;=Lists!$I$19),Lists!$J$19,IF(AND($M40&gt;Lists!$I$19,$M40&lt;=Lists!$I$20),Lists!$J$20,Lists!$J$21)))),IF($M40&lt;=Lists!$I$17,Lists!$K$17,IF(AND($M40&gt;Lists!$I$17,$M40&lt;=Lists!$I$18),Lists!$K$18,IF(AND($M40&gt;Lists!$I$18,$M40&lt;=Lists!$I$19),Lists!$K$19,IF(AND($M40&gt;Lists!$I$20,$M40&lt;=Lists!$I$20),Lists!$K$20,Lists!$K$21))))))</f>
        <v/>
      </c>
      <c r="H40" s="781"/>
      <c r="I40" s="1227" t="str">
        <f>(IF(OR(F40="",H40=""),"",ROUND(IF(AND($M40&lt;Lists!$I$17),Lists!$L$17,IF(AND($M40&gt;Lists!$I$17,$M40&lt;=Lists!$I$18),Lists!$L$18,IF(AND($M40&gt;Lists!$I$18,$M40&lt;=Lists!$I$19),Lists!$L$19,IF(AND($M40&gt;Lists!$I$19,$M40&lt;=Lists!$I$20),Lists!$L$20,IF(AND($M40&gt;Lists!$I$20),Lists!$L$21,)))))*2+(M40),2)))</f>
        <v/>
      </c>
      <c r="J40" s="782"/>
      <c r="K40" s="782"/>
      <c r="L40" s="782"/>
      <c r="M40" s="783" t="str">
        <f t="shared" si="2"/>
        <v/>
      </c>
      <c r="N40" s="783" t="str">
        <f t="shared" si="4"/>
        <v/>
      </c>
      <c r="O40" s="783" t="str">
        <f t="shared" si="3"/>
        <v/>
      </c>
      <c r="P40" s="777">
        <f t="shared" si="5"/>
        <v>0</v>
      </c>
      <c r="Q40" s="87"/>
    </row>
    <row r="41" spans="1:17" ht="12.75" customHeight="1" x14ac:dyDescent="0.2">
      <c r="A41" s="768"/>
      <c r="B41" s="778"/>
      <c r="C41" s="778"/>
      <c r="D41" s="779"/>
      <c r="E41" s="779"/>
      <c r="F41" s="779"/>
      <c r="G41" s="780" t="str">
        <f>IF($E41="","",IF(Roof_Type="Steel Roof",IF($M41&lt;=Lists!$I$17,Lists!$J$17,IF(AND($M41&gt;Lists!$I$17,$M41&lt;=Lists!$I$18),Lists!$J$18,IF(AND($M41&gt;Lists!$I$18,$M41&lt;=Lists!$I$19),Lists!$J$19,IF(AND($M41&gt;Lists!$I$19,$M41&lt;=Lists!$I$20),Lists!$J$20,Lists!$J$21)))),IF($M41&lt;=Lists!$I$17,Lists!$K$17,IF(AND($M41&gt;Lists!$I$17,$M41&lt;=Lists!$I$18),Lists!$K$18,IF(AND($M41&gt;Lists!$I$18,$M41&lt;=Lists!$I$19),Lists!$K$19,IF(AND($M41&gt;Lists!$I$20,$M41&lt;=Lists!$I$20),Lists!$K$20,Lists!$K$21))))))</f>
        <v/>
      </c>
      <c r="H41" s="781"/>
      <c r="I41" s="1227" t="str">
        <f>(IF(OR(F41="",H41=""),"",ROUND(IF(AND($M41&lt;Lists!$I$17),Lists!$L$17,IF(AND($M41&gt;Lists!$I$17,$M41&lt;=Lists!$I$18),Lists!$L$18,IF(AND($M41&gt;Lists!$I$18,$M41&lt;=Lists!$I$19),Lists!$L$19,IF(AND($M41&gt;Lists!$I$19,$M41&lt;=Lists!$I$20),Lists!$L$20,IF(AND($M41&gt;Lists!$I$20),Lists!$L$21,)))))*2+(M41),2)))</f>
        <v/>
      </c>
      <c r="J41" s="782"/>
      <c r="K41" s="782"/>
      <c r="L41" s="782"/>
      <c r="M41" s="783" t="str">
        <f t="shared" si="2"/>
        <v/>
      </c>
      <c r="N41" s="783" t="str">
        <f t="shared" si="4"/>
        <v/>
      </c>
      <c r="O41" s="783" t="str">
        <f t="shared" si="3"/>
        <v/>
      </c>
      <c r="P41" s="777">
        <f t="shared" si="5"/>
        <v>0</v>
      </c>
      <c r="Q41" s="87"/>
    </row>
    <row r="42" spans="1:17" ht="12.75" customHeight="1" x14ac:dyDescent="0.2">
      <c r="A42" s="768"/>
      <c r="B42" s="778"/>
      <c r="C42" s="778"/>
      <c r="D42" s="779"/>
      <c r="E42" s="779"/>
      <c r="F42" s="779"/>
      <c r="G42" s="780" t="str">
        <f>IF($E42="","",IF(Roof_Type="Steel Roof",IF($M42&lt;=Lists!$I$17,Lists!$J$17,IF(AND($M42&gt;Lists!$I$17,$M42&lt;=Lists!$I$18),Lists!$J$18,IF(AND($M42&gt;Lists!$I$18,$M42&lt;=Lists!$I$19),Lists!$J$19,IF(AND($M42&gt;Lists!$I$19,$M42&lt;=Lists!$I$20),Lists!$J$20,Lists!$J$21)))),IF($M42&lt;=Lists!$I$17,Lists!$K$17,IF(AND($M42&gt;Lists!$I$17,$M42&lt;=Lists!$I$18),Lists!$K$18,IF(AND($M42&gt;Lists!$I$18,$M42&lt;=Lists!$I$19),Lists!$K$19,IF(AND($M42&gt;Lists!$I$20,$M42&lt;=Lists!$I$20),Lists!$K$20,Lists!$K$21))))))</f>
        <v/>
      </c>
      <c r="H42" s="781"/>
      <c r="I42" s="1227" t="str">
        <f>(IF(OR(F42="",H42=""),"",ROUND(IF(AND($M42&lt;Lists!$I$17),Lists!$L$17,IF(AND($M42&gt;Lists!$I$17,$M42&lt;=Lists!$I$18),Lists!$L$18,IF(AND($M42&gt;Lists!$I$18,$M42&lt;=Lists!$I$19),Lists!$L$19,IF(AND($M42&gt;Lists!$I$19,$M42&lt;=Lists!$I$20),Lists!$L$20,IF(AND($M42&gt;Lists!$I$20),Lists!$L$21,)))))*2+(M42),2)))</f>
        <v/>
      </c>
      <c r="J42" s="782"/>
      <c r="K42" s="782"/>
      <c r="L42" s="782"/>
      <c r="M42" s="783" t="str">
        <f t="shared" si="2"/>
        <v/>
      </c>
      <c r="N42" s="783" t="str">
        <f t="shared" si="4"/>
        <v/>
      </c>
      <c r="O42" s="783" t="str">
        <f t="shared" si="3"/>
        <v/>
      </c>
      <c r="P42" s="777">
        <f t="shared" si="5"/>
        <v>0</v>
      </c>
    </row>
    <row r="43" spans="1:17" ht="12.75" customHeight="1" x14ac:dyDescent="0.2">
      <c r="A43" s="768"/>
      <c r="B43" s="778"/>
      <c r="C43" s="778"/>
      <c r="D43" s="779"/>
      <c r="E43" s="779"/>
      <c r="F43" s="779"/>
      <c r="G43" s="780" t="str">
        <f>IF($E43="","",IF(Roof_Type="Steel Roof",IF($M43&lt;=Lists!$I$17,Lists!$J$17,IF(AND($M43&gt;Lists!$I$17,$M43&lt;=Lists!$I$18),Lists!$J$18,IF(AND($M43&gt;Lists!$I$18,$M43&lt;=Lists!$I$19),Lists!$J$19,IF(AND($M43&gt;Lists!$I$19,$M43&lt;=Lists!$I$20),Lists!$J$20,Lists!$J$21)))),IF($M43&lt;=Lists!$I$17,Lists!$K$17,IF(AND($M43&gt;Lists!$I$17,$M43&lt;=Lists!$I$18),Lists!$K$18,IF(AND($M43&gt;Lists!$I$18,$M43&lt;=Lists!$I$19),Lists!$K$19,IF(AND($M43&gt;Lists!$I$20,$M43&lt;=Lists!$I$20),Lists!$K$20,Lists!$K$21))))))</f>
        <v/>
      </c>
      <c r="H43" s="781"/>
      <c r="I43" s="1227" t="str">
        <f>(IF(OR(F43="",H43=""),"",ROUND(IF(AND($M43&lt;Lists!$I$17),Lists!$L$17,IF(AND($M43&gt;Lists!$I$17,$M43&lt;=Lists!$I$18),Lists!$L$18,IF(AND($M43&gt;Lists!$I$18,$M43&lt;=Lists!$I$19),Lists!$L$19,IF(AND($M43&gt;Lists!$I$19,$M43&lt;=Lists!$I$20),Lists!$L$20,IF(AND($M43&gt;Lists!$I$20),Lists!$L$21,)))))*2+(M43),2)))</f>
        <v/>
      </c>
      <c r="J43" s="782"/>
      <c r="K43" s="782"/>
      <c r="L43" s="782"/>
      <c r="M43" s="783" t="str">
        <f t="shared" si="2"/>
        <v/>
      </c>
      <c r="N43" s="783" t="str">
        <f t="shared" si="4"/>
        <v/>
      </c>
      <c r="O43" s="783" t="str">
        <f t="shared" si="3"/>
        <v/>
      </c>
      <c r="P43" s="777">
        <f t="shared" si="5"/>
        <v>0</v>
      </c>
    </row>
    <row r="44" spans="1:17" ht="12.75" customHeight="1" x14ac:dyDescent="0.2">
      <c r="A44" s="768"/>
      <c r="B44" s="778"/>
      <c r="C44" s="778"/>
      <c r="D44" s="779"/>
      <c r="E44" s="779"/>
      <c r="F44" s="779"/>
      <c r="G44" s="780" t="str">
        <f>IF($E44="","",IF(Roof_Type="Steel Roof",IF($M44&lt;=Lists!$I$17,Lists!$J$17,IF(AND($M44&gt;Lists!$I$17,$M44&lt;=Lists!$I$18),Lists!$J$18,IF(AND($M44&gt;Lists!$I$18,$M44&lt;=Lists!$I$19),Lists!$J$19,IF(AND($M44&gt;Lists!$I$19,$M44&lt;=Lists!$I$20),Lists!$J$20,Lists!$J$21)))),IF($M44&lt;=Lists!$I$17,Lists!$K$17,IF(AND($M44&gt;Lists!$I$17,$M44&lt;=Lists!$I$18),Lists!$K$18,IF(AND($M44&gt;Lists!$I$18,$M44&lt;=Lists!$I$19),Lists!$K$19,IF(AND($M44&gt;Lists!$I$20,$M44&lt;=Lists!$I$20),Lists!$K$20,Lists!$K$21))))))</f>
        <v/>
      </c>
      <c r="H44" s="781"/>
      <c r="I44" s="1227" t="str">
        <f>(IF(OR(F44="",H44=""),"",ROUND(IF(AND($M44&lt;Lists!$I$17),Lists!$L$17,IF(AND($M44&gt;Lists!$I$17,$M44&lt;=Lists!$I$18),Lists!$L$18,IF(AND($M44&gt;Lists!$I$18,$M44&lt;=Lists!$I$19),Lists!$L$19,IF(AND($M44&gt;Lists!$I$19,$M44&lt;=Lists!$I$20),Lists!$L$20,IF(AND($M44&gt;Lists!$I$20),Lists!$L$21,)))))*2+(M44),2)))</f>
        <v/>
      </c>
      <c r="J44" s="782"/>
      <c r="K44" s="782"/>
      <c r="L44" s="782"/>
      <c r="M44" s="783" t="str">
        <f t="shared" si="2"/>
        <v/>
      </c>
      <c r="N44" s="783" t="str">
        <f t="shared" si="4"/>
        <v/>
      </c>
      <c r="O44" s="783" t="str">
        <f t="shared" si="3"/>
        <v/>
      </c>
      <c r="P44" s="777">
        <f t="shared" si="5"/>
        <v>0</v>
      </c>
    </row>
    <row r="45" spans="1:17" ht="12.75" customHeight="1" x14ac:dyDescent="0.2">
      <c r="A45" s="768"/>
      <c r="B45" s="778"/>
      <c r="C45" s="778"/>
      <c r="D45" s="779"/>
      <c r="E45" s="779"/>
      <c r="F45" s="779"/>
      <c r="G45" s="780" t="str">
        <f>IF($E45="","",IF(Roof_Type="Steel Roof",IF($M45&lt;=Lists!$I$17,Lists!$J$17,IF(AND($M45&gt;Lists!$I$17,$M45&lt;=Lists!$I$18),Lists!$J$18,IF(AND($M45&gt;Lists!$I$18,$M45&lt;=Lists!$I$19),Lists!$J$19,IF(AND($M45&gt;Lists!$I$19,$M45&lt;=Lists!$I$20),Lists!$J$20,Lists!$J$21)))),IF($M45&lt;=Lists!$I$17,Lists!$K$17,IF(AND($M45&gt;Lists!$I$17,$M45&lt;=Lists!$I$18),Lists!$K$18,IF(AND($M45&gt;Lists!$I$18,$M45&lt;=Lists!$I$19),Lists!$K$19,IF(AND($M45&gt;Lists!$I$20,$M45&lt;=Lists!$I$20),Lists!$K$20,Lists!$K$21))))))</f>
        <v/>
      </c>
      <c r="H45" s="781"/>
      <c r="I45" s="1227" t="str">
        <f>(IF(OR(F45="",H45=""),"",ROUND(IF(AND($M45&lt;Lists!$I$17),Lists!$L$17,IF(AND($M45&gt;Lists!$I$17,$M45&lt;=Lists!$I$18),Lists!$L$18,IF(AND($M45&gt;Lists!$I$18,$M45&lt;=Lists!$I$19),Lists!$L$19,IF(AND($M45&gt;Lists!$I$19,$M45&lt;=Lists!$I$20),Lists!$L$20,IF(AND($M45&gt;Lists!$I$20),Lists!$L$21,)))))*2+(M45),2)))</f>
        <v/>
      </c>
      <c r="J45" s="782"/>
      <c r="K45" s="782"/>
      <c r="L45" s="782"/>
      <c r="M45" s="783" t="str">
        <f t="shared" si="2"/>
        <v/>
      </c>
      <c r="N45" s="783" t="str">
        <f t="shared" si="4"/>
        <v/>
      </c>
      <c r="O45" s="783" t="str">
        <f t="shared" si="3"/>
        <v/>
      </c>
      <c r="P45" s="777">
        <f t="shared" si="5"/>
        <v>0</v>
      </c>
    </row>
    <row r="46" spans="1:17" ht="12.75" customHeight="1" x14ac:dyDescent="0.2">
      <c r="A46" s="768"/>
      <c r="B46" s="778"/>
      <c r="C46" s="778"/>
      <c r="D46" s="779"/>
      <c r="E46" s="779"/>
      <c r="F46" s="779"/>
      <c r="G46" s="780" t="str">
        <f>IF($E46="","",IF(Roof_Type="Steel Roof",IF($M46&lt;=Lists!$I$17,Lists!$J$17,IF(AND($M46&gt;Lists!$I$17,$M46&lt;=Lists!$I$18),Lists!$J$18,IF(AND($M46&gt;Lists!$I$18,$M46&lt;=Lists!$I$19),Lists!$J$19,IF(AND($M46&gt;Lists!$I$19,$M46&lt;=Lists!$I$20),Lists!$J$20,Lists!$J$21)))),IF($M46&lt;=Lists!$I$17,Lists!$K$17,IF(AND($M46&gt;Lists!$I$17,$M46&lt;=Lists!$I$18),Lists!$K$18,IF(AND($M46&gt;Lists!$I$18,$M46&lt;=Lists!$I$19),Lists!$K$19,IF(AND($M46&gt;Lists!$I$20,$M46&lt;=Lists!$I$20),Lists!$K$20,Lists!$K$21))))))</f>
        <v/>
      </c>
      <c r="H46" s="781"/>
      <c r="I46" s="1227" t="str">
        <f>(IF(OR(F46="",H46=""),"",ROUND(IF(AND($M46&lt;Lists!$I$17),Lists!$L$17,IF(AND($M46&gt;Lists!$I$17,$M46&lt;=Lists!$I$18),Lists!$L$18,IF(AND($M46&gt;Lists!$I$18,$M46&lt;=Lists!$I$19),Lists!$L$19,IF(AND($M46&gt;Lists!$I$19,$M46&lt;=Lists!$I$20),Lists!$L$20,IF(AND($M46&gt;Lists!$I$20),Lists!$L$21,)))))*2+(M46),2)))</f>
        <v/>
      </c>
      <c r="J46" s="782"/>
      <c r="K46" s="782"/>
      <c r="L46" s="782"/>
      <c r="M46" s="783" t="str">
        <f t="shared" si="2"/>
        <v/>
      </c>
      <c r="N46" s="783" t="str">
        <f t="shared" si="4"/>
        <v/>
      </c>
      <c r="O46" s="783" t="str">
        <f t="shared" si="3"/>
        <v/>
      </c>
      <c r="P46" s="777">
        <f t="shared" si="5"/>
        <v>0</v>
      </c>
    </row>
    <row r="47" spans="1:17" ht="12.75" customHeight="1" x14ac:dyDescent="0.2">
      <c r="A47" s="768"/>
      <c r="B47" s="778"/>
      <c r="C47" s="778"/>
      <c r="D47" s="779"/>
      <c r="E47" s="779"/>
      <c r="F47" s="779"/>
      <c r="G47" s="780" t="str">
        <f>IF($E47="","",IF(Roof_Type="Steel Roof",IF($M47&lt;=Lists!$I$17,Lists!$J$17,IF(AND($M47&gt;Lists!$I$17,$M47&lt;=Lists!$I$18),Lists!$J$18,IF(AND($M47&gt;Lists!$I$18,$M47&lt;=Lists!$I$19),Lists!$J$19,IF(AND($M47&gt;Lists!$I$19,$M47&lt;=Lists!$I$20),Lists!$J$20,Lists!$J$21)))),IF($M47&lt;=Lists!$I$17,Lists!$K$17,IF(AND($M47&gt;Lists!$I$17,$M47&lt;=Lists!$I$18),Lists!$K$18,IF(AND($M47&gt;Lists!$I$18,$M47&lt;=Lists!$I$19),Lists!$K$19,IF(AND($M47&gt;Lists!$I$20,$M47&lt;=Lists!$I$20),Lists!$K$20,Lists!$K$21))))))</f>
        <v/>
      </c>
      <c r="H47" s="781"/>
      <c r="I47" s="1227" t="str">
        <f>(IF(OR(F47="",H47=""),"",ROUND(IF(AND($M47&lt;Lists!$I$17),Lists!$L$17,IF(AND($M47&gt;Lists!$I$17,$M47&lt;=Lists!$I$18),Lists!$L$18,IF(AND($M47&gt;Lists!$I$18,$M47&lt;=Lists!$I$19),Lists!$L$19,IF(AND($M47&gt;Lists!$I$19,$M47&lt;=Lists!$I$20),Lists!$L$20,IF(AND($M47&gt;Lists!$I$20),Lists!$L$21,)))))*2+(M47),2)))</f>
        <v/>
      </c>
      <c r="J47" s="782"/>
      <c r="K47" s="782"/>
      <c r="L47" s="782"/>
      <c r="M47" s="783" t="str">
        <f t="shared" si="2"/>
        <v/>
      </c>
      <c r="N47" s="783" t="str">
        <f t="shared" si="4"/>
        <v/>
      </c>
      <c r="O47" s="783" t="str">
        <f t="shared" si="3"/>
        <v/>
      </c>
      <c r="P47" s="777">
        <f t="shared" si="5"/>
        <v>0</v>
      </c>
    </row>
    <row r="48" spans="1:17" ht="12.75" customHeight="1" x14ac:dyDescent="0.2">
      <c r="A48" s="768"/>
      <c r="B48" s="778"/>
      <c r="C48" s="778"/>
      <c r="D48" s="779"/>
      <c r="E48" s="779"/>
      <c r="F48" s="779"/>
      <c r="G48" s="780" t="str">
        <f>IF($E48="","",IF(Roof_Type="Steel Roof",IF($M48&lt;=Lists!$I$17,Lists!$J$17,IF(AND($M48&gt;Lists!$I$17,$M48&lt;=Lists!$I$18),Lists!$J$18,IF(AND($M48&gt;Lists!$I$18,$M48&lt;=Lists!$I$19),Lists!$J$19,IF(AND($M48&gt;Lists!$I$19,$M48&lt;=Lists!$I$20),Lists!$J$20,Lists!$J$21)))),IF($M48&lt;=Lists!$I$17,Lists!$K$17,IF(AND($M48&gt;Lists!$I$17,$M48&lt;=Lists!$I$18),Lists!$K$18,IF(AND($M48&gt;Lists!$I$18,$M48&lt;=Lists!$I$19),Lists!$K$19,IF(AND($M48&gt;Lists!$I$20,$M48&lt;=Lists!$I$20),Lists!$K$20,Lists!$K$21))))))</f>
        <v/>
      </c>
      <c r="H48" s="781"/>
      <c r="I48" s="1227" t="str">
        <f>(IF(OR(F48="",H48=""),"",ROUND(IF(AND($M48&lt;Lists!$I$17),Lists!$L$17,IF(AND($M48&gt;Lists!$I$17,$M48&lt;=Lists!$I$18),Lists!$L$18,IF(AND($M48&gt;Lists!$I$18,$M48&lt;=Lists!$I$19),Lists!$L$19,IF(AND($M48&gt;Lists!$I$19,$M48&lt;=Lists!$I$20),Lists!$L$20,IF(AND($M48&gt;Lists!$I$20),Lists!$L$21,)))))*2+(M48),2)))</f>
        <v/>
      </c>
      <c r="J48" s="782"/>
      <c r="K48" s="782"/>
      <c r="L48" s="782"/>
      <c r="M48" s="783" t="str">
        <f t="shared" si="2"/>
        <v/>
      </c>
      <c r="N48" s="783" t="str">
        <f t="shared" si="4"/>
        <v/>
      </c>
      <c r="O48" s="783" t="str">
        <f t="shared" si="3"/>
        <v/>
      </c>
      <c r="P48" s="777">
        <f t="shared" si="5"/>
        <v>0</v>
      </c>
    </row>
    <row r="49" spans="1:16" ht="12.75" customHeight="1" x14ac:dyDescent="0.2">
      <c r="A49" s="768"/>
      <c r="B49" s="778"/>
      <c r="C49" s="778"/>
      <c r="D49" s="779"/>
      <c r="E49" s="779"/>
      <c r="F49" s="779"/>
      <c r="G49" s="780" t="str">
        <f>IF($E49="","",IF(Roof_Type="Steel Roof",IF($M49&lt;=Lists!$I$17,Lists!$J$17,IF(AND($M49&gt;Lists!$I$17,$M49&lt;=Lists!$I$18),Lists!$J$18,IF(AND($M49&gt;Lists!$I$18,$M49&lt;=Lists!$I$19),Lists!$J$19,IF(AND($M49&gt;Lists!$I$19,$M49&lt;=Lists!$I$20),Lists!$J$20,Lists!$J$21)))),IF($M49&lt;=Lists!$I$17,Lists!$K$17,IF(AND($M49&gt;Lists!$I$17,$M49&lt;=Lists!$I$18),Lists!$K$18,IF(AND($M49&gt;Lists!$I$18,$M49&lt;=Lists!$I$19),Lists!$K$19,IF(AND($M49&gt;Lists!$I$20,$M49&lt;=Lists!$I$20),Lists!$K$20,Lists!$K$21))))))</f>
        <v/>
      </c>
      <c r="H49" s="781"/>
      <c r="I49" s="1227" t="str">
        <f>(IF(OR(F49="",H49=""),"",ROUND(IF(AND($M49&lt;Lists!$I$17),Lists!$L$17,IF(AND($M49&gt;Lists!$I$17,$M49&lt;=Lists!$I$18),Lists!$L$18,IF(AND($M49&gt;Lists!$I$18,$M49&lt;=Lists!$I$19),Lists!$L$19,IF(AND($M49&gt;Lists!$I$19,$M49&lt;=Lists!$I$20),Lists!$L$20,IF(AND($M49&gt;Lists!$I$20),Lists!$L$21,)))))*2+(M49),2)))</f>
        <v/>
      </c>
      <c r="J49" s="782"/>
      <c r="K49" s="782"/>
      <c r="L49" s="782"/>
      <c r="M49" s="783" t="str">
        <f t="shared" si="2"/>
        <v/>
      </c>
      <c r="N49" s="783" t="str">
        <f t="shared" si="4"/>
        <v/>
      </c>
      <c r="O49" s="783" t="str">
        <f t="shared" si="3"/>
        <v/>
      </c>
      <c r="P49" s="777">
        <f t="shared" si="5"/>
        <v>0</v>
      </c>
    </row>
    <row r="50" spans="1:16" ht="12.75" customHeight="1" x14ac:dyDescent="0.2">
      <c r="A50" s="768"/>
      <c r="B50" s="778"/>
      <c r="C50" s="778"/>
      <c r="D50" s="779"/>
      <c r="E50" s="779"/>
      <c r="F50" s="779"/>
      <c r="G50" s="780" t="str">
        <f>IF($E50="","",IF(Roof_Type="Steel Roof",IF($M50&lt;=Lists!$I$17,Lists!$J$17,IF(AND($M50&gt;Lists!$I$17,$M50&lt;=Lists!$I$18),Lists!$J$18,IF(AND($M50&gt;Lists!$I$18,$M50&lt;=Lists!$I$19),Lists!$J$19,IF(AND($M50&gt;Lists!$I$19,$M50&lt;=Lists!$I$20),Lists!$J$20,Lists!$J$21)))),IF($M50&lt;=Lists!$I$17,Lists!$K$17,IF(AND($M50&gt;Lists!$I$17,$M50&lt;=Lists!$I$18),Lists!$K$18,IF(AND($M50&gt;Lists!$I$18,$M50&lt;=Lists!$I$19),Lists!$K$19,IF(AND($M50&gt;Lists!$I$20,$M50&lt;=Lists!$I$20),Lists!$K$20,Lists!$K$21))))))</f>
        <v/>
      </c>
      <c r="H50" s="781"/>
      <c r="I50" s="1227" t="str">
        <f>(IF(OR(F50="",H50=""),"",ROUND(IF(AND($M50&lt;Lists!$I$17),Lists!$L$17,IF(AND($M50&gt;Lists!$I$17,$M50&lt;=Lists!$I$18),Lists!$L$18,IF(AND($M50&gt;Lists!$I$18,$M50&lt;=Lists!$I$19),Lists!$L$19,IF(AND($M50&gt;Lists!$I$19,$M50&lt;=Lists!$I$20),Lists!$L$20,IF(AND($M50&gt;Lists!$I$20),Lists!$L$21,)))))*2+(M50),2)))</f>
        <v/>
      </c>
      <c r="J50" s="782"/>
      <c r="K50" s="782"/>
      <c r="L50" s="782"/>
      <c r="M50" s="783" t="str">
        <f t="shared" si="2"/>
        <v/>
      </c>
      <c r="N50" s="783" t="str">
        <f t="shared" si="4"/>
        <v/>
      </c>
      <c r="O50" s="783" t="str">
        <f t="shared" si="3"/>
        <v/>
      </c>
      <c r="P50" s="777">
        <f t="shared" si="5"/>
        <v>0</v>
      </c>
    </row>
    <row r="51" spans="1:16" ht="12.75" customHeight="1" x14ac:dyDescent="0.2">
      <c r="A51" s="768"/>
      <c r="B51" s="778"/>
      <c r="C51" s="778"/>
      <c r="D51" s="779"/>
      <c r="E51" s="779"/>
      <c r="F51" s="779"/>
      <c r="G51" s="780" t="str">
        <f>IF($E51="","",IF(Roof_Type="Steel Roof",IF($M51&lt;=Lists!$I$17,Lists!$J$17,IF(AND($M51&gt;Lists!$I$17,$M51&lt;=Lists!$I$18),Lists!$J$18,IF(AND($M51&gt;Lists!$I$18,$M51&lt;=Lists!$I$19),Lists!$J$19,IF(AND($M51&gt;Lists!$I$19,$M51&lt;=Lists!$I$20),Lists!$J$20,Lists!$J$21)))),IF($M51&lt;=Lists!$I$17,Lists!$K$17,IF(AND($M51&gt;Lists!$I$17,$M51&lt;=Lists!$I$18),Lists!$K$18,IF(AND($M51&gt;Lists!$I$18,$M51&lt;=Lists!$I$19),Lists!$K$19,IF(AND($M51&gt;Lists!$I$20,$M51&lt;=Lists!$I$20),Lists!$K$20,Lists!$K$21))))))</f>
        <v/>
      </c>
      <c r="H51" s="781"/>
      <c r="I51" s="1227" t="str">
        <f>(IF(OR(F51="",H51=""),"",ROUND(IF(AND($M51&lt;Lists!$I$17),Lists!$L$17,IF(AND($M51&gt;Lists!$I$17,$M51&lt;=Lists!$I$18),Lists!$L$18,IF(AND($M51&gt;Lists!$I$18,$M51&lt;=Lists!$I$19),Lists!$L$19,IF(AND($M51&gt;Lists!$I$19,$M51&lt;=Lists!$I$20),Lists!$L$20,IF(AND($M51&gt;Lists!$I$20),Lists!$L$21,)))))*2+(M51),2)))</f>
        <v/>
      </c>
      <c r="J51" s="782"/>
      <c r="K51" s="782"/>
      <c r="L51" s="782"/>
      <c r="M51" s="783" t="str">
        <f t="shared" si="2"/>
        <v/>
      </c>
      <c r="N51" s="783" t="str">
        <f t="shared" si="4"/>
        <v/>
      </c>
      <c r="O51" s="783" t="str">
        <f t="shared" si="3"/>
        <v/>
      </c>
      <c r="P51" s="777">
        <f t="shared" si="5"/>
        <v>0</v>
      </c>
    </row>
    <row r="52" spans="1:16" ht="12.75" customHeight="1" x14ac:dyDescent="0.2">
      <c r="A52" s="768"/>
      <c r="B52" s="778"/>
      <c r="C52" s="778"/>
      <c r="D52" s="779"/>
      <c r="E52" s="779"/>
      <c r="F52" s="779"/>
      <c r="G52" s="780" t="str">
        <f>IF($E52="","",IF(Roof_Type="Steel Roof",IF($M52&lt;=Lists!$I$17,Lists!$J$17,IF(AND($M52&gt;Lists!$I$17,$M52&lt;=Lists!$I$18),Lists!$J$18,IF(AND($M52&gt;Lists!$I$18,$M52&lt;=Lists!$I$19),Lists!$J$19,IF(AND($M52&gt;Lists!$I$19,$M52&lt;=Lists!$I$20),Lists!$J$20,Lists!$J$21)))),IF($M52&lt;=Lists!$I$17,Lists!$K$17,IF(AND($M52&gt;Lists!$I$17,$M52&lt;=Lists!$I$18),Lists!$K$18,IF(AND($M52&gt;Lists!$I$18,$M52&lt;=Lists!$I$19),Lists!$K$19,IF(AND($M52&gt;Lists!$I$20,$M52&lt;=Lists!$I$20),Lists!$K$20,Lists!$K$21))))))</f>
        <v/>
      </c>
      <c r="H52" s="781"/>
      <c r="I52" s="1227" t="str">
        <f>(IF(OR(F52="",H52=""),"",ROUND(IF(AND($M52&lt;Lists!$I$17),Lists!$L$17,IF(AND($M52&gt;Lists!$I$17,$M52&lt;=Lists!$I$18),Lists!$L$18,IF(AND($M52&gt;Lists!$I$18,$M52&lt;=Lists!$I$19),Lists!$L$19,IF(AND($M52&gt;Lists!$I$19,$M52&lt;=Lists!$I$20),Lists!$L$20,IF(AND($M52&gt;Lists!$I$20),Lists!$L$21,)))))*2+(M52),2)))</f>
        <v/>
      </c>
      <c r="J52" s="782"/>
      <c r="K52" s="782"/>
      <c r="L52" s="782"/>
      <c r="M52" s="783" t="str">
        <f t="shared" si="2"/>
        <v/>
      </c>
      <c r="N52" s="783" t="str">
        <f t="shared" si="4"/>
        <v/>
      </c>
      <c r="O52" s="783" t="str">
        <f t="shared" si="3"/>
        <v/>
      </c>
      <c r="P52" s="777">
        <f t="shared" si="5"/>
        <v>0</v>
      </c>
    </row>
    <row r="53" spans="1:16" ht="12.75" customHeight="1" x14ac:dyDescent="0.2">
      <c r="A53" s="768"/>
      <c r="B53" s="778"/>
      <c r="C53" s="778"/>
      <c r="D53" s="779"/>
      <c r="E53" s="779"/>
      <c r="F53" s="779"/>
      <c r="G53" s="780" t="str">
        <f>IF($E53="","",IF(Roof_Type="Steel Roof",IF($M53&lt;=Lists!$I$17,Lists!$J$17,IF(AND($M53&gt;Lists!$I$17,$M53&lt;=Lists!$I$18),Lists!$J$18,IF(AND($M53&gt;Lists!$I$18,$M53&lt;=Lists!$I$19),Lists!$J$19,IF(AND($M53&gt;Lists!$I$19,$M53&lt;=Lists!$I$20),Lists!$J$20,Lists!$J$21)))),IF($M53&lt;=Lists!$I$17,Lists!$K$17,IF(AND($M53&gt;Lists!$I$17,$M53&lt;=Lists!$I$18),Lists!$K$18,IF(AND($M53&gt;Lists!$I$18,$M53&lt;=Lists!$I$19),Lists!$K$19,IF(AND($M53&gt;Lists!$I$20,$M53&lt;=Lists!$I$20),Lists!$K$20,Lists!$K$21))))))</f>
        <v/>
      </c>
      <c r="H53" s="781"/>
      <c r="I53" s="1227" t="str">
        <f>(IF(OR(F53="",H53=""),"",ROUND(IF(AND($M53&lt;Lists!$I$17),Lists!$L$17,IF(AND($M53&gt;Lists!$I$17,$M53&lt;=Lists!$I$18),Lists!$L$18,IF(AND($M53&gt;Lists!$I$18,$M53&lt;=Lists!$I$19),Lists!$L$19,IF(AND($M53&gt;Lists!$I$19,$M53&lt;=Lists!$I$20),Lists!$L$20,IF(AND($M53&gt;Lists!$I$20),Lists!$L$21,)))))*2+(M53),2)))</f>
        <v/>
      </c>
      <c r="J53" s="782"/>
      <c r="K53" s="782"/>
      <c r="L53" s="782"/>
      <c r="M53" s="783" t="str">
        <f t="shared" si="2"/>
        <v/>
      </c>
      <c r="N53" s="783" t="str">
        <f t="shared" si="4"/>
        <v/>
      </c>
      <c r="O53" s="783" t="str">
        <f t="shared" si="3"/>
        <v/>
      </c>
      <c r="P53" s="777">
        <f t="shared" si="5"/>
        <v>0</v>
      </c>
    </row>
    <row r="54" spans="1:16" ht="12.75" customHeight="1" x14ac:dyDescent="0.2">
      <c r="A54" s="768"/>
      <c r="B54" s="778"/>
      <c r="C54" s="778"/>
      <c r="D54" s="779"/>
      <c r="E54" s="779"/>
      <c r="F54" s="779"/>
      <c r="G54" s="780" t="str">
        <f>IF($E54="","",IF(Roof_Type="Steel Roof",IF($M54&lt;=Lists!$I$17,Lists!$J$17,IF(AND($M54&gt;Lists!$I$17,$M54&lt;=Lists!$I$18),Lists!$J$18,IF(AND($M54&gt;Lists!$I$18,$M54&lt;=Lists!$I$19),Lists!$J$19,IF(AND($M54&gt;Lists!$I$19,$M54&lt;=Lists!$I$20),Lists!$J$20,Lists!$J$21)))),IF($M54&lt;=Lists!$I$17,Lists!$K$17,IF(AND($M54&gt;Lists!$I$17,$M54&lt;=Lists!$I$18),Lists!$K$18,IF(AND($M54&gt;Lists!$I$18,$M54&lt;=Lists!$I$19),Lists!$K$19,IF(AND($M54&gt;Lists!$I$20,$M54&lt;=Lists!$I$20),Lists!$K$20,Lists!$K$21))))))</f>
        <v/>
      </c>
      <c r="H54" s="781"/>
      <c r="I54" s="1227" t="str">
        <f>(IF(OR(F54="",H54=""),"",ROUND(IF(AND($M54&lt;Lists!$I$17),Lists!$L$17,IF(AND($M54&gt;Lists!$I$17,$M54&lt;=Lists!$I$18),Lists!$L$18,IF(AND($M54&gt;Lists!$I$18,$M54&lt;=Lists!$I$19),Lists!$L$19,IF(AND($M54&gt;Lists!$I$19,$M54&lt;=Lists!$I$20),Lists!$L$20,IF(AND($M54&gt;Lists!$I$20),Lists!$L$21,)))))*2+(M54),2)))</f>
        <v/>
      </c>
      <c r="J54" s="782"/>
      <c r="K54" s="782"/>
      <c r="L54" s="782"/>
      <c r="M54" s="783" t="str">
        <f t="shared" si="2"/>
        <v/>
      </c>
      <c r="N54" s="783" t="str">
        <f t="shared" si="4"/>
        <v/>
      </c>
      <c r="O54" s="783" t="str">
        <f t="shared" si="3"/>
        <v/>
      </c>
      <c r="P54" s="777">
        <f t="shared" si="5"/>
        <v>0</v>
      </c>
    </row>
    <row r="55" spans="1:16" ht="12.75" customHeight="1" x14ac:dyDescent="0.2">
      <c r="A55" s="768"/>
      <c r="B55" s="778"/>
      <c r="C55" s="778"/>
      <c r="D55" s="779"/>
      <c r="E55" s="779"/>
      <c r="F55" s="779"/>
      <c r="G55" s="780" t="str">
        <f>IF($E55="","",IF(Roof_Type="Steel Roof",IF($M55&lt;=Lists!$I$17,Lists!$J$17,IF(AND($M55&gt;Lists!$I$17,$M55&lt;=Lists!$I$18),Lists!$J$18,IF(AND($M55&gt;Lists!$I$18,$M55&lt;=Lists!$I$19),Lists!$J$19,IF(AND($M55&gt;Lists!$I$19,$M55&lt;=Lists!$I$20),Lists!$J$20,Lists!$J$21)))),IF($M55&lt;=Lists!$I$17,Lists!$K$17,IF(AND($M55&gt;Lists!$I$17,$M55&lt;=Lists!$I$18),Lists!$K$18,IF(AND($M55&gt;Lists!$I$18,$M55&lt;=Lists!$I$19),Lists!$K$19,IF(AND($M55&gt;Lists!$I$20,$M55&lt;=Lists!$I$20),Lists!$K$20,Lists!$K$21))))))</f>
        <v/>
      </c>
      <c r="H55" s="781"/>
      <c r="I55" s="1227" t="str">
        <f>(IF(OR(F55="",H55=""),"",ROUND(IF(AND($M55&lt;Lists!$I$17),Lists!$L$17,IF(AND($M55&gt;Lists!$I$17,$M55&lt;=Lists!$I$18),Lists!$L$18,IF(AND($M55&gt;Lists!$I$18,$M55&lt;=Lists!$I$19),Lists!$L$19,IF(AND($M55&gt;Lists!$I$19,$M55&lt;=Lists!$I$20),Lists!$L$20,IF(AND($M55&gt;Lists!$I$20),Lists!$L$21,)))))*2+(M55),2)))</f>
        <v/>
      </c>
      <c r="J55" s="782"/>
      <c r="K55" s="782"/>
      <c r="L55" s="782"/>
      <c r="M55" s="783" t="str">
        <f t="shared" si="2"/>
        <v/>
      </c>
      <c r="N55" s="783" t="str">
        <f t="shared" si="4"/>
        <v/>
      </c>
      <c r="O55" s="783" t="str">
        <f t="shared" si="3"/>
        <v/>
      </c>
      <c r="P55" s="777">
        <f t="shared" si="5"/>
        <v>0</v>
      </c>
    </row>
    <row r="56" spans="1:16" ht="12.75" customHeight="1" x14ac:dyDescent="0.2">
      <c r="A56" s="768"/>
      <c r="B56" s="778"/>
      <c r="C56" s="778"/>
      <c r="D56" s="779"/>
      <c r="E56" s="779"/>
      <c r="F56" s="779"/>
      <c r="G56" s="780" t="str">
        <f>IF($E56="","",IF(Roof_Type="Steel Roof",IF($M56&lt;=Lists!$I$17,Lists!$J$17,IF(AND($M56&gt;Lists!$I$17,$M56&lt;=Lists!$I$18),Lists!$J$18,IF(AND($M56&gt;Lists!$I$18,$M56&lt;=Lists!$I$19),Lists!$J$19,IF(AND($M56&gt;Lists!$I$19,$M56&lt;=Lists!$I$20),Lists!$J$20,Lists!$J$21)))),IF($M56&lt;=Lists!$I$17,Lists!$K$17,IF(AND($M56&gt;Lists!$I$17,$M56&lt;=Lists!$I$18),Lists!$K$18,IF(AND($M56&gt;Lists!$I$18,$M56&lt;=Lists!$I$19),Lists!$K$19,IF(AND($M56&gt;Lists!$I$20,$M56&lt;=Lists!$I$20),Lists!$K$20,Lists!$K$21))))))</f>
        <v/>
      </c>
      <c r="H56" s="781"/>
      <c r="I56" s="1227" t="str">
        <f>(IF(OR(F56="",H56=""),"",ROUND(IF(AND($M56&lt;Lists!$I$17),Lists!$L$17,IF(AND($M56&gt;Lists!$I$17,$M56&lt;=Lists!$I$18),Lists!$L$18,IF(AND($M56&gt;Lists!$I$18,$M56&lt;=Lists!$I$19),Lists!$L$19,IF(AND($M56&gt;Lists!$I$19,$M56&lt;=Lists!$I$20),Lists!$L$20,IF(AND($M56&gt;Lists!$I$20),Lists!$L$21,)))))*2+(M56),2)))</f>
        <v/>
      </c>
      <c r="J56" s="782"/>
      <c r="K56" s="782"/>
      <c r="L56" s="782"/>
      <c r="M56" s="783" t="str">
        <f t="shared" si="2"/>
        <v/>
      </c>
      <c r="N56" s="783" t="str">
        <f t="shared" si="4"/>
        <v/>
      </c>
      <c r="O56" s="783" t="str">
        <f t="shared" si="3"/>
        <v/>
      </c>
      <c r="P56" s="777">
        <f t="shared" si="5"/>
        <v>0</v>
      </c>
    </row>
    <row r="57" spans="1:16" ht="12.75" customHeight="1" x14ac:dyDescent="0.2">
      <c r="A57" s="768"/>
      <c r="B57" s="778"/>
      <c r="C57" s="778"/>
      <c r="D57" s="779"/>
      <c r="E57" s="779"/>
      <c r="F57" s="779"/>
      <c r="G57" s="780" t="str">
        <f>IF($E57="","",IF(Roof_Type="Steel Roof",IF($M57&lt;=Lists!$I$17,Lists!$J$17,IF(AND($M57&gt;Lists!$I$17,$M57&lt;=Lists!$I$18),Lists!$J$18,IF(AND($M57&gt;Lists!$I$18,$M57&lt;=Lists!$I$19),Lists!$J$19,IF(AND($M57&gt;Lists!$I$19,$M57&lt;=Lists!$I$20),Lists!$J$20,Lists!$J$21)))),IF($M57&lt;=Lists!$I$17,Lists!$K$17,IF(AND($M57&gt;Lists!$I$17,$M57&lt;=Lists!$I$18),Lists!$K$18,IF(AND($M57&gt;Lists!$I$18,$M57&lt;=Lists!$I$19),Lists!$K$19,IF(AND($M57&gt;Lists!$I$20,$M57&lt;=Lists!$I$20),Lists!$K$20,Lists!$K$21))))))</f>
        <v/>
      </c>
      <c r="H57" s="781"/>
      <c r="I57" s="1227" t="str">
        <f>(IF(OR(F57="",H57=""),"",ROUND(IF(AND($M57&lt;Lists!$I$17),Lists!$L$17,IF(AND($M57&gt;Lists!$I$17,$M57&lt;=Lists!$I$18),Lists!$L$18,IF(AND($M57&gt;Lists!$I$18,$M57&lt;=Lists!$I$19),Lists!$L$19,IF(AND($M57&gt;Lists!$I$19,$M57&lt;=Lists!$I$20),Lists!$L$20,IF(AND($M57&gt;Lists!$I$20),Lists!$L$21,)))))*2+(M57),2)))</f>
        <v/>
      </c>
      <c r="J57" s="782"/>
      <c r="K57" s="782"/>
      <c r="L57" s="782"/>
      <c r="M57" s="783" t="str">
        <f t="shared" si="2"/>
        <v/>
      </c>
      <c r="N57" s="783" t="str">
        <f t="shared" si="4"/>
        <v/>
      </c>
      <c r="O57" s="783" t="str">
        <f t="shared" si="3"/>
        <v/>
      </c>
      <c r="P57" s="777">
        <f t="shared" si="5"/>
        <v>0</v>
      </c>
    </row>
    <row r="58" spans="1:16" ht="12.75" customHeight="1" x14ac:dyDescent="0.2">
      <c r="A58" s="768"/>
      <c r="B58" s="778"/>
      <c r="C58" s="778"/>
      <c r="D58" s="779"/>
      <c r="E58" s="779"/>
      <c r="F58" s="779"/>
      <c r="G58" s="780" t="str">
        <f>IF($E58="","",IF(Roof_Type="Steel Roof",IF($M58&lt;=Lists!$I$17,Lists!$J$17,IF(AND($M58&gt;Lists!$I$17,$M58&lt;=Lists!$I$18),Lists!$J$18,IF(AND($M58&gt;Lists!$I$18,$M58&lt;=Lists!$I$19),Lists!$J$19,IF(AND($M58&gt;Lists!$I$19,$M58&lt;=Lists!$I$20),Lists!$J$20,Lists!$J$21)))),IF($M58&lt;=Lists!$I$17,Lists!$K$17,IF(AND($M58&gt;Lists!$I$17,$M58&lt;=Lists!$I$18),Lists!$K$18,IF(AND($M58&gt;Lists!$I$18,$M58&lt;=Lists!$I$19),Lists!$K$19,IF(AND($M58&gt;Lists!$I$20,$M58&lt;=Lists!$I$20),Lists!$K$20,Lists!$K$21))))))</f>
        <v/>
      </c>
      <c r="H58" s="781"/>
      <c r="I58" s="1227" t="str">
        <f>(IF(OR(F58="",H58=""),"",ROUND(IF(AND($M58&lt;Lists!$I$17),Lists!$L$17,IF(AND($M58&gt;Lists!$I$17,$M58&lt;=Lists!$I$18),Lists!$L$18,IF(AND($M58&gt;Lists!$I$18,$M58&lt;=Lists!$I$19),Lists!$L$19,IF(AND($M58&gt;Lists!$I$19,$M58&lt;=Lists!$I$20),Lists!$L$20,IF(AND($M58&gt;Lists!$I$20),Lists!$L$21,)))))*2+(M58),2)))</f>
        <v/>
      </c>
      <c r="J58" s="782"/>
      <c r="K58" s="782"/>
      <c r="L58" s="782"/>
      <c r="M58" s="783" t="str">
        <f t="shared" si="2"/>
        <v/>
      </c>
      <c r="N58" s="783" t="str">
        <f t="shared" si="4"/>
        <v/>
      </c>
      <c r="O58" s="783" t="str">
        <f t="shared" si="3"/>
        <v/>
      </c>
      <c r="P58" s="777">
        <f t="shared" si="5"/>
        <v>0</v>
      </c>
    </row>
    <row r="59" spans="1:16" ht="12.75" customHeight="1" x14ac:dyDescent="0.2">
      <c r="A59" s="768"/>
      <c r="B59" s="778"/>
      <c r="C59" s="778"/>
      <c r="D59" s="779"/>
      <c r="E59" s="779"/>
      <c r="F59" s="779"/>
      <c r="G59" s="780" t="str">
        <f>IF($E59="","",IF(Roof_Type="Steel Roof",IF($M59&lt;=Lists!$I$17,Lists!$J$17,IF(AND($M59&gt;Lists!$I$17,$M59&lt;=Lists!$I$18),Lists!$J$18,IF(AND($M59&gt;Lists!$I$18,$M59&lt;=Lists!$I$19),Lists!$J$19,IF(AND($M59&gt;Lists!$I$19,$M59&lt;=Lists!$I$20),Lists!$J$20,Lists!$J$21)))),IF($M59&lt;=Lists!$I$17,Lists!$K$17,IF(AND($M59&gt;Lists!$I$17,$M59&lt;=Lists!$I$18),Lists!$K$18,IF(AND($M59&gt;Lists!$I$18,$M59&lt;=Lists!$I$19),Lists!$K$19,IF(AND($M59&gt;Lists!$I$20,$M59&lt;=Lists!$I$20),Lists!$K$20,Lists!$K$21))))))</f>
        <v/>
      </c>
      <c r="H59" s="781"/>
      <c r="I59" s="1227" t="str">
        <f>(IF(OR(F59="",H59=""),"",ROUND(IF(AND($M59&lt;Lists!$I$17),Lists!$L$17,IF(AND($M59&gt;Lists!$I$17,$M59&lt;=Lists!$I$18),Lists!$L$18,IF(AND($M59&gt;Lists!$I$18,$M59&lt;=Lists!$I$19),Lists!$L$19,IF(AND($M59&gt;Lists!$I$19,$M59&lt;=Lists!$I$20),Lists!$L$20,IF(AND($M59&gt;Lists!$I$20),Lists!$L$21,)))))*2+(M59),2)))</f>
        <v/>
      </c>
      <c r="J59" s="782"/>
      <c r="K59" s="782"/>
      <c r="L59" s="782"/>
      <c r="M59" s="783" t="str">
        <f t="shared" si="2"/>
        <v/>
      </c>
      <c r="N59" s="783" t="str">
        <f t="shared" si="4"/>
        <v/>
      </c>
      <c r="O59" s="783" t="str">
        <f t="shared" si="3"/>
        <v/>
      </c>
      <c r="P59" s="777">
        <f t="shared" si="5"/>
        <v>0</v>
      </c>
    </row>
    <row r="60" spans="1:16" ht="12.75" customHeight="1" x14ac:dyDescent="0.2">
      <c r="A60" s="768"/>
      <c r="B60" s="778"/>
      <c r="C60" s="778"/>
      <c r="D60" s="779"/>
      <c r="E60" s="779"/>
      <c r="F60" s="779"/>
      <c r="G60" s="780" t="str">
        <f>IF($E60="","",IF(Roof_Type="Steel Roof",IF($M60&lt;=Lists!$I$17,Lists!$J$17,IF(AND($M60&gt;Lists!$I$17,$M60&lt;=Lists!$I$18),Lists!$J$18,IF(AND($M60&gt;Lists!$I$18,$M60&lt;=Lists!$I$19),Lists!$J$19,IF(AND($M60&gt;Lists!$I$19,$M60&lt;=Lists!$I$20),Lists!$J$20,Lists!$J$21)))),IF($M60&lt;=Lists!$I$17,Lists!$K$17,IF(AND($M60&gt;Lists!$I$17,$M60&lt;=Lists!$I$18),Lists!$K$18,IF(AND($M60&gt;Lists!$I$18,$M60&lt;=Lists!$I$19),Lists!$K$19,IF(AND($M60&gt;Lists!$I$20,$M60&lt;=Lists!$I$20),Lists!$K$20,Lists!$K$21))))))</f>
        <v/>
      </c>
      <c r="H60" s="781"/>
      <c r="I60" s="1227" t="str">
        <f>(IF(OR(F60="",H60=""),"",ROUND(IF(AND($M60&lt;Lists!$I$17),Lists!$L$17,IF(AND($M60&gt;Lists!$I$17,$M60&lt;=Lists!$I$18),Lists!$L$18,IF(AND($M60&gt;Lists!$I$18,$M60&lt;=Lists!$I$19),Lists!$L$19,IF(AND($M60&gt;Lists!$I$19,$M60&lt;=Lists!$I$20),Lists!$L$20,IF(AND($M60&gt;Lists!$I$20),Lists!$L$21,)))))*2+(M60),2)))</f>
        <v/>
      </c>
      <c r="J60" s="782"/>
      <c r="K60" s="782"/>
      <c r="L60" s="782"/>
      <c r="M60" s="783" t="str">
        <f t="shared" si="2"/>
        <v/>
      </c>
      <c r="N60" s="783" t="str">
        <f t="shared" si="4"/>
        <v/>
      </c>
      <c r="O60" s="783" t="str">
        <f t="shared" si="3"/>
        <v/>
      </c>
      <c r="P60" s="777">
        <f t="shared" si="5"/>
        <v>0</v>
      </c>
    </row>
    <row r="61" spans="1:16" ht="12.75" customHeight="1" x14ac:dyDescent="0.2">
      <c r="A61" s="768"/>
      <c r="B61" s="778"/>
      <c r="C61" s="778"/>
      <c r="D61" s="779"/>
      <c r="E61" s="779"/>
      <c r="F61" s="779"/>
      <c r="G61" s="780" t="str">
        <f>IF($E61="","",IF(Roof_Type="Steel Roof",IF($M61&lt;=Lists!$I$17,Lists!$J$17,IF(AND($M61&gt;Lists!$I$17,$M61&lt;=Lists!$I$18),Lists!$J$18,IF(AND($M61&gt;Lists!$I$18,$M61&lt;=Lists!$I$19),Lists!$J$19,IF(AND($M61&gt;Lists!$I$19,$M61&lt;=Lists!$I$20),Lists!$J$20,Lists!$J$21)))),IF($M61&lt;=Lists!$I$17,Lists!$K$17,IF(AND($M61&gt;Lists!$I$17,$M61&lt;=Lists!$I$18),Lists!$K$18,IF(AND($M61&gt;Lists!$I$18,$M61&lt;=Lists!$I$19),Lists!$K$19,IF(AND($M61&gt;Lists!$I$20,$M61&lt;=Lists!$I$20),Lists!$K$20,Lists!$K$21))))))</f>
        <v/>
      </c>
      <c r="H61" s="781"/>
      <c r="I61" s="1227" t="str">
        <f>(IF(OR(F61="",H61=""),"",ROUND(IF(AND($M61&lt;Lists!$I$17),Lists!$L$17,IF(AND($M61&gt;Lists!$I$17,$M61&lt;=Lists!$I$18),Lists!$L$18,IF(AND($M61&gt;Lists!$I$18,$M61&lt;=Lists!$I$19),Lists!$L$19,IF(AND($M61&gt;Lists!$I$19,$M61&lt;=Lists!$I$20),Lists!$L$20,IF(AND($M61&gt;Lists!$I$20),Lists!$L$21,)))))*2+(M61),2)))</f>
        <v/>
      </c>
      <c r="J61" s="782"/>
      <c r="K61" s="782"/>
      <c r="L61" s="782"/>
      <c r="M61" s="783" t="str">
        <f t="shared" si="2"/>
        <v/>
      </c>
      <c r="N61" s="783" t="str">
        <f t="shared" si="4"/>
        <v/>
      </c>
      <c r="O61" s="783" t="str">
        <f t="shared" si="3"/>
        <v/>
      </c>
      <c r="P61" s="777">
        <f t="shared" si="5"/>
        <v>0</v>
      </c>
    </row>
    <row r="62" spans="1:16" ht="12.75" customHeight="1" x14ac:dyDescent="0.2">
      <c r="A62" s="768"/>
      <c r="B62" s="778"/>
      <c r="C62" s="778"/>
      <c r="D62" s="779"/>
      <c r="E62" s="779"/>
      <c r="F62" s="779"/>
      <c r="G62" s="780" t="str">
        <f>IF($E62="","",IF(Roof_Type="Steel Roof",IF($M62&lt;=Lists!$I$17,Lists!$J$17,IF(AND($M62&gt;Lists!$I$17,$M62&lt;=Lists!$I$18),Lists!$J$18,IF(AND($M62&gt;Lists!$I$18,$M62&lt;=Lists!$I$19),Lists!$J$19,IF(AND($M62&gt;Lists!$I$19,$M62&lt;=Lists!$I$20),Lists!$J$20,Lists!$J$21)))),IF($M62&lt;=Lists!$I$17,Lists!$K$17,IF(AND($M62&gt;Lists!$I$17,$M62&lt;=Lists!$I$18),Lists!$K$18,IF(AND($M62&gt;Lists!$I$18,$M62&lt;=Lists!$I$19),Lists!$K$19,IF(AND($M62&gt;Lists!$I$20,$M62&lt;=Lists!$I$20),Lists!$K$20,Lists!$K$21))))))</f>
        <v/>
      </c>
      <c r="H62" s="781"/>
      <c r="I62" s="1227" t="str">
        <f>(IF(OR(F62="",H62=""),"",ROUND(IF(AND($M62&lt;Lists!$I$17),Lists!$L$17,IF(AND($M62&gt;Lists!$I$17,$M62&lt;=Lists!$I$18),Lists!$L$18,IF(AND($M62&gt;Lists!$I$18,$M62&lt;=Lists!$I$19),Lists!$L$19,IF(AND($M62&gt;Lists!$I$19,$M62&lt;=Lists!$I$20),Lists!$L$20,IF(AND($M62&gt;Lists!$I$20),Lists!$L$21,)))))*2+(M62),2)))</f>
        <v/>
      </c>
      <c r="J62" s="782"/>
      <c r="K62" s="782"/>
      <c r="L62" s="782"/>
      <c r="M62" s="783" t="str">
        <f t="shared" si="2"/>
        <v/>
      </c>
      <c r="N62" s="783" t="str">
        <f t="shared" si="4"/>
        <v/>
      </c>
      <c r="O62" s="783" t="str">
        <f t="shared" si="3"/>
        <v/>
      </c>
      <c r="P62" s="777">
        <f t="shared" si="5"/>
        <v>0</v>
      </c>
    </row>
    <row r="63" spans="1:16" ht="12.75" customHeight="1" x14ac:dyDescent="0.2">
      <c r="A63" s="768"/>
      <c r="B63" s="778"/>
      <c r="C63" s="778"/>
      <c r="D63" s="779"/>
      <c r="E63" s="779"/>
      <c r="F63" s="779"/>
      <c r="G63" s="780" t="str">
        <f>IF($E63="","",IF(Roof_Type="Steel Roof",IF($M63&lt;=Lists!$I$17,Lists!$J$17,IF(AND($M63&gt;Lists!$I$17,$M63&lt;=Lists!$I$18),Lists!$J$18,IF(AND($M63&gt;Lists!$I$18,$M63&lt;=Lists!$I$19),Lists!$J$19,IF(AND($M63&gt;Lists!$I$19,$M63&lt;=Lists!$I$20),Lists!$J$20,Lists!$J$21)))),IF($M63&lt;=Lists!$I$17,Lists!$K$17,IF(AND($M63&gt;Lists!$I$17,$M63&lt;=Lists!$I$18),Lists!$K$18,IF(AND($M63&gt;Lists!$I$18,$M63&lt;=Lists!$I$19),Lists!$K$19,IF(AND($M63&gt;Lists!$I$20,$M63&lt;=Lists!$I$20),Lists!$K$20,Lists!$K$21))))))</f>
        <v/>
      </c>
      <c r="H63" s="781"/>
      <c r="I63" s="1227" t="str">
        <f>(IF(OR(F63="",H63=""),"",ROUND(IF(AND($M63&lt;Lists!$I$17),Lists!$L$17,IF(AND($M63&gt;Lists!$I$17,$M63&lt;=Lists!$I$18),Lists!$L$18,IF(AND($M63&gt;Lists!$I$18,$M63&lt;=Lists!$I$19),Lists!$L$19,IF(AND($M63&gt;Lists!$I$19,$M63&lt;=Lists!$I$20),Lists!$L$20,IF(AND($M63&gt;Lists!$I$20),Lists!$L$21,)))))*2+(M63),2)))</f>
        <v/>
      </c>
      <c r="J63" s="782"/>
      <c r="K63" s="782"/>
      <c r="L63" s="782"/>
      <c r="M63" s="783" t="str">
        <f t="shared" si="2"/>
        <v/>
      </c>
      <c r="N63" s="783" t="str">
        <f t="shared" si="4"/>
        <v/>
      </c>
      <c r="O63" s="783" t="str">
        <f t="shared" si="3"/>
        <v/>
      </c>
      <c r="P63" s="777">
        <f t="shared" si="5"/>
        <v>0</v>
      </c>
    </row>
    <row r="64" spans="1:16" ht="12.75" customHeight="1" x14ac:dyDescent="0.2">
      <c r="A64" s="768"/>
      <c r="B64" s="778"/>
      <c r="C64" s="778"/>
      <c r="D64" s="779"/>
      <c r="E64" s="779"/>
      <c r="F64" s="779"/>
      <c r="G64" s="780" t="str">
        <f>IF($E64="","",IF(Roof_Type="Steel Roof",IF($M64&lt;=Lists!$I$17,Lists!$J$17,IF(AND($M64&gt;Lists!$I$17,$M64&lt;=Lists!$I$18),Lists!$J$18,IF(AND($M64&gt;Lists!$I$18,$M64&lt;=Lists!$I$19),Lists!$J$19,IF(AND($M64&gt;Lists!$I$19,$M64&lt;=Lists!$I$20),Lists!$J$20,Lists!$J$21)))),IF($M64&lt;=Lists!$I$17,Lists!$K$17,IF(AND($M64&gt;Lists!$I$17,$M64&lt;=Lists!$I$18),Lists!$K$18,IF(AND($M64&gt;Lists!$I$18,$M64&lt;=Lists!$I$19),Lists!$K$19,IF(AND($M64&gt;Lists!$I$20,$M64&lt;=Lists!$I$20),Lists!$K$20,Lists!$K$21))))))</f>
        <v/>
      </c>
      <c r="H64" s="781"/>
      <c r="I64" s="1227" t="str">
        <f>(IF(OR(F64="",H64=""),"",ROUND(IF(AND($M64&lt;Lists!$I$17),Lists!$L$17,IF(AND($M64&gt;Lists!$I$17,$M64&lt;=Lists!$I$18),Lists!$L$18,IF(AND($M64&gt;Lists!$I$18,$M64&lt;=Lists!$I$19),Lists!$L$19,IF(AND($M64&gt;Lists!$I$19,$M64&lt;=Lists!$I$20),Lists!$L$20,IF(AND($M64&gt;Lists!$I$20),Lists!$L$21,)))))*2+(M64),2)))</f>
        <v/>
      </c>
      <c r="J64" s="782"/>
      <c r="K64" s="782"/>
      <c r="L64" s="782"/>
      <c r="M64" s="783" t="str">
        <f t="shared" si="2"/>
        <v/>
      </c>
      <c r="N64" s="783" t="str">
        <f t="shared" si="4"/>
        <v/>
      </c>
      <c r="O64" s="783" t="str">
        <f t="shared" si="3"/>
        <v/>
      </c>
      <c r="P64" s="777">
        <f t="shared" si="5"/>
        <v>0</v>
      </c>
    </row>
    <row r="65" spans="1:16" ht="12.75" customHeight="1" x14ac:dyDescent="0.2">
      <c r="A65" s="768"/>
      <c r="B65" s="778"/>
      <c r="C65" s="778"/>
      <c r="D65" s="779"/>
      <c r="E65" s="779"/>
      <c r="F65" s="779"/>
      <c r="G65" s="780" t="str">
        <f>IF($E65="","",IF(Roof_Type="Steel Roof",IF($M65&lt;=Lists!$I$17,Lists!$J$17,IF(AND($M65&gt;Lists!$I$17,$M65&lt;=Lists!$I$18),Lists!$J$18,IF(AND($M65&gt;Lists!$I$18,$M65&lt;=Lists!$I$19),Lists!$J$19,IF(AND($M65&gt;Lists!$I$19,$M65&lt;=Lists!$I$20),Lists!$J$20,Lists!$J$21)))),IF($M65&lt;=Lists!$I$17,Lists!$K$17,IF(AND($M65&gt;Lists!$I$17,$M65&lt;=Lists!$I$18),Lists!$K$18,IF(AND($M65&gt;Lists!$I$18,$M65&lt;=Lists!$I$19),Lists!$K$19,IF(AND($M65&gt;Lists!$I$20,$M65&lt;=Lists!$I$20),Lists!$K$20,Lists!$K$21))))))</f>
        <v/>
      </c>
      <c r="H65" s="781"/>
      <c r="I65" s="1227" t="str">
        <f>(IF(OR(F65="",H65=""),"",ROUND(IF(AND($M65&lt;Lists!$I$17),Lists!$L$17,IF(AND($M65&gt;Lists!$I$17,$M65&lt;=Lists!$I$18),Lists!$L$18,IF(AND($M65&gt;Lists!$I$18,$M65&lt;=Lists!$I$19),Lists!$L$19,IF(AND($M65&gt;Lists!$I$19,$M65&lt;=Lists!$I$20),Lists!$L$20,IF(AND($M65&gt;Lists!$I$20),Lists!$L$21,)))))*2+(M65),2)))</f>
        <v/>
      </c>
      <c r="J65" s="782"/>
      <c r="K65" s="782"/>
      <c r="L65" s="782"/>
      <c r="M65" s="783" t="str">
        <f t="shared" si="2"/>
        <v/>
      </c>
      <c r="N65" s="783" t="str">
        <f t="shared" si="4"/>
        <v/>
      </c>
      <c r="O65" s="783" t="str">
        <f t="shared" si="3"/>
        <v/>
      </c>
      <c r="P65" s="777">
        <f t="shared" si="5"/>
        <v>0</v>
      </c>
    </row>
    <row r="66" spans="1:16" ht="12.75" customHeight="1" x14ac:dyDescent="0.2">
      <c r="A66" s="768"/>
      <c r="B66" s="778"/>
      <c r="C66" s="778"/>
      <c r="D66" s="779"/>
      <c r="E66" s="779"/>
      <c r="F66" s="779"/>
      <c r="G66" s="780" t="str">
        <f>IF($E66="","",IF(Roof_Type="Steel Roof",IF($M66&lt;=Lists!$I$17,Lists!$J$17,IF(AND($M66&gt;Lists!$I$17,$M66&lt;=Lists!$I$18),Lists!$J$18,IF(AND($M66&gt;Lists!$I$18,$M66&lt;=Lists!$I$19),Lists!$J$19,IF(AND($M66&gt;Lists!$I$19,$M66&lt;=Lists!$I$20),Lists!$J$20,Lists!$J$21)))),IF($M66&lt;=Lists!$I$17,Lists!$K$17,IF(AND($M66&gt;Lists!$I$17,$M66&lt;=Lists!$I$18),Lists!$K$18,IF(AND($M66&gt;Lists!$I$18,$M66&lt;=Lists!$I$19),Lists!$K$19,IF(AND($M66&gt;Lists!$I$20,$M66&lt;=Lists!$I$20),Lists!$K$20,Lists!$K$21))))))</f>
        <v/>
      </c>
      <c r="H66" s="781"/>
      <c r="I66" s="1227" t="str">
        <f>(IF(OR(F66="",H66=""),"",ROUND(IF(AND($M66&lt;Lists!$I$17),Lists!$L$17,IF(AND($M66&gt;Lists!$I$17,$M66&lt;=Lists!$I$18),Lists!$L$18,IF(AND($M66&gt;Lists!$I$18,$M66&lt;=Lists!$I$19),Lists!$L$19,IF(AND($M66&gt;Lists!$I$19,$M66&lt;=Lists!$I$20),Lists!$L$20,IF(AND($M66&gt;Lists!$I$20),Lists!$L$21,)))))*2+(M66),2)))</f>
        <v/>
      </c>
      <c r="J66" s="782"/>
      <c r="K66" s="782"/>
      <c r="L66" s="782"/>
      <c r="M66" s="783" t="str">
        <f t="shared" si="2"/>
        <v/>
      </c>
      <c r="N66" s="783" t="str">
        <f t="shared" si="4"/>
        <v/>
      </c>
      <c r="O66" s="783" t="str">
        <f t="shared" si="3"/>
        <v/>
      </c>
      <c r="P66" s="777">
        <f t="shared" si="5"/>
        <v>0</v>
      </c>
    </row>
    <row r="67" spans="1:16" ht="12.75" customHeight="1" x14ac:dyDescent="0.2">
      <c r="A67" s="768"/>
      <c r="B67" s="778"/>
      <c r="C67" s="778"/>
      <c r="D67" s="779"/>
      <c r="E67" s="779"/>
      <c r="F67" s="779"/>
      <c r="G67" s="780" t="str">
        <f>IF($E67="","",IF(Roof_Type="Steel Roof",IF($M67&lt;=Lists!$I$17,Lists!$J$17,IF(AND($M67&gt;Lists!$I$17,$M67&lt;=Lists!$I$18),Lists!$J$18,IF(AND($M67&gt;Lists!$I$18,$M67&lt;=Lists!$I$19),Lists!$J$19,IF(AND($M67&gt;Lists!$I$19,$M67&lt;=Lists!$I$20),Lists!$J$20,Lists!$J$21)))),IF($M67&lt;=Lists!$I$17,Lists!$K$17,IF(AND($M67&gt;Lists!$I$17,$M67&lt;=Lists!$I$18),Lists!$K$18,IF(AND($M67&gt;Lists!$I$18,$M67&lt;=Lists!$I$19),Lists!$K$19,IF(AND($M67&gt;Lists!$I$20,$M67&lt;=Lists!$I$20),Lists!$K$20,Lists!$K$21))))))</f>
        <v/>
      </c>
      <c r="H67" s="781"/>
      <c r="I67" s="1227" t="str">
        <f>(IF(OR(F67="",H67=""),"",ROUND(IF(AND($M67&lt;Lists!$I$17),Lists!$L$17,IF(AND($M67&gt;Lists!$I$17,$M67&lt;=Lists!$I$18),Lists!$L$18,IF(AND($M67&gt;Lists!$I$18,$M67&lt;=Lists!$I$19),Lists!$L$19,IF(AND($M67&gt;Lists!$I$19,$M67&lt;=Lists!$I$20),Lists!$L$20,IF(AND($M67&gt;Lists!$I$20),Lists!$L$21,)))))*2+(M67),2)))</f>
        <v/>
      </c>
      <c r="J67" s="782"/>
      <c r="K67" s="782"/>
      <c r="L67" s="782"/>
      <c r="M67" s="783" t="str">
        <f t="shared" si="2"/>
        <v/>
      </c>
      <c r="N67" s="783" t="str">
        <f t="shared" si="4"/>
        <v/>
      </c>
      <c r="O67" s="783" t="str">
        <f t="shared" si="3"/>
        <v/>
      </c>
      <c r="P67" s="777">
        <f t="shared" si="5"/>
        <v>0</v>
      </c>
    </row>
    <row r="68" spans="1:16" ht="12.75" customHeight="1" x14ac:dyDescent="0.2">
      <c r="A68" s="768"/>
      <c r="B68" s="778"/>
      <c r="C68" s="778"/>
      <c r="D68" s="779"/>
      <c r="E68" s="779"/>
      <c r="F68" s="779"/>
      <c r="G68" s="780" t="str">
        <f>IF($E68="","",IF(Roof_Type="Steel Roof",IF($M68&lt;=Lists!$I$17,Lists!$J$17,IF(AND($M68&gt;Lists!$I$17,$M68&lt;=Lists!$I$18),Lists!$J$18,IF(AND($M68&gt;Lists!$I$18,$M68&lt;=Lists!$I$19),Lists!$J$19,IF(AND($M68&gt;Lists!$I$19,$M68&lt;=Lists!$I$20),Lists!$J$20,Lists!$J$21)))),IF($M68&lt;=Lists!$I$17,Lists!$K$17,IF(AND($M68&gt;Lists!$I$17,$M68&lt;=Lists!$I$18),Lists!$K$18,IF(AND($M68&gt;Lists!$I$18,$M68&lt;=Lists!$I$19),Lists!$K$19,IF(AND($M68&gt;Lists!$I$20,$M68&lt;=Lists!$I$20),Lists!$K$20,Lists!$K$21))))))</f>
        <v/>
      </c>
      <c r="H68" s="781"/>
      <c r="I68" s="1227" t="str">
        <f>(IF(OR(F68="",H68=""),"",ROUND(IF(AND($M68&lt;Lists!$I$17),Lists!$L$17,IF(AND($M68&gt;Lists!$I$17,$M68&lt;=Lists!$I$18),Lists!$L$18,IF(AND($M68&gt;Lists!$I$18,$M68&lt;=Lists!$I$19),Lists!$L$19,IF(AND($M68&gt;Lists!$I$19,$M68&lt;=Lists!$I$20),Lists!$L$20,IF(AND($M68&gt;Lists!$I$20),Lists!$L$21,)))))*2+(M68),2)))</f>
        <v/>
      </c>
      <c r="J68" s="782"/>
      <c r="K68" s="782"/>
      <c r="L68" s="782"/>
      <c r="M68" s="783" t="str">
        <f t="shared" si="2"/>
        <v/>
      </c>
      <c r="N68" s="783" t="str">
        <f t="shared" si="4"/>
        <v/>
      </c>
      <c r="O68" s="783" t="str">
        <f t="shared" si="3"/>
        <v/>
      </c>
      <c r="P68" s="777">
        <f t="shared" si="5"/>
        <v>0</v>
      </c>
    </row>
    <row r="69" spans="1:16" ht="12.75" customHeight="1" x14ac:dyDescent="0.2">
      <c r="A69" s="768"/>
      <c r="B69" s="778"/>
      <c r="C69" s="778"/>
      <c r="D69" s="779"/>
      <c r="E69" s="779"/>
      <c r="F69" s="779"/>
      <c r="G69" s="780" t="str">
        <f>IF($E69="","",IF(Roof_Type="Steel Roof",IF($M69&lt;=Lists!$I$17,Lists!$J$17,IF(AND($M69&gt;Lists!$I$17,$M69&lt;=Lists!$I$18),Lists!$J$18,IF(AND($M69&gt;Lists!$I$18,$M69&lt;=Lists!$I$19),Lists!$J$19,IF(AND($M69&gt;Lists!$I$19,$M69&lt;=Lists!$I$20),Lists!$J$20,Lists!$J$21)))),IF($M69&lt;=Lists!$I$17,Lists!$K$17,IF(AND($M69&gt;Lists!$I$17,$M69&lt;=Lists!$I$18),Lists!$K$18,IF(AND($M69&gt;Lists!$I$18,$M69&lt;=Lists!$I$19),Lists!$K$19,IF(AND($M69&gt;Lists!$I$20,$M69&lt;=Lists!$I$20),Lists!$K$20,Lists!$K$21))))))</f>
        <v/>
      </c>
      <c r="H69" s="781"/>
      <c r="I69" s="1227" t="str">
        <f>(IF(OR(F69="",H69=""),"",ROUND(IF(AND($M69&lt;Lists!$I$17),Lists!$L$17,IF(AND($M69&gt;Lists!$I$17,$M69&lt;=Lists!$I$18),Lists!$L$18,IF(AND($M69&gt;Lists!$I$18,$M69&lt;=Lists!$I$19),Lists!$L$19,IF(AND($M69&gt;Lists!$I$19,$M69&lt;=Lists!$I$20),Lists!$L$20,IF(AND($M69&gt;Lists!$I$20),Lists!$L$21,)))))*2+(M69),2)))</f>
        <v/>
      </c>
      <c r="J69" s="782"/>
      <c r="K69" s="782"/>
      <c r="L69" s="782"/>
      <c r="M69" s="783" t="str">
        <f t="shared" si="2"/>
        <v/>
      </c>
      <c r="N69" s="783" t="str">
        <f t="shared" si="4"/>
        <v/>
      </c>
      <c r="O69" s="783" t="str">
        <f t="shared" si="3"/>
        <v/>
      </c>
      <c r="P69" s="777">
        <f t="shared" si="5"/>
        <v>0</v>
      </c>
    </row>
    <row r="70" spans="1:16" ht="12.75" customHeight="1" thickBot="1" x14ac:dyDescent="0.25">
      <c r="A70" s="768"/>
      <c r="B70" s="778"/>
      <c r="C70" s="784"/>
      <c r="D70" s="785"/>
      <c r="E70" s="785"/>
      <c r="F70" s="786"/>
      <c r="G70" s="787" t="str">
        <f>IF($E70="","",IF(Roof_Type="Steel Roof",IF($M70&lt;=Lists!$I$17,Lists!$J$17,IF(AND($M70&gt;Lists!$I$17,$M70&lt;=Lists!$I$18),Lists!$J$18,IF(AND($M70&gt;Lists!$I$18,$M70&lt;=Lists!$I$19),Lists!$J$19,IF(AND($M70&gt;Lists!$I$19,$M70&lt;=Lists!$I$20),Lists!$J$20,Lists!$J$21)))),IF($M70&lt;=Lists!$I$17,Lists!$K$17,IF(AND($M70&gt;Lists!$I$17,$M70&lt;=Lists!$I$18),Lists!$K$18,IF(AND($M70&gt;Lists!$I$18,$M70&lt;=Lists!$I$19),Lists!$K$19,IF(AND($M70&gt;Lists!$I$20,$M70&lt;=Lists!$I$20),Lists!$K$20,Lists!$K$21))))))</f>
        <v/>
      </c>
      <c r="H70" s="788"/>
      <c r="I70" s="1227" t="str">
        <f>(IF(OR(F70="",H70=""),"",ROUND(IF(AND($M70&lt;Lists!$I$17),Lists!$L$17,IF(AND($M70&gt;Lists!$I$17,$M70&lt;=Lists!$I$18),Lists!$L$18,IF(AND($M70&gt;Lists!$I$18,$M70&lt;=Lists!$I$19),Lists!$L$19,IF(AND($M70&gt;Lists!$I$19,$M70&lt;=Lists!$I$20),Lists!$L$20,IF(AND($M70&gt;Lists!$I$20),Lists!$L$21,)))))*2+(M70),2)))</f>
        <v/>
      </c>
      <c r="J70" s="789"/>
      <c r="K70" s="785"/>
      <c r="L70" s="789"/>
      <c r="M70" s="783" t="str">
        <f>IF(OR($E70="",$E70=0),"",$F70/1000)</f>
        <v/>
      </c>
      <c r="N70" s="783" t="str">
        <f t="shared" si="4"/>
        <v/>
      </c>
      <c r="O70" s="783" t="str">
        <f>IF(OR($F70="",OR($E70="",$E70=0)),"",($M70*$N70))</f>
        <v/>
      </c>
      <c r="P70" s="777">
        <f t="shared" si="5"/>
        <v>0</v>
      </c>
    </row>
    <row r="71" spans="1:16" ht="12.75" customHeight="1" thickBot="1" x14ac:dyDescent="0.25">
      <c r="F71" s="790"/>
      <c r="I71" s="790">
        <f>SUM(I5:I70)</f>
        <v>0</v>
      </c>
      <c r="M71" s="790">
        <f>SUM(M5:M70)</f>
        <v>0</v>
      </c>
      <c r="N71" s="790">
        <f>SUM(N5:N70)</f>
        <v>0</v>
      </c>
      <c r="O71" s="790">
        <f>SUM(O5:O70)</f>
        <v>0</v>
      </c>
    </row>
    <row r="72" spans="1:16" ht="12.75" customHeight="1" x14ac:dyDescent="0.2"/>
  </sheetData>
  <phoneticPr fontId="12" type="noConversion"/>
  <dataValidations count="8">
    <dataValidation type="list" allowBlank="1" showInputMessage="1" showErrorMessage="1" sqref="H5:H70" xr:uid="{00000000-0002-0000-0700-000000000000}">
      <formula1>Lintel</formula1>
    </dataValidation>
    <dataValidation type="list" allowBlank="1" showInputMessage="1" showErrorMessage="1" sqref="D4" xr:uid="{00000000-0002-0000-0700-000001000000}">
      <formula1>Rooms</formula1>
    </dataValidation>
    <dataValidation type="whole" allowBlank="1" showInputMessage="1" showErrorMessage="1" error="Ensure this figure is in millimeters" sqref="F5:F70" xr:uid="{00000000-0002-0000-0700-000003000000}">
      <formula1>230</formula1>
      <formula2>10000</formula2>
    </dataValidation>
    <dataValidation type="list" allowBlank="1" showInputMessage="1" showErrorMessage="1" sqref="J1048576 J5:J70" xr:uid="{00000000-0002-0000-0700-000005000000}">
      <formula1>"Internal, External"</formula1>
    </dataValidation>
    <dataValidation type="list" allowBlank="1" showInputMessage="1" showErrorMessage="1" sqref="B5:B70" xr:uid="{00000000-0002-0000-0700-000006000000}">
      <formula1>"Ground,First"</formula1>
    </dataValidation>
    <dataValidation type="list" allowBlank="1" showInputMessage="1" sqref="D5:D70" xr:uid="{49E0B635-784A-4EA6-B4D8-54BF25212096}">
      <formula1>"Recessed Sill"</formula1>
    </dataValidation>
    <dataValidation type="list" allowBlank="1" showInputMessage="1" showErrorMessage="1" sqref="K5:L70" xr:uid="{D686E47D-CB40-4763-A19E-D3E2130E3058}">
      <formula1>"True,False"</formula1>
    </dataValidation>
    <dataValidation type="list" allowBlank="1" showInputMessage="1" showErrorMessage="1" sqref="C5:C70" xr:uid="{37F533E1-CD49-4C41-89DD-6FD78DAC52B0}">
      <formula1>"Face, Render, RBV, Stud"</formula1>
    </dataValidation>
  </dataValidations>
  <pageMargins left="0.19685039370078741" right="0.19685039370078741" top="0.39370078740157483" bottom="0.39370078740157483" header="0.51181102362204722" footer="0.51181102362204722"/>
  <pageSetup paperSize="9" scale="57" fitToHeight="2" orientation="landscape" r:id="rId1"/>
  <headerFooter alignWithMargins="0">
    <oddFooter>Page &amp;P of &amp;N</oddFooter>
  </headerFooter>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S315"/>
  <sheetViews>
    <sheetView showZeros="0" workbookViewId="0">
      <selection sqref="A1:E1"/>
    </sheetView>
  </sheetViews>
  <sheetFormatPr defaultColWidth="9.140625" defaultRowHeight="12.75" x14ac:dyDescent="0.2"/>
  <cols>
    <col min="1" max="5" width="20.7109375" customWidth="1"/>
    <col min="6" max="8" width="20.7109375" hidden="1" customWidth="1"/>
    <col min="9" max="9" width="10.7109375" customWidth="1"/>
    <col min="10" max="10" width="36" customWidth="1"/>
    <col min="11" max="11" width="17.28515625" customWidth="1"/>
    <col min="12" max="12" width="27.140625" customWidth="1"/>
  </cols>
  <sheetData>
    <row r="1" spans="1:19" x14ac:dyDescent="0.2">
      <c r="A1" s="1276" t="str">
        <f>Address</f>
        <v/>
      </c>
      <c r="B1" s="1276"/>
      <c r="C1" s="1276"/>
      <c r="D1" s="1276"/>
      <c r="E1" s="1276"/>
      <c r="L1" s="87" t="s">
        <v>2852</v>
      </c>
    </row>
    <row r="2" spans="1:19" x14ac:dyDescent="0.2">
      <c r="A2" s="1134"/>
      <c r="B2" s="1134"/>
      <c r="C2" s="1134"/>
      <c r="D2" s="1134"/>
      <c r="E2" s="1134"/>
      <c r="F2" s="87" t="s">
        <v>1604</v>
      </c>
      <c r="L2" s="87" t="s">
        <v>3076</v>
      </c>
    </row>
    <row r="3" spans="1:19" x14ac:dyDescent="0.2">
      <c r="A3" s="1142" t="s">
        <v>148</v>
      </c>
      <c r="B3" s="1142" t="s">
        <v>552</v>
      </c>
      <c r="C3" s="1142" t="s">
        <v>556</v>
      </c>
      <c r="D3" s="1142" t="s">
        <v>34</v>
      </c>
      <c r="E3" s="1142" t="s">
        <v>1605</v>
      </c>
      <c r="F3" t="s">
        <v>1540</v>
      </c>
      <c r="G3" t="s">
        <v>1606</v>
      </c>
      <c r="H3" t="s">
        <v>1607</v>
      </c>
    </row>
    <row r="4" spans="1:19" x14ac:dyDescent="0.2">
      <c r="A4" s="1143">
        <f>'Lintel Sheet'!B5</f>
        <v>0</v>
      </c>
      <c r="B4" s="1143">
        <f>'Lintel Sheet'!D5</f>
        <v>0</v>
      </c>
      <c r="C4" s="1143">
        <f>'Lintel Sheet'!H5</f>
        <v>0</v>
      </c>
      <c r="D4" s="1143" t="str">
        <f>IF(LintelTable[[#This Row],[Floor]]&gt;0,LintelTable[[#This Row],[Column1]]&amp;" / "&amp;'Lintel Sheet'!$I5,"")</f>
        <v/>
      </c>
      <c r="E4" s="1143" t="str">
        <f>IF('Lintel Sheet'!$B5&lt;&gt;"",IF(Coastal="Yes","Duplex","Galvanised"),"")</f>
        <v/>
      </c>
      <c r="F4">
        <f t="shared" ref="F4:F25" si="0">H4</f>
        <v>0</v>
      </c>
      <c r="G4" t="str">
        <f>IF(A4&gt;0,COUNTIFS($D$4:$D$315,LintelTable[[#This Row],[Length]],$C$4:$C$315,LintelTable[[#This Row],[Lintel]],$E$4:$E$315,LintelTable[[#This Row],[Treatment]],$A$4:$A$315,LintelTable[[#This Row],[Floor]],$B$4:$B$315,LintelTable[[#This Row],[Room]]),"")</f>
        <v/>
      </c>
    </row>
    <row r="5" spans="1:19" s="205" customFormat="1" x14ac:dyDescent="0.2">
      <c r="A5" s="1143">
        <f>'Lintel Sheet'!B6</f>
        <v>0</v>
      </c>
      <c r="B5" s="1143">
        <f>'Lintel Sheet'!D6</f>
        <v>0</v>
      </c>
      <c r="C5" s="1143">
        <f>'Lintel Sheet'!H6</f>
        <v>0</v>
      </c>
      <c r="D5" s="1143" t="str">
        <f>IF(LintelTable[[#This Row],[Floor]]&gt;0,LintelTable[[#This Row],[Column1]]&amp;" / "&amp;'Lintel Sheet'!$I6,"")</f>
        <v/>
      </c>
      <c r="E5" s="1143" t="str">
        <f>IF('Lintel Sheet'!$B6&lt;&gt;"",IF(Coastal="Yes","Duplex","Galvanised"),"")</f>
        <v/>
      </c>
      <c r="F5">
        <f t="shared" si="0"/>
        <v>0</v>
      </c>
      <c r="G5" t="str">
        <f>IF(A5&gt;0,COUNTIFS($D$4:$D$315,LintelTable[[#This Row],[Length]],$C$4:$C$315,LintelTable[[#This Row],[Lintel]],$E$4:$E$315,LintelTable[[#This Row],[Treatment]],$A$4:$A$315,LintelTable[[#This Row],[Floor]],$B$4:$B$315,LintelTable[[#This Row],[Room]]),"")</f>
        <v/>
      </c>
      <c r="H5"/>
      <c r="I5"/>
      <c r="J5"/>
      <c r="K5"/>
      <c r="L5"/>
      <c r="M5"/>
      <c r="N5"/>
      <c r="O5"/>
      <c r="P5"/>
      <c r="Q5"/>
      <c r="R5"/>
      <c r="S5"/>
    </row>
    <row r="6" spans="1:19" s="205" customFormat="1" x14ac:dyDescent="0.2">
      <c r="A6" s="1143">
        <f>'Lintel Sheet'!B7</f>
        <v>0</v>
      </c>
      <c r="B6" s="1143">
        <f>'Lintel Sheet'!D7</f>
        <v>0</v>
      </c>
      <c r="C6" s="1143">
        <f>'Lintel Sheet'!H7</f>
        <v>0</v>
      </c>
      <c r="D6" s="1143" t="str">
        <f>IF(LintelTable[[#This Row],[Floor]]&gt;0,LintelTable[[#This Row],[Column1]]&amp;" / "&amp;'Lintel Sheet'!$I7,"")</f>
        <v/>
      </c>
      <c r="E6" s="1143" t="str">
        <f>IF('Lintel Sheet'!$B7&lt;&gt;"",IF(Coastal="Yes","Duplex","Galvanised"),"")</f>
        <v/>
      </c>
      <c r="F6">
        <f t="shared" si="0"/>
        <v>0</v>
      </c>
      <c r="G6" t="str">
        <f>IF(A6&gt;0,COUNTIFS($D$4:$D$315,LintelTable[[#This Row],[Length]],$C$4:$C$315,LintelTable[[#This Row],[Lintel]],$E$4:$E$315,LintelTable[[#This Row],[Treatment]],$A$4:$A$315,LintelTable[[#This Row],[Floor]],$B$4:$B$315,LintelTable[[#This Row],[Room]]),"")</f>
        <v/>
      </c>
      <c r="H6"/>
      <c r="I6"/>
      <c r="J6"/>
      <c r="K6"/>
      <c r="L6"/>
      <c r="M6"/>
      <c r="N6"/>
      <c r="O6"/>
      <c r="P6"/>
      <c r="Q6"/>
      <c r="R6"/>
      <c r="S6"/>
    </row>
    <row r="7" spans="1:19" s="205" customFormat="1" x14ac:dyDescent="0.2">
      <c r="A7" s="1143">
        <f>'Lintel Sheet'!B8</f>
        <v>0</v>
      </c>
      <c r="B7" s="1143">
        <f>'Lintel Sheet'!D8</f>
        <v>0</v>
      </c>
      <c r="C7" s="1143">
        <f>'Lintel Sheet'!H8</f>
        <v>0</v>
      </c>
      <c r="D7" s="1143" t="str">
        <f>IF(LintelTable[[#This Row],[Floor]]&gt;0,LintelTable[[#This Row],[Column1]]&amp;" / "&amp;'Lintel Sheet'!$I8,"")</f>
        <v/>
      </c>
      <c r="E7" s="1143" t="str">
        <f>IF('Lintel Sheet'!$B8&lt;&gt;"",IF(Coastal="Yes","Duplex","Galvanised"),"")</f>
        <v/>
      </c>
      <c r="F7">
        <f t="shared" si="0"/>
        <v>0</v>
      </c>
      <c r="G7" t="str">
        <f>IF(A7&gt;0,COUNTIFS($D$4:$D$315,LintelTable[[#This Row],[Length]],$C$4:$C$315,LintelTable[[#This Row],[Lintel]],$E$4:$E$315,LintelTable[[#This Row],[Treatment]],$A$4:$A$315,LintelTable[[#This Row],[Floor]],$B$4:$B$315,LintelTable[[#This Row],[Room]]),"")</f>
        <v/>
      </c>
      <c r="H7"/>
      <c r="I7"/>
      <c r="J7"/>
      <c r="K7"/>
      <c r="L7"/>
      <c r="M7"/>
      <c r="N7"/>
      <c r="O7"/>
      <c r="P7"/>
      <c r="Q7"/>
      <c r="R7"/>
      <c r="S7"/>
    </row>
    <row r="8" spans="1:19" s="205" customFormat="1" x14ac:dyDescent="0.2">
      <c r="A8" s="1143">
        <f>'Lintel Sheet'!B9</f>
        <v>0</v>
      </c>
      <c r="B8" s="1143">
        <f>'Lintel Sheet'!D9</f>
        <v>0</v>
      </c>
      <c r="C8" s="1143">
        <f>'Lintel Sheet'!H9</f>
        <v>0</v>
      </c>
      <c r="D8" s="1143" t="str">
        <f>IF(LintelTable[[#This Row],[Floor]]&gt;0,LintelTable[[#This Row],[Column1]]&amp;" / "&amp;'Lintel Sheet'!$I9,"")</f>
        <v/>
      </c>
      <c r="E8" s="1143" t="str">
        <f>IF('Lintel Sheet'!$B9&lt;&gt;"",IF(Coastal="Yes","Duplex","Galvanised"),"")</f>
        <v/>
      </c>
      <c r="F8">
        <f t="shared" si="0"/>
        <v>0</v>
      </c>
      <c r="G8" t="str">
        <f>IF(A8&gt;0,COUNTIFS($D$4:$D$315,LintelTable[[#This Row],[Length]],$C$4:$C$315,LintelTable[[#This Row],[Lintel]],$E$4:$E$315,LintelTable[[#This Row],[Treatment]],$A$4:$A$315,LintelTable[[#This Row],[Floor]],$B$4:$B$315,LintelTable[[#This Row],[Room]]),"")</f>
        <v/>
      </c>
      <c r="H8"/>
      <c r="I8"/>
      <c r="J8"/>
      <c r="K8"/>
      <c r="L8"/>
      <c r="M8"/>
      <c r="N8"/>
      <c r="O8"/>
      <c r="P8"/>
      <c r="Q8"/>
      <c r="R8"/>
      <c r="S8"/>
    </row>
    <row r="9" spans="1:19" s="205" customFormat="1" x14ac:dyDescent="0.2">
      <c r="A9" s="1143">
        <f>'Lintel Sheet'!B10</f>
        <v>0</v>
      </c>
      <c r="B9" s="1143">
        <f>'Lintel Sheet'!D10</f>
        <v>0</v>
      </c>
      <c r="C9" s="1143">
        <f>'Lintel Sheet'!H10</f>
        <v>0</v>
      </c>
      <c r="D9" s="1143" t="str">
        <f>IF(LintelTable[[#This Row],[Floor]]&gt;0,LintelTable[[#This Row],[Column1]]&amp;" / "&amp;'Lintel Sheet'!$I10,"")</f>
        <v/>
      </c>
      <c r="E9" s="1143" t="str">
        <f>IF('Lintel Sheet'!$B10&lt;&gt;"",IF(Coastal="Yes","Duplex","Galvanised"),"")</f>
        <v/>
      </c>
      <c r="F9">
        <f t="shared" si="0"/>
        <v>0</v>
      </c>
      <c r="G9" t="str">
        <f>IF(A9&gt;0,COUNTIFS($D$4:$D$315,LintelTable[[#This Row],[Length]],$C$4:$C$315,LintelTable[[#This Row],[Lintel]],$E$4:$E$315,LintelTable[[#This Row],[Treatment]],$A$4:$A$315,LintelTable[[#This Row],[Floor]],$B$4:$B$315,LintelTable[[#This Row],[Room]]),"")</f>
        <v/>
      </c>
      <c r="H9"/>
      <c r="I9"/>
      <c r="J9"/>
      <c r="K9"/>
      <c r="L9"/>
      <c r="M9"/>
      <c r="N9"/>
      <c r="O9"/>
      <c r="P9"/>
      <c r="Q9"/>
      <c r="R9"/>
      <c r="S9"/>
    </row>
    <row r="10" spans="1:19" s="205" customFormat="1" x14ac:dyDescent="0.2">
      <c r="A10" s="1143">
        <f>'Lintel Sheet'!B11</f>
        <v>0</v>
      </c>
      <c r="B10" s="1143">
        <f>'Lintel Sheet'!D11</f>
        <v>0</v>
      </c>
      <c r="C10" s="1143">
        <f>'Lintel Sheet'!H11</f>
        <v>0</v>
      </c>
      <c r="D10" s="1143" t="str">
        <f>IF(LintelTable[[#This Row],[Floor]]&gt;0,LintelTable[[#This Row],[Column1]]&amp;" / "&amp;'Lintel Sheet'!$I11,"")</f>
        <v/>
      </c>
      <c r="E10" s="1143" t="str">
        <f>IF('Lintel Sheet'!$B11&lt;&gt;"",IF(Coastal="Yes","Duplex","Galvanised"),"")</f>
        <v/>
      </c>
      <c r="F10">
        <f t="shared" si="0"/>
        <v>0</v>
      </c>
      <c r="G10" t="str">
        <f>IF(A10&gt;0,COUNTIFS($D$4:$D$315,LintelTable[[#This Row],[Length]],$C$4:$C$315,LintelTable[[#This Row],[Lintel]],$E$4:$E$315,LintelTable[[#This Row],[Treatment]],$A$4:$A$315,LintelTable[[#This Row],[Floor]],$B$4:$B$315,LintelTable[[#This Row],[Room]]),"")</f>
        <v/>
      </c>
      <c r="H10"/>
      <c r="I10"/>
      <c r="J10"/>
      <c r="K10"/>
      <c r="L10"/>
      <c r="M10"/>
      <c r="N10"/>
      <c r="O10"/>
      <c r="P10"/>
      <c r="Q10"/>
      <c r="R10"/>
      <c r="S10"/>
    </row>
    <row r="11" spans="1:19" s="205" customFormat="1" x14ac:dyDescent="0.2">
      <c r="A11" s="1143">
        <f>'Lintel Sheet'!B12</f>
        <v>0</v>
      </c>
      <c r="B11" s="1143">
        <f>'Lintel Sheet'!D12</f>
        <v>0</v>
      </c>
      <c r="C11" s="1143">
        <f>'Lintel Sheet'!H12</f>
        <v>0</v>
      </c>
      <c r="D11" s="1143" t="str">
        <f>IF(LintelTable[[#This Row],[Floor]]&gt;0,LintelTable[[#This Row],[Column1]]&amp;" / "&amp;'Lintel Sheet'!$I12,"")</f>
        <v/>
      </c>
      <c r="E11" s="1143" t="str">
        <f>IF('Lintel Sheet'!$B12&lt;&gt;"",IF(Coastal="Yes","Duplex","Galvanised"),"")</f>
        <v/>
      </c>
      <c r="F11">
        <f t="shared" si="0"/>
        <v>0</v>
      </c>
      <c r="G11" t="str">
        <f>IF(A11&gt;0,COUNTIFS($D$4:$D$315,LintelTable[[#This Row],[Length]],$C$4:$C$315,LintelTable[[#This Row],[Lintel]],$E$4:$E$315,LintelTable[[#This Row],[Treatment]],$A$4:$A$315,LintelTable[[#This Row],[Floor]],$B$4:$B$315,LintelTable[[#This Row],[Room]]),"")</f>
        <v/>
      </c>
      <c r="H11"/>
      <c r="I11"/>
      <c r="J11"/>
      <c r="K11"/>
      <c r="L11"/>
      <c r="M11"/>
      <c r="N11"/>
      <c r="O11"/>
      <c r="P11"/>
      <c r="Q11"/>
      <c r="R11"/>
      <c r="S11"/>
    </row>
    <row r="12" spans="1:19" s="205" customFormat="1" x14ac:dyDescent="0.2">
      <c r="A12" s="1143">
        <f>'Lintel Sheet'!B13</f>
        <v>0</v>
      </c>
      <c r="B12" s="1143">
        <f>'Lintel Sheet'!D13</f>
        <v>0</v>
      </c>
      <c r="C12" s="1143">
        <f>'Lintel Sheet'!H13</f>
        <v>0</v>
      </c>
      <c r="D12" s="1143" t="str">
        <f>IF(LintelTable[[#This Row],[Floor]]&gt;0,LintelTable[[#This Row],[Column1]]&amp;" / "&amp;'Lintel Sheet'!$I13,"")</f>
        <v/>
      </c>
      <c r="E12" s="1143" t="str">
        <f>IF('Lintel Sheet'!$B13&lt;&gt;"",IF(Coastal="Yes","Duplex","Galvanised"),"")</f>
        <v/>
      </c>
      <c r="F12">
        <f t="shared" si="0"/>
        <v>0</v>
      </c>
      <c r="G12" t="str">
        <f>IF(A12&gt;0,COUNTIFS($D$4:$D$315,LintelTable[[#This Row],[Length]],$C$4:$C$315,LintelTable[[#This Row],[Lintel]],$E$4:$E$315,LintelTable[[#This Row],[Treatment]],$A$4:$A$315,LintelTable[[#This Row],[Floor]],$B$4:$B$315,LintelTable[[#This Row],[Room]]),"")</f>
        <v/>
      </c>
      <c r="H12"/>
      <c r="I12"/>
      <c r="J12"/>
      <c r="K12"/>
      <c r="L12"/>
      <c r="M12"/>
      <c r="N12"/>
      <c r="O12"/>
      <c r="P12"/>
      <c r="Q12"/>
      <c r="R12"/>
      <c r="S12"/>
    </row>
    <row r="13" spans="1:19" s="205" customFormat="1" x14ac:dyDescent="0.2">
      <c r="A13" s="1143">
        <f>'Lintel Sheet'!B14</f>
        <v>0</v>
      </c>
      <c r="B13" s="1143">
        <f>'Lintel Sheet'!D14</f>
        <v>0</v>
      </c>
      <c r="C13" s="1143">
        <f>'Lintel Sheet'!H14</f>
        <v>0</v>
      </c>
      <c r="D13" s="1143" t="str">
        <f>IF(LintelTable[[#This Row],[Floor]]&gt;0,LintelTable[[#This Row],[Column1]]&amp;" / "&amp;'Lintel Sheet'!$I14,"")</f>
        <v/>
      </c>
      <c r="E13" s="1143" t="str">
        <f>IF('Lintel Sheet'!$B14&lt;&gt;"",IF(Coastal="Yes","Duplex","Galvanised"),"")</f>
        <v/>
      </c>
      <c r="F13">
        <f t="shared" si="0"/>
        <v>0</v>
      </c>
      <c r="G13" t="str">
        <f>IF(A13&gt;0,COUNTIFS($D$4:$D$315,LintelTable[[#This Row],[Length]],$C$4:$C$315,LintelTable[[#This Row],[Lintel]],$E$4:$E$315,LintelTable[[#This Row],[Treatment]],$A$4:$A$315,LintelTable[[#This Row],[Floor]],$B$4:$B$315,LintelTable[[#This Row],[Room]]),"")</f>
        <v/>
      </c>
      <c r="H13"/>
      <c r="I13"/>
      <c r="J13"/>
      <c r="K13"/>
      <c r="L13"/>
      <c r="M13"/>
      <c r="N13"/>
      <c r="O13"/>
      <c r="P13"/>
      <c r="Q13"/>
      <c r="R13"/>
      <c r="S13"/>
    </row>
    <row r="14" spans="1:19" s="205" customFormat="1" x14ac:dyDescent="0.2">
      <c r="A14" s="1143">
        <f>'Lintel Sheet'!B15</f>
        <v>0</v>
      </c>
      <c r="B14" s="1143">
        <f>'Lintel Sheet'!D15</f>
        <v>0</v>
      </c>
      <c r="C14" s="1143">
        <f>'Lintel Sheet'!H15</f>
        <v>0</v>
      </c>
      <c r="D14" s="1143" t="str">
        <f>IF(LintelTable[[#This Row],[Floor]]&gt;0,LintelTable[[#This Row],[Column1]]&amp;" / "&amp;'Lintel Sheet'!$I15,"")</f>
        <v/>
      </c>
      <c r="E14" s="1143" t="str">
        <f>IF('Lintel Sheet'!$B15&lt;&gt;"",IF(Coastal="Yes","Duplex","Galvanised"),"")</f>
        <v/>
      </c>
      <c r="F14">
        <f t="shared" si="0"/>
        <v>0</v>
      </c>
      <c r="G14" t="str">
        <f>IF(A14&gt;0,COUNTIFS($D$4:$D$315,LintelTable[[#This Row],[Length]],$C$4:$C$315,LintelTable[[#This Row],[Lintel]],$E$4:$E$315,LintelTable[[#This Row],[Treatment]],$A$4:$A$315,LintelTable[[#This Row],[Floor]],$B$4:$B$315,LintelTable[[#This Row],[Room]]),"")</f>
        <v/>
      </c>
      <c r="H14"/>
      <c r="I14"/>
      <c r="J14"/>
      <c r="K14"/>
      <c r="L14"/>
      <c r="M14"/>
      <c r="N14"/>
      <c r="O14"/>
      <c r="P14"/>
      <c r="Q14"/>
      <c r="R14"/>
      <c r="S14"/>
    </row>
    <row r="15" spans="1:19" s="205" customFormat="1" x14ac:dyDescent="0.2">
      <c r="A15" s="1143">
        <f>'Lintel Sheet'!B16</f>
        <v>0</v>
      </c>
      <c r="B15" s="1143">
        <f>'Lintel Sheet'!D16</f>
        <v>0</v>
      </c>
      <c r="C15" s="1143">
        <f>'Lintel Sheet'!H16</f>
        <v>0</v>
      </c>
      <c r="D15" s="1143" t="str">
        <f>IF(LintelTable[[#This Row],[Floor]]&gt;0,LintelTable[[#This Row],[Column1]]&amp;" / "&amp;'Lintel Sheet'!$I16,"")</f>
        <v/>
      </c>
      <c r="E15" s="1143" t="str">
        <f>IF('Lintel Sheet'!$B16&lt;&gt;"",IF(Coastal="Yes","Duplex","Galvanised"),"")</f>
        <v/>
      </c>
      <c r="F15">
        <f t="shared" si="0"/>
        <v>0</v>
      </c>
      <c r="G15" t="str">
        <f>IF(A15&gt;0,COUNTIFS($D$4:$D$315,LintelTable[[#This Row],[Length]],$C$4:$C$315,LintelTable[[#This Row],[Lintel]],$E$4:$E$315,LintelTable[[#This Row],[Treatment]],$A$4:$A$315,LintelTable[[#This Row],[Floor]],$B$4:$B$315,LintelTable[[#This Row],[Room]]),"")</f>
        <v/>
      </c>
      <c r="H15"/>
      <c r="I15"/>
      <c r="J15"/>
      <c r="K15"/>
      <c r="L15"/>
      <c r="M15"/>
      <c r="N15"/>
      <c r="O15"/>
      <c r="P15"/>
      <c r="Q15"/>
      <c r="R15"/>
      <c r="S15"/>
    </row>
    <row r="16" spans="1:19" s="205" customFormat="1" x14ac:dyDescent="0.2">
      <c r="A16" s="1143">
        <f>'Lintel Sheet'!B17</f>
        <v>0</v>
      </c>
      <c r="B16" s="1143">
        <f>'Lintel Sheet'!D17</f>
        <v>0</v>
      </c>
      <c r="C16" s="1143">
        <f>'Lintel Sheet'!H17</f>
        <v>0</v>
      </c>
      <c r="D16" s="1143" t="str">
        <f>IF(LintelTable[[#This Row],[Floor]]&gt;0,LintelTable[[#This Row],[Column1]]&amp;" / "&amp;'Lintel Sheet'!$I17,"")</f>
        <v/>
      </c>
      <c r="E16" s="1143" t="str">
        <f>IF('Lintel Sheet'!$B17&lt;&gt;"",IF(Coastal="Yes","Duplex","Galvanised"),"")</f>
        <v/>
      </c>
      <c r="F16">
        <f t="shared" si="0"/>
        <v>0</v>
      </c>
      <c r="G16" t="str">
        <f>IF(A16&gt;0,COUNTIFS($D$4:$D$315,LintelTable[[#This Row],[Length]],$C$4:$C$315,LintelTable[[#This Row],[Lintel]],$E$4:$E$315,LintelTable[[#This Row],[Treatment]],$A$4:$A$315,LintelTable[[#This Row],[Floor]],$B$4:$B$315,LintelTable[[#This Row],[Room]]),"")</f>
        <v/>
      </c>
      <c r="H16"/>
      <c r="I16"/>
      <c r="J16"/>
      <c r="K16"/>
      <c r="L16"/>
      <c r="M16"/>
      <c r="N16"/>
      <c r="O16"/>
      <c r="P16"/>
      <c r="Q16"/>
      <c r="R16"/>
      <c r="S16"/>
    </row>
    <row r="17" spans="1:19" s="205" customFormat="1" x14ac:dyDescent="0.2">
      <c r="A17" s="1143">
        <f>'Lintel Sheet'!B18</f>
        <v>0</v>
      </c>
      <c r="B17" s="1143">
        <f>'Lintel Sheet'!D18</f>
        <v>0</v>
      </c>
      <c r="C17" s="1143">
        <f>'Lintel Sheet'!H18</f>
        <v>0</v>
      </c>
      <c r="D17" s="1143" t="str">
        <f>IF(LintelTable[[#This Row],[Floor]]&gt;0,LintelTable[[#This Row],[Column1]]&amp;" / "&amp;'Lintel Sheet'!$I18,"")</f>
        <v/>
      </c>
      <c r="E17" s="1143" t="str">
        <f>IF('Lintel Sheet'!$B18&lt;&gt;"",IF(Coastal="Yes","Duplex","Galvanised"),"")</f>
        <v/>
      </c>
      <c r="F17">
        <f t="shared" si="0"/>
        <v>0</v>
      </c>
      <c r="G17" t="str">
        <f>IF(A17&gt;0,COUNTIFS($D$4:$D$315,LintelTable[[#This Row],[Length]],$C$4:$C$315,LintelTable[[#This Row],[Lintel]],$E$4:$E$315,LintelTable[[#This Row],[Treatment]],$A$4:$A$315,LintelTable[[#This Row],[Floor]],$B$4:$B$315,LintelTable[[#This Row],[Room]]),"")</f>
        <v/>
      </c>
      <c r="H17"/>
      <c r="I17"/>
      <c r="J17"/>
      <c r="K17"/>
      <c r="L17"/>
      <c r="M17"/>
      <c r="N17"/>
      <c r="O17"/>
      <c r="P17"/>
      <c r="Q17"/>
      <c r="R17"/>
      <c r="S17"/>
    </row>
    <row r="18" spans="1:19" s="205" customFormat="1" x14ac:dyDescent="0.2">
      <c r="A18" s="1143">
        <f>'Lintel Sheet'!B19</f>
        <v>0</v>
      </c>
      <c r="B18" s="1143">
        <f>'Lintel Sheet'!D19</f>
        <v>0</v>
      </c>
      <c r="C18" s="1143">
        <f>'Lintel Sheet'!H19</f>
        <v>0</v>
      </c>
      <c r="D18" s="1143" t="str">
        <f>IF(LintelTable[[#This Row],[Floor]]&gt;0,LintelTable[[#This Row],[Column1]]&amp;" / "&amp;'Lintel Sheet'!$I19,"")</f>
        <v/>
      </c>
      <c r="E18" s="1143" t="str">
        <f>IF('Lintel Sheet'!$B19&lt;&gt;"",IF(Coastal="Yes","Duplex","Galvanised"),"")</f>
        <v/>
      </c>
      <c r="F18">
        <f t="shared" si="0"/>
        <v>0</v>
      </c>
      <c r="G18" t="str">
        <f>IF(A18&gt;0,COUNTIFS($D$4:$D$315,LintelTable[[#This Row],[Length]],$C$4:$C$315,LintelTable[[#This Row],[Lintel]],$E$4:$E$315,LintelTable[[#This Row],[Treatment]],$A$4:$A$315,LintelTable[[#This Row],[Floor]],$B$4:$B$315,LintelTable[[#This Row],[Room]]),"")</f>
        <v/>
      </c>
      <c r="H18"/>
      <c r="I18"/>
      <c r="J18" s="87"/>
      <c r="K18"/>
      <c r="L18"/>
      <c r="M18"/>
      <c r="N18"/>
      <c r="O18"/>
      <c r="P18"/>
      <c r="Q18"/>
      <c r="R18"/>
      <c r="S18"/>
    </row>
    <row r="19" spans="1:19" s="205" customFormat="1" x14ac:dyDescent="0.2">
      <c r="A19" s="1143">
        <f>'Lintel Sheet'!B20</f>
        <v>0</v>
      </c>
      <c r="B19" s="1143">
        <f>'Lintel Sheet'!D20</f>
        <v>0</v>
      </c>
      <c r="C19" s="1143">
        <f>'Lintel Sheet'!H20</f>
        <v>0</v>
      </c>
      <c r="D19" s="1143" t="str">
        <f>IF(LintelTable[[#This Row],[Floor]]&gt;0,LintelTable[[#This Row],[Column1]]&amp;" / "&amp;'Lintel Sheet'!$I20,"")</f>
        <v/>
      </c>
      <c r="E19" s="1143" t="str">
        <f>IF('Lintel Sheet'!$B20&lt;&gt;"",IF(Coastal="Yes","Duplex","Galvanised"),"")</f>
        <v/>
      </c>
      <c r="F19">
        <f t="shared" si="0"/>
        <v>0</v>
      </c>
      <c r="G19" t="str">
        <f>IF(A19&gt;0,COUNTIFS($D$4:$D$315,LintelTable[[#This Row],[Length]],$C$4:$C$315,LintelTable[[#This Row],[Lintel]],$E$4:$E$315,LintelTable[[#This Row],[Treatment]],$A$4:$A$315,LintelTable[[#This Row],[Floor]],$B$4:$B$315,LintelTable[[#This Row],[Room]]),"")</f>
        <v/>
      </c>
      <c r="H19"/>
      <c r="I19"/>
      <c r="J19" s="87"/>
      <c r="K19"/>
      <c r="L19"/>
      <c r="M19"/>
      <c r="N19"/>
      <c r="O19"/>
      <c r="P19"/>
      <c r="Q19"/>
      <c r="R19"/>
      <c r="S19"/>
    </row>
    <row r="20" spans="1:19" s="205" customFormat="1" x14ac:dyDescent="0.2">
      <c r="A20" s="1143">
        <f>'Lintel Sheet'!B21</f>
        <v>0</v>
      </c>
      <c r="B20" s="1143">
        <f>'Lintel Sheet'!D21</f>
        <v>0</v>
      </c>
      <c r="C20" s="1143">
        <f>'Lintel Sheet'!H21</f>
        <v>0</v>
      </c>
      <c r="D20" s="1143" t="str">
        <f>IF(LintelTable[[#This Row],[Floor]]&gt;0,LintelTable[[#This Row],[Column1]]&amp;" / "&amp;'Lintel Sheet'!$I21,"")</f>
        <v/>
      </c>
      <c r="E20" s="1143" t="str">
        <f>IF('Lintel Sheet'!$B21&lt;&gt;"",IF(Coastal="Yes","Duplex","Galvanised"),"")</f>
        <v/>
      </c>
      <c r="F20">
        <f t="shared" si="0"/>
        <v>0</v>
      </c>
      <c r="G20" t="str">
        <f>IF(A20&gt;0,COUNTIFS($D$4:$D$315,LintelTable[[#This Row],[Length]],$C$4:$C$315,LintelTable[[#This Row],[Lintel]],$E$4:$E$315,LintelTable[[#This Row],[Treatment]],$A$4:$A$315,LintelTable[[#This Row],[Floor]],$B$4:$B$315,LintelTable[[#This Row],[Room]]),"")</f>
        <v/>
      </c>
      <c r="H20"/>
      <c r="I20"/>
      <c r="J20"/>
      <c r="K20"/>
      <c r="L20"/>
      <c r="M20"/>
      <c r="N20"/>
      <c r="O20"/>
      <c r="P20"/>
      <c r="Q20"/>
      <c r="R20"/>
      <c r="S20"/>
    </row>
    <row r="21" spans="1:19" s="205" customFormat="1" x14ac:dyDescent="0.2">
      <c r="A21" s="1143">
        <f>'Lintel Sheet'!B22</f>
        <v>0</v>
      </c>
      <c r="B21" s="1143">
        <f>'Lintel Sheet'!D22</f>
        <v>0</v>
      </c>
      <c r="C21" s="1143">
        <f>'Lintel Sheet'!H22</f>
        <v>0</v>
      </c>
      <c r="D21" s="1143" t="str">
        <f>IF(LintelTable[[#This Row],[Floor]]&gt;0,LintelTable[[#This Row],[Column1]]&amp;" / "&amp;'Lintel Sheet'!$I22,"")</f>
        <v/>
      </c>
      <c r="E21" s="1143" t="str">
        <f>IF('Lintel Sheet'!$B22&lt;&gt;"",IF(Coastal="Yes","Duplex","Galvanised"),"")</f>
        <v/>
      </c>
      <c r="F21">
        <f t="shared" si="0"/>
        <v>0</v>
      </c>
      <c r="G21" t="str">
        <f>IF(A21&gt;0,COUNTIFS($D$4:$D$315,LintelTable[[#This Row],[Length]],$C$4:$C$315,LintelTable[[#This Row],[Lintel]],$E$4:$E$315,LintelTable[[#This Row],[Treatment]],$A$4:$A$315,LintelTable[[#This Row],[Floor]],$B$4:$B$315,LintelTable[[#This Row],[Room]]),"")</f>
        <v/>
      </c>
      <c r="H21"/>
      <c r="I21"/>
      <c r="J21"/>
      <c r="K21"/>
      <c r="L21"/>
      <c r="M21"/>
      <c r="N21"/>
      <c r="O21"/>
      <c r="P21"/>
      <c r="Q21"/>
      <c r="R21"/>
      <c r="S21"/>
    </row>
    <row r="22" spans="1:19" s="205" customFormat="1" x14ac:dyDescent="0.2">
      <c r="A22" s="1143">
        <f>'Lintel Sheet'!B23</f>
        <v>0</v>
      </c>
      <c r="B22" s="1143">
        <f>'Lintel Sheet'!D23</f>
        <v>0</v>
      </c>
      <c r="C22" s="1143">
        <f>'Lintel Sheet'!H23</f>
        <v>0</v>
      </c>
      <c r="D22" s="1143" t="str">
        <f>IF(LintelTable[[#This Row],[Floor]]&gt;0,LintelTable[[#This Row],[Column1]]&amp;" / "&amp;'Lintel Sheet'!$I23,"")</f>
        <v/>
      </c>
      <c r="E22" s="1143" t="str">
        <f>IF('Lintel Sheet'!$B23&lt;&gt;"",IF(Coastal="Yes","Duplex","Galvanised"),"")</f>
        <v/>
      </c>
      <c r="F22">
        <f t="shared" si="0"/>
        <v>0</v>
      </c>
      <c r="G22" t="str">
        <f>IF(A22&gt;0,COUNTIFS($D$4:$D$315,LintelTable[[#This Row],[Length]],$C$4:$C$315,LintelTable[[#This Row],[Lintel]],$E$4:$E$315,LintelTable[[#This Row],[Treatment]],$A$4:$A$315,LintelTable[[#This Row],[Floor]],$B$4:$B$315,LintelTable[[#This Row],[Room]]),"")</f>
        <v/>
      </c>
      <c r="H22"/>
      <c r="I22"/>
      <c r="J22"/>
      <c r="K22"/>
      <c r="L22"/>
      <c r="M22"/>
      <c r="N22"/>
      <c r="O22"/>
      <c r="P22"/>
      <c r="Q22"/>
      <c r="R22"/>
      <c r="S22"/>
    </row>
    <row r="23" spans="1:19" s="205" customFormat="1" x14ac:dyDescent="0.2">
      <c r="A23" s="1143">
        <f>'Lintel Sheet'!B24</f>
        <v>0</v>
      </c>
      <c r="B23" s="1143">
        <f>'Lintel Sheet'!D24</f>
        <v>0</v>
      </c>
      <c r="C23" s="1143">
        <f>'Lintel Sheet'!H24</f>
        <v>0</v>
      </c>
      <c r="D23" s="1143" t="str">
        <f>IF(LintelTable[[#This Row],[Floor]]&gt;0,LintelTable[[#This Row],[Column1]]&amp;" / "&amp;'Lintel Sheet'!$I24,"")</f>
        <v/>
      </c>
      <c r="E23" s="1143" t="str">
        <f>IF('Lintel Sheet'!$B24&lt;&gt;"",IF(Coastal="Yes","Duplex","Galvanised"),"")</f>
        <v/>
      </c>
      <c r="F23">
        <f t="shared" si="0"/>
        <v>0</v>
      </c>
      <c r="G23" t="str">
        <f>IF(A23&gt;0,COUNTIFS($D$4:$D$315,LintelTable[[#This Row],[Length]],$C$4:$C$315,LintelTable[[#This Row],[Lintel]],$E$4:$E$315,LintelTable[[#This Row],[Treatment]],$A$4:$A$315,LintelTable[[#This Row],[Floor]],$B$4:$B$315,LintelTable[[#This Row],[Room]]),"")</f>
        <v/>
      </c>
      <c r="H23"/>
      <c r="I23"/>
      <c r="J23"/>
      <c r="K23"/>
      <c r="L23"/>
      <c r="M23"/>
      <c r="N23"/>
      <c r="O23"/>
      <c r="P23"/>
      <c r="Q23"/>
      <c r="R23"/>
      <c r="S23"/>
    </row>
    <row r="24" spans="1:19" s="205" customFormat="1" x14ac:dyDescent="0.2">
      <c r="A24" s="1143">
        <f>'Lintel Sheet'!B25</f>
        <v>0</v>
      </c>
      <c r="B24" s="1143">
        <f>'Lintel Sheet'!D25</f>
        <v>0</v>
      </c>
      <c r="C24" s="1143">
        <f>'Lintel Sheet'!H25</f>
        <v>0</v>
      </c>
      <c r="D24" s="1143" t="str">
        <f>IF(LintelTable[[#This Row],[Floor]]&gt;0,LintelTable[[#This Row],[Column1]]&amp;" / "&amp;'Lintel Sheet'!$I25,"")</f>
        <v/>
      </c>
      <c r="E24" s="1143" t="str">
        <f>IF('Lintel Sheet'!$B25&lt;&gt;"",IF(Coastal="Yes","Duplex","Galvanised"),"")</f>
        <v/>
      </c>
      <c r="F24">
        <f t="shared" si="0"/>
        <v>0</v>
      </c>
      <c r="G24" t="str">
        <f>IF(A24&gt;0,COUNTIFS($D$4:$D$315,LintelTable[[#This Row],[Length]],$C$4:$C$315,LintelTable[[#This Row],[Lintel]],$E$4:$E$315,LintelTable[[#This Row],[Treatment]],$A$4:$A$315,LintelTable[[#This Row],[Floor]],$B$4:$B$315,LintelTable[[#This Row],[Room]]),"")</f>
        <v/>
      </c>
      <c r="H24"/>
      <c r="I24"/>
      <c r="J24"/>
      <c r="K24"/>
      <c r="L24"/>
      <c r="M24"/>
      <c r="N24"/>
      <c r="O24"/>
      <c r="P24"/>
      <c r="Q24"/>
      <c r="R24"/>
      <c r="S24"/>
    </row>
    <row r="25" spans="1:19" s="205" customFormat="1" x14ac:dyDescent="0.2">
      <c r="A25" s="1143">
        <f>'Lintel Sheet'!B26</f>
        <v>0</v>
      </c>
      <c r="B25" s="1143">
        <f>'Lintel Sheet'!D26</f>
        <v>0</v>
      </c>
      <c r="C25" s="1143">
        <f>'Lintel Sheet'!H26</f>
        <v>0</v>
      </c>
      <c r="D25" s="1143" t="str">
        <f>IF(LintelTable[[#This Row],[Floor]]&gt;0,LintelTable[[#This Row],[Column1]]&amp;" / "&amp;'Lintel Sheet'!$I26,"")</f>
        <v/>
      </c>
      <c r="E25" s="1143" t="str">
        <f>IF('Lintel Sheet'!$B26&lt;&gt;"",IF(Coastal="Yes","Duplex","Galvanised"),"")</f>
        <v/>
      </c>
      <c r="F25">
        <f t="shared" si="0"/>
        <v>0</v>
      </c>
      <c r="G25" t="str">
        <f>IF(A25&gt;0,COUNTIFS($D$4:$D$315,LintelTable[[#This Row],[Length]],$C$4:$C$315,LintelTable[[#This Row],[Lintel]],$E$4:$E$315,LintelTable[[#This Row],[Treatment]],$A$4:$A$315,LintelTable[[#This Row],[Floor]],$B$4:$B$315,LintelTable[[#This Row],[Room]]),"")</f>
        <v/>
      </c>
      <c r="H25"/>
      <c r="I25"/>
      <c r="J25"/>
      <c r="K25"/>
      <c r="L25"/>
      <c r="M25"/>
      <c r="N25"/>
      <c r="O25"/>
      <c r="P25"/>
      <c r="Q25"/>
      <c r="R25"/>
      <c r="S25"/>
    </row>
    <row r="26" spans="1:19" s="205" customFormat="1" x14ac:dyDescent="0.2">
      <c r="A26" s="1143">
        <f>'Lintel Sheet'!B27</f>
        <v>0</v>
      </c>
      <c r="B26" s="1143">
        <f>'Lintel Sheet'!D27</f>
        <v>0</v>
      </c>
      <c r="C26" s="1143">
        <f>'Lintel Sheet'!H27</f>
        <v>0</v>
      </c>
      <c r="D26" s="1143" t="str">
        <f>IF(LintelTable[[#This Row],[Floor]]&gt;0,LintelTable[[#This Row],[Column1]]&amp;" / "&amp;'Lintel Sheet'!$I27,"")</f>
        <v/>
      </c>
      <c r="E26" s="1143" t="str">
        <f>IF('Lintel Sheet'!$B27&lt;&gt;"",IF(Coastal="Yes","Duplex","Galvanised"),"")</f>
        <v/>
      </c>
      <c r="F26">
        <f t="shared" ref="F26:F89" si="1">H26</f>
        <v>0</v>
      </c>
      <c r="G26" t="str">
        <f>IF(A26&gt;0,COUNTIFS($D$4:$D$315,LintelTable[[#This Row],[Length]],$C$4:$C$315,LintelTable[[#This Row],[Lintel]],$E$4:$E$315,LintelTable[[#This Row],[Treatment]],$A$4:$A$315,LintelTable[[#This Row],[Floor]],$B$4:$B$315,LintelTable[[#This Row],[Room]]),"")</f>
        <v/>
      </c>
      <c r="H26"/>
      <c r="I26"/>
      <c r="J26"/>
      <c r="K26"/>
      <c r="L26"/>
      <c r="M26"/>
      <c r="N26"/>
      <c r="O26"/>
      <c r="P26"/>
      <c r="Q26"/>
      <c r="R26"/>
      <c r="S26"/>
    </row>
    <row r="27" spans="1:19" s="205" customFormat="1" x14ac:dyDescent="0.2">
      <c r="A27" s="1143">
        <f>'Lintel Sheet'!B28</f>
        <v>0</v>
      </c>
      <c r="B27" s="1143">
        <f>'Lintel Sheet'!D28</f>
        <v>0</v>
      </c>
      <c r="C27" s="1143">
        <f>'Lintel Sheet'!H28</f>
        <v>0</v>
      </c>
      <c r="D27" s="1143" t="str">
        <f>IF(LintelTable[[#This Row],[Floor]]&gt;0,LintelTable[[#This Row],[Column1]]&amp;" / "&amp;'Lintel Sheet'!$I28,"")</f>
        <v/>
      </c>
      <c r="E27" s="1143" t="str">
        <f>IF('Lintel Sheet'!$B28&lt;&gt;"",IF(Coastal="Yes","Duplex","Galvanised"),"")</f>
        <v/>
      </c>
      <c r="F27">
        <f t="shared" si="1"/>
        <v>0</v>
      </c>
      <c r="G27" t="str">
        <f>IF(A27&gt;0,COUNTIFS($D$4:$D$315,LintelTable[[#This Row],[Length]],$C$4:$C$315,LintelTable[[#This Row],[Lintel]],$E$4:$E$315,LintelTable[[#This Row],[Treatment]],$A$4:$A$315,LintelTable[[#This Row],[Floor]],$B$4:$B$315,LintelTable[[#This Row],[Room]]),"")</f>
        <v/>
      </c>
      <c r="H27"/>
      <c r="I27"/>
      <c r="J27"/>
      <c r="K27"/>
      <c r="L27"/>
      <c r="M27"/>
      <c r="N27"/>
      <c r="O27"/>
      <c r="P27"/>
      <c r="Q27"/>
      <c r="R27"/>
      <c r="S27"/>
    </row>
    <row r="28" spans="1:19" s="205" customFormat="1" x14ac:dyDescent="0.2">
      <c r="A28" s="1143">
        <f>'Lintel Sheet'!B29</f>
        <v>0</v>
      </c>
      <c r="B28" s="1143">
        <f>'Lintel Sheet'!D29</f>
        <v>0</v>
      </c>
      <c r="C28" s="1143">
        <f>'Lintel Sheet'!H29</f>
        <v>0</v>
      </c>
      <c r="D28" s="1143" t="str">
        <f>IF(LintelTable[[#This Row],[Floor]]&gt;0,LintelTable[[#This Row],[Column1]]&amp;" / "&amp;'Lintel Sheet'!$I29,"")</f>
        <v/>
      </c>
      <c r="E28" s="1143" t="str">
        <f>IF('Lintel Sheet'!$B29&lt;&gt;"",IF(Coastal="Yes","Duplex","Galvanised"),"")</f>
        <v/>
      </c>
      <c r="F28">
        <f t="shared" si="1"/>
        <v>0</v>
      </c>
      <c r="G28" t="str">
        <f>IF(A28&gt;0,COUNTIFS($D$4:$D$315,LintelTable[[#This Row],[Length]],$C$4:$C$315,LintelTable[[#This Row],[Lintel]],$E$4:$E$315,LintelTable[[#This Row],[Treatment]],$A$4:$A$315,LintelTable[[#This Row],[Floor]],$B$4:$B$315,LintelTable[[#This Row],[Room]]),"")</f>
        <v/>
      </c>
      <c r="H28"/>
      <c r="I28"/>
      <c r="J28"/>
      <c r="K28"/>
      <c r="L28"/>
      <c r="M28"/>
      <c r="N28"/>
      <c r="O28"/>
      <c r="P28"/>
      <c r="Q28"/>
      <c r="R28"/>
      <c r="S28"/>
    </row>
    <row r="29" spans="1:19" s="205" customFormat="1" x14ac:dyDescent="0.2">
      <c r="A29" s="1143">
        <f>'Lintel Sheet'!B30</f>
        <v>0</v>
      </c>
      <c r="B29" s="1143">
        <f>'Lintel Sheet'!D30</f>
        <v>0</v>
      </c>
      <c r="C29" s="1143">
        <f>'Lintel Sheet'!H30</f>
        <v>0</v>
      </c>
      <c r="D29" s="1143" t="str">
        <f>IF(LintelTable[[#This Row],[Floor]]&gt;0,LintelTable[[#This Row],[Column1]]&amp;" / "&amp;'Lintel Sheet'!$I30,"")</f>
        <v/>
      </c>
      <c r="E29" s="1143" t="str">
        <f>IF('Lintel Sheet'!$B30&lt;&gt;"",IF(Coastal="Yes","Duplex","Galvanised"),"")</f>
        <v/>
      </c>
      <c r="F29">
        <f t="shared" si="1"/>
        <v>0</v>
      </c>
      <c r="G29" t="str">
        <f>IF(A29&gt;0,COUNTIFS($D$4:$D$315,LintelTable[[#This Row],[Length]],$C$4:$C$315,LintelTable[[#This Row],[Lintel]],$E$4:$E$315,LintelTable[[#This Row],[Treatment]],$A$4:$A$315,LintelTable[[#This Row],[Floor]],$B$4:$B$315,LintelTable[[#This Row],[Room]]),"")</f>
        <v/>
      </c>
      <c r="H29"/>
      <c r="I29"/>
      <c r="J29"/>
      <c r="K29"/>
      <c r="L29"/>
      <c r="M29"/>
      <c r="N29"/>
      <c r="O29"/>
      <c r="P29"/>
      <c r="Q29"/>
      <c r="R29"/>
      <c r="S29"/>
    </row>
    <row r="30" spans="1:19" s="205" customFormat="1" x14ac:dyDescent="0.2">
      <c r="A30" s="1143">
        <f>'Lintel Sheet'!B31</f>
        <v>0</v>
      </c>
      <c r="B30" s="1143">
        <f>'Lintel Sheet'!D31</f>
        <v>0</v>
      </c>
      <c r="C30" s="1143">
        <f>'Lintel Sheet'!H31</f>
        <v>0</v>
      </c>
      <c r="D30" s="1143" t="str">
        <f>IF(LintelTable[[#This Row],[Floor]]&gt;0,LintelTable[[#This Row],[Column1]]&amp;" / "&amp;'Lintel Sheet'!$I31,"")</f>
        <v/>
      </c>
      <c r="E30" s="1143" t="str">
        <f>IF('Lintel Sheet'!$B31&lt;&gt;"",IF(Coastal="Yes","Duplex","Galvanised"),"")</f>
        <v/>
      </c>
      <c r="F30">
        <f t="shared" si="1"/>
        <v>0</v>
      </c>
      <c r="G30" t="str">
        <f>IF(A30&gt;0,COUNTIFS($D$4:$D$315,LintelTable[[#This Row],[Length]],$C$4:$C$315,LintelTable[[#This Row],[Lintel]],$E$4:$E$315,LintelTable[[#This Row],[Treatment]],$A$4:$A$315,LintelTable[[#This Row],[Floor]],$B$4:$B$315,LintelTable[[#This Row],[Room]]),"")</f>
        <v/>
      </c>
      <c r="H30"/>
      <c r="I30"/>
      <c r="J30"/>
      <c r="K30"/>
      <c r="L30"/>
      <c r="M30"/>
      <c r="N30"/>
      <c r="O30"/>
      <c r="P30"/>
      <c r="Q30"/>
      <c r="R30"/>
      <c r="S30"/>
    </row>
    <row r="31" spans="1:19" s="205" customFormat="1" x14ac:dyDescent="0.2">
      <c r="A31" s="1143">
        <f>'Lintel Sheet'!B32</f>
        <v>0</v>
      </c>
      <c r="B31" s="1143">
        <f>'Lintel Sheet'!D32</f>
        <v>0</v>
      </c>
      <c r="C31" s="1143">
        <f>'Lintel Sheet'!H32</f>
        <v>0</v>
      </c>
      <c r="D31" s="1143" t="str">
        <f>IF(LintelTable[[#This Row],[Floor]]&gt;0,LintelTable[[#This Row],[Column1]]&amp;" / "&amp;'Lintel Sheet'!$I32,"")</f>
        <v/>
      </c>
      <c r="E31" s="1143" t="str">
        <f>IF('Lintel Sheet'!$B32&lt;&gt;"",IF(Coastal="Yes","Duplex","Galvanised"),"")</f>
        <v/>
      </c>
      <c r="F31">
        <f t="shared" si="1"/>
        <v>0</v>
      </c>
      <c r="G31" t="str">
        <f>IF(A31&gt;0,COUNTIFS($D$4:$D$315,LintelTable[[#This Row],[Length]],$C$4:$C$315,LintelTable[[#This Row],[Lintel]],$E$4:$E$315,LintelTable[[#This Row],[Treatment]],$A$4:$A$315,LintelTable[[#This Row],[Floor]],$B$4:$B$315,LintelTable[[#This Row],[Room]]),"")</f>
        <v/>
      </c>
      <c r="H31"/>
      <c r="I31"/>
      <c r="J31"/>
      <c r="K31"/>
      <c r="L31"/>
      <c r="M31"/>
      <c r="N31"/>
      <c r="O31"/>
      <c r="P31"/>
      <c r="Q31"/>
      <c r="R31"/>
      <c r="S31"/>
    </row>
    <row r="32" spans="1:19" s="205" customFormat="1" x14ac:dyDescent="0.2">
      <c r="A32" s="1143">
        <f>'Lintel Sheet'!B33</f>
        <v>0</v>
      </c>
      <c r="B32" s="1143">
        <f>'Lintel Sheet'!D33</f>
        <v>0</v>
      </c>
      <c r="C32" s="1143">
        <f>'Lintel Sheet'!H33</f>
        <v>0</v>
      </c>
      <c r="D32" s="1143" t="str">
        <f>IF(LintelTable[[#This Row],[Floor]]&gt;0,LintelTable[[#This Row],[Column1]]&amp;" / "&amp;'Lintel Sheet'!$I33,"")</f>
        <v/>
      </c>
      <c r="E32" s="1143" t="str">
        <f>IF('Lintel Sheet'!$B33&lt;&gt;"",IF(Coastal="Yes","Duplex","Galvanised"),"")</f>
        <v/>
      </c>
      <c r="F32">
        <f t="shared" si="1"/>
        <v>0</v>
      </c>
      <c r="G32" t="str">
        <f>IF(A32&gt;0,COUNTIFS($D$4:$D$315,LintelTable[[#This Row],[Length]],$C$4:$C$315,LintelTable[[#This Row],[Lintel]],$E$4:$E$315,LintelTable[[#This Row],[Treatment]],$A$4:$A$315,LintelTable[[#This Row],[Floor]],$B$4:$B$315,LintelTable[[#This Row],[Room]]),"")</f>
        <v/>
      </c>
      <c r="H32"/>
      <c r="I32"/>
      <c r="J32"/>
      <c r="K32"/>
      <c r="L32"/>
      <c r="M32"/>
      <c r="N32"/>
      <c r="O32"/>
      <c r="P32"/>
      <c r="Q32"/>
      <c r="R32"/>
      <c r="S32"/>
    </row>
    <row r="33" spans="1:19" s="205" customFormat="1" x14ac:dyDescent="0.2">
      <c r="A33" s="1143">
        <f>'Lintel Sheet'!B34</f>
        <v>0</v>
      </c>
      <c r="B33" s="1143">
        <f>'Lintel Sheet'!D34</f>
        <v>0</v>
      </c>
      <c r="C33" s="1143">
        <f>'Lintel Sheet'!H34</f>
        <v>0</v>
      </c>
      <c r="D33" s="1143" t="str">
        <f>IF(LintelTable[[#This Row],[Floor]]&gt;0,LintelTable[[#This Row],[Column1]]&amp;" / "&amp;'Lintel Sheet'!$I34,"")</f>
        <v/>
      </c>
      <c r="E33" s="1143" t="str">
        <f>IF('Lintel Sheet'!$B34&lt;&gt;"",IF(Coastal="Yes","Duplex","Galvanised"),"")</f>
        <v/>
      </c>
      <c r="F33">
        <f t="shared" si="1"/>
        <v>0</v>
      </c>
      <c r="G33" t="str">
        <f>IF(A33&gt;0,COUNTIFS($D$4:$D$315,LintelTable[[#This Row],[Length]],$C$4:$C$315,LintelTable[[#This Row],[Lintel]],$E$4:$E$315,LintelTable[[#This Row],[Treatment]],$A$4:$A$315,LintelTable[[#This Row],[Floor]],$B$4:$B$315,LintelTable[[#This Row],[Room]]),"")</f>
        <v/>
      </c>
      <c r="H33"/>
      <c r="I33"/>
      <c r="J33"/>
      <c r="K33"/>
      <c r="L33"/>
      <c r="M33"/>
      <c r="N33"/>
      <c r="O33"/>
      <c r="P33"/>
      <c r="Q33"/>
      <c r="R33"/>
      <c r="S33"/>
    </row>
    <row r="34" spans="1:19" s="205" customFormat="1" x14ac:dyDescent="0.2">
      <c r="A34" s="1143">
        <f>'Lintel Sheet'!B35</f>
        <v>0</v>
      </c>
      <c r="B34" s="1143">
        <f>'Lintel Sheet'!D35</f>
        <v>0</v>
      </c>
      <c r="C34" s="1143">
        <f>'Lintel Sheet'!H35</f>
        <v>0</v>
      </c>
      <c r="D34" s="1143" t="str">
        <f>IF(LintelTable[[#This Row],[Floor]]&gt;0,LintelTable[[#This Row],[Column1]]&amp;" / "&amp;'Lintel Sheet'!$I35,"")</f>
        <v/>
      </c>
      <c r="E34" s="1143" t="str">
        <f>IF('Lintel Sheet'!$B35&lt;&gt;"",IF(Coastal="Yes","Duplex","Galvanised"),"")</f>
        <v/>
      </c>
      <c r="F34">
        <f t="shared" si="1"/>
        <v>0</v>
      </c>
      <c r="G34" t="str">
        <f>IF(A34&gt;0,COUNTIFS($D$4:$D$315,LintelTable[[#This Row],[Length]],$C$4:$C$315,LintelTable[[#This Row],[Lintel]],$E$4:$E$315,LintelTable[[#This Row],[Treatment]],$A$4:$A$315,LintelTable[[#This Row],[Floor]],$B$4:$B$315,LintelTable[[#This Row],[Room]]),"")</f>
        <v/>
      </c>
      <c r="H34"/>
      <c r="I34"/>
      <c r="J34"/>
      <c r="K34"/>
      <c r="L34"/>
      <c r="M34"/>
      <c r="N34"/>
      <c r="O34"/>
      <c r="P34"/>
      <c r="Q34"/>
      <c r="R34"/>
      <c r="S34"/>
    </row>
    <row r="35" spans="1:19" s="205" customFormat="1" x14ac:dyDescent="0.2">
      <c r="A35" s="1143">
        <f>'Lintel Sheet'!B36</f>
        <v>0</v>
      </c>
      <c r="B35" s="1143">
        <f>'Lintel Sheet'!D36</f>
        <v>0</v>
      </c>
      <c r="C35" s="1143">
        <f>'Lintel Sheet'!H36</f>
        <v>0</v>
      </c>
      <c r="D35" s="1143" t="str">
        <f>IF(LintelTable[[#This Row],[Floor]]&gt;0,LintelTable[[#This Row],[Column1]]&amp;" / "&amp;'Lintel Sheet'!$I36,"")</f>
        <v/>
      </c>
      <c r="E35" s="1143" t="str">
        <f>IF('Lintel Sheet'!$B36&lt;&gt;"",IF(Coastal="Yes","Duplex","Galvanised"),"")</f>
        <v/>
      </c>
      <c r="F35">
        <f t="shared" si="1"/>
        <v>0</v>
      </c>
      <c r="G35" t="str">
        <f>IF(A35&gt;0,COUNTIFS($D$4:$D$315,LintelTable[[#This Row],[Length]],$C$4:$C$315,LintelTable[[#This Row],[Lintel]],$E$4:$E$315,LintelTable[[#This Row],[Treatment]],$A$4:$A$315,LintelTable[[#This Row],[Floor]],$B$4:$B$315,LintelTable[[#This Row],[Room]]),"")</f>
        <v/>
      </c>
      <c r="H35"/>
      <c r="I35"/>
      <c r="J35"/>
      <c r="K35"/>
      <c r="L35"/>
      <c r="M35"/>
      <c r="N35"/>
      <c r="O35"/>
      <c r="P35"/>
      <c r="Q35"/>
      <c r="R35"/>
      <c r="S35"/>
    </row>
    <row r="36" spans="1:19" s="205" customFormat="1" x14ac:dyDescent="0.2">
      <c r="A36" s="1143">
        <f>'Lintel Sheet'!B37</f>
        <v>0</v>
      </c>
      <c r="B36" s="1143">
        <f>'Lintel Sheet'!D37</f>
        <v>0</v>
      </c>
      <c r="C36" s="1143">
        <f>'Lintel Sheet'!H37</f>
        <v>0</v>
      </c>
      <c r="D36" s="1143" t="str">
        <f>IF(LintelTable[[#This Row],[Floor]]&gt;0,LintelTable[[#This Row],[Column1]]&amp;" / "&amp;'Lintel Sheet'!$I37,"")</f>
        <v/>
      </c>
      <c r="E36" s="1143" t="str">
        <f>IF('Lintel Sheet'!$B37&lt;&gt;"",IF(Coastal="Yes","Duplex","Galvanised"),"")</f>
        <v/>
      </c>
      <c r="F36">
        <f t="shared" si="1"/>
        <v>0</v>
      </c>
      <c r="G36" t="str">
        <f>IF(A36&gt;0,COUNTIFS($D$4:$D$315,LintelTable[[#This Row],[Length]],$C$4:$C$315,LintelTable[[#This Row],[Lintel]],$E$4:$E$315,LintelTable[[#This Row],[Treatment]],$A$4:$A$315,LintelTable[[#This Row],[Floor]],$B$4:$B$315,LintelTable[[#This Row],[Room]]),"")</f>
        <v/>
      </c>
      <c r="H36"/>
      <c r="I36"/>
      <c r="J36"/>
      <c r="K36"/>
      <c r="L36"/>
      <c r="M36"/>
      <c r="N36"/>
      <c r="O36"/>
      <c r="P36"/>
      <c r="Q36"/>
      <c r="R36"/>
      <c r="S36"/>
    </row>
    <row r="37" spans="1:19" s="205" customFormat="1" x14ac:dyDescent="0.2">
      <c r="A37" s="1143">
        <f>'Lintel Sheet'!B38</f>
        <v>0</v>
      </c>
      <c r="B37" s="1143">
        <f>'Lintel Sheet'!D38</f>
        <v>0</v>
      </c>
      <c r="C37" s="1143">
        <f>'Lintel Sheet'!H38</f>
        <v>0</v>
      </c>
      <c r="D37" s="1143" t="str">
        <f>IF(LintelTable[[#This Row],[Floor]]&gt;0,LintelTable[[#This Row],[Column1]]&amp;" / "&amp;'Lintel Sheet'!$I38,"")</f>
        <v/>
      </c>
      <c r="E37" s="1143" t="str">
        <f>IF('Lintel Sheet'!$B38&lt;&gt;"",IF(Coastal="Yes","Duplex","Galvanised"),"")</f>
        <v/>
      </c>
      <c r="F37">
        <f t="shared" si="1"/>
        <v>0</v>
      </c>
      <c r="G37" t="str">
        <f>IF(A37&gt;0,COUNTIFS($D$4:$D$315,LintelTable[[#This Row],[Length]],$C$4:$C$315,LintelTable[[#This Row],[Lintel]],$E$4:$E$315,LintelTable[[#This Row],[Treatment]],$A$4:$A$315,LintelTable[[#This Row],[Floor]],$B$4:$B$315,LintelTable[[#This Row],[Room]]),"")</f>
        <v/>
      </c>
      <c r="H37"/>
      <c r="I37"/>
      <c r="J37"/>
      <c r="K37"/>
      <c r="L37"/>
      <c r="M37"/>
      <c r="N37"/>
      <c r="O37"/>
      <c r="P37"/>
      <c r="Q37"/>
      <c r="R37"/>
      <c r="S37"/>
    </row>
    <row r="38" spans="1:19" s="205" customFormat="1" x14ac:dyDescent="0.2">
      <c r="A38" s="1143">
        <f>'Lintel Sheet'!B39</f>
        <v>0</v>
      </c>
      <c r="B38" s="1143">
        <f>'Lintel Sheet'!D39</f>
        <v>0</v>
      </c>
      <c r="C38" s="1143">
        <f>'Lintel Sheet'!H39</f>
        <v>0</v>
      </c>
      <c r="D38" s="1143" t="str">
        <f>IF(LintelTable[[#This Row],[Floor]]&gt;0,LintelTable[[#This Row],[Column1]]&amp;" / "&amp;'Lintel Sheet'!$I39,"")</f>
        <v/>
      </c>
      <c r="E38" s="1143" t="str">
        <f>IF('Lintel Sheet'!$B39&lt;&gt;"",IF(Coastal="Yes","Duplex","Galvanised"),"")</f>
        <v/>
      </c>
      <c r="F38">
        <f t="shared" si="1"/>
        <v>0</v>
      </c>
      <c r="G38" t="str">
        <f>IF(A38&gt;0,COUNTIFS($D$4:$D$315,LintelTable[[#This Row],[Length]],$C$4:$C$315,LintelTable[[#This Row],[Lintel]],$E$4:$E$315,LintelTable[[#This Row],[Treatment]],$A$4:$A$315,LintelTable[[#This Row],[Floor]],$B$4:$B$315,LintelTable[[#This Row],[Room]]),"")</f>
        <v/>
      </c>
      <c r="H38"/>
      <c r="I38"/>
      <c r="J38"/>
      <c r="K38"/>
      <c r="L38"/>
      <c r="M38"/>
      <c r="N38"/>
      <c r="O38"/>
      <c r="P38"/>
      <c r="Q38"/>
      <c r="R38"/>
      <c r="S38"/>
    </row>
    <row r="39" spans="1:19" s="205" customFormat="1" x14ac:dyDescent="0.2">
      <c r="A39" s="1143">
        <f>'Lintel Sheet'!B40</f>
        <v>0</v>
      </c>
      <c r="B39" s="1143">
        <f>'Lintel Sheet'!D40</f>
        <v>0</v>
      </c>
      <c r="C39" s="1143">
        <f>'Lintel Sheet'!H40</f>
        <v>0</v>
      </c>
      <c r="D39" s="1143" t="str">
        <f>IF(LintelTable[[#This Row],[Floor]]&gt;0,LintelTable[[#This Row],[Column1]]&amp;" / "&amp;'Lintel Sheet'!$I40,"")</f>
        <v/>
      </c>
      <c r="E39" s="1143" t="str">
        <f>IF('Lintel Sheet'!$B40&lt;&gt;"",IF(Coastal="Yes","Duplex","Galvanised"),"")</f>
        <v/>
      </c>
      <c r="F39">
        <f t="shared" si="1"/>
        <v>0</v>
      </c>
      <c r="G39" t="str">
        <f>IF(A39&gt;0,COUNTIFS($D$4:$D$315,LintelTable[[#This Row],[Length]],$C$4:$C$315,LintelTable[[#This Row],[Lintel]],$E$4:$E$315,LintelTable[[#This Row],[Treatment]],$A$4:$A$315,LintelTable[[#This Row],[Floor]],$B$4:$B$315,LintelTable[[#This Row],[Room]]),"")</f>
        <v/>
      </c>
      <c r="H39"/>
      <c r="I39"/>
      <c r="J39"/>
      <c r="K39"/>
      <c r="L39"/>
      <c r="M39"/>
      <c r="N39"/>
      <c r="O39"/>
      <c r="P39"/>
      <c r="Q39"/>
      <c r="R39"/>
      <c r="S39"/>
    </row>
    <row r="40" spans="1:19" s="205" customFormat="1" x14ac:dyDescent="0.2">
      <c r="A40" s="1143">
        <f>'Lintel Sheet'!B41</f>
        <v>0</v>
      </c>
      <c r="B40" s="1143">
        <f>'Lintel Sheet'!D41</f>
        <v>0</v>
      </c>
      <c r="C40" s="1143">
        <f>'Lintel Sheet'!H41</f>
        <v>0</v>
      </c>
      <c r="D40" s="1143" t="str">
        <f>IF(LintelTable[[#This Row],[Floor]]&gt;0,LintelTable[[#This Row],[Column1]]&amp;" / "&amp;'Lintel Sheet'!$I41,"")</f>
        <v/>
      </c>
      <c r="E40" s="1143" t="str">
        <f>IF('Lintel Sheet'!$B41&lt;&gt;"",IF(Coastal="Yes","Duplex","Galvanised"),"")</f>
        <v/>
      </c>
      <c r="F40">
        <f t="shared" si="1"/>
        <v>0</v>
      </c>
      <c r="G40" t="str">
        <f>IF(A40&gt;0,COUNTIFS($D$4:$D$315,LintelTable[[#This Row],[Length]],$C$4:$C$315,LintelTable[[#This Row],[Lintel]],$E$4:$E$315,LintelTable[[#This Row],[Treatment]],$A$4:$A$315,LintelTable[[#This Row],[Floor]],$B$4:$B$315,LintelTable[[#This Row],[Room]]),"")</f>
        <v/>
      </c>
      <c r="H40"/>
      <c r="I40"/>
      <c r="J40"/>
      <c r="K40"/>
      <c r="L40"/>
      <c r="M40"/>
      <c r="N40"/>
      <c r="O40"/>
      <c r="P40"/>
      <c r="Q40"/>
      <c r="R40"/>
      <c r="S40"/>
    </row>
    <row r="41" spans="1:19" s="205" customFormat="1" x14ac:dyDescent="0.2">
      <c r="A41" s="1143">
        <f>'Lintel Sheet'!B42</f>
        <v>0</v>
      </c>
      <c r="B41" s="1143">
        <f>'Lintel Sheet'!D42</f>
        <v>0</v>
      </c>
      <c r="C41" s="1143">
        <f>'Lintel Sheet'!H42</f>
        <v>0</v>
      </c>
      <c r="D41" s="1143" t="str">
        <f>IF(LintelTable[[#This Row],[Floor]]&gt;0,LintelTable[[#This Row],[Column1]]&amp;" / "&amp;'Lintel Sheet'!$I42,"")</f>
        <v/>
      </c>
      <c r="E41" s="1143" t="str">
        <f>IF('Lintel Sheet'!$B42&lt;&gt;"",IF(Coastal="Yes","Duplex","Galvanised"),"")</f>
        <v/>
      </c>
      <c r="F41">
        <f t="shared" si="1"/>
        <v>0</v>
      </c>
      <c r="G41" t="str">
        <f>IF(A41&gt;0,COUNTIFS($D$4:$D$315,LintelTable[[#This Row],[Length]],$C$4:$C$315,LintelTable[[#This Row],[Lintel]],$E$4:$E$315,LintelTable[[#This Row],[Treatment]],$A$4:$A$315,LintelTable[[#This Row],[Floor]],$B$4:$B$315,LintelTable[[#This Row],[Room]]),"")</f>
        <v/>
      </c>
      <c r="H41"/>
      <c r="I41"/>
      <c r="J41"/>
      <c r="K41"/>
      <c r="L41"/>
      <c r="M41"/>
      <c r="N41"/>
      <c r="O41"/>
      <c r="P41"/>
      <c r="Q41"/>
      <c r="R41"/>
      <c r="S41"/>
    </row>
    <row r="42" spans="1:19" s="205" customFormat="1" x14ac:dyDescent="0.2">
      <c r="A42" s="1143">
        <f>'Lintel Sheet'!B43</f>
        <v>0</v>
      </c>
      <c r="B42" s="1143">
        <f>'Lintel Sheet'!D43</f>
        <v>0</v>
      </c>
      <c r="C42" s="1143">
        <f>'Lintel Sheet'!H43</f>
        <v>0</v>
      </c>
      <c r="D42" s="1143" t="str">
        <f>IF(LintelTable[[#This Row],[Floor]]&gt;0,LintelTable[[#This Row],[Column1]]&amp;" / "&amp;'Lintel Sheet'!$I43,"")</f>
        <v/>
      </c>
      <c r="E42" s="1143" t="str">
        <f>IF('Lintel Sheet'!$B43&lt;&gt;"",IF(Coastal="Yes","Duplex","Galvanised"),"")</f>
        <v/>
      </c>
      <c r="F42">
        <f t="shared" si="1"/>
        <v>0</v>
      </c>
      <c r="G42" t="str">
        <f>IF(A42&gt;0,COUNTIFS($D$4:$D$315,LintelTable[[#This Row],[Length]],$C$4:$C$315,LintelTable[[#This Row],[Lintel]],$E$4:$E$315,LintelTable[[#This Row],[Treatment]],$A$4:$A$315,LintelTable[[#This Row],[Floor]],$B$4:$B$315,LintelTable[[#This Row],[Room]]),"")</f>
        <v/>
      </c>
      <c r="H42"/>
      <c r="I42"/>
      <c r="J42"/>
      <c r="K42"/>
      <c r="L42"/>
      <c r="M42"/>
      <c r="N42"/>
      <c r="O42"/>
      <c r="P42"/>
      <c r="Q42"/>
      <c r="R42"/>
      <c r="S42"/>
    </row>
    <row r="43" spans="1:19" s="205" customFormat="1" x14ac:dyDescent="0.2">
      <c r="A43" s="1143">
        <f>'Lintel Sheet'!B44</f>
        <v>0</v>
      </c>
      <c r="B43" s="1143">
        <f>'Lintel Sheet'!D44</f>
        <v>0</v>
      </c>
      <c r="C43" s="1143">
        <f>'Lintel Sheet'!H44</f>
        <v>0</v>
      </c>
      <c r="D43" s="1143" t="str">
        <f>IF(LintelTable[[#This Row],[Floor]]&gt;0,LintelTable[[#This Row],[Column1]]&amp;" / "&amp;'Lintel Sheet'!$I44,"")</f>
        <v/>
      </c>
      <c r="E43" s="1143" t="str">
        <f>IF('Lintel Sheet'!$B44&lt;&gt;"",IF(Coastal="Yes","Duplex","Galvanised"),"")</f>
        <v/>
      </c>
      <c r="F43">
        <f t="shared" si="1"/>
        <v>0</v>
      </c>
      <c r="G43" t="str">
        <f>IF(A43&gt;0,COUNTIFS($D$4:$D$315,LintelTable[[#This Row],[Length]],$C$4:$C$315,LintelTable[[#This Row],[Lintel]],$E$4:$E$315,LintelTable[[#This Row],[Treatment]],$A$4:$A$315,LintelTable[[#This Row],[Floor]],$B$4:$B$315,LintelTable[[#This Row],[Room]]),"")</f>
        <v/>
      </c>
      <c r="H43"/>
      <c r="I43"/>
      <c r="J43"/>
      <c r="K43"/>
      <c r="L43"/>
      <c r="M43"/>
      <c r="N43"/>
      <c r="O43"/>
      <c r="P43"/>
      <c r="Q43"/>
      <c r="R43"/>
      <c r="S43"/>
    </row>
    <row r="44" spans="1:19" s="205" customFormat="1" x14ac:dyDescent="0.2">
      <c r="A44" s="1143">
        <f>'Lintel Sheet'!B45</f>
        <v>0</v>
      </c>
      <c r="B44" s="1143">
        <f>'Lintel Sheet'!D45</f>
        <v>0</v>
      </c>
      <c r="C44" s="1143">
        <f>'Lintel Sheet'!H45</f>
        <v>0</v>
      </c>
      <c r="D44" s="1143" t="str">
        <f>IF(LintelTable[[#This Row],[Floor]]&gt;0,LintelTable[[#This Row],[Column1]]&amp;" / "&amp;'Lintel Sheet'!$I45,"")</f>
        <v/>
      </c>
      <c r="E44" s="1143" t="str">
        <f>IF('Lintel Sheet'!$B45&lt;&gt;"",IF(Coastal="Yes","Duplex","Galvanised"),"")</f>
        <v/>
      </c>
      <c r="F44">
        <f t="shared" si="1"/>
        <v>0</v>
      </c>
      <c r="G44" t="str">
        <f>IF(A44&gt;0,COUNTIFS($D$4:$D$315,LintelTable[[#This Row],[Length]],$C$4:$C$315,LintelTable[[#This Row],[Lintel]],$E$4:$E$315,LintelTable[[#This Row],[Treatment]],$A$4:$A$315,LintelTable[[#This Row],[Floor]],$B$4:$B$315,LintelTable[[#This Row],[Room]]),"")</f>
        <v/>
      </c>
      <c r="H44"/>
      <c r="I44"/>
      <c r="J44"/>
      <c r="K44"/>
      <c r="L44"/>
      <c r="M44"/>
      <c r="N44"/>
      <c r="O44"/>
      <c r="P44"/>
      <c r="Q44"/>
      <c r="R44"/>
      <c r="S44"/>
    </row>
    <row r="45" spans="1:19" s="205" customFormat="1" x14ac:dyDescent="0.2">
      <c r="A45" s="1143">
        <f>'Lintel Sheet'!B46</f>
        <v>0</v>
      </c>
      <c r="B45" s="1143">
        <f>'Lintel Sheet'!D46</f>
        <v>0</v>
      </c>
      <c r="C45" s="1143">
        <f>'Lintel Sheet'!H46</f>
        <v>0</v>
      </c>
      <c r="D45" s="1143" t="str">
        <f>IF(LintelTable[[#This Row],[Floor]]&gt;0,LintelTable[[#This Row],[Column1]]&amp;" / "&amp;'Lintel Sheet'!$I46,"")</f>
        <v/>
      </c>
      <c r="E45" s="1143" t="str">
        <f>IF('Lintel Sheet'!$B46&lt;&gt;"",IF(Coastal="Yes","Duplex","Galvanised"),"")</f>
        <v/>
      </c>
      <c r="F45">
        <f t="shared" si="1"/>
        <v>0</v>
      </c>
      <c r="G45" t="str">
        <f>IF(A45&gt;0,COUNTIFS($D$4:$D$315,LintelTable[[#This Row],[Length]],$C$4:$C$315,LintelTable[[#This Row],[Lintel]],$E$4:$E$315,LintelTable[[#This Row],[Treatment]],$A$4:$A$315,LintelTable[[#This Row],[Floor]],$B$4:$B$315,LintelTable[[#This Row],[Room]]),"")</f>
        <v/>
      </c>
      <c r="H45"/>
      <c r="I45"/>
      <c r="J45"/>
      <c r="K45"/>
      <c r="L45"/>
      <c r="M45"/>
      <c r="N45"/>
      <c r="O45"/>
      <c r="P45"/>
      <c r="Q45"/>
      <c r="R45"/>
      <c r="S45"/>
    </row>
    <row r="46" spans="1:19" s="205" customFormat="1" x14ac:dyDescent="0.2">
      <c r="A46" s="1143">
        <f>'Lintel Sheet'!B47</f>
        <v>0</v>
      </c>
      <c r="B46" s="1143">
        <f>'Lintel Sheet'!D47</f>
        <v>0</v>
      </c>
      <c r="C46" s="1143">
        <f>'Lintel Sheet'!H47</f>
        <v>0</v>
      </c>
      <c r="D46" s="1143" t="str">
        <f>IF(LintelTable[[#This Row],[Floor]]&gt;0,LintelTable[[#This Row],[Column1]]&amp;" / "&amp;'Lintel Sheet'!$I47,"")</f>
        <v/>
      </c>
      <c r="E46" s="1143" t="str">
        <f>IF('Lintel Sheet'!$B47&lt;&gt;"",IF(Coastal="Yes","Duplex","Galvanised"),"")</f>
        <v/>
      </c>
      <c r="F46">
        <f t="shared" si="1"/>
        <v>0</v>
      </c>
      <c r="G46" t="str">
        <f>IF(A46&gt;0,COUNTIFS($D$4:$D$315,LintelTable[[#This Row],[Length]],$C$4:$C$315,LintelTable[[#This Row],[Lintel]],$E$4:$E$315,LintelTable[[#This Row],[Treatment]],$A$4:$A$315,LintelTable[[#This Row],[Floor]],$B$4:$B$315,LintelTable[[#This Row],[Room]]),"")</f>
        <v/>
      </c>
      <c r="H46"/>
      <c r="I46"/>
      <c r="J46"/>
      <c r="K46"/>
      <c r="L46"/>
      <c r="M46"/>
      <c r="N46"/>
      <c r="O46"/>
      <c r="P46"/>
      <c r="Q46"/>
      <c r="R46"/>
      <c r="S46"/>
    </row>
    <row r="47" spans="1:19" s="205" customFormat="1" x14ac:dyDescent="0.2">
      <c r="A47" s="1143">
        <f>'Lintel Sheet'!B48</f>
        <v>0</v>
      </c>
      <c r="B47" s="1143">
        <f>'Lintel Sheet'!D48</f>
        <v>0</v>
      </c>
      <c r="C47" s="1143">
        <f>'Lintel Sheet'!H48</f>
        <v>0</v>
      </c>
      <c r="D47" s="1143" t="str">
        <f>IF(LintelTable[[#This Row],[Floor]]&gt;0,LintelTable[[#This Row],[Column1]]&amp;" / "&amp;'Lintel Sheet'!$I48,"")</f>
        <v/>
      </c>
      <c r="E47" s="1143" t="str">
        <f>IF('Lintel Sheet'!$B48&lt;&gt;"",IF(Coastal="Yes","Duplex","Galvanised"),"")</f>
        <v/>
      </c>
      <c r="F47">
        <f t="shared" si="1"/>
        <v>0</v>
      </c>
      <c r="G47" t="str">
        <f>IF(A47&gt;0,COUNTIFS($D$4:$D$315,LintelTable[[#This Row],[Length]],$C$4:$C$315,LintelTable[[#This Row],[Lintel]],$E$4:$E$315,LintelTable[[#This Row],[Treatment]],$A$4:$A$315,LintelTable[[#This Row],[Floor]],$B$4:$B$315,LintelTable[[#This Row],[Room]]),"")</f>
        <v/>
      </c>
      <c r="H47"/>
      <c r="I47"/>
      <c r="J47"/>
      <c r="K47"/>
      <c r="L47"/>
      <c r="M47"/>
      <c r="N47"/>
      <c r="O47"/>
      <c r="P47"/>
      <c r="Q47"/>
      <c r="R47"/>
      <c r="S47"/>
    </row>
    <row r="48" spans="1:19" s="205" customFormat="1" x14ac:dyDescent="0.2">
      <c r="A48" s="1143">
        <f>'Lintel Sheet'!B49</f>
        <v>0</v>
      </c>
      <c r="B48" s="1143">
        <f>'Lintel Sheet'!D49</f>
        <v>0</v>
      </c>
      <c r="C48" s="1143">
        <f>'Lintel Sheet'!H49</f>
        <v>0</v>
      </c>
      <c r="D48" s="1143" t="str">
        <f>IF(LintelTable[[#This Row],[Floor]]&gt;0,LintelTable[[#This Row],[Column1]]&amp;" / "&amp;'Lintel Sheet'!$I49,"")</f>
        <v/>
      </c>
      <c r="E48" s="1143" t="str">
        <f>IF('Lintel Sheet'!$B49&lt;&gt;"",IF(Coastal="Yes","Duplex","Galvanised"),"")</f>
        <v/>
      </c>
      <c r="F48">
        <f t="shared" si="1"/>
        <v>0</v>
      </c>
      <c r="G48" t="str">
        <f>IF(A48&gt;0,COUNTIFS($D$4:$D$315,LintelTable[[#This Row],[Length]],$C$4:$C$315,LintelTable[[#This Row],[Lintel]],$E$4:$E$315,LintelTable[[#This Row],[Treatment]],$A$4:$A$315,LintelTable[[#This Row],[Floor]],$B$4:$B$315,LintelTable[[#This Row],[Room]]),"")</f>
        <v/>
      </c>
      <c r="H48"/>
      <c r="I48"/>
      <c r="J48"/>
      <c r="K48"/>
      <c r="L48"/>
      <c r="M48"/>
      <c r="N48"/>
      <c r="O48"/>
      <c r="P48"/>
      <c r="Q48"/>
      <c r="R48"/>
      <c r="S48"/>
    </row>
    <row r="49" spans="1:19" s="205" customFormat="1" x14ac:dyDescent="0.2">
      <c r="A49" s="1143">
        <f>'Lintel Sheet'!B50</f>
        <v>0</v>
      </c>
      <c r="B49" s="1143">
        <f>'Lintel Sheet'!D50</f>
        <v>0</v>
      </c>
      <c r="C49" s="1143">
        <f>'Lintel Sheet'!H50</f>
        <v>0</v>
      </c>
      <c r="D49" s="1143" t="str">
        <f>IF(LintelTable[[#This Row],[Floor]]&gt;0,LintelTable[[#This Row],[Column1]]&amp;" / "&amp;'Lintel Sheet'!$I50,"")</f>
        <v/>
      </c>
      <c r="E49" s="1143" t="str">
        <f>IF('Lintel Sheet'!$B50&lt;&gt;"",IF(Coastal="Yes","Duplex","Galvanised"),"")</f>
        <v/>
      </c>
      <c r="F49">
        <f t="shared" si="1"/>
        <v>0</v>
      </c>
      <c r="G49" t="str">
        <f>IF(A49&gt;0,COUNTIFS($D$4:$D$315,LintelTable[[#This Row],[Length]],$C$4:$C$315,LintelTable[[#This Row],[Lintel]],$E$4:$E$315,LintelTable[[#This Row],[Treatment]],$A$4:$A$315,LintelTable[[#This Row],[Floor]],$B$4:$B$315,LintelTable[[#This Row],[Room]]),"")</f>
        <v/>
      </c>
      <c r="H49"/>
      <c r="I49"/>
      <c r="J49"/>
      <c r="K49"/>
      <c r="L49"/>
      <c r="M49"/>
      <c r="N49"/>
      <c r="O49"/>
      <c r="P49"/>
      <c r="Q49"/>
      <c r="R49"/>
      <c r="S49"/>
    </row>
    <row r="50" spans="1:19" s="205" customFormat="1" x14ac:dyDescent="0.2">
      <c r="A50" s="1143">
        <f>'Lintel Sheet'!B51</f>
        <v>0</v>
      </c>
      <c r="B50" s="1143">
        <f>'Lintel Sheet'!D51</f>
        <v>0</v>
      </c>
      <c r="C50" s="1143">
        <f>'Lintel Sheet'!H51</f>
        <v>0</v>
      </c>
      <c r="D50" s="1143" t="str">
        <f>IF(LintelTable[[#This Row],[Floor]]&gt;0,LintelTable[[#This Row],[Column1]]&amp;" / "&amp;'Lintel Sheet'!$I51,"")</f>
        <v/>
      </c>
      <c r="E50" s="1143" t="str">
        <f>IF('Lintel Sheet'!$B51&lt;&gt;"",IF(Coastal="Yes","Duplex","Galvanised"),"")</f>
        <v/>
      </c>
      <c r="F50">
        <f t="shared" si="1"/>
        <v>0</v>
      </c>
      <c r="G50" t="str">
        <f>IF(A50&gt;0,COUNTIFS($D$4:$D$315,LintelTable[[#This Row],[Length]],$C$4:$C$315,LintelTable[[#This Row],[Lintel]],$E$4:$E$315,LintelTable[[#This Row],[Treatment]],$A$4:$A$315,LintelTable[[#This Row],[Floor]],$B$4:$B$315,LintelTable[[#This Row],[Room]]),"")</f>
        <v/>
      </c>
      <c r="H50"/>
      <c r="I50"/>
      <c r="J50"/>
      <c r="K50"/>
      <c r="L50"/>
      <c r="M50"/>
      <c r="N50"/>
      <c r="O50"/>
      <c r="P50"/>
      <c r="Q50"/>
      <c r="R50"/>
      <c r="S50"/>
    </row>
    <row r="51" spans="1:19" s="205" customFormat="1" x14ac:dyDescent="0.2">
      <c r="A51" s="1143">
        <f>'Lintel Sheet'!B52</f>
        <v>0</v>
      </c>
      <c r="B51" s="1143">
        <f>'Lintel Sheet'!D52</f>
        <v>0</v>
      </c>
      <c r="C51" s="1143">
        <f>'Lintel Sheet'!H52</f>
        <v>0</v>
      </c>
      <c r="D51" s="1143" t="str">
        <f>IF(LintelTable[[#This Row],[Floor]]&gt;0,LintelTable[[#This Row],[Column1]]&amp;" / "&amp;'Lintel Sheet'!$I52,"")</f>
        <v/>
      </c>
      <c r="E51" s="1143" t="str">
        <f>IF('Lintel Sheet'!$B52&lt;&gt;"",IF(Coastal="Yes","Duplex","Galvanised"),"")</f>
        <v/>
      </c>
      <c r="F51">
        <f t="shared" si="1"/>
        <v>0</v>
      </c>
      <c r="G51" t="str">
        <f>IF(A51&gt;0,COUNTIFS($D$4:$D$315,LintelTable[[#This Row],[Length]],$C$4:$C$315,LintelTable[[#This Row],[Lintel]],$E$4:$E$315,LintelTable[[#This Row],[Treatment]],$A$4:$A$315,LintelTable[[#This Row],[Floor]],$B$4:$B$315,LintelTable[[#This Row],[Room]]),"")</f>
        <v/>
      </c>
      <c r="H51"/>
      <c r="I51"/>
      <c r="J51"/>
      <c r="K51"/>
      <c r="L51"/>
      <c r="M51"/>
      <c r="N51"/>
      <c r="O51"/>
      <c r="P51"/>
      <c r="Q51"/>
      <c r="R51"/>
      <c r="S51"/>
    </row>
    <row r="52" spans="1:19" s="205" customFormat="1" x14ac:dyDescent="0.2">
      <c r="A52" s="1143">
        <f>'Lintel Sheet'!B53</f>
        <v>0</v>
      </c>
      <c r="B52" s="1143">
        <f>'Lintel Sheet'!D53</f>
        <v>0</v>
      </c>
      <c r="C52" s="1143">
        <f>'Lintel Sheet'!H53</f>
        <v>0</v>
      </c>
      <c r="D52" s="1143" t="str">
        <f>IF(LintelTable[[#This Row],[Floor]]&gt;0,LintelTable[[#This Row],[Column1]]&amp;" / "&amp;'Lintel Sheet'!$I53,"")</f>
        <v/>
      </c>
      <c r="E52" s="1143" t="str">
        <f>IF('Lintel Sheet'!$B53&lt;&gt;"",IF(Coastal="Yes","Duplex","Galvanised"),"")</f>
        <v/>
      </c>
      <c r="F52">
        <f t="shared" si="1"/>
        <v>0</v>
      </c>
      <c r="G52" t="str">
        <f>IF(A52&gt;0,COUNTIFS($D$4:$D$315,LintelTable[[#This Row],[Length]],$C$4:$C$315,LintelTable[[#This Row],[Lintel]],$E$4:$E$315,LintelTable[[#This Row],[Treatment]],$A$4:$A$315,LintelTable[[#This Row],[Floor]],$B$4:$B$315,LintelTable[[#This Row],[Room]]),"")</f>
        <v/>
      </c>
      <c r="H52"/>
      <c r="I52"/>
      <c r="J52"/>
      <c r="K52"/>
      <c r="L52"/>
      <c r="M52"/>
      <c r="N52"/>
      <c r="O52"/>
      <c r="P52"/>
      <c r="Q52"/>
      <c r="R52"/>
      <c r="S52"/>
    </row>
    <row r="53" spans="1:19" s="205" customFormat="1" x14ac:dyDescent="0.2">
      <c r="A53" s="1143">
        <f>'Lintel Sheet'!B54</f>
        <v>0</v>
      </c>
      <c r="B53" s="1143">
        <f>'Lintel Sheet'!D54</f>
        <v>0</v>
      </c>
      <c r="C53" s="1143">
        <f>'Lintel Sheet'!H54</f>
        <v>0</v>
      </c>
      <c r="D53" s="1143" t="str">
        <f>IF(LintelTable[[#This Row],[Floor]]&gt;0,LintelTable[[#This Row],[Column1]]&amp;" / "&amp;'Lintel Sheet'!$I54,"")</f>
        <v/>
      </c>
      <c r="E53" s="1143" t="str">
        <f>IF('Lintel Sheet'!$B54&lt;&gt;"",IF(Coastal="Yes","Duplex","Galvanised"),"")</f>
        <v/>
      </c>
      <c r="F53">
        <f t="shared" si="1"/>
        <v>0</v>
      </c>
      <c r="G53" t="str">
        <f>IF(A53&gt;0,COUNTIFS($D$4:$D$315,LintelTable[[#This Row],[Length]],$C$4:$C$315,LintelTable[[#This Row],[Lintel]],$E$4:$E$315,LintelTable[[#This Row],[Treatment]],$A$4:$A$315,LintelTable[[#This Row],[Floor]],$B$4:$B$315,LintelTable[[#This Row],[Room]]),"")</f>
        <v/>
      </c>
      <c r="H53"/>
      <c r="I53"/>
      <c r="J53"/>
      <c r="K53"/>
      <c r="L53"/>
      <c r="M53"/>
      <c r="N53"/>
      <c r="O53"/>
      <c r="P53"/>
      <c r="Q53"/>
      <c r="R53"/>
      <c r="S53"/>
    </row>
    <row r="54" spans="1:19" s="205" customFormat="1" x14ac:dyDescent="0.2">
      <c r="A54" s="1143">
        <f>'Lintel Sheet'!B55</f>
        <v>0</v>
      </c>
      <c r="B54" s="1143">
        <f>'Lintel Sheet'!D55</f>
        <v>0</v>
      </c>
      <c r="C54" s="1143">
        <f>'Lintel Sheet'!H55</f>
        <v>0</v>
      </c>
      <c r="D54" s="1143" t="str">
        <f>IF(LintelTable[[#This Row],[Floor]]&gt;0,LintelTable[[#This Row],[Column1]]&amp;" / "&amp;'Lintel Sheet'!$I55,"")</f>
        <v/>
      </c>
      <c r="E54" s="1143" t="str">
        <f>IF('Lintel Sheet'!$B55&lt;&gt;"",IF(Coastal="Yes","Duplex","Galvanised"),"")</f>
        <v/>
      </c>
      <c r="F54">
        <f t="shared" si="1"/>
        <v>0</v>
      </c>
      <c r="G54" t="str">
        <f>IF(A54&gt;0,COUNTIFS($D$4:$D$315,LintelTable[[#This Row],[Length]],$C$4:$C$315,LintelTable[[#This Row],[Lintel]],$E$4:$E$315,LintelTable[[#This Row],[Treatment]],$A$4:$A$315,LintelTable[[#This Row],[Floor]],$B$4:$B$315,LintelTable[[#This Row],[Room]]),"")</f>
        <v/>
      </c>
      <c r="H54"/>
      <c r="I54"/>
      <c r="J54"/>
      <c r="K54"/>
      <c r="L54"/>
      <c r="M54"/>
      <c r="N54"/>
      <c r="O54"/>
      <c r="P54"/>
      <c r="Q54"/>
      <c r="R54"/>
      <c r="S54"/>
    </row>
    <row r="55" spans="1:19" s="205" customFormat="1" x14ac:dyDescent="0.2">
      <c r="A55" s="1143">
        <f>'Lintel Sheet'!B56</f>
        <v>0</v>
      </c>
      <c r="B55" s="1143">
        <f>'Lintel Sheet'!D56</f>
        <v>0</v>
      </c>
      <c r="C55" s="1143">
        <f>'Lintel Sheet'!H56</f>
        <v>0</v>
      </c>
      <c r="D55" s="1143" t="str">
        <f>IF(LintelTable[[#This Row],[Floor]]&gt;0,LintelTable[[#This Row],[Column1]]&amp;" / "&amp;'Lintel Sheet'!$I56,"")</f>
        <v/>
      </c>
      <c r="E55" s="1143" t="str">
        <f>IF('Lintel Sheet'!$B56&lt;&gt;"",IF(Coastal="Yes","Duplex","Galvanised"),"")</f>
        <v/>
      </c>
      <c r="F55">
        <f t="shared" si="1"/>
        <v>0</v>
      </c>
      <c r="G55" t="str">
        <f>IF(A55&gt;0,COUNTIFS($D$4:$D$315,LintelTable[[#This Row],[Length]],$C$4:$C$315,LintelTable[[#This Row],[Lintel]],$E$4:$E$315,LintelTable[[#This Row],[Treatment]],$A$4:$A$315,LintelTable[[#This Row],[Floor]],$B$4:$B$315,LintelTable[[#This Row],[Room]]),"")</f>
        <v/>
      </c>
      <c r="H55"/>
      <c r="I55"/>
      <c r="J55"/>
      <c r="K55"/>
      <c r="L55"/>
      <c r="M55"/>
      <c r="N55"/>
      <c r="O55"/>
      <c r="P55"/>
      <c r="Q55"/>
      <c r="R55"/>
      <c r="S55"/>
    </row>
    <row r="56" spans="1:19" s="205" customFormat="1" x14ac:dyDescent="0.2">
      <c r="A56" s="1143">
        <f>'Lintel Sheet'!B57</f>
        <v>0</v>
      </c>
      <c r="B56" s="1143">
        <f>'Lintel Sheet'!D57</f>
        <v>0</v>
      </c>
      <c r="C56" s="1143">
        <f>'Lintel Sheet'!H57</f>
        <v>0</v>
      </c>
      <c r="D56" s="1143" t="str">
        <f>IF(LintelTable[[#This Row],[Floor]]&gt;0,LintelTable[[#This Row],[Column1]]&amp;" / "&amp;'Lintel Sheet'!$I57,"")</f>
        <v/>
      </c>
      <c r="E56" s="1143" t="str">
        <f>IF('Lintel Sheet'!$B57&lt;&gt;"",IF(Coastal="Yes","Duplex","Galvanised"),"")</f>
        <v/>
      </c>
      <c r="F56">
        <f t="shared" si="1"/>
        <v>0</v>
      </c>
      <c r="G56" t="str">
        <f>IF(A56&gt;0,COUNTIFS($D$4:$D$315,LintelTable[[#This Row],[Length]],$C$4:$C$315,LintelTable[[#This Row],[Lintel]],$E$4:$E$315,LintelTable[[#This Row],[Treatment]],$A$4:$A$315,LintelTable[[#This Row],[Floor]],$B$4:$B$315,LintelTable[[#This Row],[Room]]),"")</f>
        <v/>
      </c>
      <c r="H56"/>
      <c r="I56"/>
      <c r="J56"/>
      <c r="K56"/>
      <c r="L56"/>
      <c r="M56"/>
      <c r="N56"/>
      <c r="O56"/>
      <c r="P56"/>
      <c r="Q56"/>
      <c r="R56"/>
      <c r="S56"/>
    </row>
    <row r="57" spans="1:19" s="205" customFormat="1" x14ac:dyDescent="0.2">
      <c r="A57" s="1143">
        <f>'Lintel Sheet'!B58</f>
        <v>0</v>
      </c>
      <c r="B57" s="1143">
        <f>'Lintel Sheet'!D58</f>
        <v>0</v>
      </c>
      <c r="C57" s="1143">
        <f>'Lintel Sheet'!H58</f>
        <v>0</v>
      </c>
      <c r="D57" s="1143" t="str">
        <f>IF(LintelTable[[#This Row],[Floor]]&gt;0,LintelTable[[#This Row],[Column1]]&amp;" / "&amp;'Lintel Sheet'!$I58,"")</f>
        <v/>
      </c>
      <c r="E57" s="1143" t="str">
        <f>IF('Lintel Sheet'!$B58&lt;&gt;"",IF(Coastal="Yes","Duplex","Galvanised"),"")</f>
        <v/>
      </c>
      <c r="F57">
        <f t="shared" si="1"/>
        <v>0</v>
      </c>
      <c r="G57" t="str">
        <f>IF(A57&gt;0,COUNTIFS($D$4:$D$315,LintelTable[[#This Row],[Length]],$C$4:$C$315,LintelTable[[#This Row],[Lintel]],$E$4:$E$315,LintelTable[[#This Row],[Treatment]],$A$4:$A$315,LintelTable[[#This Row],[Floor]],$B$4:$B$315,LintelTable[[#This Row],[Room]]),"")</f>
        <v/>
      </c>
      <c r="H57"/>
      <c r="I57"/>
      <c r="J57"/>
      <c r="K57"/>
      <c r="L57"/>
      <c r="M57"/>
      <c r="N57"/>
      <c r="O57"/>
      <c r="P57"/>
      <c r="Q57"/>
      <c r="R57"/>
      <c r="S57"/>
    </row>
    <row r="58" spans="1:19" s="205" customFormat="1" x14ac:dyDescent="0.2">
      <c r="A58" s="1143">
        <f>'Lintel Sheet'!B59</f>
        <v>0</v>
      </c>
      <c r="B58" s="1143">
        <f>'Lintel Sheet'!D59</f>
        <v>0</v>
      </c>
      <c r="C58" s="1143">
        <f>'Lintel Sheet'!H59</f>
        <v>0</v>
      </c>
      <c r="D58" s="1143" t="str">
        <f>IF(LintelTable[[#This Row],[Floor]]&gt;0,LintelTable[[#This Row],[Column1]]&amp;" / "&amp;'Lintel Sheet'!$I59,"")</f>
        <v/>
      </c>
      <c r="E58" s="1143" t="str">
        <f>IF('Lintel Sheet'!$B59&lt;&gt;"",IF(Coastal="Yes","Duplex","Galvanised"),"")</f>
        <v/>
      </c>
      <c r="F58">
        <f t="shared" si="1"/>
        <v>0</v>
      </c>
      <c r="G58" t="str">
        <f>IF(A58&gt;0,COUNTIFS($D$4:$D$315,LintelTable[[#This Row],[Length]],$C$4:$C$315,LintelTable[[#This Row],[Lintel]],$E$4:$E$315,LintelTable[[#This Row],[Treatment]],$A$4:$A$315,LintelTable[[#This Row],[Floor]],$B$4:$B$315,LintelTable[[#This Row],[Room]]),"")</f>
        <v/>
      </c>
      <c r="H58"/>
      <c r="I58"/>
      <c r="J58"/>
      <c r="K58"/>
      <c r="L58"/>
      <c r="M58"/>
      <c r="N58"/>
      <c r="O58"/>
      <c r="P58"/>
      <c r="Q58"/>
      <c r="R58"/>
      <c r="S58"/>
    </row>
    <row r="59" spans="1:19" s="205" customFormat="1" x14ac:dyDescent="0.2">
      <c r="A59" s="1143">
        <f>'Lintel Sheet'!B60</f>
        <v>0</v>
      </c>
      <c r="B59" s="1143">
        <f>'Lintel Sheet'!D60</f>
        <v>0</v>
      </c>
      <c r="C59" s="1143">
        <f>'Lintel Sheet'!H60</f>
        <v>0</v>
      </c>
      <c r="D59" s="1143" t="str">
        <f>IF(LintelTable[[#This Row],[Floor]]&gt;0,LintelTable[[#This Row],[Column1]]&amp;" / "&amp;'Lintel Sheet'!$I60,"")</f>
        <v/>
      </c>
      <c r="E59" s="1143" t="str">
        <f>IF('Lintel Sheet'!$B60&lt;&gt;"",IF(Coastal="Yes","Duplex","Galvanised"),"")</f>
        <v/>
      </c>
      <c r="F59">
        <f t="shared" si="1"/>
        <v>0</v>
      </c>
      <c r="G59" t="str">
        <f>IF(A59&gt;0,COUNTIFS($D$4:$D$315,LintelTable[[#This Row],[Length]],$C$4:$C$315,LintelTable[[#This Row],[Lintel]],$E$4:$E$315,LintelTable[[#This Row],[Treatment]],$A$4:$A$315,LintelTable[[#This Row],[Floor]],$B$4:$B$315,LintelTable[[#This Row],[Room]]),"")</f>
        <v/>
      </c>
      <c r="H59"/>
      <c r="I59"/>
      <c r="J59"/>
      <c r="K59"/>
      <c r="L59"/>
      <c r="M59"/>
      <c r="N59"/>
      <c r="O59"/>
      <c r="P59"/>
      <c r="Q59"/>
      <c r="R59"/>
      <c r="S59"/>
    </row>
    <row r="60" spans="1:19" s="205" customFormat="1" x14ac:dyDescent="0.2">
      <c r="A60" s="1143">
        <f>'Lintel Sheet'!B61</f>
        <v>0</v>
      </c>
      <c r="B60" s="1143">
        <f>'Lintel Sheet'!D61</f>
        <v>0</v>
      </c>
      <c r="C60" s="1143">
        <f>'Lintel Sheet'!H61</f>
        <v>0</v>
      </c>
      <c r="D60" s="1143" t="str">
        <f>IF(LintelTable[[#This Row],[Floor]]&gt;0,LintelTable[[#This Row],[Column1]]&amp;" / "&amp;'Lintel Sheet'!$I61,"")</f>
        <v/>
      </c>
      <c r="E60" s="1143" t="str">
        <f>IF('Lintel Sheet'!$B61&lt;&gt;"",IF(Coastal="Yes","Duplex","Galvanised"),"")</f>
        <v/>
      </c>
      <c r="F60">
        <f t="shared" si="1"/>
        <v>0</v>
      </c>
      <c r="G60" t="str">
        <f>IF(A60&gt;0,COUNTIFS($D$4:$D$315,LintelTable[[#This Row],[Length]],$C$4:$C$315,LintelTable[[#This Row],[Lintel]],$E$4:$E$315,LintelTable[[#This Row],[Treatment]],$A$4:$A$315,LintelTable[[#This Row],[Floor]],$B$4:$B$315,LintelTable[[#This Row],[Room]]),"")</f>
        <v/>
      </c>
      <c r="H60"/>
      <c r="I60"/>
      <c r="J60"/>
      <c r="K60"/>
      <c r="L60"/>
      <c r="M60"/>
      <c r="N60"/>
      <c r="O60"/>
      <c r="P60"/>
      <c r="Q60"/>
      <c r="R60"/>
      <c r="S60"/>
    </row>
    <row r="61" spans="1:19" s="205" customFormat="1" x14ac:dyDescent="0.2">
      <c r="A61" s="1143">
        <f>'Lintel Sheet'!B62</f>
        <v>0</v>
      </c>
      <c r="B61" s="1143">
        <f>'Lintel Sheet'!D62</f>
        <v>0</v>
      </c>
      <c r="C61" s="1143">
        <f>'Lintel Sheet'!H62</f>
        <v>0</v>
      </c>
      <c r="D61" s="1143" t="str">
        <f>IF(LintelTable[[#This Row],[Floor]]&gt;0,LintelTable[[#This Row],[Column1]]&amp;" / "&amp;'Lintel Sheet'!$I62,"")</f>
        <v/>
      </c>
      <c r="E61" s="1143" t="str">
        <f>IF('Lintel Sheet'!$B62&lt;&gt;"",IF(Coastal="Yes","Duplex","Galvanised"),"")</f>
        <v/>
      </c>
      <c r="F61">
        <f t="shared" si="1"/>
        <v>0</v>
      </c>
      <c r="G61" t="str">
        <f>IF(A61&gt;0,COUNTIFS($D$4:$D$315,LintelTable[[#This Row],[Length]],$C$4:$C$315,LintelTable[[#This Row],[Lintel]],$E$4:$E$315,LintelTable[[#This Row],[Treatment]],$A$4:$A$315,LintelTable[[#This Row],[Floor]],$B$4:$B$315,LintelTable[[#This Row],[Room]]),"")</f>
        <v/>
      </c>
      <c r="H61"/>
      <c r="I61"/>
      <c r="J61"/>
      <c r="K61"/>
      <c r="L61"/>
      <c r="M61"/>
      <c r="N61"/>
      <c r="O61"/>
      <c r="P61"/>
      <c r="Q61"/>
      <c r="R61"/>
      <c r="S61"/>
    </row>
    <row r="62" spans="1:19" s="205" customFormat="1" x14ac:dyDescent="0.2">
      <c r="A62" s="1143">
        <f>'Lintel Sheet'!B63</f>
        <v>0</v>
      </c>
      <c r="B62" s="1143">
        <f>'Lintel Sheet'!D63</f>
        <v>0</v>
      </c>
      <c r="C62" s="1143">
        <f>'Lintel Sheet'!H63</f>
        <v>0</v>
      </c>
      <c r="D62" s="1143" t="str">
        <f>IF(LintelTable[[#This Row],[Floor]]&gt;0,LintelTable[[#This Row],[Column1]]&amp;" / "&amp;'Lintel Sheet'!$I63,"")</f>
        <v/>
      </c>
      <c r="E62" s="1143" t="str">
        <f>IF('Lintel Sheet'!$B63&lt;&gt;"",IF(Coastal="Yes","Duplex","Galvanised"),"")</f>
        <v/>
      </c>
      <c r="F62">
        <f t="shared" si="1"/>
        <v>0</v>
      </c>
      <c r="G62" t="str">
        <f>IF(A62&gt;0,COUNTIFS($D$4:$D$315,LintelTable[[#This Row],[Length]],$C$4:$C$315,LintelTable[[#This Row],[Lintel]],$E$4:$E$315,LintelTable[[#This Row],[Treatment]],$A$4:$A$315,LintelTable[[#This Row],[Floor]],$B$4:$B$315,LintelTable[[#This Row],[Room]]),"")</f>
        <v/>
      </c>
      <c r="H62"/>
      <c r="I62"/>
      <c r="J62"/>
      <c r="K62"/>
      <c r="L62"/>
      <c r="M62"/>
      <c r="N62"/>
      <c r="O62"/>
      <c r="P62"/>
      <c r="Q62"/>
      <c r="R62"/>
      <c r="S62"/>
    </row>
    <row r="63" spans="1:19" s="205" customFormat="1" x14ac:dyDescent="0.2">
      <c r="A63" s="1143">
        <f>'Lintel Sheet'!B64</f>
        <v>0</v>
      </c>
      <c r="B63" s="1143">
        <f>'Lintel Sheet'!D64</f>
        <v>0</v>
      </c>
      <c r="C63" s="1143">
        <f>'Lintel Sheet'!H64</f>
        <v>0</v>
      </c>
      <c r="D63" s="1143" t="str">
        <f>IF(LintelTable[[#This Row],[Floor]]&gt;0,LintelTable[[#This Row],[Column1]]&amp;" / "&amp;'Lintel Sheet'!$I64,"")</f>
        <v/>
      </c>
      <c r="E63" s="1143" t="str">
        <f>IF('Lintel Sheet'!$B64&lt;&gt;"",IF(Coastal="Yes","Duplex","Galvanised"),"")</f>
        <v/>
      </c>
      <c r="F63">
        <f t="shared" si="1"/>
        <v>0</v>
      </c>
      <c r="G63" t="str">
        <f>IF(A63&gt;0,COUNTIFS($D$4:$D$315,LintelTable[[#This Row],[Length]],$C$4:$C$315,LintelTable[[#This Row],[Lintel]],$E$4:$E$315,LintelTable[[#This Row],[Treatment]],$A$4:$A$315,LintelTable[[#This Row],[Floor]],$B$4:$B$315,LintelTable[[#This Row],[Room]]),"")</f>
        <v/>
      </c>
      <c r="H63"/>
      <c r="I63"/>
      <c r="J63"/>
      <c r="K63"/>
      <c r="L63"/>
      <c r="M63"/>
      <c r="N63"/>
      <c r="O63"/>
      <c r="P63"/>
      <c r="Q63"/>
      <c r="R63"/>
      <c r="S63"/>
    </row>
    <row r="64" spans="1:19" s="205" customFormat="1" x14ac:dyDescent="0.2">
      <c r="A64" s="1143">
        <f>'Lintel Sheet'!B65</f>
        <v>0</v>
      </c>
      <c r="B64" s="1143">
        <f>'Lintel Sheet'!D65</f>
        <v>0</v>
      </c>
      <c r="C64" s="1143">
        <f>'Lintel Sheet'!H65</f>
        <v>0</v>
      </c>
      <c r="D64" s="1143" t="str">
        <f>IF(LintelTable[[#This Row],[Floor]]&gt;0,LintelTable[[#This Row],[Column1]]&amp;" / "&amp;'Lintel Sheet'!$I65,"")</f>
        <v/>
      </c>
      <c r="E64" s="1143" t="str">
        <f>IF('Lintel Sheet'!$B65&lt;&gt;"",IF(Coastal="Yes","Duplex","Galvanised"),"")</f>
        <v/>
      </c>
      <c r="F64">
        <f t="shared" si="1"/>
        <v>0</v>
      </c>
      <c r="G64" t="str">
        <f>IF(A64&gt;0,COUNTIFS($D$4:$D$315,LintelTable[[#This Row],[Length]],$C$4:$C$315,LintelTable[[#This Row],[Lintel]],$E$4:$E$315,LintelTable[[#This Row],[Treatment]],$A$4:$A$315,LintelTable[[#This Row],[Floor]],$B$4:$B$315,LintelTable[[#This Row],[Room]]),"")</f>
        <v/>
      </c>
      <c r="H64"/>
      <c r="I64"/>
      <c r="J64"/>
      <c r="K64"/>
      <c r="L64"/>
      <c r="M64"/>
      <c r="N64"/>
      <c r="O64"/>
      <c r="P64"/>
      <c r="Q64"/>
      <c r="R64"/>
      <c r="S64"/>
    </row>
    <row r="65" spans="1:19" s="205" customFormat="1" x14ac:dyDescent="0.2">
      <c r="A65" s="1143">
        <f>'Lintel Sheet'!B66</f>
        <v>0</v>
      </c>
      <c r="B65" s="1143">
        <f>'Lintel Sheet'!D66</f>
        <v>0</v>
      </c>
      <c r="C65" s="1143">
        <f>'Lintel Sheet'!H66</f>
        <v>0</v>
      </c>
      <c r="D65" s="1143" t="str">
        <f>IF(LintelTable[[#This Row],[Floor]]&gt;0,LintelTable[[#This Row],[Column1]]&amp;" / "&amp;'Lintel Sheet'!$I66,"")</f>
        <v/>
      </c>
      <c r="E65" s="1143" t="str">
        <f>IF('Lintel Sheet'!$B66&lt;&gt;"",IF(Coastal="Yes","Duplex","Galvanised"),"")</f>
        <v/>
      </c>
      <c r="F65">
        <f t="shared" si="1"/>
        <v>0</v>
      </c>
      <c r="G65" t="str">
        <f>IF(A65&gt;0,COUNTIFS($D$4:$D$315,LintelTable[[#This Row],[Length]],$C$4:$C$315,LintelTable[[#This Row],[Lintel]],$E$4:$E$315,LintelTable[[#This Row],[Treatment]],$A$4:$A$315,LintelTable[[#This Row],[Floor]],$B$4:$B$315,LintelTable[[#This Row],[Room]]),"")</f>
        <v/>
      </c>
      <c r="H65"/>
      <c r="I65"/>
      <c r="J65"/>
      <c r="K65"/>
      <c r="L65"/>
      <c r="M65"/>
      <c r="N65"/>
      <c r="O65"/>
      <c r="P65"/>
      <c r="Q65"/>
      <c r="R65"/>
      <c r="S65"/>
    </row>
    <row r="66" spans="1:19" s="205" customFormat="1" x14ac:dyDescent="0.2">
      <c r="A66" s="1143">
        <f>'Lintel Sheet'!B67</f>
        <v>0</v>
      </c>
      <c r="B66" s="1143">
        <f>'Lintel Sheet'!D67</f>
        <v>0</v>
      </c>
      <c r="C66" s="1143">
        <f>'Lintel Sheet'!H67</f>
        <v>0</v>
      </c>
      <c r="D66" s="1143" t="str">
        <f>IF(LintelTable[[#This Row],[Floor]]&gt;0,LintelTable[[#This Row],[Column1]]&amp;" / "&amp;'Lintel Sheet'!$I67,"")</f>
        <v/>
      </c>
      <c r="E66" s="1143" t="str">
        <f>IF('Lintel Sheet'!$B67&lt;&gt;"",IF(Coastal="Yes","Duplex","Galvanised"),"")</f>
        <v/>
      </c>
      <c r="F66">
        <f t="shared" si="1"/>
        <v>0</v>
      </c>
      <c r="G66" t="str">
        <f>IF(A66&gt;0,COUNTIFS($D$4:$D$315,LintelTable[[#This Row],[Length]],$C$4:$C$315,LintelTable[[#This Row],[Lintel]],$E$4:$E$315,LintelTable[[#This Row],[Treatment]],$A$4:$A$315,LintelTable[[#This Row],[Floor]],$B$4:$B$315,LintelTable[[#This Row],[Room]]),"")</f>
        <v/>
      </c>
      <c r="H66"/>
      <c r="I66"/>
      <c r="J66"/>
      <c r="K66"/>
      <c r="L66"/>
      <c r="M66"/>
      <c r="N66"/>
      <c r="O66"/>
      <c r="P66"/>
      <c r="Q66"/>
      <c r="R66"/>
      <c r="S66"/>
    </row>
    <row r="67" spans="1:19" s="205" customFormat="1" x14ac:dyDescent="0.2">
      <c r="A67" s="1143">
        <f>'Lintel Sheet'!B68</f>
        <v>0</v>
      </c>
      <c r="B67" s="1143">
        <f>'Lintel Sheet'!D68</f>
        <v>0</v>
      </c>
      <c r="C67" s="1143">
        <f>'Lintel Sheet'!H68</f>
        <v>0</v>
      </c>
      <c r="D67" s="1143" t="str">
        <f>IF(LintelTable[[#This Row],[Floor]]&gt;0,LintelTable[[#This Row],[Column1]]&amp;" / "&amp;'Lintel Sheet'!$I68,"")</f>
        <v/>
      </c>
      <c r="E67" s="1143" t="str">
        <f>IF('Lintel Sheet'!$B68&lt;&gt;"",IF(Coastal="Yes","Duplex","Galvanised"),"")</f>
        <v/>
      </c>
      <c r="F67">
        <f t="shared" si="1"/>
        <v>0</v>
      </c>
      <c r="G67" t="str">
        <f>IF(A67&gt;0,COUNTIFS($D$4:$D$315,LintelTable[[#This Row],[Length]],$C$4:$C$315,LintelTable[[#This Row],[Lintel]],$E$4:$E$315,LintelTable[[#This Row],[Treatment]],$A$4:$A$315,LintelTable[[#This Row],[Floor]],$B$4:$B$315,LintelTable[[#This Row],[Room]]),"")</f>
        <v/>
      </c>
      <c r="H67"/>
      <c r="I67"/>
      <c r="J67"/>
      <c r="K67"/>
      <c r="L67"/>
      <c r="M67"/>
      <c r="N67"/>
      <c r="O67"/>
      <c r="P67"/>
      <c r="Q67"/>
      <c r="R67"/>
      <c r="S67"/>
    </row>
    <row r="68" spans="1:19" s="205" customFormat="1" x14ac:dyDescent="0.2">
      <c r="A68" s="1143">
        <f>'Lintel Sheet'!B69</f>
        <v>0</v>
      </c>
      <c r="B68" s="1143">
        <f>'Lintel Sheet'!D69</f>
        <v>0</v>
      </c>
      <c r="C68" s="1143">
        <f>'Lintel Sheet'!H69</f>
        <v>0</v>
      </c>
      <c r="D68" s="1143" t="str">
        <f>IF(LintelTable[[#This Row],[Floor]]&gt;0,LintelTable[[#This Row],[Column1]]&amp;" / "&amp;'Lintel Sheet'!$I69,"")</f>
        <v/>
      </c>
      <c r="E68" s="1143" t="str">
        <f>IF('Lintel Sheet'!$B69&lt;&gt;"",IF(Coastal="Yes","Duplex","Galvanised"),"")</f>
        <v/>
      </c>
      <c r="F68">
        <f t="shared" si="1"/>
        <v>0</v>
      </c>
      <c r="G68" t="str">
        <f>IF(A68&gt;0,COUNTIFS($D$4:$D$315,LintelTable[[#This Row],[Length]],$C$4:$C$315,LintelTable[[#This Row],[Lintel]],$E$4:$E$315,LintelTable[[#This Row],[Treatment]],$A$4:$A$315,LintelTable[[#This Row],[Floor]],$B$4:$B$315,LintelTable[[#This Row],[Room]]),"")</f>
        <v/>
      </c>
      <c r="H68"/>
      <c r="I68"/>
      <c r="J68"/>
      <c r="K68"/>
      <c r="L68"/>
      <c r="M68"/>
      <c r="N68"/>
      <c r="O68"/>
      <c r="P68"/>
      <c r="Q68"/>
      <c r="R68"/>
      <c r="S68"/>
    </row>
    <row r="69" spans="1:19" s="205" customFormat="1" x14ac:dyDescent="0.2">
      <c r="A69" s="1143">
        <f>'Lintel Sheet'!B70</f>
        <v>0</v>
      </c>
      <c r="B69" s="1143">
        <f>'Lintel Sheet'!D70</f>
        <v>0</v>
      </c>
      <c r="C69" s="1143">
        <f>'Lintel Sheet'!H70</f>
        <v>0</v>
      </c>
      <c r="D69" s="1143" t="str">
        <f>IF(LintelTable[[#This Row],[Floor]]&gt;0,LintelTable[[#This Row],[Column1]]&amp;" / "&amp;'Lintel Sheet'!$I70,"")</f>
        <v/>
      </c>
      <c r="E69" s="1143" t="str">
        <f>IF('Lintel Sheet'!$B70&lt;&gt;"",IF(Coastal="Yes","Duplex","Galvanised"),"")</f>
        <v/>
      </c>
      <c r="F69">
        <f t="shared" si="1"/>
        <v>0</v>
      </c>
      <c r="G69" t="str">
        <f>IF(A69&gt;0,COUNTIFS($D$4:$D$315,LintelTable[[#This Row],[Length]],$C$4:$C$315,LintelTable[[#This Row],[Lintel]],$E$4:$E$315,LintelTable[[#This Row],[Treatment]],$A$4:$A$315,LintelTable[[#This Row],[Floor]],$B$4:$B$315,LintelTable[[#This Row],[Room]]),"")</f>
        <v/>
      </c>
      <c r="H69"/>
      <c r="I69"/>
      <c r="J69"/>
      <c r="K69"/>
      <c r="L69"/>
      <c r="M69"/>
      <c r="N69"/>
      <c r="O69"/>
      <c r="P69"/>
      <c r="Q69"/>
      <c r="R69"/>
      <c r="S69"/>
    </row>
    <row r="70" spans="1:19" x14ac:dyDescent="0.2">
      <c r="A70" s="1143">
        <f>'Lintel Sheet'!B71</f>
        <v>0</v>
      </c>
      <c r="B70" s="1143">
        <f>'Lintel Sheet'!D71</f>
        <v>0</v>
      </c>
      <c r="C70" s="1143">
        <f>'Lintel Sheet'!H71</f>
        <v>0</v>
      </c>
      <c r="D70" s="1143" t="str">
        <f>IF(LintelTable[[#This Row],[Floor]]&gt;0,LintelTable[[#This Row],[Column1]]&amp;" / "&amp;'Lintel Sheet'!$I71,"")</f>
        <v/>
      </c>
      <c r="E70" s="1143" t="str">
        <f>IF('Lintel Sheet'!$B71&lt;&gt;"",IF(Coastal="Yes","Duplex","Galvanised"),"")</f>
        <v/>
      </c>
      <c r="F70">
        <f t="shared" si="1"/>
        <v>0</v>
      </c>
      <c r="G70" t="str">
        <f>IF(A70&gt;0,COUNTIFS($D$4:$D$315,LintelTable[[#This Row],[Length]],$C$4:$C$315,LintelTable[[#This Row],[Lintel]],$E$4:$E$315,LintelTable[[#This Row],[Treatment]],$A$4:$A$315,LintelTable[[#This Row],[Floor]],$B$4:$B$315,LintelTable[[#This Row],[Room]]),"")</f>
        <v/>
      </c>
    </row>
    <row r="71" spans="1:19" x14ac:dyDescent="0.2">
      <c r="A71" s="1143">
        <f>'Lintel Sheet'!B72</f>
        <v>0</v>
      </c>
      <c r="B71" s="1143">
        <f>'Lintel Sheet'!D72</f>
        <v>0</v>
      </c>
      <c r="C71" s="1143">
        <f>'Lintel Sheet'!H72</f>
        <v>0</v>
      </c>
      <c r="D71" s="1143" t="str">
        <f>IF(LintelTable[[#This Row],[Floor]]&gt;0,LintelTable[[#This Row],[Column1]]&amp;" / "&amp;'Lintel Sheet'!$I72,"")</f>
        <v/>
      </c>
      <c r="E71" s="1143" t="str">
        <f>IF('Lintel Sheet'!$B72&lt;&gt;"",IF(Coastal="Yes","Duplex","Galvanised"),"")</f>
        <v/>
      </c>
      <c r="F71">
        <f t="shared" si="1"/>
        <v>0</v>
      </c>
      <c r="G71" t="str">
        <f>IF(A71&gt;0,COUNTIFS($D$4:$D$315,LintelTable[[#This Row],[Length]],$C$4:$C$315,LintelTable[[#This Row],[Lintel]],$E$4:$E$315,LintelTable[[#This Row],[Treatment]],$A$4:$A$315,LintelTable[[#This Row],[Floor]],$B$4:$B$315,LintelTable[[#This Row],[Room]]),"")</f>
        <v/>
      </c>
    </row>
    <row r="72" spans="1:19" x14ac:dyDescent="0.2">
      <c r="A72" s="1143">
        <f>'Lintel Sheet'!B73</f>
        <v>0</v>
      </c>
      <c r="B72" s="1143">
        <f>'Lintel Sheet'!D73</f>
        <v>0</v>
      </c>
      <c r="C72" s="1143">
        <f>'Lintel Sheet'!H73</f>
        <v>0</v>
      </c>
      <c r="D72" s="1143" t="str">
        <f>IF(LintelTable[[#This Row],[Floor]]&gt;0,LintelTable[[#This Row],[Column1]]&amp;" / "&amp;'Lintel Sheet'!$I73,"")</f>
        <v/>
      </c>
      <c r="E72" s="1143" t="str">
        <f>IF('Lintel Sheet'!$B73&lt;&gt;"",IF(Coastal="Yes","Duplex","Galvanised"),"")</f>
        <v/>
      </c>
      <c r="F72">
        <f t="shared" si="1"/>
        <v>0</v>
      </c>
      <c r="G72" t="str">
        <f>IF(A72&gt;0,COUNTIFS($D$4:$D$315,LintelTable[[#This Row],[Length]],$C$4:$C$315,LintelTable[[#This Row],[Lintel]],$E$4:$E$315,LintelTable[[#This Row],[Treatment]],$A$4:$A$315,LintelTable[[#This Row],[Floor]],$B$4:$B$315,LintelTable[[#This Row],[Room]]),"")</f>
        <v/>
      </c>
    </row>
    <row r="73" spans="1:19" x14ac:dyDescent="0.2">
      <c r="A73" s="1143">
        <f>'Lintel Sheet'!B74</f>
        <v>0</v>
      </c>
      <c r="B73" s="1143">
        <f>'Lintel Sheet'!D74</f>
        <v>0</v>
      </c>
      <c r="C73" s="1143">
        <f>'Lintel Sheet'!H74</f>
        <v>0</v>
      </c>
      <c r="D73" s="1143" t="str">
        <f>IF(LintelTable[[#This Row],[Floor]]&gt;0,LintelTable[[#This Row],[Column1]]&amp;" / "&amp;'Lintel Sheet'!$I74,"")</f>
        <v/>
      </c>
      <c r="E73" s="1143" t="str">
        <f>IF('Lintel Sheet'!$B74&lt;&gt;"",IF(Coastal="Yes","Duplex","Galvanised"),"")</f>
        <v/>
      </c>
      <c r="F73">
        <f t="shared" si="1"/>
        <v>0</v>
      </c>
      <c r="G73" t="str">
        <f>IF(A73&gt;0,COUNTIFS($D$4:$D$315,LintelTable[[#This Row],[Length]],$C$4:$C$315,LintelTable[[#This Row],[Lintel]],$E$4:$E$315,LintelTable[[#This Row],[Treatment]],$A$4:$A$315,LintelTable[[#This Row],[Floor]],$B$4:$B$315,LintelTable[[#This Row],[Room]]),"")</f>
        <v/>
      </c>
    </row>
    <row r="74" spans="1:19" x14ac:dyDescent="0.2">
      <c r="A74" s="1143">
        <f>'Lintel Sheet'!B75</f>
        <v>0</v>
      </c>
      <c r="B74" s="1143">
        <f>'Lintel Sheet'!D75</f>
        <v>0</v>
      </c>
      <c r="C74" s="1143">
        <f>'Lintel Sheet'!H75</f>
        <v>0</v>
      </c>
      <c r="D74" s="1143" t="str">
        <f>IF(LintelTable[[#This Row],[Floor]]&gt;0,LintelTable[[#This Row],[Column1]]&amp;" / "&amp;'Lintel Sheet'!$I75,"")</f>
        <v/>
      </c>
      <c r="E74" s="1143" t="str">
        <f>IF('Lintel Sheet'!$B75&lt;&gt;"",IF(Coastal="Yes","Duplex","Galvanised"),"")</f>
        <v/>
      </c>
      <c r="F74">
        <f t="shared" si="1"/>
        <v>0</v>
      </c>
      <c r="G74" t="str">
        <f>IF(A74&gt;0,COUNTIFS($D$4:$D$315,LintelTable[[#This Row],[Length]],$C$4:$C$315,LintelTable[[#This Row],[Lintel]],$E$4:$E$315,LintelTable[[#This Row],[Treatment]],$A$4:$A$315,LintelTable[[#This Row],[Floor]],$B$4:$B$315,LintelTable[[#This Row],[Room]]),"")</f>
        <v/>
      </c>
    </row>
    <row r="75" spans="1:19" x14ac:dyDescent="0.2">
      <c r="A75" s="1143">
        <f>'Lintel Sheet'!B76</f>
        <v>0</v>
      </c>
      <c r="B75" s="1143">
        <f>'Lintel Sheet'!D76</f>
        <v>0</v>
      </c>
      <c r="C75" s="1143">
        <f>'Lintel Sheet'!H76</f>
        <v>0</v>
      </c>
      <c r="D75" s="1143" t="str">
        <f>IF(LintelTable[[#This Row],[Floor]]&gt;0,LintelTable[[#This Row],[Column1]]&amp;" / "&amp;'Lintel Sheet'!$I76,"")</f>
        <v/>
      </c>
      <c r="E75" s="1143" t="str">
        <f>IF('Lintel Sheet'!$B76&lt;&gt;"",IF(Coastal="Yes","Duplex","Galvanised"),"")</f>
        <v/>
      </c>
      <c r="F75">
        <f t="shared" si="1"/>
        <v>0</v>
      </c>
      <c r="G75" t="str">
        <f>IF(A75&gt;0,COUNTIFS($D$4:$D$315,LintelTable[[#This Row],[Length]],$C$4:$C$315,LintelTable[[#This Row],[Lintel]],$E$4:$E$315,LintelTable[[#This Row],[Treatment]],$A$4:$A$315,LintelTable[[#This Row],[Floor]],$B$4:$B$315,LintelTable[[#This Row],[Room]]),"")</f>
        <v/>
      </c>
    </row>
    <row r="76" spans="1:19" x14ac:dyDescent="0.2">
      <c r="A76" s="1143">
        <f>'Lintel Sheet'!B77</f>
        <v>0</v>
      </c>
      <c r="B76" s="1143">
        <f>'Lintel Sheet'!D77</f>
        <v>0</v>
      </c>
      <c r="C76" s="1143">
        <f>'Lintel Sheet'!H77</f>
        <v>0</v>
      </c>
      <c r="D76" s="1143" t="str">
        <f>IF(LintelTable[[#This Row],[Floor]]&gt;0,LintelTable[[#This Row],[Column1]]&amp;" / "&amp;'Lintel Sheet'!$I77,"")</f>
        <v/>
      </c>
      <c r="E76" s="1143" t="str">
        <f>IF('Lintel Sheet'!$B77&lt;&gt;"",IF(Coastal="Yes","Duplex","Galvanised"),"")</f>
        <v/>
      </c>
      <c r="F76">
        <f t="shared" si="1"/>
        <v>0</v>
      </c>
      <c r="G76" t="str">
        <f>IF(A76&gt;0,COUNTIFS($D$4:$D$315,LintelTable[[#This Row],[Length]],$C$4:$C$315,LintelTable[[#This Row],[Lintel]],$E$4:$E$315,LintelTable[[#This Row],[Treatment]],$A$4:$A$315,LintelTable[[#This Row],[Floor]],$B$4:$B$315,LintelTable[[#This Row],[Room]]),"")</f>
        <v/>
      </c>
    </row>
    <row r="77" spans="1:19" x14ac:dyDescent="0.2">
      <c r="A77" s="1143">
        <f>'Lintel Sheet'!B78</f>
        <v>0</v>
      </c>
      <c r="B77" s="1143">
        <f>'Lintel Sheet'!D78</f>
        <v>0</v>
      </c>
      <c r="C77" s="1143">
        <f>'Lintel Sheet'!H78</f>
        <v>0</v>
      </c>
      <c r="D77" s="1143" t="str">
        <f>IF(LintelTable[[#This Row],[Floor]]&gt;0,LintelTable[[#This Row],[Column1]]&amp;" / "&amp;'Lintel Sheet'!$I78,"")</f>
        <v/>
      </c>
      <c r="E77" s="1143" t="str">
        <f>IF('Lintel Sheet'!$B78&lt;&gt;"",IF(Coastal="Yes","Duplex","Galvanised"),"")</f>
        <v/>
      </c>
      <c r="F77">
        <f t="shared" si="1"/>
        <v>0</v>
      </c>
      <c r="G77" t="str">
        <f>IF(A77&gt;0,COUNTIFS($D$4:$D$315,LintelTable[[#This Row],[Length]],$C$4:$C$315,LintelTable[[#This Row],[Lintel]],$E$4:$E$315,LintelTable[[#This Row],[Treatment]],$A$4:$A$315,LintelTable[[#This Row],[Floor]],$B$4:$B$315,LintelTable[[#This Row],[Room]]),"")</f>
        <v/>
      </c>
    </row>
    <row r="78" spans="1:19" x14ac:dyDescent="0.2">
      <c r="A78" s="1143">
        <f>'Lintel Sheet'!B79</f>
        <v>0</v>
      </c>
      <c r="B78" s="1143">
        <f>'Lintel Sheet'!D79</f>
        <v>0</v>
      </c>
      <c r="C78" s="1143">
        <f>'Lintel Sheet'!H79</f>
        <v>0</v>
      </c>
      <c r="D78" s="1143" t="str">
        <f>IF(LintelTable[[#This Row],[Floor]]&gt;0,LintelTable[[#This Row],[Column1]]&amp;" / "&amp;'Lintel Sheet'!$I79,"")</f>
        <v/>
      </c>
      <c r="E78" s="1143" t="str">
        <f>IF('Lintel Sheet'!$B79&lt;&gt;"",IF(Coastal="Yes","Duplex","Galvanised"),"")</f>
        <v/>
      </c>
      <c r="F78">
        <f t="shared" si="1"/>
        <v>0</v>
      </c>
      <c r="G78" t="str">
        <f>IF(A78&gt;0,COUNTIFS($D$4:$D$315,LintelTable[[#This Row],[Length]],$C$4:$C$315,LintelTable[[#This Row],[Lintel]],$E$4:$E$315,LintelTable[[#This Row],[Treatment]],$A$4:$A$315,LintelTable[[#This Row],[Floor]],$B$4:$B$315,LintelTable[[#This Row],[Room]]),"")</f>
        <v/>
      </c>
    </row>
    <row r="79" spans="1:19" x14ac:dyDescent="0.2">
      <c r="A79" s="1143">
        <f>'Lintel Sheet'!B80</f>
        <v>0</v>
      </c>
      <c r="B79" s="1143">
        <f>'Lintel Sheet'!D80</f>
        <v>0</v>
      </c>
      <c r="C79" s="1143">
        <f>'Lintel Sheet'!H80</f>
        <v>0</v>
      </c>
      <c r="D79" s="1143" t="str">
        <f>IF(LintelTable[[#This Row],[Floor]]&gt;0,LintelTable[[#This Row],[Column1]]&amp;" / "&amp;'Lintel Sheet'!$I80,"")</f>
        <v/>
      </c>
      <c r="E79" s="1143" t="str">
        <f>IF('Lintel Sheet'!$B80&lt;&gt;"",IF(Coastal="Yes","Duplex","Galvanised"),"")</f>
        <v/>
      </c>
      <c r="F79">
        <f t="shared" si="1"/>
        <v>0</v>
      </c>
      <c r="G79" t="str">
        <f>IF(A79&gt;0,COUNTIFS($D$4:$D$315,LintelTable[[#This Row],[Length]],$C$4:$C$315,LintelTable[[#This Row],[Lintel]],$E$4:$E$315,LintelTable[[#This Row],[Treatment]],$A$4:$A$315,LintelTable[[#This Row],[Floor]],$B$4:$B$315,LintelTable[[#This Row],[Room]]),"")</f>
        <v/>
      </c>
    </row>
    <row r="80" spans="1:19" x14ac:dyDescent="0.2">
      <c r="A80" s="1143">
        <f>'Lintel Sheet'!B81</f>
        <v>0</v>
      </c>
      <c r="B80" s="1143">
        <f>'Lintel Sheet'!D81</f>
        <v>0</v>
      </c>
      <c r="C80" s="1143">
        <f>'Lintel Sheet'!H81</f>
        <v>0</v>
      </c>
      <c r="D80" s="1143" t="str">
        <f>IF(LintelTable[[#This Row],[Floor]]&gt;0,LintelTable[[#This Row],[Column1]]&amp;" / "&amp;'Lintel Sheet'!$I81,"")</f>
        <v/>
      </c>
      <c r="E80" s="1143" t="str">
        <f>IF('Lintel Sheet'!$B81&lt;&gt;"",IF(Coastal="Yes","Duplex","Galvanised"),"")</f>
        <v/>
      </c>
      <c r="F80">
        <f t="shared" si="1"/>
        <v>0</v>
      </c>
      <c r="G80" t="str">
        <f>IF(A80&gt;0,COUNTIFS($D$4:$D$315,LintelTable[[#This Row],[Length]],$C$4:$C$315,LintelTable[[#This Row],[Lintel]],$E$4:$E$315,LintelTable[[#This Row],[Treatment]],$A$4:$A$315,LintelTable[[#This Row],[Floor]],$B$4:$B$315,LintelTable[[#This Row],[Room]]),"")</f>
        <v/>
      </c>
    </row>
    <row r="81" spans="1:7" x14ac:dyDescent="0.2">
      <c r="A81" s="1143">
        <f>'Lintel Sheet'!B82</f>
        <v>0</v>
      </c>
      <c r="B81" s="1143">
        <f>'Lintel Sheet'!D82</f>
        <v>0</v>
      </c>
      <c r="C81" s="1143">
        <f>'Lintel Sheet'!H82</f>
        <v>0</v>
      </c>
      <c r="D81" s="1143" t="str">
        <f>IF(LintelTable[[#This Row],[Floor]]&gt;0,LintelTable[[#This Row],[Column1]]&amp;" / "&amp;'Lintel Sheet'!$I82,"")</f>
        <v/>
      </c>
      <c r="E81" s="1143" t="str">
        <f>IF('Lintel Sheet'!$B82&lt;&gt;"",IF(Coastal="Yes","Duplex","Galvanised"),"")</f>
        <v/>
      </c>
      <c r="F81">
        <f t="shared" si="1"/>
        <v>0</v>
      </c>
      <c r="G81" t="str">
        <f>IF(A81&gt;0,COUNTIFS($D$4:$D$315,LintelTable[[#This Row],[Length]],$C$4:$C$315,LintelTable[[#This Row],[Lintel]],$E$4:$E$315,LintelTable[[#This Row],[Treatment]],$A$4:$A$315,LintelTable[[#This Row],[Floor]],$B$4:$B$315,LintelTable[[#This Row],[Room]]),"")</f>
        <v/>
      </c>
    </row>
    <row r="82" spans="1:7" x14ac:dyDescent="0.2">
      <c r="A82" s="1143">
        <f>'Lintel Sheet'!B83</f>
        <v>0</v>
      </c>
      <c r="B82" s="1143">
        <f>'Lintel Sheet'!D83</f>
        <v>0</v>
      </c>
      <c r="C82" s="1143">
        <f>'Lintel Sheet'!H83</f>
        <v>0</v>
      </c>
      <c r="D82" s="1143" t="str">
        <f>IF(LintelTable[[#This Row],[Floor]]&gt;0,LintelTable[[#This Row],[Column1]]&amp;" / "&amp;'Lintel Sheet'!$I83,"")</f>
        <v/>
      </c>
      <c r="E82" s="1143" t="str">
        <f>IF('Lintel Sheet'!$B83&lt;&gt;"",IF(Coastal="Yes","Duplex","Galvanised"),"")</f>
        <v/>
      </c>
      <c r="F82">
        <f t="shared" si="1"/>
        <v>0</v>
      </c>
      <c r="G82" t="str">
        <f>IF(A82&gt;0,COUNTIFS($D$4:$D$315,LintelTable[[#This Row],[Length]],$C$4:$C$315,LintelTable[[#This Row],[Lintel]],$E$4:$E$315,LintelTable[[#This Row],[Treatment]],$A$4:$A$315,LintelTable[[#This Row],[Floor]],$B$4:$B$315,LintelTable[[#This Row],[Room]]),"")</f>
        <v/>
      </c>
    </row>
    <row r="83" spans="1:7" x14ac:dyDescent="0.2">
      <c r="A83" s="1143">
        <f>'Lintel Sheet'!B84</f>
        <v>0</v>
      </c>
      <c r="B83" s="1143">
        <f>'Lintel Sheet'!D84</f>
        <v>0</v>
      </c>
      <c r="C83" s="1143">
        <f>'Lintel Sheet'!H84</f>
        <v>0</v>
      </c>
      <c r="D83" s="1143" t="str">
        <f>IF(LintelTable[[#This Row],[Floor]]&gt;0,LintelTable[[#This Row],[Column1]]&amp;" / "&amp;'Lintel Sheet'!$I84,"")</f>
        <v/>
      </c>
      <c r="E83" s="1143" t="str">
        <f>IF('Lintel Sheet'!$B84&lt;&gt;"",IF(Coastal="Yes","Duplex","Galvanised"),"")</f>
        <v/>
      </c>
      <c r="F83">
        <f t="shared" si="1"/>
        <v>0</v>
      </c>
      <c r="G83" t="str">
        <f>IF(A83&gt;0,COUNTIFS($D$4:$D$315,LintelTable[[#This Row],[Length]],$C$4:$C$315,LintelTable[[#This Row],[Lintel]],$E$4:$E$315,LintelTable[[#This Row],[Treatment]],$A$4:$A$315,LintelTable[[#This Row],[Floor]],$B$4:$B$315,LintelTable[[#This Row],[Room]]),"")</f>
        <v/>
      </c>
    </row>
    <row r="84" spans="1:7" x14ac:dyDescent="0.2">
      <c r="A84" s="1143">
        <f>'Lintel Sheet'!B85</f>
        <v>0</v>
      </c>
      <c r="B84" s="1143">
        <f>'Lintel Sheet'!D85</f>
        <v>0</v>
      </c>
      <c r="C84" s="1143">
        <f>'Lintel Sheet'!H85</f>
        <v>0</v>
      </c>
      <c r="D84" s="1143" t="str">
        <f>IF(LintelTable[[#This Row],[Floor]]&gt;0,LintelTable[[#This Row],[Column1]]&amp;" / "&amp;'Lintel Sheet'!$I85,"")</f>
        <v/>
      </c>
      <c r="E84" s="1143" t="str">
        <f>IF('Lintel Sheet'!$B85&lt;&gt;"",IF(Coastal="Yes","Duplex","Galvanised"),"")</f>
        <v/>
      </c>
      <c r="F84">
        <f t="shared" si="1"/>
        <v>0</v>
      </c>
      <c r="G84" t="str">
        <f>IF(A84&gt;0,COUNTIFS($D$4:$D$315,LintelTable[[#This Row],[Length]],$C$4:$C$315,LintelTable[[#This Row],[Lintel]],$E$4:$E$315,LintelTable[[#This Row],[Treatment]],$A$4:$A$315,LintelTable[[#This Row],[Floor]],$B$4:$B$315,LintelTable[[#This Row],[Room]]),"")</f>
        <v/>
      </c>
    </row>
    <row r="85" spans="1:7" x14ac:dyDescent="0.2">
      <c r="A85" s="1143">
        <f>'Lintel Sheet'!B86</f>
        <v>0</v>
      </c>
      <c r="B85" s="1143">
        <f>'Lintel Sheet'!D86</f>
        <v>0</v>
      </c>
      <c r="C85" s="1143">
        <f>'Lintel Sheet'!H86</f>
        <v>0</v>
      </c>
      <c r="D85" s="1143" t="str">
        <f>IF(LintelTable[[#This Row],[Floor]]&gt;0,LintelTable[[#This Row],[Column1]]&amp;" / "&amp;'Lintel Sheet'!$I86,"")</f>
        <v/>
      </c>
      <c r="E85" s="1143" t="str">
        <f>IF('Lintel Sheet'!$B86&lt;&gt;"",IF(Coastal="Yes","Duplex","Galvanised"),"")</f>
        <v/>
      </c>
      <c r="F85">
        <f t="shared" si="1"/>
        <v>0</v>
      </c>
      <c r="G85" t="str">
        <f>IF(A85&gt;0,COUNTIFS($D$4:$D$315,LintelTable[[#This Row],[Length]],$C$4:$C$315,LintelTable[[#This Row],[Lintel]],$E$4:$E$315,LintelTable[[#This Row],[Treatment]],$A$4:$A$315,LintelTable[[#This Row],[Floor]],$B$4:$B$315,LintelTable[[#This Row],[Room]]),"")</f>
        <v/>
      </c>
    </row>
    <row r="86" spans="1:7" x14ac:dyDescent="0.2">
      <c r="A86" s="1143">
        <f>'Lintel Sheet'!B87</f>
        <v>0</v>
      </c>
      <c r="B86" s="1143">
        <f>'Lintel Sheet'!D87</f>
        <v>0</v>
      </c>
      <c r="C86" s="1143">
        <f>'Lintel Sheet'!H87</f>
        <v>0</v>
      </c>
      <c r="D86" s="1143" t="str">
        <f>IF(LintelTable[[#This Row],[Floor]]&gt;0,LintelTable[[#This Row],[Column1]]&amp;" / "&amp;'Lintel Sheet'!$I87,"")</f>
        <v/>
      </c>
      <c r="E86" s="1143" t="str">
        <f>IF('Lintel Sheet'!$B87&lt;&gt;"",IF(Coastal="Yes","Duplex","Galvanised"),"")</f>
        <v/>
      </c>
      <c r="F86">
        <f t="shared" si="1"/>
        <v>0</v>
      </c>
      <c r="G86" t="str">
        <f>IF(A86&gt;0,COUNTIFS($D$4:$D$315,LintelTable[[#This Row],[Length]],$C$4:$C$315,LintelTable[[#This Row],[Lintel]],$E$4:$E$315,LintelTable[[#This Row],[Treatment]],$A$4:$A$315,LintelTable[[#This Row],[Floor]],$B$4:$B$315,LintelTable[[#This Row],[Room]]),"")</f>
        <v/>
      </c>
    </row>
    <row r="87" spans="1:7" x14ac:dyDescent="0.2">
      <c r="A87" s="1143">
        <f>'Lintel Sheet'!B88</f>
        <v>0</v>
      </c>
      <c r="B87" s="1143">
        <f>'Lintel Sheet'!D88</f>
        <v>0</v>
      </c>
      <c r="C87" s="1143">
        <f>'Lintel Sheet'!H88</f>
        <v>0</v>
      </c>
      <c r="D87" s="1143" t="str">
        <f>IF(LintelTable[[#This Row],[Floor]]&gt;0,LintelTable[[#This Row],[Column1]]&amp;" / "&amp;'Lintel Sheet'!$I88,"")</f>
        <v/>
      </c>
      <c r="E87" s="1143" t="str">
        <f>IF('Lintel Sheet'!$B88&lt;&gt;"",IF(Coastal="Yes","Duplex","Galvanised"),"")</f>
        <v/>
      </c>
      <c r="F87">
        <f t="shared" si="1"/>
        <v>0</v>
      </c>
      <c r="G87" t="str">
        <f>IF(A87&gt;0,COUNTIFS($D$4:$D$315,LintelTable[[#This Row],[Length]],$C$4:$C$315,LintelTable[[#This Row],[Lintel]],$E$4:$E$315,LintelTable[[#This Row],[Treatment]],$A$4:$A$315,LintelTable[[#This Row],[Floor]],$B$4:$B$315,LintelTable[[#This Row],[Room]]),"")</f>
        <v/>
      </c>
    </row>
    <row r="88" spans="1:7" x14ac:dyDescent="0.2">
      <c r="A88" s="1143">
        <f>'Lintel Sheet'!B89</f>
        <v>0</v>
      </c>
      <c r="B88" s="1143">
        <f>'Lintel Sheet'!D89</f>
        <v>0</v>
      </c>
      <c r="C88" s="1143">
        <f>'Lintel Sheet'!H89</f>
        <v>0</v>
      </c>
      <c r="D88" s="1143" t="str">
        <f>IF(LintelTable[[#This Row],[Floor]]&gt;0,LintelTable[[#This Row],[Column1]]&amp;" / "&amp;'Lintel Sheet'!$I89,"")</f>
        <v/>
      </c>
      <c r="E88" s="1143" t="str">
        <f>IF('Lintel Sheet'!$B89&lt;&gt;"",IF(Coastal="Yes","Duplex","Galvanised"),"")</f>
        <v/>
      </c>
      <c r="F88">
        <f t="shared" si="1"/>
        <v>0</v>
      </c>
      <c r="G88" t="str">
        <f>IF(A88&gt;0,COUNTIFS($D$4:$D$315,LintelTable[[#This Row],[Length]],$C$4:$C$315,LintelTable[[#This Row],[Lintel]],$E$4:$E$315,LintelTable[[#This Row],[Treatment]],$A$4:$A$315,LintelTable[[#This Row],[Floor]],$B$4:$B$315,LintelTable[[#This Row],[Room]]),"")</f>
        <v/>
      </c>
    </row>
    <row r="89" spans="1:7" x14ac:dyDescent="0.2">
      <c r="A89" s="1143">
        <f>'Lintel Sheet'!B90</f>
        <v>0</v>
      </c>
      <c r="B89" s="1143">
        <f>'Lintel Sheet'!D90</f>
        <v>0</v>
      </c>
      <c r="C89" s="1143">
        <f>'Lintel Sheet'!H90</f>
        <v>0</v>
      </c>
      <c r="D89" s="1143" t="str">
        <f>IF(LintelTable[[#This Row],[Floor]]&gt;0,LintelTable[[#This Row],[Column1]]&amp;" / "&amp;'Lintel Sheet'!$I90,"")</f>
        <v/>
      </c>
      <c r="E89" s="1143" t="str">
        <f>IF('Lintel Sheet'!$B90&lt;&gt;"",IF(Coastal="Yes","Duplex","Galvanised"),"")</f>
        <v/>
      </c>
      <c r="F89">
        <f t="shared" si="1"/>
        <v>0</v>
      </c>
      <c r="G89" t="str">
        <f>IF(A89&gt;0,COUNTIFS($D$4:$D$315,LintelTable[[#This Row],[Length]],$C$4:$C$315,LintelTable[[#This Row],[Lintel]],$E$4:$E$315,LintelTable[[#This Row],[Treatment]],$A$4:$A$315,LintelTable[[#This Row],[Floor]],$B$4:$B$315,LintelTable[[#This Row],[Room]]),"")</f>
        <v/>
      </c>
    </row>
    <row r="90" spans="1:7" x14ac:dyDescent="0.2">
      <c r="A90" s="1143">
        <f>'Lintel Sheet'!B91</f>
        <v>0</v>
      </c>
      <c r="B90" s="1143">
        <f>'Lintel Sheet'!D91</f>
        <v>0</v>
      </c>
      <c r="C90" s="1143">
        <f>'Lintel Sheet'!H91</f>
        <v>0</v>
      </c>
      <c r="D90" s="1143" t="str">
        <f>IF(LintelTable[[#This Row],[Floor]]&gt;0,LintelTable[[#This Row],[Column1]]&amp;" / "&amp;'Lintel Sheet'!$I91,"")</f>
        <v/>
      </c>
      <c r="E90" s="1143" t="str">
        <f>IF('Lintel Sheet'!$B91&lt;&gt;"",IF(Coastal="Yes","Duplex","Galvanised"),"")</f>
        <v/>
      </c>
      <c r="F90">
        <f t="shared" ref="F90:F153" si="2">H90</f>
        <v>0</v>
      </c>
      <c r="G90" t="str">
        <f>IF(A90&gt;0,COUNTIFS($D$4:$D$315,LintelTable[[#This Row],[Length]],$C$4:$C$315,LintelTable[[#This Row],[Lintel]],$E$4:$E$315,LintelTable[[#This Row],[Treatment]],$A$4:$A$315,LintelTable[[#This Row],[Floor]],$B$4:$B$315,LintelTable[[#This Row],[Room]]),"")</f>
        <v/>
      </c>
    </row>
    <row r="91" spans="1:7" x14ac:dyDescent="0.2">
      <c r="A91" s="1143">
        <f>'Lintel Sheet'!B92</f>
        <v>0</v>
      </c>
      <c r="B91" s="1143">
        <f>'Lintel Sheet'!D92</f>
        <v>0</v>
      </c>
      <c r="C91" s="1143">
        <f>'Lintel Sheet'!H92</f>
        <v>0</v>
      </c>
      <c r="D91" s="1143" t="str">
        <f>IF(LintelTable[[#This Row],[Floor]]&gt;0,LintelTable[[#This Row],[Column1]]&amp;" / "&amp;'Lintel Sheet'!$I92,"")</f>
        <v/>
      </c>
      <c r="E91" s="1143" t="str">
        <f>IF('Lintel Sheet'!$B92&lt;&gt;"",IF(Coastal="Yes","Duplex","Galvanised"),"")</f>
        <v/>
      </c>
      <c r="F91">
        <f t="shared" si="2"/>
        <v>0</v>
      </c>
      <c r="G91" t="str">
        <f>IF(A91&gt;0,COUNTIFS($D$4:$D$315,LintelTable[[#This Row],[Length]],$C$4:$C$315,LintelTable[[#This Row],[Lintel]],$E$4:$E$315,LintelTable[[#This Row],[Treatment]],$A$4:$A$315,LintelTable[[#This Row],[Floor]],$B$4:$B$315,LintelTable[[#This Row],[Room]]),"")</f>
        <v/>
      </c>
    </row>
    <row r="92" spans="1:7" x14ac:dyDescent="0.2">
      <c r="A92" s="1143">
        <f>'Lintel Sheet'!B93</f>
        <v>0</v>
      </c>
      <c r="B92" s="1143">
        <f>'Lintel Sheet'!D93</f>
        <v>0</v>
      </c>
      <c r="C92" s="1143">
        <f>'Lintel Sheet'!H93</f>
        <v>0</v>
      </c>
      <c r="D92" s="1143" t="str">
        <f>IF(LintelTable[[#This Row],[Floor]]&gt;0,LintelTable[[#This Row],[Column1]]&amp;" / "&amp;'Lintel Sheet'!$I93,"")</f>
        <v/>
      </c>
      <c r="E92" s="1143" t="str">
        <f>IF('Lintel Sheet'!$B93&lt;&gt;"",IF(Coastal="Yes","Duplex","Galvanised"),"")</f>
        <v/>
      </c>
      <c r="F92">
        <f t="shared" si="2"/>
        <v>0</v>
      </c>
      <c r="G92" t="str">
        <f>IF(A92&gt;0,COUNTIFS($D$4:$D$315,LintelTable[[#This Row],[Length]],$C$4:$C$315,LintelTable[[#This Row],[Lintel]],$E$4:$E$315,LintelTable[[#This Row],[Treatment]],$A$4:$A$315,LintelTable[[#This Row],[Floor]],$B$4:$B$315,LintelTable[[#This Row],[Room]]),"")</f>
        <v/>
      </c>
    </row>
    <row r="93" spans="1:7" x14ac:dyDescent="0.2">
      <c r="A93" s="1143">
        <f>'Lintel Sheet'!B94</f>
        <v>0</v>
      </c>
      <c r="B93" s="1143">
        <f>'Lintel Sheet'!D94</f>
        <v>0</v>
      </c>
      <c r="C93" s="1143">
        <f>'Lintel Sheet'!H94</f>
        <v>0</v>
      </c>
      <c r="D93" s="1143" t="str">
        <f>IF(LintelTable[[#This Row],[Floor]]&gt;0,LintelTable[[#This Row],[Column1]]&amp;" / "&amp;'Lintel Sheet'!$I94,"")</f>
        <v/>
      </c>
      <c r="E93" s="1143" t="str">
        <f>IF('Lintel Sheet'!$B94&lt;&gt;"",IF(Coastal="Yes","Duplex","Galvanised"),"")</f>
        <v/>
      </c>
      <c r="F93">
        <f t="shared" si="2"/>
        <v>0</v>
      </c>
      <c r="G93" t="str">
        <f>IF(A93&gt;0,COUNTIFS($D$4:$D$315,LintelTable[[#This Row],[Length]],$C$4:$C$315,LintelTable[[#This Row],[Lintel]],$E$4:$E$315,LintelTable[[#This Row],[Treatment]],$A$4:$A$315,LintelTable[[#This Row],[Floor]],$B$4:$B$315,LintelTable[[#This Row],[Room]]),"")</f>
        <v/>
      </c>
    </row>
    <row r="94" spans="1:7" x14ac:dyDescent="0.2">
      <c r="A94" s="1143">
        <f>'Lintel Sheet'!B95</f>
        <v>0</v>
      </c>
      <c r="B94" s="1143">
        <f>'Lintel Sheet'!D95</f>
        <v>0</v>
      </c>
      <c r="C94" s="1143">
        <f>'Lintel Sheet'!H95</f>
        <v>0</v>
      </c>
      <c r="D94" s="1143" t="str">
        <f>IF(LintelTable[[#This Row],[Floor]]&gt;0,LintelTable[[#This Row],[Column1]]&amp;" / "&amp;'Lintel Sheet'!$I95,"")</f>
        <v/>
      </c>
      <c r="E94" s="1143" t="str">
        <f>IF('Lintel Sheet'!$B95&lt;&gt;"",IF(Coastal="Yes","Duplex","Galvanised"),"")</f>
        <v/>
      </c>
      <c r="F94">
        <f t="shared" si="2"/>
        <v>0</v>
      </c>
      <c r="G94" t="str">
        <f>IF(A94&gt;0,COUNTIFS($D$4:$D$315,LintelTable[[#This Row],[Length]],$C$4:$C$315,LintelTable[[#This Row],[Lintel]],$E$4:$E$315,LintelTable[[#This Row],[Treatment]],$A$4:$A$315,LintelTable[[#This Row],[Floor]],$B$4:$B$315,LintelTable[[#This Row],[Room]]),"")</f>
        <v/>
      </c>
    </row>
    <row r="95" spans="1:7" x14ac:dyDescent="0.2">
      <c r="A95" s="1143">
        <f>'Lintel Sheet'!B96</f>
        <v>0</v>
      </c>
      <c r="B95" s="1143">
        <f>'Lintel Sheet'!D96</f>
        <v>0</v>
      </c>
      <c r="C95" s="1143">
        <f>'Lintel Sheet'!H96</f>
        <v>0</v>
      </c>
      <c r="D95" s="1143" t="str">
        <f>IF(LintelTable[[#This Row],[Floor]]&gt;0,LintelTable[[#This Row],[Column1]]&amp;" / "&amp;'Lintel Sheet'!$I96,"")</f>
        <v/>
      </c>
      <c r="E95" s="1143" t="str">
        <f>IF('Lintel Sheet'!$B96&lt;&gt;"",IF(Coastal="Yes","Duplex","Galvanised"),"")</f>
        <v/>
      </c>
      <c r="F95">
        <f t="shared" si="2"/>
        <v>0</v>
      </c>
      <c r="G95" t="str">
        <f>IF(A95&gt;0,COUNTIFS($D$4:$D$315,LintelTable[[#This Row],[Length]],$C$4:$C$315,LintelTable[[#This Row],[Lintel]],$E$4:$E$315,LintelTable[[#This Row],[Treatment]],$A$4:$A$315,LintelTable[[#This Row],[Floor]],$B$4:$B$315,LintelTable[[#This Row],[Room]]),"")</f>
        <v/>
      </c>
    </row>
    <row r="96" spans="1:7" x14ac:dyDescent="0.2">
      <c r="A96" s="1143">
        <f>'Lintel Sheet'!B97</f>
        <v>0</v>
      </c>
      <c r="B96" s="1143">
        <f>'Lintel Sheet'!D97</f>
        <v>0</v>
      </c>
      <c r="C96" s="1143">
        <f>'Lintel Sheet'!H97</f>
        <v>0</v>
      </c>
      <c r="D96" s="1143" t="str">
        <f>IF(LintelTable[[#This Row],[Floor]]&gt;0,LintelTable[[#This Row],[Column1]]&amp;" / "&amp;'Lintel Sheet'!$I97,"")</f>
        <v/>
      </c>
      <c r="E96" s="1143" t="str">
        <f>IF('Lintel Sheet'!$B97&lt;&gt;"",IF(Coastal="Yes","Duplex","Galvanised"),"")</f>
        <v/>
      </c>
      <c r="F96">
        <f t="shared" si="2"/>
        <v>0</v>
      </c>
      <c r="G96" t="str">
        <f>IF(A96&gt;0,COUNTIFS($D$4:$D$315,LintelTable[[#This Row],[Length]],$C$4:$C$315,LintelTable[[#This Row],[Lintel]],$E$4:$E$315,LintelTable[[#This Row],[Treatment]],$A$4:$A$315,LintelTable[[#This Row],[Floor]],$B$4:$B$315,LintelTable[[#This Row],[Room]]),"")</f>
        <v/>
      </c>
    </row>
    <row r="97" spans="1:7" x14ac:dyDescent="0.2">
      <c r="A97" s="1143">
        <f>'Lintel Sheet'!B98</f>
        <v>0</v>
      </c>
      <c r="B97" s="1143">
        <f>'Lintel Sheet'!D98</f>
        <v>0</v>
      </c>
      <c r="C97" s="1143">
        <f>'Lintel Sheet'!H98</f>
        <v>0</v>
      </c>
      <c r="D97" s="1143" t="str">
        <f>IF(LintelTable[[#This Row],[Floor]]&gt;0,LintelTable[[#This Row],[Column1]]&amp;" / "&amp;'Lintel Sheet'!$I98,"")</f>
        <v/>
      </c>
      <c r="E97" s="1143" t="str">
        <f>IF('Lintel Sheet'!$B98&lt;&gt;"",IF(Coastal="Yes","Duplex","Galvanised"),"")</f>
        <v/>
      </c>
      <c r="F97">
        <f t="shared" si="2"/>
        <v>0</v>
      </c>
      <c r="G97" t="str">
        <f>IF(A97&gt;0,COUNTIFS($D$4:$D$315,LintelTable[[#This Row],[Length]],$C$4:$C$315,LintelTable[[#This Row],[Lintel]],$E$4:$E$315,LintelTable[[#This Row],[Treatment]],$A$4:$A$315,LintelTable[[#This Row],[Floor]],$B$4:$B$315,LintelTable[[#This Row],[Room]]),"")</f>
        <v/>
      </c>
    </row>
    <row r="98" spans="1:7" x14ac:dyDescent="0.2">
      <c r="A98" s="1143">
        <f>'Lintel Sheet'!B99</f>
        <v>0</v>
      </c>
      <c r="B98" s="1143">
        <f>'Lintel Sheet'!D99</f>
        <v>0</v>
      </c>
      <c r="C98" s="1143">
        <f>'Lintel Sheet'!H99</f>
        <v>0</v>
      </c>
      <c r="D98" s="1143" t="str">
        <f>IF(LintelTable[[#This Row],[Floor]]&gt;0,LintelTable[[#This Row],[Column1]]&amp;" / "&amp;'Lintel Sheet'!$I99,"")</f>
        <v/>
      </c>
      <c r="E98" s="1143" t="str">
        <f>IF('Lintel Sheet'!$B99&lt;&gt;"",IF(Coastal="Yes","Duplex","Galvanised"),"")</f>
        <v/>
      </c>
      <c r="F98">
        <f t="shared" si="2"/>
        <v>0</v>
      </c>
      <c r="G98" t="str">
        <f>IF(A98&gt;0,COUNTIFS($D$4:$D$315,LintelTable[[#This Row],[Length]],$C$4:$C$315,LintelTable[[#This Row],[Lintel]],$E$4:$E$315,LintelTable[[#This Row],[Treatment]],$A$4:$A$315,LintelTable[[#This Row],[Floor]],$B$4:$B$315,LintelTable[[#This Row],[Room]]),"")</f>
        <v/>
      </c>
    </row>
    <row r="99" spans="1:7" x14ac:dyDescent="0.2">
      <c r="A99" s="1143">
        <f>'Lintel Sheet'!B100</f>
        <v>0</v>
      </c>
      <c r="B99" s="1143">
        <f>'Lintel Sheet'!D100</f>
        <v>0</v>
      </c>
      <c r="C99" s="1143">
        <f>'Lintel Sheet'!H100</f>
        <v>0</v>
      </c>
      <c r="D99" s="1143" t="str">
        <f>IF(LintelTable[[#This Row],[Floor]]&gt;0,LintelTable[[#This Row],[Column1]]&amp;" / "&amp;'Lintel Sheet'!$I100,"")</f>
        <v/>
      </c>
      <c r="E99" s="1143" t="str">
        <f>IF('Lintel Sheet'!$B100&lt;&gt;"",IF(Coastal="Yes","Duplex","Galvanised"),"")</f>
        <v/>
      </c>
      <c r="F99">
        <f t="shared" si="2"/>
        <v>0</v>
      </c>
      <c r="G99" t="str">
        <f>IF(A99&gt;0,COUNTIFS($D$4:$D$315,LintelTable[[#This Row],[Length]],$C$4:$C$315,LintelTable[[#This Row],[Lintel]],$E$4:$E$315,LintelTable[[#This Row],[Treatment]],$A$4:$A$315,LintelTable[[#This Row],[Floor]],$B$4:$B$315,LintelTable[[#This Row],[Room]]),"")</f>
        <v/>
      </c>
    </row>
    <row r="100" spans="1:7" x14ac:dyDescent="0.2">
      <c r="A100" s="1143">
        <f>'Lintel Sheet'!B101</f>
        <v>0</v>
      </c>
      <c r="B100" s="1143">
        <f>'Lintel Sheet'!D101</f>
        <v>0</v>
      </c>
      <c r="C100" s="1143">
        <f>'Lintel Sheet'!H101</f>
        <v>0</v>
      </c>
      <c r="D100" s="1143" t="str">
        <f>IF(LintelTable[[#This Row],[Floor]]&gt;0,LintelTable[[#This Row],[Column1]]&amp;" / "&amp;'Lintel Sheet'!$I101,"")</f>
        <v/>
      </c>
      <c r="E100" s="1143" t="str">
        <f>IF('Lintel Sheet'!$B101&lt;&gt;"",IF(Coastal="Yes","Duplex","Galvanised"),"")</f>
        <v/>
      </c>
      <c r="F100">
        <f t="shared" si="2"/>
        <v>0</v>
      </c>
      <c r="G100" t="str">
        <f>IF(A100&gt;0,COUNTIFS($D$4:$D$315,LintelTable[[#This Row],[Length]],$C$4:$C$315,LintelTable[[#This Row],[Lintel]],$E$4:$E$315,LintelTable[[#This Row],[Treatment]],$A$4:$A$315,LintelTable[[#This Row],[Floor]],$B$4:$B$315,LintelTable[[#This Row],[Room]]),"")</f>
        <v/>
      </c>
    </row>
    <row r="101" spans="1:7" x14ac:dyDescent="0.2">
      <c r="A101" s="1143">
        <f>'Lintel Sheet'!B102</f>
        <v>0</v>
      </c>
      <c r="B101" s="1143">
        <f>'Lintel Sheet'!D102</f>
        <v>0</v>
      </c>
      <c r="C101" s="1143">
        <f>'Lintel Sheet'!H102</f>
        <v>0</v>
      </c>
      <c r="D101" s="1143" t="str">
        <f>IF(LintelTable[[#This Row],[Floor]]&gt;0,LintelTable[[#This Row],[Column1]]&amp;" / "&amp;'Lintel Sheet'!$I102,"")</f>
        <v/>
      </c>
      <c r="E101" s="1143" t="str">
        <f>IF('Lintel Sheet'!$B102&lt;&gt;"",IF(Coastal="Yes","Duplex","Galvanised"),"")</f>
        <v/>
      </c>
      <c r="F101">
        <f t="shared" si="2"/>
        <v>0</v>
      </c>
      <c r="G101" t="str">
        <f>IF(A101&gt;0,COUNTIFS($D$4:$D$315,LintelTable[[#This Row],[Length]],$C$4:$C$315,LintelTable[[#This Row],[Lintel]],$E$4:$E$315,LintelTable[[#This Row],[Treatment]],$A$4:$A$315,LintelTable[[#This Row],[Floor]],$B$4:$B$315,LintelTable[[#This Row],[Room]]),"")</f>
        <v/>
      </c>
    </row>
    <row r="102" spans="1:7" x14ac:dyDescent="0.2">
      <c r="A102" s="1143">
        <f>'Lintel Sheet'!B103</f>
        <v>0</v>
      </c>
      <c r="B102" s="1143">
        <f>'Lintel Sheet'!D103</f>
        <v>0</v>
      </c>
      <c r="C102" s="1143">
        <f>'Lintel Sheet'!H103</f>
        <v>0</v>
      </c>
      <c r="D102" s="1143" t="str">
        <f>IF(LintelTable[[#This Row],[Floor]]&gt;0,LintelTable[[#This Row],[Column1]]&amp;" / "&amp;'Lintel Sheet'!$I103,"")</f>
        <v/>
      </c>
      <c r="E102" s="1143" t="str">
        <f>IF('Lintel Sheet'!$B103&lt;&gt;"",IF(Coastal="Yes","Duplex","Galvanised"),"")</f>
        <v/>
      </c>
      <c r="F102">
        <f t="shared" si="2"/>
        <v>0</v>
      </c>
      <c r="G102" t="str">
        <f>IF(A102&gt;0,COUNTIFS($D$4:$D$315,LintelTable[[#This Row],[Length]],$C$4:$C$315,LintelTable[[#This Row],[Lintel]],$E$4:$E$315,LintelTable[[#This Row],[Treatment]],$A$4:$A$315,LintelTable[[#This Row],[Floor]],$B$4:$B$315,LintelTable[[#This Row],[Room]]),"")</f>
        <v/>
      </c>
    </row>
    <row r="103" spans="1:7" x14ac:dyDescent="0.2">
      <c r="A103" s="1143">
        <f>'Lintel Sheet'!B104</f>
        <v>0</v>
      </c>
      <c r="B103" s="1143">
        <f>'Lintel Sheet'!D104</f>
        <v>0</v>
      </c>
      <c r="C103" s="1143">
        <f>'Lintel Sheet'!H104</f>
        <v>0</v>
      </c>
      <c r="D103" s="1143" t="str">
        <f>IF(LintelTable[[#This Row],[Floor]]&gt;0,LintelTable[[#This Row],[Column1]]&amp;" / "&amp;'Lintel Sheet'!$I104,"")</f>
        <v/>
      </c>
      <c r="E103" s="1143" t="str">
        <f>IF('Lintel Sheet'!$B104&lt;&gt;"",IF(Coastal="Yes","Duplex","Galvanised"),"")</f>
        <v/>
      </c>
      <c r="F103">
        <f t="shared" si="2"/>
        <v>0</v>
      </c>
      <c r="G103" t="str">
        <f>IF(A103&gt;0,COUNTIFS($D$4:$D$315,LintelTable[[#This Row],[Length]],$C$4:$C$315,LintelTable[[#This Row],[Lintel]],$E$4:$E$315,LintelTable[[#This Row],[Treatment]],$A$4:$A$315,LintelTable[[#This Row],[Floor]],$B$4:$B$315,LintelTable[[#This Row],[Room]]),"")</f>
        <v/>
      </c>
    </row>
    <row r="104" spans="1:7" x14ac:dyDescent="0.2">
      <c r="A104" s="1143">
        <f>'Lintel Sheet'!B105</f>
        <v>0</v>
      </c>
      <c r="B104" s="1143">
        <f>'Lintel Sheet'!D105</f>
        <v>0</v>
      </c>
      <c r="C104" s="1143">
        <f>'Lintel Sheet'!H105</f>
        <v>0</v>
      </c>
      <c r="D104" s="1143" t="str">
        <f>IF(LintelTable[[#This Row],[Floor]]&gt;0,LintelTable[[#This Row],[Column1]]&amp;" / "&amp;'Lintel Sheet'!$I105,"")</f>
        <v/>
      </c>
      <c r="E104" s="1143" t="str">
        <f>IF('Lintel Sheet'!$B105&lt;&gt;"",IF(Coastal="Yes","Duplex","Galvanised"),"")</f>
        <v/>
      </c>
      <c r="F104">
        <f t="shared" si="2"/>
        <v>0</v>
      </c>
      <c r="G104" t="str">
        <f>IF(A104&gt;0,COUNTIFS($D$4:$D$315,LintelTable[[#This Row],[Length]],$C$4:$C$315,LintelTable[[#This Row],[Lintel]],$E$4:$E$315,LintelTable[[#This Row],[Treatment]],$A$4:$A$315,LintelTable[[#This Row],[Floor]],$B$4:$B$315,LintelTable[[#This Row],[Room]]),"")</f>
        <v/>
      </c>
    </row>
    <row r="105" spans="1:7" x14ac:dyDescent="0.2">
      <c r="A105" s="1143">
        <f>'Lintel Sheet'!B106</f>
        <v>0</v>
      </c>
      <c r="B105" s="1143">
        <f>'Lintel Sheet'!D106</f>
        <v>0</v>
      </c>
      <c r="C105" s="1143">
        <f>'Lintel Sheet'!H106</f>
        <v>0</v>
      </c>
      <c r="D105" s="1143" t="str">
        <f>IF(LintelTable[[#This Row],[Floor]]&gt;0,LintelTable[[#This Row],[Column1]]&amp;" / "&amp;'Lintel Sheet'!$I106,"")</f>
        <v/>
      </c>
      <c r="E105" s="1143" t="str">
        <f>IF('Lintel Sheet'!$B106&lt;&gt;"",IF(Coastal="Yes","Duplex","Galvanised"),"")</f>
        <v/>
      </c>
      <c r="F105">
        <f t="shared" si="2"/>
        <v>0</v>
      </c>
      <c r="G105" t="str">
        <f>IF(A105&gt;0,COUNTIFS($D$4:$D$315,LintelTable[[#This Row],[Length]],$C$4:$C$315,LintelTable[[#This Row],[Lintel]],$E$4:$E$315,LintelTable[[#This Row],[Treatment]],$A$4:$A$315,LintelTable[[#This Row],[Floor]],$B$4:$B$315,LintelTable[[#This Row],[Room]]),"")</f>
        <v/>
      </c>
    </row>
    <row r="106" spans="1:7" x14ac:dyDescent="0.2">
      <c r="A106" s="1143">
        <f>'Lintel Sheet'!B107</f>
        <v>0</v>
      </c>
      <c r="B106" s="1143">
        <f>'Lintel Sheet'!D107</f>
        <v>0</v>
      </c>
      <c r="C106" s="1143">
        <f>'Lintel Sheet'!H107</f>
        <v>0</v>
      </c>
      <c r="D106" s="1143" t="str">
        <f>IF(LintelTable[[#This Row],[Floor]]&gt;0,LintelTable[[#This Row],[Column1]]&amp;" / "&amp;'Lintel Sheet'!$I107,"")</f>
        <v/>
      </c>
      <c r="E106" s="1143" t="str">
        <f>IF('Lintel Sheet'!$B107&lt;&gt;"",IF(Coastal="Yes","Duplex","Galvanised"),"")</f>
        <v/>
      </c>
      <c r="F106">
        <f t="shared" si="2"/>
        <v>0</v>
      </c>
      <c r="G106" t="str">
        <f>IF(A106&gt;0,COUNTIFS($D$4:$D$315,LintelTable[[#This Row],[Length]],$C$4:$C$315,LintelTable[[#This Row],[Lintel]],$E$4:$E$315,LintelTable[[#This Row],[Treatment]],$A$4:$A$315,LintelTable[[#This Row],[Floor]],$B$4:$B$315,LintelTable[[#This Row],[Room]]),"")</f>
        <v/>
      </c>
    </row>
    <row r="107" spans="1:7" x14ac:dyDescent="0.2">
      <c r="A107" s="1143">
        <f>'Lintel Sheet'!B108</f>
        <v>0</v>
      </c>
      <c r="B107" s="1143">
        <f>'Lintel Sheet'!D108</f>
        <v>0</v>
      </c>
      <c r="C107" s="1143">
        <f>'Lintel Sheet'!H108</f>
        <v>0</v>
      </c>
      <c r="D107" s="1143" t="str">
        <f>IF(LintelTable[[#This Row],[Floor]]&gt;0,LintelTable[[#This Row],[Column1]]&amp;" / "&amp;'Lintel Sheet'!$I108,"")</f>
        <v/>
      </c>
      <c r="E107" s="1143" t="str">
        <f>IF('Lintel Sheet'!$B108&lt;&gt;"",IF(Coastal="Yes","Duplex","Galvanised"),"")</f>
        <v/>
      </c>
      <c r="F107">
        <f t="shared" si="2"/>
        <v>0</v>
      </c>
      <c r="G107" t="str">
        <f>IF(A107&gt;0,COUNTIFS($D$4:$D$315,LintelTable[[#This Row],[Length]],$C$4:$C$315,LintelTable[[#This Row],[Lintel]],$E$4:$E$315,LintelTable[[#This Row],[Treatment]],$A$4:$A$315,LintelTable[[#This Row],[Floor]],$B$4:$B$315,LintelTable[[#This Row],[Room]]),"")</f>
        <v/>
      </c>
    </row>
    <row r="108" spans="1:7" x14ac:dyDescent="0.2">
      <c r="A108" s="1143">
        <f>'Lintel Sheet'!B109</f>
        <v>0</v>
      </c>
      <c r="B108" s="1143">
        <f>'Lintel Sheet'!D109</f>
        <v>0</v>
      </c>
      <c r="C108" s="1143">
        <f>'Lintel Sheet'!H109</f>
        <v>0</v>
      </c>
      <c r="D108" s="1143" t="str">
        <f>IF(LintelTable[[#This Row],[Floor]]&gt;0,LintelTable[[#This Row],[Column1]]&amp;" / "&amp;'Lintel Sheet'!$I109,"")</f>
        <v/>
      </c>
      <c r="E108" s="1143" t="str">
        <f>IF('Lintel Sheet'!$B109&lt;&gt;"",IF(Coastal="Yes","Duplex","Galvanised"),"")</f>
        <v/>
      </c>
      <c r="F108">
        <f t="shared" si="2"/>
        <v>0</v>
      </c>
      <c r="G108" t="str">
        <f>IF(A108&gt;0,COUNTIFS($D$4:$D$315,LintelTable[[#This Row],[Length]],$C$4:$C$315,LintelTable[[#This Row],[Lintel]],$E$4:$E$315,LintelTable[[#This Row],[Treatment]],$A$4:$A$315,LintelTable[[#This Row],[Floor]],$B$4:$B$315,LintelTable[[#This Row],[Room]]),"")</f>
        <v/>
      </c>
    </row>
    <row r="109" spans="1:7" x14ac:dyDescent="0.2">
      <c r="A109" s="1143">
        <f>'Lintel Sheet'!B110</f>
        <v>0</v>
      </c>
      <c r="B109" s="1143">
        <f>'Lintel Sheet'!D110</f>
        <v>0</v>
      </c>
      <c r="C109" s="1143">
        <f>'Lintel Sheet'!H110</f>
        <v>0</v>
      </c>
      <c r="D109" s="1143" t="str">
        <f>IF(LintelTable[[#This Row],[Floor]]&gt;0,LintelTable[[#This Row],[Column1]]&amp;" / "&amp;'Lintel Sheet'!$I110,"")</f>
        <v/>
      </c>
      <c r="E109" s="1143" t="str">
        <f>IF('Lintel Sheet'!$B110&lt;&gt;"",IF(Coastal="Yes","Duplex","Galvanised"),"")</f>
        <v/>
      </c>
      <c r="F109">
        <f t="shared" si="2"/>
        <v>0</v>
      </c>
      <c r="G109" t="str">
        <f>IF(A109&gt;0,COUNTIFS($D$4:$D$315,LintelTable[[#This Row],[Length]],$C$4:$C$315,LintelTable[[#This Row],[Lintel]],$E$4:$E$315,LintelTable[[#This Row],[Treatment]],$A$4:$A$315,LintelTable[[#This Row],[Floor]],$B$4:$B$315,LintelTable[[#This Row],[Room]]),"")</f>
        <v/>
      </c>
    </row>
    <row r="110" spans="1:7" x14ac:dyDescent="0.2">
      <c r="A110" s="1143">
        <f>'Lintel Sheet'!B111</f>
        <v>0</v>
      </c>
      <c r="B110" s="1143">
        <f>'Lintel Sheet'!D111</f>
        <v>0</v>
      </c>
      <c r="C110" s="1143">
        <f>'Lintel Sheet'!H111</f>
        <v>0</v>
      </c>
      <c r="D110" s="1143" t="str">
        <f>IF(LintelTable[[#This Row],[Floor]]&gt;0,LintelTable[[#This Row],[Column1]]&amp;" / "&amp;'Lintel Sheet'!$I111,"")</f>
        <v/>
      </c>
      <c r="E110" s="1143" t="str">
        <f>IF('Lintel Sheet'!$B111&lt;&gt;"",IF(Coastal="Yes","Duplex","Galvanised"),"")</f>
        <v/>
      </c>
      <c r="F110">
        <f t="shared" si="2"/>
        <v>0</v>
      </c>
      <c r="G110" t="str">
        <f>IF(A110&gt;0,COUNTIFS($D$4:$D$315,LintelTable[[#This Row],[Length]],$C$4:$C$315,LintelTable[[#This Row],[Lintel]],$E$4:$E$315,LintelTable[[#This Row],[Treatment]],$A$4:$A$315,LintelTable[[#This Row],[Floor]],$B$4:$B$315,LintelTable[[#This Row],[Room]]),"")</f>
        <v/>
      </c>
    </row>
    <row r="111" spans="1:7" x14ac:dyDescent="0.2">
      <c r="A111" s="1143">
        <f>'Lintel Sheet'!B112</f>
        <v>0</v>
      </c>
      <c r="B111" s="1143">
        <f>'Lintel Sheet'!D112</f>
        <v>0</v>
      </c>
      <c r="C111" s="1143">
        <f>'Lintel Sheet'!H112</f>
        <v>0</v>
      </c>
      <c r="D111" s="1143" t="str">
        <f>IF(LintelTable[[#This Row],[Floor]]&gt;0,LintelTable[[#This Row],[Column1]]&amp;" / "&amp;'Lintel Sheet'!$I112,"")</f>
        <v/>
      </c>
      <c r="E111" s="1143" t="str">
        <f>IF('Lintel Sheet'!$B112&lt;&gt;"",IF(Coastal="Yes","Duplex","Galvanised"),"")</f>
        <v/>
      </c>
      <c r="F111">
        <f t="shared" si="2"/>
        <v>0</v>
      </c>
      <c r="G111" t="str">
        <f>IF(A111&gt;0,COUNTIFS($D$4:$D$315,LintelTable[[#This Row],[Length]],$C$4:$C$315,LintelTable[[#This Row],[Lintel]],$E$4:$E$315,LintelTable[[#This Row],[Treatment]],$A$4:$A$315,LintelTable[[#This Row],[Floor]],$B$4:$B$315,LintelTable[[#This Row],[Room]]),"")</f>
        <v/>
      </c>
    </row>
    <row r="112" spans="1:7" x14ac:dyDescent="0.2">
      <c r="A112" s="1143">
        <f>'Lintel Sheet'!B113</f>
        <v>0</v>
      </c>
      <c r="B112" s="1143">
        <f>'Lintel Sheet'!D113</f>
        <v>0</v>
      </c>
      <c r="C112" s="1143">
        <f>'Lintel Sheet'!H113</f>
        <v>0</v>
      </c>
      <c r="D112" s="1143" t="str">
        <f>IF(LintelTable[[#This Row],[Floor]]&gt;0,LintelTable[[#This Row],[Column1]]&amp;" / "&amp;'Lintel Sheet'!$I113,"")</f>
        <v/>
      </c>
      <c r="E112" s="1143" t="str">
        <f>IF('Lintel Sheet'!$B113&lt;&gt;"",IF(Coastal="Yes","Duplex","Galvanised"),"")</f>
        <v/>
      </c>
      <c r="F112">
        <f t="shared" si="2"/>
        <v>0</v>
      </c>
      <c r="G112" t="str">
        <f>IF(A112&gt;0,COUNTIFS($D$4:$D$315,LintelTable[[#This Row],[Length]],$C$4:$C$315,LintelTable[[#This Row],[Lintel]],$E$4:$E$315,LintelTable[[#This Row],[Treatment]],$A$4:$A$315,LintelTable[[#This Row],[Floor]],$B$4:$B$315,LintelTable[[#This Row],[Room]]),"")</f>
        <v/>
      </c>
    </row>
    <row r="113" spans="1:7" x14ac:dyDescent="0.2">
      <c r="A113" s="1143">
        <f>'Lintel Sheet'!B114</f>
        <v>0</v>
      </c>
      <c r="B113" s="1143">
        <f>'Lintel Sheet'!D114</f>
        <v>0</v>
      </c>
      <c r="C113" s="1143">
        <f>'Lintel Sheet'!H114</f>
        <v>0</v>
      </c>
      <c r="D113" s="1143" t="str">
        <f>IF(LintelTable[[#This Row],[Floor]]&gt;0,LintelTable[[#This Row],[Column1]]&amp;" / "&amp;'Lintel Sheet'!$I114,"")</f>
        <v/>
      </c>
      <c r="E113" s="1143" t="str">
        <f>IF('Lintel Sheet'!$B114&lt;&gt;"",IF(Coastal="Yes","Duplex","Galvanised"),"")</f>
        <v/>
      </c>
      <c r="F113">
        <f t="shared" si="2"/>
        <v>0</v>
      </c>
      <c r="G113" t="str">
        <f>IF(A113&gt;0,COUNTIFS($D$4:$D$315,LintelTable[[#This Row],[Length]],$C$4:$C$315,LintelTable[[#This Row],[Lintel]],$E$4:$E$315,LintelTable[[#This Row],[Treatment]],$A$4:$A$315,LintelTable[[#This Row],[Floor]],$B$4:$B$315,LintelTable[[#This Row],[Room]]),"")</f>
        <v/>
      </c>
    </row>
    <row r="114" spans="1:7" x14ac:dyDescent="0.2">
      <c r="A114" s="1143">
        <f>'Lintel Sheet'!B115</f>
        <v>0</v>
      </c>
      <c r="B114" s="1143">
        <f>'Lintel Sheet'!D115</f>
        <v>0</v>
      </c>
      <c r="C114" s="1143">
        <f>'Lintel Sheet'!H115</f>
        <v>0</v>
      </c>
      <c r="D114" s="1143" t="str">
        <f>IF(LintelTable[[#This Row],[Floor]]&gt;0,LintelTable[[#This Row],[Column1]]&amp;" / "&amp;'Lintel Sheet'!$I115,"")</f>
        <v/>
      </c>
      <c r="E114" s="1143" t="str">
        <f>IF('Lintel Sheet'!$B115&lt;&gt;"",IF(Coastal="Yes","Duplex","Galvanised"),"")</f>
        <v/>
      </c>
      <c r="F114">
        <f t="shared" si="2"/>
        <v>0</v>
      </c>
      <c r="G114" t="str">
        <f>IF(A114&gt;0,COUNTIFS($D$4:$D$315,LintelTable[[#This Row],[Length]],$C$4:$C$315,LintelTable[[#This Row],[Lintel]],$E$4:$E$315,LintelTable[[#This Row],[Treatment]],$A$4:$A$315,LintelTable[[#This Row],[Floor]],$B$4:$B$315,LintelTable[[#This Row],[Room]]),"")</f>
        <v/>
      </c>
    </row>
    <row r="115" spans="1:7" x14ac:dyDescent="0.2">
      <c r="A115" s="1143">
        <f>'Lintel Sheet'!B116</f>
        <v>0</v>
      </c>
      <c r="B115" s="1143">
        <f>'Lintel Sheet'!D116</f>
        <v>0</v>
      </c>
      <c r="C115" s="1143">
        <f>'Lintel Sheet'!H116</f>
        <v>0</v>
      </c>
      <c r="D115" s="1143" t="str">
        <f>IF(LintelTable[[#This Row],[Floor]]&gt;0,LintelTable[[#This Row],[Column1]]&amp;" / "&amp;'Lintel Sheet'!$I116,"")</f>
        <v/>
      </c>
      <c r="E115" s="1143" t="str">
        <f>IF('Lintel Sheet'!$B116&lt;&gt;"",IF(Coastal="Yes","Duplex","Galvanised"),"")</f>
        <v/>
      </c>
      <c r="F115">
        <f t="shared" si="2"/>
        <v>0</v>
      </c>
      <c r="G115" t="str">
        <f>IF(A115&gt;0,COUNTIFS($D$4:$D$315,LintelTable[[#This Row],[Length]],$C$4:$C$315,LintelTable[[#This Row],[Lintel]],$E$4:$E$315,LintelTable[[#This Row],[Treatment]],$A$4:$A$315,LintelTable[[#This Row],[Floor]],$B$4:$B$315,LintelTable[[#This Row],[Room]]),"")</f>
        <v/>
      </c>
    </row>
    <row r="116" spans="1:7" x14ac:dyDescent="0.2">
      <c r="A116" s="1143">
        <f>'Lintel Sheet'!B117</f>
        <v>0</v>
      </c>
      <c r="B116" s="1143">
        <f>'Lintel Sheet'!D117</f>
        <v>0</v>
      </c>
      <c r="C116" s="1143">
        <f>'Lintel Sheet'!H117</f>
        <v>0</v>
      </c>
      <c r="D116" s="1143" t="str">
        <f>IF(LintelTable[[#This Row],[Floor]]&gt;0,LintelTable[[#This Row],[Column1]]&amp;" / "&amp;'Lintel Sheet'!$I117,"")</f>
        <v/>
      </c>
      <c r="E116" s="1143" t="str">
        <f>IF('Lintel Sheet'!$B117&lt;&gt;"",IF(Coastal="Yes","Duplex","Galvanised"),"")</f>
        <v/>
      </c>
      <c r="F116">
        <f t="shared" si="2"/>
        <v>0</v>
      </c>
      <c r="G116" t="str">
        <f>IF(A116&gt;0,COUNTIFS($D$4:$D$315,LintelTable[[#This Row],[Length]],$C$4:$C$315,LintelTable[[#This Row],[Lintel]],$E$4:$E$315,LintelTable[[#This Row],[Treatment]],$A$4:$A$315,LintelTable[[#This Row],[Floor]],$B$4:$B$315,LintelTable[[#This Row],[Room]]),"")</f>
        <v/>
      </c>
    </row>
    <row r="117" spans="1:7" x14ac:dyDescent="0.2">
      <c r="A117" s="1143">
        <f>'Lintel Sheet'!B118</f>
        <v>0</v>
      </c>
      <c r="B117" s="1143">
        <f>'Lintel Sheet'!D118</f>
        <v>0</v>
      </c>
      <c r="C117" s="1143">
        <f>'Lintel Sheet'!H118</f>
        <v>0</v>
      </c>
      <c r="D117" s="1143" t="str">
        <f>IF(LintelTable[[#This Row],[Floor]]&gt;0,LintelTable[[#This Row],[Column1]]&amp;" / "&amp;'Lintel Sheet'!$I118,"")</f>
        <v/>
      </c>
      <c r="E117" s="1143" t="str">
        <f>IF('Lintel Sheet'!$B118&lt;&gt;"",IF(Coastal="Yes","Duplex","Galvanised"),"")</f>
        <v/>
      </c>
      <c r="F117">
        <f t="shared" si="2"/>
        <v>0</v>
      </c>
      <c r="G117" t="str">
        <f>IF(A117&gt;0,COUNTIFS($D$4:$D$315,LintelTable[[#This Row],[Length]],$C$4:$C$315,LintelTable[[#This Row],[Lintel]],$E$4:$E$315,LintelTable[[#This Row],[Treatment]],$A$4:$A$315,LintelTable[[#This Row],[Floor]],$B$4:$B$315,LintelTable[[#This Row],[Room]]),"")</f>
        <v/>
      </c>
    </row>
    <row r="118" spans="1:7" x14ac:dyDescent="0.2">
      <c r="A118" s="1143">
        <f>'Lintel Sheet'!B119</f>
        <v>0</v>
      </c>
      <c r="B118" s="1143">
        <f>'Lintel Sheet'!D119</f>
        <v>0</v>
      </c>
      <c r="C118" s="1143">
        <f>'Lintel Sheet'!H119</f>
        <v>0</v>
      </c>
      <c r="D118" s="1143" t="str">
        <f>IF(LintelTable[[#This Row],[Floor]]&gt;0,LintelTable[[#This Row],[Column1]]&amp;" / "&amp;'Lintel Sheet'!$I119,"")</f>
        <v/>
      </c>
      <c r="E118" s="1143" t="str">
        <f>IF('Lintel Sheet'!$B119&lt;&gt;"",IF(Coastal="Yes","Duplex","Galvanised"),"")</f>
        <v/>
      </c>
      <c r="F118">
        <f t="shared" si="2"/>
        <v>0</v>
      </c>
      <c r="G118" t="str">
        <f>IF(A118&gt;0,COUNTIFS($D$4:$D$315,LintelTable[[#This Row],[Length]],$C$4:$C$315,LintelTable[[#This Row],[Lintel]],$E$4:$E$315,LintelTable[[#This Row],[Treatment]],$A$4:$A$315,LintelTable[[#This Row],[Floor]],$B$4:$B$315,LintelTable[[#This Row],[Room]]),"")</f>
        <v/>
      </c>
    </row>
    <row r="119" spans="1:7" x14ac:dyDescent="0.2">
      <c r="A119" s="1143">
        <f>'Lintel Sheet'!B120</f>
        <v>0</v>
      </c>
      <c r="B119" s="1143">
        <f>'Lintel Sheet'!D120</f>
        <v>0</v>
      </c>
      <c r="C119" s="1143">
        <f>'Lintel Sheet'!H120</f>
        <v>0</v>
      </c>
      <c r="D119" s="1143" t="str">
        <f>IF(LintelTable[[#This Row],[Floor]]&gt;0,LintelTable[[#This Row],[Column1]]&amp;" / "&amp;'Lintel Sheet'!$I120,"")</f>
        <v/>
      </c>
      <c r="E119" s="1143" t="str">
        <f>IF('Lintel Sheet'!$B120&lt;&gt;"",IF(Coastal="Yes","Duplex","Galvanised"),"")</f>
        <v/>
      </c>
      <c r="F119">
        <f t="shared" si="2"/>
        <v>0</v>
      </c>
      <c r="G119" t="str">
        <f>IF(A119&gt;0,COUNTIFS($D$4:$D$315,LintelTable[[#This Row],[Length]],$C$4:$C$315,LintelTable[[#This Row],[Lintel]],$E$4:$E$315,LintelTable[[#This Row],[Treatment]],$A$4:$A$315,LintelTable[[#This Row],[Floor]],$B$4:$B$315,LintelTable[[#This Row],[Room]]),"")</f>
        <v/>
      </c>
    </row>
    <row r="120" spans="1:7" x14ac:dyDescent="0.2">
      <c r="A120" s="1143">
        <f>'Lintel Sheet'!B121</f>
        <v>0</v>
      </c>
      <c r="B120" s="1143">
        <f>'Lintel Sheet'!D121</f>
        <v>0</v>
      </c>
      <c r="C120" s="1143">
        <f>'Lintel Sheet'!H121</f>
        <v>0</v>
      </c>
      <c r="D120" s="1143" t="str">
        <f>IF(LintelTable[[#This Row],[Floor]]&gt;0,LintelTable[[#This Row],[Column1]]&amp;" / "&amp;'Lintel Sheet'!$I121,"")</f>
        <v/>
      </c>
      <c r="E120" s="1143" t="str">
        <f>IF('Lintel Sheet'!$B121&lt;&gt;"",IF(Coastal="Yes","Duplex","Galvanised"),"")</f>
        <v/>
      </c>
      <c r="F120">
        <f t="shared" si="2"/>
        <v>0</v>
      </c>
      <c r="G120" t="str">
        <f>IF(A120&gt;0,COUNTIFS($D$4:$D$315,LintelTable[[#This Row],[Length]],$C$4:$C$315,LintelTable[[#This Row],[Lintel]],$E$4:$E$315,LintelTable[[#This Row],[Treatment]],$A$4:$A$315,LintelTable[[#This Row],[Floor]],$B$4:$B$315,LintelTable[[#This Row],[Room]]),"")</f>
        <v/>
      </c>
    </row>
    <row r="121" spans="1:7" x14ac:dyDescent="0.2">
      <c r="A121" s="1143">
        <f>'Lintel Sheet'!B122</f>
        <v>0</v>
      </c>
      <c r="B121" s="1143">
        <f>'Lintel Sheet'!D122</f>
        <v>0</v>
      </c>
      <c r="C121" s="1143">
        <f>'Lintel Sheet'!H122</f>
        <v>0</v>
      </c>
      <c r="D121" s="1143" t="str">
        <f>IF(LintelTable[[#This Row],[Floor]]&gt;0,LintelTable[[#This Row],[Column1]]&amp;" / "&amp;'Lintel Sheet'!$I122,"")</f>
        <v/>
      </c>
      <c r="E121" s="1143" t="str">
        <f>IF('Lintel Sheet'!$B122&lt;&gt;"",IF(Coastal="Yes","Duplex","Galvanised"),"")</f>
        <v/>
      </c>
      <c r="F121">
        <f t="shared" si="2"/>
        <v>0</v>
      </c>
      <c r="G121" t="str">
        <f>IF(A121&gt;0,COUNTIFS($D$4:$D$315,LintelTable[[#This Row],[Length]],$C$4:$C$315,LintelTable[[#This Row],[Lintel]],$E$4:$E$315,LintelTable[[#This Row],[Treatment]],$A$4:$A$315,LintelTable[[#This Row],[Floor]],$B$4:$B$315,LintelTable[[#This Row],[Room]]),"")</f>
        <v/>
      </c>
    </row>
    <row r="122" spans="1:7" x14ac:dyDescent="0.2">
      <c r="A122" s="1143">
        <f>'Lintel Sheet'!B123</f>
        <v>0</v>
      </c>
      <c r="B122" s="1143">
        <f>'Lintel Sheet'!D123</f>
        <v>0</v>
      </c>
      <c r="C122" s="1143">
        <f>'Lintel Sheet'!H123</f>
        <v>0</v>
      </c>
      <c r="D122" s="1143" t="str">
        <f>IF(LintelTable[[#This Row],[Floor]]&gt;0,LintelTable[[#This Row],[Column1]]&amp;" / "&amp;'Lintel Sheet'!$I123,"")</f>
        <v/>
      </c>
      <c r="E122" s="1143" t="str">
        <f>IF('Lintel Sheet'!$B123&lt;&gt;"",IF(Coastal="Yes","Duplex","Galvanised"),"")</f>
        <v/>
      </c>
      <c r="F122">
        <f t="shared" si="2"/>
        <v>0</v>
      </c>
      <c r="G122" t="str">
        <f>IF(A122&gt;0,COUNTIFS($D$4:$D$315,LintelTable[[#This Row],[Length]],$C$4:$C$315,LintelTable[[#This Row],[Lintel]],$E$4:$E$315,LintelTable[[#This Row],[Treatment]],$A$4:$A$315,LintelTable[[#This Row],[Floor]],$B$4:$B$315,LintelTable[[#This Row],[Room]]),"")</f>
        <v/>
      </c>
    </row>
    <row r="123" spans="1:7" x14ac:dyDescent="0.2">
      <c r="A123" s="1143">
        <f>'Lintel Sheet'!B124</f>
        <v>0</v>
      </c>
      <c r="B123" s="1143">
        <f>'Lintel Sheet'!D124</f>
        <v>0</v>
      </c>
      <c r="C123" s="1143">
        <f>'Lintel Sheet'!H124</f>
        <v>0</v>
      </c>
      <c r="D123" s="1143" t="str">
        <f>IF(LintelTable[[#This Row],[Floor]]&gt;0,LintelTable[[#This Row],[Column1]]&amp;" / "&amp;'Lintel Sheet'!$I124,"")</f>
        <v/>
      </c>
      <c r="E123" s="1143" t="str">
        <f>IF('Lintel Sheet'!$B124&lt;&gt;"",IF(Coastal="Yes","Duplex","Galvanised"),"")</f>
        <v/>
      </c>
      <c r="F123">
        <f t="shared" si="2"/>
        <v>0</v>
      </c>
      <c r="G123" t="str">
        <f>IF(A123&gt;0,COUNTIFS($D$4:$D$315,LintelTable[[#This Row],[Length]],$C$4:$C$315,LintelTable[[#This Row],[Lintel]],$E$4:$E$315,LintelTable[[#This Row],[Treatment]],$A$4:$A$315,LintelTable[[#This Row],[Floor]],$B$4:$B$315,LintelTable[[#This Row],[Room]]),"")</f>
        <v/>
      </c>
    </row>
    <row r="124" spans="1:7" x14ac:dyDescent="0.2">
      <c r="A124" s="1143">
        <f>'Lintel Sheet'!B125</f>
        <v>0</v>
      </c>
      <c r="B124" s="1143">
        <f>'Lintel Sheet'!D125</f>
        <v>0</v>
      </c>
      <c r="C124" s="1143">
        <f>'Lintel Sheet'!H125</f>
        <v>0</v>
      </c>
      <c r="D124" s="1143" t="str">
        <f>IF(LintelTable[[#This Row],[Floor]]&gt;0,LintelTable[[#This Row],[Column1]]&amp;" / "&amp;'Lintel Sheet'!$I125,"")</f>
        <v/>
      </c>
      <c r="E124" s="1143" t="str">
        <f>IF('Lintel Sheet'!$B125&lt;&gt;"",IF(Coastal="Yes","Duplex","Galvanised"),"")</f>
        <v/>
      </c>
      <c r="F124">
        <f t="shared" si="2"/>
        <v>0</v>
      </c>
      <c r="G124" t="str">
        <f>IF(A124&gt;0,COUNTIFS($D$4:$D$315,LintelTable[[#This Row],[Length]],$C$4:$C$315,LintelTable[[#This Row],[Lintel]],$E$4:$E$315,LintelTable[[#This Row],[Treatment]],$A$4:$A$315,LintelTable[[#This Row],[Floor]],$B$4:$B$315,LintelTable[[#This Row],[Room]]),"")</f>
        <v/>
      </c>
    </row>
    <row r="125" spans="1:7" x14ac:dyDescent="0.2">
      <c r="A125" s="1143">
        <f>'Lintel Sheet'!B126</f>
        <v>0</v>
      </c>
      <c r="B125" s="1143">
        <f>'Lintel Sheet'!D126</f>
        <v>0</v>
      </c>
      <c r="C125" s="1143">
        <f>'Lintel Sheet'!H126</f>
        <v>0</v>
      </c>
      <c r="D125" s="1143" t="str">
        <f>IF(LintelTable[[#This Row],[Floor]]&gt;0,LintelTable[[#This Row],[Column1]]&amp;" / "&amp;'Lintel Sheet'!$I126,"")</f>
        <v/>
      </c>
      <c r="E125" s="1143" t="str">
        <f>IF('Lintel Sheet'!$B126&lt;&gt;"",IF(Coastal="Yes","Duplex","Galvanised"),"")</f>
        <v/>
      </c>
      <c r="F125">
        <f t="shared" si="2"/>
        <v>0</v>
      </c>
      <c r="G125" t="str">
        <f>IF(A125&gt;0,COUNTIFS($D$4:$D$315,LintelTable[[#This Row],[Length]],$C$4:$C$315,LintelTable[[#This Row],[Lintel]],$E$4:$E$315,LintelTable[[#This Row],[Treatment]],$A$4:$A$315,LintelTable[[#This Row],[Floor]],$B$4:$B$315,LintelTable[[#This Row],[Room]]),"")</f>
        <v/>
      </c>
    </row>
    <row r="126" spans="1:7" x14ac:dyDescent="0.2">
      <c r="A126" s="1143">
        <f>'Lintel Sheet'!B127</f>
        <v>0</v>
      </c>
      <c r="B126" s="1143">
        <f>'Lintel Sheet'!D127</f>
        <v>0</v>
      </c>
      <c r="C126" s="1143">
        <f>'Lintel Sheet'!H127</f>
        <v>0</v>
      </c>
      <c r="D126" s="1143" t="str">
        <f>IF(LintelTable[[#This Row],[Floor]]&gt;0,LintelTable[[#This Row],[Column1]]&amp;" / "&amp;'Lintel Sheet'!$I127,"")</f>
        <v/>
      </c>
      <c r="E126" s="1143" t="str">
        <f>IF('Lintel Sheet'!$B127&lt;&gt;"",IF(Coastal="Yes","Duplex","Galvanised"),"")</f>
        <v/>
      </c>
      <c r="F126">
        <f t="shared" si="2"/>
        <v>0</v>
      </c>
      <c r="G126" t="str">
        <f>IF(A126&gt;0,COUNTIFS($D$4:$D$315,LintelTable[[#This Row],[Length]],$C$4:$C$315,LintelTable[[#This Row],[Lintel]],$E$4:$E$315,LintelTable[[#This Row],[Treatment]],$A$4:$A$315,LintelTable[[#This Row],[Floor]],$B$4:$B$315,LintelTable[[#This Row],[Room]]),"")</f>
        <v/>
      </c>
    </row>
    <row r="127" spans="1:7" x14ac:dyDescent="0.2">
      <c r="A127" s="1143">
        <f>'Lintel Sheet'!B128</f>
        <v>0</v>
      </c>
      <c r="B127" s="1143">
        <f>'Lintel Sheet'!D128</f>
        <v>0</v>
      </c>
      <c r="C127" s="1143">
        <f>'Lintel Sheet'!H128</f>
        <v>0</v>
      </c>
      <c r="D127" s="1143" t="str">
        <f>IF(LintelTable[[#This Row],[Floor]]&gt;0,LintelTable[[#This Row],[Column1]]&amp;" / "&amp;'Lintel Sheet'!$I128,"")</f>
        <v/>
      </c>
      <c r="E127" s="1143" t="str">
        <f>IF('Lintel Sheet'!$B128&lt;&gt;"",IF(Coastal="Yes","Duplex","Galvanised"),"")</f>
        <v/>
      </c>
      <c r="F127">
        <f t="shared" si="2"/>
        <v>0</v>
      </c>
      <c r="G127" t="str">
        <f>IF(A127&gt;0,COUNTIFS($D$4:$D$315,LintelTable[[#This Row],[Length]],$C$4:$C$315,LintelTable[[#This Row],[Lintel]],$E$4:$E$315,LintelTable[[#This Row],[Treatment]],$A$4:$A$315,LintelTable[[#This Row],[Floor]],$B$4:$B$315,LintelTable[[#This Row],[Room]]),"")</f>
        <v/>
      </c>
    </row>
    <row r="128" spans="1:7" x14ac:dyDescent="0.2">
      <c r="A128" s="1143">
        <f>'Lintel Sheet'!B129</f>
        <v>0</v>
      </c>
      <c r="B128" s="1143">
        <f>'Lintel Sheet'!D129</f>
        <v>0</v>
      </c>
      <c r="C128" s="1143">
        <f>'Lintel Sheet'!H129</f>
        <v>0</v>
      </c>
      <c r="D128" s="1143" t="str">
        <f>IF(LintelTable[[#This Row],[Floor]]&gt;0,LintelTable[[#This Row],[Column1]]&amp;" / "&amp;'Lintel Sheet'!$I129,"")</f>
        <v/>
      </c>
      <c r="E128" s="1143" t="str">
        <f>IF('Lintel Sheet'!$B129&lt;&gt;"",IF(Coastal="Yes","Duplex","Galvanised"),"")</f>
        <v/>
      </c>
      <c r="F128">
        <f t="shared" si="2"/>
        <v>0</v>
      </c>
      <c r="G128" t="str">
        <f>IF(A128&gt;0,COUNTIFS($D$4:$D$315,LintelTable[[#This Row],[Length]],$C$4:$C$315,LintelTable[[#This Row],[Lintel]],$E$4:$E$315,LintelTable[[#This Row],[Treatment]],$A$4:$A$315,LintelTable[[#This Row],[Floor]],$B$4:$B$315,LintelTable[[#This Row],[Room]]),"")</f>
        <v/>
      </c>
    </row>
    <row r="129" spans="1:7" x14ac:dyDescent="0.2">
      <c r="A129" s="1143">
        <f>'Lintel Sheet'!B130</f>
        <v>0</v>
      </c>
      <c r="B129" s="1143">
        <f>'Lintel Sheet'!D130</f>
        <v>0</v>
      </c>
      <c r="C129" s="1143">
        <f>'Lintel Sheet'!H130</f>
        <v>0</v>
      </c>
      <c r="D129" s="1143" t="str">
        <f>IF(LintelTable[[#This Row],[Floor]]&gt;0,LintelTable[[#This Row],[Column1]]&amp;" / "&amp;'Lintel Sheet'!$I130,"")</f>
        <v/>
      </c>
      <c r="E129" s="1143" t="str">
        <f>IF('Lintel Sheet'!$B130&lt;&gt;"",IF(Coastal="Yes","Duplex","Galvanised"),"")</f>
        <v/>
      </c>
      <c r="F129">
        <f t="shared" si="2"/>
        <v>0</v>
      </c>
      <c r="G129" t="str">
        <f>IF(A129&gt;0,COUNTIFS($D$4:$D$315,LintelTable[[#This Row],[Length]],$C$4:$C$315,LintelTable[[#This Row],[Lintel]],$E$4:$E$315,LintelTable[[#This Row],[Treatment]],$A$4:$A$315,LintelTable[[#This Row],[Floor]],$B$4:$B$315,LintelTable[[#This Row],[Room]]),"")</f>
        <v/>
      </c>
    </row>
    <row r="130" spans="1:7" x14ac:dyDescent="0.2">
      <c r="A130" s="1143">
        <f>'Lintel Sheet'!B131</f>
        <v>0</v>
      </c>
      <c r="B130" s="1143">
        <f>'Lintel Sheet'!D131</f>
        <v>0</v>
      </c>
      <c r="C130" s="1143">
        <f>'Lintel Sheet'!H131</f>
        <v>0</v>
      </c>
      <c r="D130" s="1143" t="str">
        <f>IF(LintelTable[[#This Row],[Floor]]&gt;0,LintelTable[[#This Row],[Column1]]&amp;" / "&amp;'Lintel Sheet'!$I131,"")</f>
        <v/>
      </c>
      <c r="E130" s="1143" t="str">
        <f>IF('Lintel Sheet'!$B131&lt;&gt;"",IF(Coastal="Yes","Duplex","Galvanised"),"")</f>
        <v/>
      </c>
      <c r="F130">
        <f t="shared" si="2"/>
        <v>0</v>
      </c>
      <c r="G130" t="str">
        <f>IF(A130&gt;0,COUNTIFS($D$4:$D$315,LintelTable[[#This Row],[Length]],$C$4:$C$315,LintelTable[[#This Row],[Lintel]],$E$4:$E$315,LintelTable[[#This Row],[Treatment]],$A$4:$A$315,LintelTable[[#This Row],[Floor]],$B$4:$B$315,LintelTable[[#This Row],[Room]]),"")</f>
        <v/>
      </c>
    </row>
    <row r="131" spans="1:7" x14ac:dyDescent="0.2">
      <c r="A131" s="1143">
        <f>'Lintel Sheet'!B132</f>
        <v>0</v>
      </c>
      <c r="B131" s="1143">
        <f>'Lintel Sheet'!D132</f>
        <v>0</v>
      </c>
      <c r="C131" s="1143">
        <f>'Lintel Sheet'!H132</f>
        <v>0</v>
      </c>
      <c r="D131" s="1143" t="str">
        <f>IF(LintelTable[[#This Row],[Floor]]&gt;0,LintelTable[[#This Row],[Column1]]&amp;" / "&amp;'Lintel Sheet'!$I132,"")</f>
        <v/>
      </c>
      <c r="E131" s="1143" t="str">
        <f>IF('Lintel Sheet'!$B132&lt;&gt;"",IF(Coastal="Yes","Duplex","Galvanised"),"")</f>
        <v/>
      </c>
      <c r="F131">
        <f t="shared" si="2"/>
        <v>0</v>
      </c>
      <c r="G131" t="str">
        <f>IF(A131&gt;0,COUNTIFS($D$4:$D$315,LintelTable[[#This Row],[Length]],$C$4:$C$315,LintelTable[[#This Row],[Lintel]],$E$4:$E$315,LintelTable[[#This Row],[Treatment]],$A$4:$A$315,LintelTable[[#This Row],[Floor]],$B$4:$B$315,LintelTable[[#This Row],[Room]]),"")</f>
        <v/>
      </c>
    </row>
    <row r="132" spans="1:7" x14ac:dyDescent="0.2">
      <c r="A132" s="1143">
        <f>'Lintel Sheet'!B133</f>
        <v>0</v>
      </c>
      <c r="B132" s="1143">
        <f>'Lintel Sheet'!D133</f>
        <v>0</v>
      </c>
      <c r="C132" s="1143">
        <f>'Lintel Sheet'!H133</f>
        <v>0</v>
      </c>
      <c r="D132" s="1143" t="str">
        <f>IF(LintelTable[[#This Row],[Floor]]&gt;0,LintelTable[[#This Row],[Column1]]&amp;" / "&amp;'Lintel Sheet'!$I133,"")</f>
        <v/>
      </c>
      <c r="E132" s="1143" t="str">
        <f>IF('Lintel Sheet'!$B133&lt;&gt;"",IF(Coastal="Yes","Duplex","Galvanised"),"")</f>
        <v/>
      </c>
      <c r="F132">
        <f t="shared" si="2"/>
        <v>0</v>
      </c>
      <c r="G132" t="str">
        <f>IF(A132&gt;0,COUNTIFS($D$4:$D$315,LintelTable[[#This Row],[Length]],$C$4:$C$315,LintelTable[[#This Row],[Lintel]],$E$4:$E$315,LintelTable[[#This Row],[Treatment]],$A$4:$A$315,LintelTable[[#This Row],[Floor]],$B$4:$B$315,LintelTable[[#This Row],[Room]]),"")</f>
        <v/>
      </c>
    </row>
    <row r="133" spans="1:7" x14ac:dyDescent="0.2">
      <c r="A133" s="1143">
        <f>'Lintel Sheet'!B134</f>
        <v>0</v>
      </c>
      <c r="B133" s="1143">
        <f>'Lintel Sheet'!D134</f>
        <v>0</v>
      </c>
      <c r="C133" s="1143">
        <f>'Lintel Sheet'!H134</f>
        <v>0</v>
      </c>
      <c r="D133" s="1143" t="str">
        <f>IF(LintelTable[[#This Row],[Floor]]&gt;0,LintelTable[[#This Row],[Column1]]&amp;" / "&amp;'Lintel Sheet'!$I134,"")</f>
        <v/>
      </c>
      <c r="E133" s="1143" t="str">
        <f>IF('Lintel Sheet'!$B134&lt;&gt;"",IF(Coastal="Yes","Duplex","Galvanised"),"")</f>
        <v/>
      </c>
      <c r="F133">
        <f t="shared" si="2"/>
        <v>0</v>
      </c>
      <c r="G133" t="str">
        <f>IF(A133&gt;0,COUNTIFS($D$4:$D$315,LintelTable[[#This Row],[Length]],$C$4:$C$315,LintelTable[[#This Row],[Lintel]],$E$4:$E$315,LintelTable[[#This Row],[Treatment]],$A$4:$A$315,LintelTable[[#This Row],[Floor]],$B$4:$B$315,LintelTable[[#This Row],[Room]]),"")</f>
        <v/>
      </c>
    </row>
    <row r="134" spans="1:7" x14ac:dyDescent="0.2">
      <c r="A134" s="1143">
        <f>'Lintel Sheet'!B135</f>
        <v>0</v>
      </c>
      <c r="B134" s="1143">
        <f>'Lintel Sheet'!D135</f>
        <v>0</v>
      </c>
      <c r="C134" s="1143">
        <f>'Lintel Sheet'!H135</f>
        <v>0</v>
      </c>
      <c r="D134" s="1143" t="str">
        <f>IF(LintelTable[[#This Row],[Floor]]&gt;0,LintelTable[[#This Row],[Column1]]&amp;" / "&amp;'Lintel Sheet'!$I135,"")</f>
        <v/>
      </c>
      <c r="E134" s="1143" t="str">
        <f>IF('Lintel Sheet'!$B135&lt;&gt;"",IF(Coastal="Yes","Duplex","Galvanised"),"")</f>
        <v/>
      </c>
      <c r="F134">
        <f t="shared" si="2"/>
        <v>0</v>
      </c>
      <c r="G134" t="str">
        <f>IF(A134&gt;0,COUNTIFS($D$4:$D$315,LintelTable[[#This Row],[Length]],$C$4:$C$315,LintelTable[[#This Row],[Lintel]],$E$4:$E$315,LintelTable[[#This Row],[Treatment]],$A$4:$A$315,LintelTable[[#This Row],[Floor]],$B$4:$B$315,LintelTable[[#This Row],[Room]]),"")</f>
        <v/>
      </c>
    </row>
    <row r="135" spans="1:7" x14ac:dyDescent="0.2">
      <c r="A135" s="1143">
        <f>'Lintel Sheet'!B136</f>
        <v>0</v>
      </c>
      <c r="B135" s="1143">
        <f>'Lintel Sheet'!D136</f>
        <v>0</v>
      </c>
      <c r="C135" s="1143">
        <f>'Lintel Sheet'!H136</f>
        <v>0</v>
      </c>
      <c r="D135" s="1143" t="str">
        <f>IF(LintelTable[[#This Row],[Floor]]&gt;0,LintelTable[[#This Row],[Column1]]&amp;" / "&amp;'Lintel Sheet'!$I136,"")</f>
        <v/>
      </c>
      <c r="E135" s="1143" t="str">
        <f>IF('Lintel Sheet'!$B136&lt;&gt;"",IF(Coastal="Yes","Duplex","Galvanised"),"")</f>
        <v/>
      </c>
      <c r="F135">
        <f t="shared" si="2"/>
        <v>0</v>
      </c>
      <c r="G135" t="str">
        <f>IF(A135&gt;0,COUNTIFS($D$4:$D$315,LintelTable[[#This Row],[Length]],$C$4:$C$315,LintelTable[[#This Row],[Lintel]],$E$4:$E$315,LintelTable[[#This Row],[Treatment]],$A$4:$A$315,LintelTable[[#This Row],[Floor]],$B$4:$B$315,LintelTable[[#This Row],[Room]]),"")</f>
        <v/>
      </c>
    </row>
    <row r="136" spans="1:7" x14ac:dyDescent="0.2">
      <c r="A136" s="1143">
        <f>'Lintel Sheet'!B137</f>
        <v>0</v>
      </c>
      <c r="B136" s="1143">
        <f>'Lintel Sheet'!D137</f>
        <v>0</v>
      </c>
      <c r="C136" s="1143">
        <f>'Lintel Sheet'!H137</f>
        <v>0</v>
      </c>
      <c r="D136" s="1143" t="str">
        <f>IF(LintelTable[[#This Row],[Floor]]&gt;0,LintelTable[[#This Row],[Column1]]&amp;" / "&amp;'Lintel Sheet'!$I137,"")</f>
        <v/>
      </c>
      <c r="E136" s="1143" t="str">
        <f>IF('Lintel Sheet'!$B137&lt;&gt;"",IF(Coastal="Yes","Duplex","Galvanised"),"")</f>
        <v/>
      </c>
      <c r="F136">
        <f t="shared" si="2"/>
        <v>0</v>
      </c>
      <c r="G136" t="str">
        <f>IF(A136&gt;0,COUNTIFS($D$4:$D$315,LintelTable[[#This Row],[Length]],$C$4:$C$315,LintelTable[[#This Row],[Lintel]],$E$4:$E$315,LintelTable[[#This Row],[Treatment]],$A$4:$A$315,LintelTable[[#This Row],[Floor]],$B$4:$B$315,LintelTable[[#This Row],[Room]]),"")</f>
        <v/>
      </c>
    </row>
    <row r="137" spans="1:7" x14ac:dyDescent="0.2">
      <c r="A137" s="1143">
        <f>'Lintel Sheet'!B138</f>
        <v>0</v>
      </c>
      <c r="B137" s="1143">
        <f>'Lintel Sheet'!D138</f>
        <v>0</v>
      </c>
      <c r="C137" s="1143">
        <f>'Lintel Sheet'!H138</f>
        <v>0</v>
      </c>
      <c r="D137" s="1143" t="str">
        <f>IF(LintelTable[[#This Row],[Floor]]&gt;0,LintelTable[[#This Row],[Column1]]&amp;" / "&amp;'Lintel Sheet'!$I138,"")</f>
        <v/>
      </c>
      <c r="E137" s="1143" t="str">
        <f>IF('Lintel Sheet'!$B138&lt;&gt;"",IF(Coastal="Yes","Duplex","Galvanised"),"")</f>
        <v/>
      </c>
      <c r="F137">
        <f t="shared" si="2"/>
        <v>0</v>
      </c>
      <c r="G137" t="str">
        <f>IF(A137&gt;0,COUNTIFS($D$4:$D$315,LintelTable[[#This Row],[Length]],$C$4:$C$315,LintelTable[[#This Row],[Lintel]],$E$4:$E$315,LintelTable[[#This Row],[Treatment]],$A$4:$A$315,LintelTable[[#This Row],[Floor]],$B$4:$B$315,LintelTable[[#This Row],[Room]]),"")</f>
        <v/>
      </c>
    </row>
    <row r="138" spans="1:7" x14ac:dyDescent="0.2">
      <c r="A138" s="1143">
        <f>'Lintel Sheet'!B139</f>
        <v>0</v>
      </c>
      <c r="B138" s="1143">
        <f>'Lintel Sheet'!D139</f>
        <v>0</v>
      </c>
      <c r="C138" s="1143">
        <f>'Lintel Sheet'!H139</f>
        <v>0</v>
      </c>
      <c r="D138" s="1143" t="str">
        <f>IF(LintelTable[[#This Row],[Floor]]&gt;0,LintelTable[[#This Row],[Column1]]&amp;" / "&amp;'Lintel Sheet'!$I139,"")</f>
        <v/>
      </c>
      <c r="E138" s="1143" t="str">
        <f>IF('Lintel Sheet'!$B139&lt;&gt;"",IF(Coastal="Yes","Duplex","Galvanised"),"")</f>
        <v/>
      </c>
      <c r="F138">
        <f t="shared" si="2"/>
        <v>0</v>
      </c>
      <c r="G138" t="str">
        <f>IF(A138&gt;0,COUNTIFS($D$4:$D$315,LintelTable[[#This Row],[Length]],$C$4:$C$315,LintelTable[[#This Row],[Lintel]],$E$4:$E$315,LintelTable[[#This Row],[Treatment]],$A$4:$A$315,LintelTable[[#This Row],[Floor]],$B$4:$B$315,LintelTable[[#This Row],[Room]]),"")</f>
        <v/>
      </c>
    </row>
    <row r="139" spans="1:7" x14ac:dyDescent="0.2">
      <c r="A139" s="1143">
        <f>'Lintel Sheet'!B140</f>
        <v>0</v>
      </c>
      <c r="B139" s="1143">
        <f>'Lintel Sheet'!D140</f>
        <v>0</v>
      </c>
      <c r="C139" s="1143">
        <f>'Lintel Sheet'!H140</f>
        <v>0</v>
      </c>
      <c r="D139" s="1143" t="str">
        <f>IF(LintelTable[[#This Row],[Floor]]&gt;0,LintelTable[[#This Row],[Column1]]&amp;" / "&amp;'Lintel Sheet'!$I140,"")</f>
        <v/>
      </c>
      <c r="E139" s="1143" t="str">
        <f>IF('Lintel Sheet'!$B140&lt;&gt;"",IF(Coastal="Yes","Duplex","Galvanised"),"")</f>
        <v/>
      </c>
      <c r="F139">
        <f t="shared" si="2"/>
        <v>0</v>
      </c>
      <c r="G139" t="str">
        <f>IF(A139&gt;0,COUNTIFS($D$4:$D$315,LintelTable[[#This Row],[Length]],$C$4:$C$315,LintelTable[[#This Row],[Lintel]],$E$4:$E$315,LintelTable[[#This Row],[Treatment]],$A$4:$A$315,LintelTable[[#This Row],[Floor]],$B$4:$B$315,LintelTable[[#This Row],[Room]]),"")</f>
        <v/>
      </c>
    </row>
    <row r="140" spans="1:7" x14ac:dyDescent="0.2">
      <c r="A140" s="1143">
        <f>'Lintel Sheet'!B141</f>
        <v>0</v>
      </c>
      <c r="B140" s="1143">
        <f>'Lintel Sheet'!D141</f>
        <v>0</v>
      </c>
      <c r="C140" s="1143">
        <f>'Lintel Sheet'!H141</f>
        <v>0</v>
      </c>
      <c r="D140" s="1143" t="str">
        <f>IF(LintelTable[[#This Row],[Floor]]&gt;0,LintelTable[[#This Row],[Column1]]&amp;" / "&amp;'Lintel Sheet'!$I141,"")</f>
        <v/>
      </c>
      <c r="E140" s="1143" t="str">
        <f>IF('Lintel Sheet'!$B141&lt;&gt;"",IF(Coastal="Yes","Duplex","Galvanised"),"")</f>
        <v/>
      </c>
      <c r="F140">
        <f t="shared" si="2"/>
        <v>0</v>
      </c>
      <c r="G140" t="str">
        <f>IF(A140&gt;0,COUNTIFS($D$4:$D$315,LintelTable[[#This Row],[Length]],$C$4:$C$315,LintelTable[[#This Row],[Lintel]],$E$4:$E$315,LintelTable[[#This Row],[Treatment]],$A$4:$A$315,LintelTable[[#This Row],[Floor]],$B$4:$B$315,LintelTable[[#This Row],[Room]]),"")</f>
        <v/>
      </c>
    </row>
    <row r="141" spans="1:7" x14ac:dyDescent="0.2">
      <c r="A141" s="1143">
        <f>'Lintel Sheet'!B142</f>
        <v>0</v>
      </c>
      <c r="B141" s="1143">
        <f>'Lintel Sheet'!D142</f>
        <v>0</v>
      </c>
      <c r="C141" s="1143">
        <f>'Lintel Sheet'!H142</f>
        <v>0</v>
      </c>
      <c r="D141" s="1143" t="str">
        <f>IF(LintelTable[[#This Row],[Floor]]&gt;0,LintelTable[[#This Row],[Column1]]&amp;" / "&amp;'Lintel Sheet'!$I142,"")</f>
        <v/>
      </c>
      <c r="E141" s="1143" t="str">
        <f>IF('Lintel Sheet'!$B142&lt;&gt;"",IF(Coastal="Yes","Duplex","Galvanised"),"")</f>
        <v/>
      </c>
      <c r="F141">
        <f t="shared" si="2"/>
        <v>0</v>
      </c>
      <c r="G141" t="str">
        <f>IF(A141&gt;0,COUNTIFS($D$4:$D$315,LintelTable[[#This Row],[Length]],$C$4:$C$315,LintelTable[[#This Row],[Lintel]],$E$4:$E$315,LintelTable[[#This Row],[Treatment]],$A$4:$A$315,LintelTable[[#This Row],[Floor]],$B$4:$B$315,LintelTable[[#This Row],[Room]]),"")</f>
        <v/>
      </c>
    </row>
    <row r="142" spans="1:7" x14ac:dyDescent="0.2">
      <c r="A142" s="1143">
        <f>'Lintel Sheet'!B143</f>
        <v>0</v>
      </c>
      <c r="B142" s="1143">
        <f>'Lintel Sheet'!D143</f>
        <v>0</v>
      </c>
      <c r="C142" s="1143">
        <f>'Lintel Sheet'!H143</f>
        <v>0</v>
      </c>
      <c r="D142" s="1143" t="str">
        <f>IF(LintelTable[[#This Row],[Floor]]&gt;0,LintelTable[[#This Row],[Column1]]&amp;" / "&amp;'Lintel Sheet'!$I143,"")</f>
        <v/>
      </c>
      <c r="E142" s="1143" t="str">
        <f>IF('Lintel Sheet'!$B143&lt;&gt;"",IF(Coastal="Yes","Duplex","Galvanised"),"")</f>
        <v/>
      </c>
      <c r="F142">
        <f t="shared" si="2"/>
        <v>0</v>
      </c>
      <c r="G142" t="str">
        <f>IF(A142&gt;0,COUNTIFS($D$4:$D$315,LintelTable[[#This Row],[Length]],$C$4:$C$315,LintelTable[[#This Row],[Lintel]],$E$4:$E$315,LintelTable[[#This Row],[Treatment]],$A$4:$A$315,LintelTable[[#This Row],[Floor]],$B$4:$B$315,LintelTable[[#This Row],[Room]]),"")</f>
        <v/>
      </c>
    </row>
    <row r="143" spans="1:7" x14ac:dyDescent="0.2">
      <c r="A143" s="1143">
        <f>'Lintel Sheet'!B144</f>
        <v>0</v>
      </c>
      <c r="B143" s="1143">
        <f>'Lintel Sheet'!D144</f>
        <v>0</v>
      </c>
      <c r="C143" s="1143">
        <f>'Lintel Sheet'!H144</f>
        <v>0</v>
      </c>
      <c r="D143" s="1143" t="str">
        <f>IF(LintelTable[[#This Row],[Floor]]&gt;0,LintelTable[[#This Row],[Column1]]&amp;" / "&amp;'Lintel Sheet'!$I144,"")</f>
        <v/>
      </c>
      <c r="E143" s="1143" t="str">
        <f>IF('Lintel Sheet'!$B144&lt;&gt;"",IF(Coastal="Yes","Duplex","Galvanised"),"")</f>
        <v/>
      </c>
      <c r="F143">
        <f t="shared" si="2"/>
        <v>0</v>
      </c>
      <c r="G143" t="str">
        <f>IF(A143&gt;0,COUNTIFS($D$4:$D$315,LintelTable[[#This Row],[Length]],$C$4:$C$315,LintelTable[[#This Row],[Lintel]],$E$4:$E$315,LintelTable[[#This Row],[Treatment]],$A$4:$A$315,LintelTable[[#This Row],[Floor]],$B$4:$B$315,LintelTable[[#This Row],[Room]]),"")</f>
        <v/>
      </c>
    </row>
    <row r="144" spans="1:7" x14ac:dyDescent="0.2">
      <c r="A144" s="1143">
        <f>'Lintel Sheet'!B145</f>
        <v>0</v>
      </c>
      <c r="B144" s="1143">
        <f>'Lintel Sheet'!D145</f>
        <v>0</v>
      </c>
      <c r="C144" s="1143">
        <f>'Lintel Sheet'!H145</f>
        <v>0</v>
      </c>
      <c r="D144" s="1143" t="str">
        <f>IF(LintelTable[[#This Row],[Floor]]&gt;0,LintelTable[[#This Row],[Column1]]&amp;" / "&amp;'Lintel Sheet'!$I145,"")</f>
        <v/>
      </c>
      <c r="E144" s="1143" t="str">
        <f>IF('Lintel Sheet'!$B145&lt;&gt;"",IF(Coastal="Yes","Duplex","Galvanised"),"")</f>
        <v/>
      </c>
      <c r="F144">
        <f t="shared" si="2"/>
        <v>0</v>
      </c>
      <c r="G144" t="str">
        <f>IF(A144&gt;0,COUNTIFS($D$4:$D$315,LintelTable[[#This Row],[Length]],$C$4:$C$315,LintelTable[[#This Row],[Lintel]],$E$4:$E$315,LintelTable[[#This Row],[Treatment]],$A$4:$A$315,LintelTable[[#This Row],[Floor]],$B$4:$B$315,LintelTable[[#This Row],[Room]]),"")</f>
        <v/>
      </c>
    </row>
    <row r="145" spans="1:7" x14ac:dyDescent="0.2">
      <c r="A145" s="1143">
        <f>'Lintel Sheet'!B146</f>
        <v>0</v>
      </c>
      <c r="B145" s="1143">
        <f>'Lintel Sheet'!D146</f>
        <v>0</v>
      </c>
      <c r="C145" s="1143">
        <f>'Lintel Sheet'!H146</f>
        <v>0</v>
      </c>
      <c r="D145" s="1143" t="str">
        <f>IF(LintelTable[[#This Row],[Floor]]&gt;0,LintelTable[[#This Row],[Column1]]&amp;" / "&amp;'Lintel Sheet'!$I146,"")</f>
        <v/>
      </c>
      <c r="E145" s="1143" t="str">
        <f>IF('Lintel Sheet'!$B146&lt;&gt;"",IF(Coastal="Yes","Duplex","Galvanised"),"")</f>
        <v/>
      </c>
      <c r="F145">
        <f t="shared" si="2"/>
        <v>0</v>
      </c>
      <c r="G145" t="str">
        <f>IF(A145&gt;0,COUNTIFS($D$4:$D$315,LintelTable[[#This Row],[Length]],$C$4:$C$315,LintelTable[[#This Row],[Lintel]],$E$4:$E$315,LintelTable[[#This Row],[Treatment]],$A$4:$A$315,LintelTable[[#This Row],[Floor]],$B$4:$B$315,LintelTable[[#This Row],[Room]]),"")</f>
        <v/>
      </c>
    </row>
    <row r="146" spans="1:7" x14ac:dyDescent="0.2">
      <c r="A146" s="1143">
        <f>'Lintel Sheet'!B147</f>
        <v>0</v>
      </c>
      <c r="B146" s="1143">
        <f>'Lintel Sheet'!D147</f>
        <v>0</v>
      </c>
      <c r="C146" s="1143">
        <f>'Lintel Sheet'!H147</f>
        <v>0</v>
      </c>
      <c r="D146" s="1143" t="str">
        <f>IF(LintelTable[[#This Row],[Floor]]&gt;0,LintelTable[[#This Row],[Column1]]&amp;" / "&amp;'Lintel Sheet'!$I147,"")</f>
        <v/>
      </c>
      <c r="E146" s="1143" t="str">
        <f>IF('Lintel Sheet'!$B147&lt;&gt;"",IF(Coastal="Yes","Duplex","Galvanised"),"")</f>
        <v/>
      </c>
      <c r="F146">
        <f t="shared" si="2"/>
        <v>0</v>
      </c>
      <c r="G146" t="str">
        <f>IF(A146&gt;0,COUNTIFS($D$4:$D$315,LintelTable[[#This Row],[Length]],$C$4:$C$315,LintelTable[[#This Row],[Lintel]],$E$4:$E$315,LintelTable[[#This Row],[Treatment]],$A$4:$A$315,LintelTable[[#This Row],[Floor]],$B$4:$B$315,LintelTable[[#This Row],[Room]]),"")</f>
        <v/>
      </c>
    </row>
    <row r="147" spans="1:7" x14ac:dyDescent="0.2">
      <c r="A147" s="1143">
        <f>'Lintel Sheet'!B148</f>
        <v>0</v>
      </c>
      <c r="B147" s="1143">
        <f>'Lintel Sheet'!D148</f>
        <v>0</v>
      </c>
      <c r="C147" s="1143">
        <f>'Lintel Sheet'!H148</f>
        <v>0</v>
      </c>
      <c r="D147" s="1143" t="str">
        <f>IF(LintelTable[[#This Row],[Floor]]&gt;0,LintelTable[[#This Row],[Column1]]&amp;" / "&amp;'Lintel Sheet'!$I148,"")</f>
        <v/>
      </c>
      <c r="E147" s="1143" t="str">
        <f>IF('Lintel Sheet'!$B148&lt;&gt;"",IF(Coastal="Yes","Duplex","Galvanised"),"")</f>
        <v/>
      </c>
      <c r="F147">
        <f t="shared" si="2"/>
        <v>0</v>
      </c>
      <c r="G147" t="str">
        <f>IF(A147&gt;0,COUNTIFS($D$4:$D$315,LintelTable[[#This Row],[Length]],$C$4:$C$315,LintelTable[[#This Row],[Lintel]],$E$4:$E$315,LintelTable[[#This Row],[Treatment]],$A$4:$A$315,LintelTable[[#This Row],[Floor]],$B$4:$B$315,LintelTable[[#This Row],[Room]]),"")</f>
        <v/>
      </c>
    </row>
    <row r="148" spans="1:7" x14ac:dyDescent="0.2">
      <c r="A148" s="1143">
        <f>'Lintel Sheet'!B149</f>
        <v>0</v>
      </c>
      <c r="B148" s="1143">
        <f>'Lintel Sheet'!D149</f>
        <v>0</v>
      </c>
      <c r="C148" s="1143">
        <f>'Lintel Sheet'!H149</f>
        <v>0</v>
      </c>
      <c r="D148" s="1143" t="str">
        <f>IF(LintelTable[[#This Row],[Floor]]&gt;0,LintelTable[[#This Row],[Column1]]&amp;" / "&amp;'Lintel Sheet'!$I149,"")</f>
        <v/>
      </c>
      <c r="E148" s="1143" t="str">
        <f>IF('Lintel Sheet'!$B149&lt;&gt;"",IF(Coastal="Yes","Duplex","Galvanised"),"")</f>
        <v/>
      </c>
      <c r="F148">
        <f t="shared" si="2"/>
        <v>0</v>
      </c>
      <c r="G148" t="str">
        <f>IF(A148&gt;0,COUNTIFS($D$4:$D$315,LintelTable[[#This Row],[Length]],$C$4:$C$315,LintelTable[[#This Row],[Lintel]],$E$4:$E$315,LintelTable[[#This Row],[Treatment]],$A$4:$A$315,LintelTable[[#This Row],[Floor]],$B$4:$B$315,LintelTable[[#This Row],[Room]]),"")</f>
        <v/>
      </c>
    </row>
    <row r="149" spans="1:7" x14ac:dyDescent="0.2">
      <c r="A149" s="1143">
        <f>'Lintel Sheet'!B150</f>
        <v>0</v>
      </c>
      <c r="B149" s="1143">
        <f>'Lintel Sheet'!D150</f>
        <v>0</v>
      </c>
      <c r="C149" s="1143">
        <f>'Lintel Sheet'!H150</f>
        <v>0</v>
      </c>
      <c r="D149" s="1143" t="str">
        <f>IF(LintelTable[[#This Row],[Floor]]&gt;0,LintelTable[[#This Row],[Column1]]&amp;" / "&amp;'Lintel Sheet'!$I150,"")</f>
        <v/>
      </c>
      <c r="E149" s="1143" t="str">
        <f>IF('Lintel Sheet'!$B150&lt;&gt;"",IF(Coastal="Yes","Duplex","Galvanised"),"")</f>
        <v/>
      </c>
      <c r="F149">
        <f t="shared" si="2"/>
        <v>0</v>
      </c>
      <c r="G149" t="str">
        <f>IF(A149&gt;0,COUNTIFS($D$4:$D$315,LintelTable[[#This Row],[Length]],$C$4:$C$315,LintelTable[[#This Row],[Lintel]],$E$4:$E$315,LintelTable[[#This Row],[Treatment]],$A$4:$A$315,LintelTable[[#This Row],[Floor]],$B$4:$B$315,LintelTable[[#This Row],[Room]]),"")</f>
        <v/>
      </c>
    </row>
    <row r="150" spans="1:7" x14ac:dyDescent="0.2">
      <c r="A150" s="1143">
        <f>'Lintel Sheet'!B151</f>
        <v>0</v>
      </c>
      <c r="B150" s="1143">
        <f>'Lintel Sheet'!D151</f>
        <v>0</v>
      </c>
      <c r="C150" s="1143">
        <f>'Lintel Sheet'!H151</f>
        <v>0</v>
      </c>
      <c r="D150" s="1143" t="str">
        <f>IF(LintelTable[[#This Row],[Floor]]&gt;0,LintelTable[[#This Row],[Column1]]&amp;" / "&amp;'Lintel Sheet'!$I151,"")</f>
        <v/>
      </c>
      <c r="E150" s="1143" t="str">
        <f>IF('Lintel Sheet'!$B151&lt;&gt;"",IF(Coastal="Yes","Duplex","Galvanised"),"")</f>
        <v/>
      </c>
      <c r="F150">
        <f t="shared" si="2"/>
        <v>0</v>
      </c>
      <c r="G150" t="str">
        <f>IF(A150&gt;0,COUNTIFS($D$4:$D$315,LintelTable[[#This Row],[Length]],$C$4:$C$315,LintelTable[[#This Row],[Lintel]],$E$4:$E$315,LintelTable[[#This Row],[Treatment]],$A$4:$A$315,LintelTable[[#This Row],[Floor]],$B$4:$B$315,LintelTable[[#This Row],[Room]]),"")</f>
        <v/>
      </c>
    </row>
    <row r="151" spans="1:7" x14ac:dyDescent="0.2">
      <c r="A151" s="1143">
        <f>'Lintel Sheet'!B152</f>
        <v>0</v>
      </c>
      <c r="B151" s="1143">
        <f>'Lintel Sheet'!D152</f>
        <v>0</v>
      </c>
      <c r="C151" s="1143">
        <f>'Lintel Sheet'!H152</f>
        <v>0</v>
      </c>
      <c r="D151" s="1143" t="str">
        <f>IF(LintelTable[[#This Row],[Floor]]&gt;0,LintelTable[[#This Row],[Column1]]&amp;" / "&amp;'Lintel Sheet'!$I152,"")</f>
        <v/>
      </c>
      <c r="E151" s="1143" t="str">
        <f>IF('Lintel Sheet'!$B152&lt;&gt;"",IF(Coastal="Yes","Duplex","Galvanised"),"")</f>
        <v/>
      </c>
      <c r="F151">
        <f t="shared" si="2"/>
        <v>0</v>
      </c>
      <c r="G151" t="str">
        <f>IF(A151&gt;0,COUNTIFS($D$4:$D$315,LintelTable[[#This Row],[Length]],$C$4:$C$315,LintelTable[[#This Row],[Lintel]],$E$4:$E$315,LintelTable[[#This Row],[Treatment]],$A$4:$A$315,LintelTable[[#This Row],[Floor]],$B$4:$B$315,LintelTable[[#This Row],[Room]]),"")</f>
        <v/>
      </c>
    </row>
    <row r="152" spans="1:7" x14ac:dyDescent="0.2">
      <c r="A152" s="1143">
        <f>'Lintel Sheet'!B153</f>
        <v>0</v>
      </c>
      <c r="B152" s="1143">
        <f>'Lintel Sheet'!D153</f>
        <v>0</v>
      </c>
      <c r="C152" s="1143">
        <f>'Lintel Sheet'!H153</f>
        <v>0</v>
      </c>
      <c r="D152" s="1143" t="str">
        <f>IF(LintelTable[[#This Row],[Floor]]&gt;0,LintelTable[[#This Row],[Column1]]&amp;" / "&amp;'Lintel Sheet'!$I153,"")</f>
        <v/>
      </c>
      <c r="E152" s="1143" t="str">
        <f>IF('Lintel Sheet'!$B153&lt;&gt;"",IF(Coastal="Yes","Duplex","Galvanised"),"")</f>
        <v/>
      </c>
      <c r="F152">
        <f t="shared" si="2"/>
        <v>0</v>
      </c>
      <c r="G152" t="str">
        <f>IF(A152&gt;0,COUNTIFS($D$4:$D$315,LintelTable[[#This Row],[Length]],$C$4:$C$315,LintelTable[[#This Row],[Lintel]],$E$4:$E$315,LintelTable[[#This Row],[Treatment]],$A$4:$A$315,LintelTable[[#This Row],[Floor]],$B$4:$B$315,LintelTable[[#This Row],[Room]]),"")</f>
        <v/>
      </c>
    </row>
    <row r="153" spans="1:7" x14ac:dyDescent="0.2">
      <c r="A153" s="1143">
        <f>'Lintel Sheet'!B154</f>
        <v>0</v>
      </c>
      <c r="B153" s="1143">
        <f>'Lintel Sheet'!D154</f>
        <v>0</v>
      </c>
      <c r="C153" s="1143">
        <f>'Lintel Sheet'!H154</f>
        <v>0</v>
      </c>
      <c r="D153" s="1143" t="str">
        <f>IF(LintelTable[[#This Row],[Floor]]&gt;0,LintelTable[[#This Row],[Column1]]&amp;" / "&amp;'Lintel Sheet'!$I154,"")</f>
        <v/>
      </c>
      <c r="E153" s="1143" t="str">
        <f>IF('Lintel Sheet'!$B154&lt;&gt;"",IF(Coastal="Yes","Duplex","Galvanised"),"")</f>
        <v/>
      </c>
      <c r="F153">
        <f t="shared" si="2"/>
        <v>0</v>
      </c>
      <c r="G153" t="str">
        <f>IF(A153&gt;0,COUNTIFS($D$4:$D$315,LintelTable[[#This Row],[Length]],$C$4:$C$315,LintelTable[[#This Row],[Lintel]],$E$4:$E$315,LintelTable[[#This Row],[Treatment]],$A$4:$A$315,LintelTable[[#This Row],[Floor]],$B$4:$B$315,LintelTable[[#This Row],[Room]]),"")</f>
        <v/>
      </c>
    </row>
    <row r="154" spans="1:7" x14ac:dyDescent="0.2">
      <c r="A154" s="1143">
        <f>'Lintel Sheet'!B155</f>
        <v>0</v>
      </c>
      <c r="B154" s="1143">
        <f>'Lintel Sheet'!D155</f>
        <v>0</v>
      </c>
      <c r="C154" s="1143">
        <f>'Lintel Sheet'!H155</f>
        <v>0</v>
      </c>
      <c r="D154" s="1143" t="str">
        <f>IF(LintelTable[[#This Row],[Floor]]&gt;0,LintelTable[[#This Row],[Column1]]&amp;" / "&amp;'Lintel Sheet'!$I155,"")</f>
        <v/>
      </c>
      <c r="E154" s="1143" t="str">
        <f>IF('Lintel Sheet'!$B155&lt;&gt;"",IF(Coastal="Yes","Duplex","Galvanised"),"")</f>
        <v/>
      </c>
      <c r="F154">
        <f t="shared" ref="F154:F217" si="3">H154</f>
        <v>0</v>
      </c>
      <c r="G154" t="str">
        <f>IF(A154&gt;0,COUNTIFS($D$4:$D$315,LintelTable[[#This Row],[Length]],$C$4:$C$315,LintelTable[[#This Row],[Lintel]],$E$4:$E$315,LintelTable[[#This Row],[Treatment]],$A$4:$A$315,LintelTable[[#This Row],[Floor]],$B$4:$B$315,LintelTable[[#This Row],[Room]]),"")</f>
        <v/>
      </c>
    </row>
    <row r="155" spans="1:7" x14ac:dyDescent="0.2">
      <c r="A155" s="1143">
        <f>'Lintel Sheet'!B156</f>
        <v>0</v>
      </c>
      <c r="B155" s="1143">
        <f>'Lintel Sheet'!D156</f>
        <v>0</v>
      </c>
      <c r="C155" s="1143">
        <f>'Lintel Sheet'!H156</f>
        <v>0</v>
      </c>
      <c r="D155" s="1143" t="str">
        <f>IF(LintelTable[[#This Row],[Floor]]&gt;0,LintelTable[[#This Row],[Column1]]&amp;" / "&amp;'Lintel Sheet'!$I156,"")</f>
        <v/>
      </c>
      <c r="E155" s="1143" t="str">
        <f>IF('Lintel Sheet'!$B156&lt;&gt;"",IF(Coastal="Yes","Duplex","Galvanised"),"")</f>
        <v/>
      </c>
      <c r="F155">
        <f t="shared" si="3"/>
        <v>0</v>
      </c>
      <c r="G155" t="str">
        <f>IF(A155&gt;0,COUNTIFS($D$4:$D$315,LintelTable[[#This Row],[Length]],$C$4:$C$315,LintelTable[[#This Row],[Lintel]],$E$4:$E$315,LintelTable[[#This Row],[Treatment]],$A$4:$A$315,LintelTable[[#This Row],[Floor]],$B$4:$B$315,LintelTable[[#This Row],[Room]]),"")</f>
        <v/>
      </c>
    </row>
    <row r="156" spans="1:7" x14ac:dyDescent="0.2">
      <c r="A156" s="1143">
        <f>'Lintel Sheet'!B157</f>
        <v>0</v>
      </c>
      <c r="B156" s="1143">
        <f>'Lintel Sheet'!D157</f>
        <v>0</v>
      </c>
      <c r="C156" s="1143">
        <f>'Lintel Sheet'!H157</f>
        <v>0</v>
      </c>
      <c r="D156" s="1143" t="str">
        <f>IF(LintelTable[[#This Row],[Floor]]&gt;0,LintelTable[[#This Row],[Column1]]&amp;" / "&amp;'Lintel Sheet'!$I157,"")</f>
        <v/>
      </c>
      <c r="E156" s="1143" t="str">
        <f>IF('Lintel Sheet'!$B157&lt;&gt;"",IF(Coastal="Yes","Duplex","Galvanised"),"")</f>
        <v/>
      </c>
      <c r="F156">
        <f t="shared" si="3"/>
        <v>0</v>
      </c>
      <c r="G156" t="str">
        <f>IF(A156&gt;0,COUNTIFS($D$4:$D$315,LintelTable[[#This Row],[Length]],$C$4:$C$315,LintelTable[[#This Row],[Lintel]],$E$4:$E$315,LintelTable[[#This Row],[Treatment]],$A$4:$A$315,LintelTable[[#This Row],[Floor]],$B$4:$B$315,LintelTable[[#This Row],[Room]]),"")</f>
        <v/>
      </c>
    </row>
    <row r="157" spans="1:7" x14ac:dyDescent="0.2">
      <c r="A157" s="1143">
        <f>'Lintel Sheet'!B158</f>
        <v>0</v>
      </c>
      <c r="B157" s="1143">
        <f>'Lintel Sheet'!D158</f>
        <v>0</v>
      </c>
      <c r="C157" s="1143">
        <f>'Lintel Sheet'!H158</f>
        <v>0</v>
      </c>
      <c r="D157" s="1143" t="str">
        <f>IF(LintelTable[[#This Row],[Floor]]&gt;0,LintelTable[[#This Row],[Column1]]&amp;" / "&amp;'Lintel Sheet'!$I158,"")</f>
        <v/>
      </c>
      <c r="E157" s="1143" t="str">
        <f>IF('Lintel Sheet'!$B158&lt;&gt;"",IF(Coastal="Yes","Duplex","Galvanised"),"")</f>
        <v/>
      </c>
      <c r="F157">
        <f t="shared" si="3"/>
        <v>0</v>
      </c>
      <c r="G157" t="str">
        <f>IF(A157&gt;0,COUNTIFS($D$4:$D$315,LintelTable[[#This Row],[Length]],$C$4:$C$315,LintelTable[[#This Row],[Lintel]],$E$4:$E$315,LintelTable[[#This Row],[Treatment]],$A$4:$A$315,LintelTable[[#This Row],[Floor]],$B$4:$B$315,LintelTable[[#This Row],[Room]]),"")</f>
        <v/>
      </c>
    </row>
    <row r="158" spans="1:7" x14ac:dyDescent="0.2">
      <c r="A158" s="1143">
        <f>'Lintel Sheet'!B159</f>
        <v>0</v>
      </c>
      <c r="B158" s="1143">
        <f>'Lintel Sheet'!D159</f>
        <v>0</v>
      </c>
      <c r="C158" s="1143">
        <f>'Lintel Sheet'!H159</f>
        <v>0</v>
      </c>
      <c r="D158" s="1143" t="str">
        <f>IF(LintelTable[[#This Row],[Floor]]&gt;0,LintelTable[[#This Row],[Column1]]&amp;" / "&amp;'Lintel Sheet'!$I159,"")</f>
        <v/>
      </c>
      <c r="E158" s="1143" t="str">
        <f>IF('Lintel Sheet'!$B159&lt;&gt;"",IF(Coastal="Yes","Duplex","Galvanised"),"")</f>
        <v/>
      </c>
      <c r="F158">
        <f t="shared" si="3"/>
        <v>0</v>
      </c>
      <c r="G158" t="str">
        <f>IF(A158&gt;0,COUNTIFS($D$4:$D$315,LintelTable[[#This Row],[Length]],$C$4:$C$315,LintelTable[[#This Row],[Lintel]],$E$4:$E$315,LintelTable[[#This Row],[Treatment]],$A$4:$A$315,LintelTable[[#This Row],[Floor]],$B$4:$B$315,LintelTable[[#This Row],[Room]]),"")</f>
        <v/>
      </c>
    </row>
    <row r="159" spans="1:7" x14ac:dyDescent="0.2">
      <c r="A159" s="1143">
        <f>'Lintel Sheet'!B160</f>
        <v>0</v>
      </c>
      <c r="B159" s="1143">
        <f>'Lintel Sheet'!D160</f>
        <v>0</v>
      </c>
      <c r="C159" s="1143">
        <f>'Lintel Sheet'!H160</f>
        <v>0</v>
      </c>
      <c r="D159" s="1143" t="str">
        <f>IF(LintelTable[[#This Row],[Floor]]&gt;0,LintelTable[[#This Row],[Column1]]&amp;" / "&amp;'Lintel Sheet'!$I160,"")</f>
        <v/>
      </c>
      <c r="E159" s="1143" t="str">
        <f>IF('Lintel Sheet'!$B160&lt;&gt;"",IF(Coastal="Yes","Duplex","Galvanised"),"")</f>
        <v/>
      </c>
      <c r="F159">
        <f t="shared" si="3"/>
        <v>0</v>
      </c>
      <c r="G159" t="str">
        <f>IF(A159&gt;0,COUNTIFS($D$4:$D$315,LintelTable[[#This Row],[Length]],$C$4:$C$315,LintelTable[[#This Row],[Lintel]],$E$4:$E$315,LintelTable[[#This Row],[Treatment]],$A$4:$A$315,LintelTable[[#This Row],[Floor]],$B$4:$B$315,LintelTable[[#This Row],[Room]]),"")</f>
        <v/>
      </c>
    </row>
    <row r="160" spans="1:7" x14ac:dyDescent="0.2">
      <c r="A160" s="1143">
        <f>'Lintel Sheet'!B161</f>
        <v>0</v>
      </c>
      <c r="B160" s="1143">
        <f>'Lintel Sheet'!D161</f>
        <v>0</v>
      </c>
      <c r="C160" s="1143">
        <f>'Lintel Sheet'!H161</f>
        <v>0</v>
      </c>
      <c r="D160" s="1143" t="str">
        <f>IF(LintelTable[[#This Row],[Floor]]&gt;0,LintelTable[[#This Row],[Column1]]&amp;" / "&amp;'Lintel Sheet'!$I161,"")</f>
        <v/>
      </c>
      <c r="E160" s="1143" t="str">
        <f>IF('Lintel Sheet'!$B161&lt;&gt;"",IF(Coastal="Yes","Duplex","Galvanised"),"")</f>
        <v/>
      </c>
      <c r="F160">
        <f t="shared" si="3"/>
        <v>0</v>
      </c>
      <c r="G160" t="str">
        <f>IF(A160&gt;0,COUNTIFS($D$4:$D$315,LintelTable[[#This Row],[Length]],$C$4:$C$315,LintelTable[[#This Row],[Lintel]],$E$4:$E$315,LintelTable[[#This Row],[Treatment]],$A$4:$A$315,LintelTable[[#This Row],[Floor]],$B$4:$B$315,LintelTable[[#This Row],[Room]]),"")</f>
        <v/>
      </c>
    </row>
    <row r="161" spans="1:7" x14ac:dyDescent="0.2">
      <c r="A161" s="1143">
        <f>'Lintel Sheet'!B162</f>
        <v>0</v>
      </c>
      <c r="B161" s="1143">
        <f>'Lintel Sheet'!D162</f>
        <v>0</v>
      </c>
      <c r="C161" s="1143">
        <f>'Lintel Sheet'!H162</f>
        <v>0</v>
      </c>
      <c r="D161" s="1143" t="str">
        <f>IF(LintelTable[[#This Row],[Floor]]&gt;0,LintelTable[[#This Row],[Column1]]&amp;" / "&amp;'Lintel Sheet'!$I162,"")</f>
        <v/>
      </c>
      <c r="E161" s="1143" t="str">
        <f>IF('Lintel Sheet'!$B162&lt;&gt;"",IF(Coastal="Yes","Duplex","Galvanised"),"")</f>
        <v/>
      </c>
      <c r="F161">
        <f t="shared" si="3"/>
        <v>0</v>
      </c>
      <c r="G161" t="str">
        <f>IF(A161&gt;0,COUNTIFS($D$4:$D$315,LintelTable[[#This Row],[Length]],$C$4:$C$315,LintelTable[[#This Row],[Lintel]],$E$4:$E$315,LintelTable[[#This Row],[Treatment]],$A$4:$A$315,LintelTable[[#This Row],[Floor]],$B$4:$B$315,LintelTable[[#This Row],[Room]]),"")</f>
        <v/>
      </c>
    </row>
    <row r="162" spans="1:7" x14ac:dyDescent="0.2">
      <c r="A162" s="1143">
        <f>'Lintel Sheet'!B163</f>
        <v>0</v>
      </c>
      <c r="B162" s="1143">
        <f>'Lintel Sheet'!D163</f>
        <v>0</v>
      </c>
      <c r="C162" s="1143">
        <f>'Lintel Sheet'!H163</f>
        <v>0</v>
      </c>
      <c r="D162" s="1143" t="str">
        <f>IF(LintelTable[[#This Row],[Floor]]&gt;0,LintelTable[[#This Row],[Column1]]&amp;" / "&amp;'Lintel Sheet'!$I163,"")</f>
        <v/>
      </c>
      <c r="E162" s="1143" t="str">
        <f>IF('Lintel Sheet'!$B163&lt;&gt;"",IF(Coastal="Yes","Duplex","Galvanised"),"")</f>
        <v/>
      </c>
      <c r="F162">
        <f t="shared" si="3"/>
        <v>0</v>
      </c>
      <c r="G162" t="str">
        <f>IF(A162&gt;0,COUNTIFS($D$4:$D$315,LintelTable[[#This Row],[Length]],$C$4:$C$315,LintelTable[[#This Row],[Lintel]],$E$4:$E$315,LintelTable[[#This Row],[Treatment]],$A$4:$A$315,LintelTable[[#This Row],[Floor]],$B$4:$B$315,LintelTable[[#This Row],[Room]]),"")</f>
        <v/>
      </c>
    </row>
    <row r="163" spans="1:7" x14ac:dyDescent="0.2">
      <c r="A163" s="1143">
        <f>'Lintel Sheet'!B164</f>
        <v>0</v>
      </c>
      <c r="B163" s="1143">
        <f>'Lintel Sheet'!D164</f>
        <v>0</v>
      </c>
      <c r="C163" s="1143">
        <f>'Lintel Sheet'!H164</f>
        <v>0</v>
      </c>
      <c r="D163" s="1143" t="str">
        <f>IF(LintelTable[[#This Row],[Floor]]&gt;0,LintelTable[[#This Row],[Column1]]&amp;" / "&amp;'Lintel Sheet'!$I164,"")</f>
        <v/>
      </c>
      <c r="E163" s="1143" t="str">
        <f>IF('Lintel Sheet'!$B164&lt;&gt;"",IF(Coastal="Yes","Duplex","Galvanised"),"")</f>
        <v/>
      </c>
      <c r="F163">
        <f t="shared" si="3"/>
        <v>0</v>
      </c>
      <c r="G163" t="str">
        <f>IF(A163&gt;0,COUNTIFS($D$4:$D$315,LintelTable[[#This Row],[Length]],$C$4:$C$315,LintelTable[[#This Row],[Lintel]],$E$4:$E$315,LintelTable[[#This Row],[Treatment]],$A$4:$A$315,LintelTable[[#This Row],[Floor]],$B$4:$B$315,LintelTable[[#This Row],[Room]]),"")</f>
        <v/>
      </c>
    </row>
    <row r="164" spans="1:7" x14ac:dyDescent="0.2">
      <c r="A164" s="1143">
        <f>'Lintel Sheet'!B165</f>
        <v>0</v>
      </c>
      <c r="B164" s="1143">
        <f>'Lintel Sheet'!D165</f>
        <v>0</v>
      </c>
      <c r="C164" s="1143">
        <f>'Lintel Sheet'!H165</f>
        <v>0</v>
      </c>
      <c r="D164" s="1143" t="str">
        <f>IF(LintelTable[[#This Row],[Floor]]&gt;0,LintelTable[[#This Row],[Column1]]&amp;" / "&amp;'Lintel Sheet'!$I165,"")</f>
        <v/>
      </c>
      <c r="E164" s="1143" t="str">
        <f>IF('Lintel Sheet'!$B165&lt;&gt;"",IF(Coastal="Yes","Duplex","Galvanised"),"")</f>
        <v/>
      </c>
      <c r="F164">
        <f t="shared" si="3"/>
        <v>0</v>
      </c>
      <c r="G164" t="str">
        <f>IF(A164&gt;0,COUNTIFS($D$4:$D$315,LintelTable[[#This Row],[Length]],$C$4:$C$315,LintelTable[[#This Row],[Lintel]],$E$4:$E$315,LintelTable[[#This Row],[Treatment]],$A$4:$A$315,LintelTable[[#This Row],[Floor]],$B$4:$B$315,LintelTable[[#This Row],[Room]]),"")</f>
        <v/>
      </c>
    </row>
    <row r="165" spans="1:7" x14ac:dyDescent="0.2">
      <c r="A165" s="1143">
        <f>'Lintel Sheet'!B166</f>
        <v>0</v>
      </c>
      <c r="B165" s="1143">
        <f>'Lintel Sheet'!D166</f>
        <v>0</v>
      </c>
      <c r="C165" s="1143">
        <f>'Lintel Sheet'!H166</f>
        <v>0</v>
      </c>
      <c r="D165" s="1143" t="str">
        <f>IF(LintelTable[[#This Row],[Floor]]&gt;0,LintelTable[[#This Row],[Column1]]&amp;" / "&amp;'Lintel Sheet'!$I166,"")</f>
        <v/>
      </c>
      <c r="E165" s="1143" t="str">
        <f>IF('Lintel Sheet'!$B166&lt;&gt;"",IF(Coastal="Yes","Duplex","Galvanised"),"")</f>
        <v/>
      </c>
      <c r="F165">
        <f t="shared" si="3"/>
        <v>0</v>
      </c>
      <c r="G165" t="str">
        <f>IF(A165&gt;0,COUNTIFS($D$4:$D$315,LintelTable[[#This Row],[Length]],$C$4:$C$315,LintelTable[[#This Row],[Lintel]],$E$4:$E$315,LintelTable[[#This Row],[Treatment]],$A$4:$A$315,LintelTable[[#This Row],[Floor]],$B$4:$B$315,LintelTable[[#This Row],[Room]]),"")</f>
        <v/>
      </c>
    </row>
    <row r="166" spans="1:7" x14ac:dyDescent="0.2">
      <c r="A166" s="1143">
        <f>'Lintel Sheet'!B167</f>
        <v>0</v>
      </c>
      <c r="B166" s="1143">
        <f>'Lintel Sheet'!D167</f>
        <v>0</v>
      </c>
      <c r="C166" s="1143">
        <f>'Lintel Sheet'!H167</f>
        <v>0</v>
      </c>
      <c r="D166" s="1143" t="str">
        <f>IF(LintelTable[[#This Row],[Floor]]&gt;0,LintelTable[[#This Row],[Column1]]&amp;" / "&amp;'Lintel Sheet'!$I167,"")</f>
        <v/>
      </c>
      <c r="E166" s="1143" t="str">
        <f>IF('Lintel Sheet'!$B167&lt;&gt;"",IF(Coastal="Yes","Duplex","Galvanised"),"")</f>
        <v/>
      </c>
      <c r="F166">
        <f t="shared" si="3"/>
        <v>0</v>
      </c>
      <c r="G166" t="str">
        <f>IF(A166&gt;0,COUNTIFS($D$4:$D$315,LintelTable[[#This Row],[Length]],$C$4:$C$315,LintelTable[[#This Row],[Lintel]],$E$4:$E$315,LintelTable[[#This Row],[Treatment]],$A$4:$A$315,LintelTable[[#This Row],[Floor]],$B$4:$B$315,LintelTable[[#This Row],[Room]]),"")</f>
        <v/>
      </c>
    </row>
    <row r="167" spans="1:7" x14ac:dyDescent="0.2">
      <c r="A167" s="1143">
        <f>'Lintel Sheet'!B168</f>
        <v>0</v>
      </c>
      <c r="B167" s="1143">
        <f>'Lintel Sheet'!D168</f>
        <v>0</v>
      </c>
      <c r="C167" s="1143">
        <f>'Lintel Sheet'!H168</f>
        <v>0</v>
      </c>
      <c r="D167" s="1143" t="str">
        <f>IF(LintelTable[[#This Row],[Floor]]&gt;0,LintelTable[[#This Row],[Column1]]&amp;" / "&amp;'Lintel Sheet'!$I168,"")</f>
        <v/>
      </c>
      <c r="E167" s="1143" t="str">
        <f>IF('Lintel Sheet'!$B168&lt;&gt;"",IF(Coastal="Yes","Duplex","Galvanised"),"")</f>
        <v/>
      </c>
      <c r="F167">
        <f t="shared" si="3"/>
        <v>0</v>
      </c>
      <c r="G167" t="str">
        <f>IF(A167&gt;0,COUNTIFS($D$4:$D$315,LintelTable[[#This Row],[Length]],$C$4:$C$315,LintelTable[[#This Row],[Lintel]],$E$4:$E$315,LintelTable[[#This Row],[Treatment]],$A$4:$A$315,LintelTable[[#This Row],[Floor]],$B$4:$B$315,LintelTable[[#This Row],[Room]]),"")</f>
        <v/>
      </c>
    </row>
    <row r="168" spans="1:7" x14ac:dyDescent="0.2">
      <c r="A168" s="1143">
        <f>'Lintel Sheet'!B169</f>
        <v>0</v>
      </c>
      <c r="B168" s="1143">
        <f>'Lintel Sheet'!D169</f>
        <v>0</v>
      </c>
      <c r="C168" s="1143">
        <f>'Lintel Sheet'!H169</f>
        <v>0</v>
      </c>
      <c r="D168" s="1143" t="str">
        <f>IF(LintelTable[[#This Row],[Floor]]&gt;0,LintelTable[[#This Row],[Column1]]&amp;" / "&amp;'Lintel Sheet'!$I169,"")</f>
        <v/>
      </c>
      <c r="E168" s="1143" t="str">
        <f>IF('Lintel Sheet'!$B169&lt;&gt;"",IF(Coastal="Yes","Duplex","Galvanised"),"")</f>
        <v/>
      </c>
      <c r="F168">
        <f t="shared" si="3"/>
        <v>0</v>
      </c>
      <c r="G168" t="str">
        <f>IF(A168&gt;0,COUNTIFS($D$4:$D$315,LintelTable[[#This Row],[Length]],$C$4:$C$315,LintelTable[[#This Row],[Lintel]],$E$4:$E$315,LintelTable[[#This Row],[Treatment]],$A$4:$A$315,LintelTable[[#This Row],[Floor]],$B$4:$B$315,LintelTable[[#This Row],[Room]]),"")</f>
        <v/>
      </c>
    </row>
    <row r="169" spans="1:7" x14ac:dyDescent="0.2">
      <c r="A169" s="1143">
        <f>'Lintel Sheet'!B170</f>
        <v>0</v>
      </c>
      <c r="B169" s="1143">
        <f>'Lintel Sheet'!D170</f>
        <v>0</v>
      </c>
      <c r="C169" s="1143">
        <f>'Lintel Sheet'!H170</f>
        <v>0</v>
      </c>
      <c r="D169" s="1143" t="str">
        <f>IF(LintelTable[[#This Row],[Floor]]&gt;0,LintelTable[[#This Row],[Column1]]&amp;" / "&amp;'Lintel Sheet'!$I170,"")</f>
        <v/>
      </c>
      <c r="E169" s="1143" t="str">
        <f>IF('Lintel Sheet'!$B170&lt;&gt;"",IF(Coastal="Yes","Duplex","Galvanised"),"")</f>
        <v/>
      </c>
      <c r="F169">
        <f t="shared" si="3"/>
        <v>0</v>
      </c>
      <c r="G169" t="str">
        <f>IF(A169&gt;0,COUNTIFS($D$4:$D$315,LintelTable[[#This Row],[Length]],$C$4:$C$315,LintelTable[[#This Row],[Lintel]],$E$4:$E$315,LintelTable[[#This Row],[Treatment]],$A$4:$A$315,LintelTable[[#This Row],[Floor]],$B$4:$B$315,LintelTable[[#This Row],[Room]]),"")</f>
        <v/>
      </c>
    </row>
    <row r="170" spans="1:7" x14ac:dyDescent="0.2">
      <c r="A170" s="1143">
        <f>'Lintel Sheet'!B171</f>
        <v>0</v>
      </c>
      <c r="B170" s="1143">
        <f>'Lintel Sheet'!D171</f>
        <v>0</v>
      </c>
      <c r="C170" s="1143">
        <f>'Lintel Sheet'!H171</f>
        <v>0</v>
      </c>
      <c r="D170" s="1143" t="str">
        <f>IF(LintelTable[[#This Row],[Floor]]&gt;0,LintelTable[[#This Row],[Column1]]&amp;" / "&amp;'Lintel Sheet'!$I171,"")</f>
        <v/>
      </c>
      <c r="E170" s="1143" t="str">
        <f>IF('Lintel Sheet'!$B171&lt;&gt;"",IF(Coastal="Yes","Duplex","Galvanised"),"")</f>
        <v/>
      </c>
      <c r="F170">
        <f t="shared" si="3"/>
        <v>0</v>
      </c>
      <c r="G170" t="str">
        <f>IF(A170&gt;0,COUNTIFS($D$4:$D$315,LintelTable[[#This Row],[Length]],$C$4:$C$315,LintelTable[[#This Row],[Lintel]],$E$4:$E$315,LintelTable[[#This Row],[Treatment]],$A$4:$A$315,LintelTable[[#This Row],[Floor]],$B$4:$B$315,LintelTable[[#This Row],[Room]]),"")</f>
        <v/>
      </c>
    </row>
    <row r="171" spans="1:7" x14ac:dyDescent="0.2">
      <c r="A171" s="1143">
        <f>'Lintel Sheet'!B172</f>
        <v>0</v>
      </c>
      <c r="B171" s="1143">
        <f>'Lintel Sheet'!D172</f>
        <v>0</v>
      </c>
      <c r="C171" s="1143">
        <f>'Lintel Sheet'!H172</f>
        <v>0</v>
      </c>
      <c r="D171" s="1143" t="str">
        <f>IF(LintelTable[[#This Row],[Floor]]&gt;0,LintelTable[[#This Row],[Column1]]&amp;" / "&amp;'Lintel Sheet'!$I172,"")</f>
        <v/>
      </c>
      <c r="E171" s="1143" t="str">
        <f>IF('Lintel Sheet'!$B172&lt;&gt;"",IF(Coastal="Yes","Duplex","Galvanised"),"")</f>
        <v/>
      </c>
      <c r="F171">
        <f t="shared" si="3"/>
        <v>0</v>
      </c>
      <c r="G171" t="str">
        <f>IF(A171&gt;0,COUNTIFS($D$4:$D$315,LintelTable[[#This Row],[Length]],$C$4:$C$315,LintelTable[[#This Row],[Lintel]],$E$4:$E$315,LintelTable[[#This Row],[Treatment]],$A$4:$A$315,LintelTable[[#This Row],[Floor]],$B$4:$B$315,LintelTable[[#This Row],[Room]]),"")</f>
        <v/>
      </c>
    </row>
    <row r="172" spans="1:7" x14ac:dyDescent="0.2">
      <c r="A172" s="1143">
        <f>'Lintel Sheet'!B173</f>
        <v>0</v>
      </c>
      <c r="B172" s="1143">
        <f>'Lintel Sheet'!D173</f>
        <v>0</v>
      </c>
      <c r="C172" s="1143">
        <f>'Lintel Sheet'!H173</f>
        <v>0</v>
      </c>
      <c r="D172" s="1143" t="str">
        <f>IF(LintelTable[[#This Row],[Floor]]&gt;0,LintelTable[[#This Row],[Column1]]&amp;" / "&amp;'Lintel Sheet'!$I173,"")</f>
        <v/>
      </c>
      <c r="E172" s="1143" t="str">
        <f>IF('Lintel Sheet'!$B173&lt;&gt;"",IF(Coastal="Yes","Duplex","Galvanised"),"")</f>
        <v/>
      </c>
      <c r="F172">
        <f t="shared" si="3"/>
        <v>0</v>
      </c>
      <c r="G172" t="str">
        <f>IF(A172&gt;0,COUNTIFS($D$4:$D$315,LintelTable[[#This Row],[Length]],$C$4:$C$315,LintelTable[[#This Row],[Lintel]],$E$4:$E$315,LintelTable[[#This Row],[Treatment]],$A$4:$A$315,LintelTable[[#This Row],[Floor]],$B$4:$B$315,LintelTable[[#This Row],[Room]]),"")</f>
        <v/>
      </c>
    </row>
    <row r="173" spans="1:7" x14ac:dyDescent="0.2">
      <c r="A173" s="1143">
        <f>'Lintel Sheet'!B174</f>
        <v>0</v>
      </c>
      <c r="B173" s="1143">
        <f>'Lintel Sheet'!D174</f>
        <v>0</v>
      </c>
      <c r="C173" s="1143">
        <f>'Lintel Sheet'!H174</f>
        <v>0</v>
      </c>
      <c r="D173" s="1143" t="str">
        <f>IF(LintelTable[[#This Row],[Floor]]&gt;0,LintelTable[[#This Row],[Column1]]&amp;" / "&amp;'Lintel Sheet'!$I174,"")</f>
        <v/>
      </c>
      <c r="E173" s="1143" t="str">
        <f>IF('Lintel Sheet'!$B174&lt;&gt;"",IF(Coastal="Yes","Duplex","Galvanised"),"")</f>
        <v/>
      </c>
      <c r="F173">
        <f t="shared" si="3"/>
        <v>0</v>
      </c>
      <c r="G173" t="str">
        <f>IF(A173&gt;0,COUNTIFS($D$4:$D$315,LintelTable[[#This Row],[Length]],$C$4:$C$315,LintelTable[[#This Row],[Lintel]],$E$4:$E$315,LintelTable[[#This Row],[Treatment]],$A$4:$A$315,LintelTable[[#This Row],[Floor]],$B$4:$B$315,LintelTable[[#This Row],[Room]]),"")</f>
        <v/>
      </c>
    </row>
    <row r="174" spans="1:7" x14ac:dyDescent="0.2">
      <c r="A174" s="1143">
        <f>'Lintel Sheet'!B175</f>
        <v>0</v>
      </c>
      <c r="B174" s="1143">
        <f>'Lintel Sheet'!D175</f>
        <v>0</v>
      </c>
      <c r="C174" s="1143">
        <f>'Lintel Sheet'!H175</f>
        <v>0</v>
      </c>
      <c r="D174" s="1143" t="str">
        <f>IF(LintelTable[[#This Row],[Floor]]&gt;0,LintelTable[[#This Row],[Column1]]&amp;" / "&amp;'Lintel Sheet'!$I175,"")</f>
        <v/>
      </c>
      <c r="E174" s="1143" t="str">
        <f>IF('Lintel Sheet'!$B175&lt;&gt;"",IF(Coastal="Yes","Duplex","Galvanised"),"")</f>
        <v/>
      </c>
      <c r="F174">
        <f t="shared" si="3"/>
        <v>0</v>
      </c>
      <c r="G174" t="str">
        <f>IF(A174&gt;0,COUNTIFS($D$4:$D$315,LintelTable[[#This Row],[Length]],$C$4:$C$315,LintelTable[[#This Row],[Lintel]],$E$4:$E$315,LintelTable[[#This Row],[Treatment]],$A$4:$A$315,LintelTable[[#This Row],[Floor]],$B$4:$B$315,LintelTable[[#This Row],[Room]]),"")</f>
        <v/>
      </c>
    </row>
    <row r="175" spans="1:7" x14ac:dyDescent="0.2">
      <c r="A175" s="1143">
        <f>'Lintel Sheet'!B176</f>
        <v>0</v>
      </c>
      <c r="B175" s="1143">
        <f>'Lintel Sheet'!D176</f>
        <v>0</v>
      </c>
      <c r="C175" s="1143">
        <f>'Lintel Sheet'!H176</f>
        <v>0</v>
      </c>
      <c r="D175" s="1143" t="str">
        <f>IF(LintelTable[[#This Row],[Floor]]&gt;0,LintelTable[[#This Row],[Column1]]&amp;" / "&amp;'Lintel Sheet'!$I176,"")</f>
        <v/>
      </c>
      <c r="E175" s="1143" t="str">
        <f>IF('Lintel Sheet'!$B176&lt;&gt;"",IF(Coastal="Yes","Duplex","Galvanised"),"")</f>
        <v/>
      </c>
      <c r="F175">
        <f t="shared" si="3"/>
        <v>0</v>
      </c>
      <c r="G175" t="str">
        <f>IF(A175&gt;0,COUNTIFS($D$4:$D$315,LintelTable[[#This Row],[Length]],$C$4:$C$315,LintelTable[[#This Row],[Lintel]],$E$4:$E$315,LintelTable[[#This Row],[Treatment]],$A$4:$A$315,LintelTable[[#This Row],[Floor]],$B$4:$B$315,LintelTable[[#This Row],[Room]]),"")</f>
        <v/>
      </c>
    </row>
    <row r="176" spans="1:7" x14ac:dyDescent="0.2">
      <c r="A176" s="1143">
        <f>'Lintel Sheet'!B177</f>
        <v>0</v>
      </c>
      <c r="B176" s="1143">
        <f>'Lintel Sheet'!D177</f>
        <v>0</v>
      </c>
      <c r="C176" s="1143">
        <f>'Lintel Sheet'!H177</f>
        <v>0</v>
      </c>
      <c r="D176" s="1143" t="str">
        <f>IF(LintelTable[[#This Row],[Floor]]&gt;0,LintelTable[[#This Row],[Column1]]&amp;" / "&amp;'Lintel Sheet'!$I177,"")</f>
        <v/>
      </c>
      <c r="E176" s="1143" t="str">
        <f>IF('Lintel Sheet'!$B177&lt;&gt;"",IF(Coastal="Yes","Duplex","Galvanised"),"")</f>
        <v/>
      </c>
      <c r="F176">
        <f t="shared" si="3"/>
        <v>0</v>
      </c>
      <c r="G176" t="str">
        <f>IF(A176&gt;0,COUNTIFS($D$4:$D$315,LintelTable[[#This Row],[Length]],$C$4:$C$315,LintelTable[[#This Row],[Lintel]],$E$4:$E$315,LintelTable[[#This Row],[Treatment]],$A$4:$A$315,LintelTable[[#This Row],[Floor]],$B$4:$B$315,LintelTable[[#This Row],[Room]]),"")</f>
        <v/>
      </c>
    </row>
    <row r="177" spans="1:7" x14ac:dyDescent="0.2">
      <c r="A177" s="1143">
        <f>'Lintel Sheet'!B178</f>
        <v>0</v>
      </c>
      <c r="B177" s="1143">
        <f>'Lintel Sheet'!D178</f>
        <v>0</v>
      </c>
      <c r="C177" s="1143">
        <f>'Lintel Sheet'!H178</f>
        <v>0</v>
      </c>
      <c r="D177" s="1143" t="str">
        <f>IF(LintelTable[[#This Row],[Floor]]&gt;0,LintelTable[[#This Row],[Column1]]&amp;" / "&amp;'Lintel Sheet'!$I178,"")</f>
        <v/>
      </c>
      <c r="E177" s="1143" t="str">
        <f>IF('Lintel Sheet'!$B178&lt;&gt;"",IF(Coastal="Yes","Duplex","Galvanised"),"")</f>
        <v/>
      </c>
      <c r="F177">
        <f t="shared" si="3"/>
        <v>0</v>
      </c>
      <c r="G177" t="str">
        <f>IF(A177&gt;0,COUNTIFS($D$4:$D$315,LintelTable[[#This Row],[Length]],$C$4:$C$315,LintelTable[[#This Row],[Lintel]],$E$4:$E$315,LintelTable[[#This Row],[Treatment]],$A$4:$A$315,LintelTable[[#This Row],[Floor]],$B$4:$B$315,LintelTable[[#This Row],[Room]]),"")</f>
        <v/>
      </c>
    </row>
    <row r="178" spans="1:7" x14ac:dyDescent="0.2">
      <c r="A178" s="1143">
        <f>'Lintel Sheet'!B179</f>
        <v>0</v>
      </c>
      <c r="B178" s="1143">
        <f>'Lintel Sheet'!D179</f>
        <v>0</v>
      </c>
      <c r="C178" s="1143">
        <f>'Lintel Sheet'!H179</f>
        <v>0</v>
      </c>
      <c r="D178" s="1143" t="str">
        <f>IF(LintelTable[[#This Row],[Floor]]&gt;0,LintelTable[[#This Row],[Column1]]&amp;" / "&amp;'Lintel Sheet'!$I179,"")</f>
        <v/>
      </c>
      <c r="E178" s="1143" t="str">
        <f>IF('Lintel Sheet'!$B179&lt;&gt;"",IF(Coastal="Yes","Duplex","Galvanised"),"")</f>
        <v/>
      </c>
      <c r="F178">
        <f t="shared" si="3"/>
        <v>0</v>
      </c>
      <c r="G178" t="str">
        <f>IF(A178&gt;0,COUNTIFS($D$4:$D$315,LintelTable[[#This Row],[Length]],$C$4:$C$315,LintelTable[[#This Row],[Lintel]],$E$4:$E$315,LintelTable[[#This Row],[Treatment]],$A$4:$A$315,LintelTable[[#This Row],[Floor]],$B$4:$B$315,LintelTable[[#This Row],[Room]]),"")</f>
        <v/>
      </c>
    </row>
    <row r="179" spans="1:7" x14ac:dyDescent="0.2">
      <c r="A179" s="1143">
        <f>'Lintel Sheet'!B180</f>
        <v>0</v>
      </c>
      <c r="B179" s="1143">
        <f>'Lintel Sheet'!D180</f>
        <v>0</v>
      </c>
      <c r="C179" s="1143">
        <f>'Lintel Sheet'!H180</f>
        <v>0</v>
      </c>
      <c r="D179" s="1143" t="str">
        <f>IF(LintelTable[[#This Row],[Floor]]&gt;0,LintelTable[[#This Row],[Column1]]&amp;" / "&amp;'Lintel Sheet'!$I180,"")</f>
        <v/>
      </c>
      <c r="E179" s="1143" t="str">
        <f>IF('Lintel Sheet'!$B180&lt;&gt;"",IF(Coastal="Yes","Duplex","Galvanised"),"")</f>
        <v/>
      </c>
      <c r="F179">
        <f t="shared" si="3"/>
        <v>0</v>
      </c>
      <c r="G179" t="str">
        <f>IF(A179&gt;0,COUNTIFS($D$4:$D$315,LintelTable[[#This Row],[Length]],$C$4:$C$315,LintelTable[[#This Row],[Lintel]],$E$4:$E$315,LintelTable[[#This Row],[Treatment]],$A$4:$A$315,LintelTable[[#This Row],[Floor]],$B$4:$B$315,LintelTable[[#This Row],[Room]]),"")</f>
        <v/>
      </c>
    </row>
    <row r="180" spans="1:7" x14ac:dyDescent="0.2">
      <c r="A180" s="1143">
        <f>'Lintel Sheet'!B181</f>
        <v>0</v>
      </c>
      <c r="B180" s="1143">
        <f>'Lintel Sheet'!D181</f>
        <v>0</v>
      </c>
      <c r="C180" s="1143">
        <f>'Lintel Sheet'!H181</f>
        <v>0</v>
      </c>
      <c r="D180" s="1143" t="str">
        <f>IF(LintelTable[[#This Row],[Floor]]&gt;0,LintelTable[[#This Row],[Column1]]&amp;" / "&amp;'Lintel Sheet'!$I181,"")</f>
        <v/>
      </c>
      <c r="E180" s="1143" t="str">
        <f>IF('Lintel Sheet'!$B181&lt;&gt;"",IF(Coastal="Yes","Duplex","Galvanised"),"")</f>
        <v/>
      </c>
      <c r="F180">
        <f t="shared" si="3"/>
        <v>0</v>
      </c>
      <c r="G180" t="str">
        <f>IF(A180&gt;0,COUNTIFS($D$4:$D$315,LintelTable[[#This Row],[Length]],$C$4:$C$315,LintelTable[[#This Row],[Lintel]],$E$4:$E$315,LintelTable[[#This Row],[Treatment]],$A$4:$A$315,LintelTable[[#This Row],[Floor]],$B$4:$B$315,LintelTable[[#This Row],[Room]]),"")</f>
        <v/>
      </c>
    </row>
    <row r="181" spans="1:7" x14ac:dyDescent="0.2">
      <c r="A181" s="1143">
        <f>'Lintel Sheet'!B182</f>
        <v>0</v>
      </c>
      <c r="B181" s="1143">
        <f>'Lintel Sheet'!D182</f>
        <v>0</v>
      </c>
      <c r="C181" s="1143">
        <f>'Lintel Sheet'!H182</f>
        <v>0</v>
      </c>
      <c r="D181" s="1143" t="str">
        <f>IF(LintelTable[[#This Row],[Floor]]&gt;0,LintelTable[[#This Row],[Column1]]&amp;" / "&amp;'Lintel Sheet'!$I182,"")</f>
        <v/>
      </c>
      <c r="E181" s="1143" t="str">
        <f>IF('Lintel Sheet'!$B182&lt;&gt;"",IF(Coastal="Yes","Duplex","Galvanised"),"")</f>
        <v/>
      </c>
      <c r="F181">
        <f t="shared" si="3"/>
        <v>0</v>
      </c>
      <c r="G181" t="str">
        <f>IF(A181&gt;0,COUNTIFS($D$4:$D$315,LintelTable[[#This Row],[Length]],$C$4:$C$315,LintelTable[[#This Row],[Lintel]],$E$4:$E$315,LintelTable[[#This Row],[Treatment]],$A$4:$A$315,LintelTable[[#This Row],[Floor]],$B$4:$B$315,LintelTable[[#This Row],[Room]]),"")</f>
        <v/>
      </c>
    </row>
    <row r="182" spans="1:7" x14ac:dyDescent="0.2">
      <c r="A182" s="1143">
        <f>'Lintel Sheet'!B183</f>
        <v>0</v>
      </c>
      <c r="B182" s="1143">
        <f>'Lintel Sheet'!D183</f>
        <v>0</v>
      </c>
      <c r="C182" s="1143">
        <f>'Lintel Sheet'!H183</f>
        <v>0</v>
      </c>
      <c r="D182" s="1143" t="str">
        <f>IF(LintelTable[[#This Row],[Floor]]&gt;0,LintelTable[[#This Row],[Column1]]&amp;" / "&amp;'Lintel Sheet'!$I183,"")</f>
        <v/>
      </c>
      <c r="E182" s="1143" t="str">
        <f>IF('Lintel Sheet'!$B183&lt;&gt;"",IF(Coastal="Yes","Duplex","Galvanised"),"")</f>
        <v/>
      </c>
      <c r="F182">
        <f t="shared" si="3"/>
        <v>0</v>
      </c>
      <c r="G182" t="str">
        <f>IF(A182&gt;0,COUNTIFS($D$4:$D$315,LintelTable[[#This Row],[Length]],$C$4:$C$315,LintelTable[[#This Row],[Lintel]],$E$4:$E$315,LintelTable[[#This Row],[Treatment]],$A$4:$A$315,LintelTable[[#This Row],[Floor]],$B$4:$B$315,LintelTable[[#This Row],[Room]]),"")</f>
        <v/>
      </c>
    </row>
    <row r="183" spans="1:7" x14ac:dyDescent="0.2">
      <c r="A183" s="1143">
        <f>'Lintel Sheet'!B184</f>
        <v>0</v>
      </c>
      <c r="B183" s="1143">
        <f>'Lintel Sheet'!D184</f>
        <v>0</v>
      </c>
      <c r="C183" s="1143">
        <f>'Lintel Sheet'!H184</f>
        <v>0</v>
      </c>
      <c r="D183" s="1143" t="str">
        <f>IF(LintelTable[[#This Row],[Floor]]&gt;0,LintelTable[[#This Row],[Column1]]&amp;" / "&amp;'Lintel Sheet'!$I184,"")</f>
        <v/>
      </c>
      <c r="E183" s="1143" t="str">
        <f>IF('Lintel Sheet'!$B184&lt;&gt;"",IF(Coastal="Yes","Duplex","Galvanised"),"")</f>
        <v/>
      </c>
      <c r="F183">
        <f t="shared" si="3"/>
        <v>0</v>
      </c>
      <c r="G183" t="str">
        <f>IF(A183&gt;0,COUNTIFS($D$4:$D$315,LintelTable[[#This Row],[Length]],$C$4:$C$315,LintelTable[[#This Row],[Lintel]],$E$4:$E$315,LintelTable[[#This Row],[Treatment]],$A$4:$A$315,LintelTable[[#This Row],[Floor]],$B$4:$B$315,LintelTable[[#This Row],[Room]]),"")</f>
        <v/>
      </c>
    </row>
    <row r="184" spans="1:7" x14ac:dyDescent="0.2">
      <c r="A184" s="1143">
        <f>'Lintel Sheet'!B185</f>
        <v>0</v>
      </c>
      <c r="B184" s="1143">
        <f>'Lintel Sheet'!D185</f>
        <v>0</v>
      </c>
      <c r="C184" s="1143">
        <f>'Lintel Sheet'!H185</f>
        <v>0</v>
      </c>
      <c r="D184" s="1143" t="str">
        <f>IF(LintelTable[[#This Row],[Floor]]&gt;0,LintelTable[[#This Row],[Column1]]&amp;" / "&amp;'Lintel Sheet'!$I185,"")</f>
        <v/>
      </c>
      <c r="E184" s="1143" t="str">
        <f>IF('Lintel Sheet'!$B185&lt;&gt;"",IF(Coastal="Yes","Duplex","Galvanised"),"")</f>
        <v/>
      </c>
      <c r="F184">
        <f t="shared" si="3"/>
        <v>0</v>
      </c>
      <c r="G184" t="str">
        <f>IF(A184&gt;0,COUNTIFS($D$4:$D$315,LintelTable[[#This Row],[Length]],$C$4:$C$315,LintelTable[[#This Row],[Lintel]],$E$4:$E$315,LintelTable[[#This Row],[Treatment]],$A$4:$A$315,LintelTable[[#This Row],[Floor]],$B$4:$B$315,LintelTable[[#This Row],[Room]]),"")</f>
        <v/>
      </c>
    </row>
    <row r="185" spans="1:7" x14ac:dyDescent="0.2">
      <c r="A185" s="1143">
        <f>'Lintel Sheet'!B186</f>
        <v>0</v>
      </c>
      <c r="B185" s="1143">
        <f>'Lintel Sheet'!D186</f>
        <v>0</v>
      </c>
      <c r="C185" s="1143">
        <f>'Lintel Sheet'!H186</f>
        <v>0</v>
      </c>
      <c r="D185" s="1143" t="str">
        <f>IF(LintelTable[[#This Row],[Floor]]&gt;0,LintelTable[[#This Row],[Column1]]&amp;" / "&amp;'Lintel Sheet'!$I186,"")</f>
        <v/>
      </c>
      <c r="E185" s="1143" t="str">
        <f>IF('Lintel Sheet'!$B186&lt;&gt;"",IF(Coastal="Yes","Duplex","Galvanised"),"")</f>
        <v/>
      </c>
      <c r="F185">
        <f t="shared" si="3"/>
        <v>0</v>
      </c>
      <c r="G185" t="str">
        <f>IF(A185&gt;0,COUNTIFS($D$4:$D$315,LintelTable[[#This Row],[Length]],$C$4:$C$315,LintelTable[[#This Row],[Lintel]],$E$4:$E$315,LintelTable[[#This Row],[Treatment]],$A$4:$A$315,LintelTable[[#This Row],[Floor]],$B$4:$B$315,LintelTable[[#This Row],[Room]]),"")</f>
        <v/>
      </c>
    </row>
    <row r="186" spans="1:7" x14ac:dyDescent="0.2">
      <c r="A186" s="1143">
        <f>'Lintel Sheet'!B187</f>
        <v>0</v>
      </c>
      <c r="B186" s="1143">
        <f>'Lintel Sheet'!D187</f>
        <v>0</v>
      </c>
      <c r="C186" s="1143">
        <f>'Lintel Sheet'!H187</f>
        <v>0</v>
      </c>
      <c r="D186" s="1143" t="str">
        <f>IF(LintelTable[[#This Row],[Floor]]&gt;0,LintelTable[[#This Row],[Column1]]&amp;" / "&amp;'Lintel Sheet'!$I187,"")</f>
        <v/>
      </c>
      <c r="E186" s="1143" t="str">
        <f>IF('Lintel Sheet'!$B187&lt;&gt;"",IF(Coastal="Yes","Duplex","Galvanised"),"")</f>
        <v/>
      </c>
      <c r="F186">
        <f t="shared" si="3"/>
        <v>0</v>
      </c>
      <c r="G186" t="str">
        <f>IF(A186&gt;0,COUNTIFS($D$4:$D$315,LintelTable[[#This Row],[Length]],$C$4:$C$315,LintelTable[[#This Row],[Lintel]],$E$4:$E$315,LintelTable[[#This Row],[Treatment]],$A$4:$A$315,LintelTable[[#This Row],[Floor]],$B$4:$B$315,LintelTable[[#This Row],[Room]]),"")</f>
        <v/>
      </c>
    </row>
    <row r="187" spans="1:7" x14ac:dyDescent="0.2">
      <c r="A187" s="1143">
        <f>'Lintel Sheet'!B188</f>
        <v>0</v>
      </c>
      <c r="B187" s="1143">
        <f>'Lintel Sheet'!D188</f>
        <v>0</v>
      </c>
      <c r="C187" s="1143">
        <f>'Lintel Sheet'!H188</f>
        <v>0</v>
      </c>
      <c r="D187" s="1143" t="str">
        <f>IF(LintelTable[[#This Row],[Floor]]&gt;0,LintelTable[[#This Row],[Column1]]&amp;" / "&amp;'Lintel Sheet'!$I188,"")</f>
        <v/>
      </c>
      <c r="E187" s="1143" t="str">
        <f>IF('Lintel Sheet'!$B188&lt;&gt;"",IF(Coastal="Yes","Duplex","Galvanised"),"")</f>
        <v/>
      </c>
      <c r="F187">
        <f t="shared" si="3"/>
        <v>0</v>
      </c>
      <c r="G187" t="str">
        <f>IF(A187&gt;0,COUNTIFS($D$4:$D$315,LintelTable[[#This Row],[Length]],$C$4:$C$315,LintelTable[[#This Row],[Lintel]],$E$4:$E$315,LintelTable[[#This Row],[Treatment]],$A$4:$A$315,LintelTable[[#This Row],[Floor]],$B$4:$B$315,LintelTable[[#This Row],[Room]]),"")</f>
        <v/>
      </c>
    </row>
    <row r="188" spans="1:7" x14ac:dyDescent="0.2">
      <c r="A188" s="1143">
        <f>'Lintel Sheet'!B189</f>
        <v>0</v>
      </c>
      <c r="B188" s="1143">
        <f>'Lintel Sheet'!D189</f>
        <v>0</v>
      </c>
      <c r="C188" s="1143">
        <f>'Lintel Sheet'!H189</f>
        <v>0</v>
      </c>
      <c r="D188" s="1143" t="str">
        <f>IF(LintelTable[[#This Row],[Floor]]&gt;0,LintelTable[[#This Row],[Column1]]&amp;" / "&amp;'Lintel Sheet'!$I189,"")</f>
        <v/>
      </c>
      <c r="E188" s="1143" t="str">
        <f>IF('Lintel Sheet'!$B189&lt;&gt;"",IF(Coastal="Yes","Duplex","Galvanised"),"")</f>
        <v/>
      </c>
      <c r="F188">
        <f t="shared" si="3"/>
        <v>0</v>
      </c>
      <c r="G188" t="str">
        <f>IF(A188&gt;0,COUNTIFS($D$4:$D$315,LintelTable[[#This Row],[Length]],$C$4:$C$315,LintelTable[[#This Row],[Lintel]],$E$4:$E$315,LintelTable[[#This Row],[Treatment]],$A$4:$A$315,LintelTable[[#This Row],[Floor]],$B$4:$B$315,LintelTable[[#This Row],[Room]]),"")</f>
        <v/>
      </c>
    </row>
    <row r="189" spans="1:7" x14ac:dyDescent="0.2">
      <c r="A189" s="1143">
        <f>'Lintel Sheet'!B190</f>
        <v>0</v>
      </c>
      <c r="B189" s="1143">
        <f>'Lintel Sheet'!D190</f>
        <v>0</v>
      </c>
      <c r="C189" s="1143">
        <f>'Lintel Sheet'!H190</f>
        <v>0</v>
      </c>
      <c r="D189" s="1143" t="str">
        <f>IF(LintelTable[[#This Row],[Floor]]&gt;0,LintelTable[[#This Row],[Column1]]&amp;" / "&amp;'Lintel Sheet'!$I190,"")</f>
        <v/>
      </c>
      <c r="E189" s="1143" t="str">
        <f>IF('Lintel Sheet'!$B190&lt;&gt;"",IF(Coastal="Yes","Duplex","Galvanised"),"")</f>
        <v/>
      </c>
      <c r="F189">
        <f t="shared" si="3"/>
        <v>0</v>
      </c>
      <c r="G189" t="str">
        <f>IF(A189&gt;0,COUNTIFS($D$4:$D$315,LintelTable[[#This Row],[Length]],$C$4:$C$315,LintelTable[[#This Row],[Lintel]],$E$4:$E$315,LintelTable[[#This Row],[Treatment]],$A$4:$A$315,LintelTable[[#This Row],[Floor]],$B$4:$B$315,LintelTable[[#This Row],[Room]]),"")</f>
        <v/>
      </c>
    </row>
    <row r="190" spans="1:7" x14ac:dyDescent="0.2">
      <c r="A190" s="1143">
        <f>'Lintel Sheet'!B191</f>
        <v>0</v>
      </c>
      <c r="B190" s="1143">
        <f>'Lintel Sheet'!D191</f>
        <v>0</v>
      </c>
      <c r="C190" s="1143">
        <f>'Lintel Sheet'!H191</f>
        <v>0</v>
      </c>
      <c r="D190" s="1143" t="str">
        <f>IF(LintelTable[[#This Row],[Floor]]&gt;0,LintelTable[[#This Row],[Column1]]&amp;" / "&amp;'Lintel Sheet'!$I191,"")</f>
        <v/>
      </c>
      <c r="E190" s="1143" t="str">
        <f>IF('Lintel Sheet'!$B191&lt;&gt;"",IF(Coastal="Yes","Duplex","Galvanised"),"")</f>
        <v/>
      </c>
      <c r="F190">
        <f t="shared" si="3"/>
        <v>0</v>
      </c>
      <c r="G190" t="str">
        <f>IF(A190&gt;0,COUNTIFS($D$4:$D$315,LintelTable[[#This Row],[Length]],$C$4:$C$315,LintelTable[[#This Row],[Lintel]],$E$4:$E$315,LintelTable[[#This Row],[Treatment]],$A$4:$A$315,LintelTable[[#This Row],[Floor]],$B$4:$B$315,LintelTable[[#This Row],[Room]]),"")</f>
        <v/>
      </c>
    </row>
    <row r="191" spans="1:7" x14ac:dyDescent="0.2">
      <c r="A191" s="1143">
        <f>'Lintel Sheet'!B192</f>
        <v>0</v>
      </c>
      <c r="B191" s="1143">
        <f>'Lintel Sheet'!D192</f>
        <v>0</v>
      </c>
      <c r="C191" s="1143">
        <f>'Lintel Sheet'!H192</f>
        <v>0</v>
      </c>
      <c r="D191" s="1143" t="str">
        <f>IF(LintelTable[[#This Row],[Floor]]&gt;0,LintelTable[[#This Row],[Column1]]&amp;" / "&amp;'Lintel Sheet'!$I192,"")</f>
        <v/>
      </c>
      <c r="E191" s="1143" t="str">
        <f>IF('Lintel Sheet'!$B192&lt;&gt;"",IF(Coastal="Yes","Duplex","Galvanised"),"")</f>
        <v/>
      </c>
      <c r="F191">
        <f t="shared" si="3"/>
        <v>0</v>
      </c>
      <c r="G191" t="str">
        <f>IF(A191&gt;0,COUNTIFS($D$4:$D$315,LintelTable[[#This Row],[Length]],$C$4:$C$315,LintelTable[[#This Row],[Lintel]],$E$4:$E$315,LintelTable[[#This Row],[Treatment]],$A$4:$A$315,LintelTable[[#This Row],[Floor]],$B$4:$B$315,LintelTable[[#This Row],[Room]]),"")</f>
        <v/>
      </c>
    </row>
    <row r="192" spans="1:7" x14ac:dyDescent="0.2">
      <c r="A192" s="1143">
        <f>'Lintel Sheet'!B193</f>
        <v>0</v>
      </c>
      <c r="B192" s="1143">
        <f>'Lintel Sheet'!D193</f>
        <v>0</v>
      </c>
      <c r="C192" s="1143">
        <f>'Lintel Sheet'!H193</f>
        <v>0</v>
      </c>
      <c r="D192" s="1143" t="str">
        <f>IF(LintelTable[[#This Row],[Floor]]&gt;0,LintelTable[[#This Row],[Column1]]&amp;" / "&amp;'Lintel Sheet'!$I193,"")</f>
        <v/>
      </c>
      <c r="E192" s="1143" t="str">
        <f>IF('Lintel Sheet'!$B193&lt;&gt;"",IF(Coastal="Yes","Duplex","Galvanised"),"")</f>
        <v/>
      </c>
      <c r="F192">
        <f t="shared" si="3"/>
        <v>0</v>
      </c>
      <c r="G192" t="str">
        <f>IF(A192&gt;0,COUNTIFS($D$4:$D$315,LintelTable[[#This Row],[Length]],$C$4:$C$315,LintelTable[[#This Row],[Lintel]],$E$4:$E$315,LintelTable[[#This Row],[Treatment]],$A$4:$A$315,LintelTable[[#This Row],[Floor]],$B$4:$B$315,LintelTable[[#This Row],[Room]]),"")</f>
        <v/>
      </c>
    </row>
    <row r="193" spans="1:7" x14ac:dyDescent="0.2">
      <c r="A193" s="1143">
        <f>'Lintel Sheet'!B194</f>
        <v>0</v>
      </c>
      <c r="B193" s="1143">
        <f>'Lintel Sheet'!D194</f>
        <v>0</v>
      </c>
      <c r="C193" s="1143">
        <f>'Lintel Sheet'!H194</f>
        <v>0</v>
      </c>
      <c r="D193" s="1143" t="str">
        <f>IF(LintelTable[[#This Row],[Floor]]&gt;0,LintelTable[[#This Row],[Column1]]&amp;" / "&amp;'Lintel Sheet'!$I194,"")</f>
        <v/>
      </c>
      <c r="E193" s="1143" t="str">
        <f>IF('Lintel Sheet'!$B194&lt;&gt;"",IF(Coastal="Yes","Duplex","Galvanised"),"")</f>
        <v/>
      </c>
      <c r="F193">
        <f t="shared" si="3"/>
        <v>0</v>
      </c>
      <c r="G193" t="str">
        <f>IF(A193&gt;0,COUNTIFS($D$4:$D$315,LintelTable[[#This Row],[Length]],$C$4:$C$315,LintelTable[[#This Row],[Lintel]],$E$4:$E$315,LintelTable[[#This Row],[Treatment]],$A$4:$A$315,LintelTable[[#This Row],[Floor]],$B$4:$B$315,LintelTable[[#This Row],[Room]]),"")</f>
        <v/>
      </c>
    </row>
    <row r="194" spans="1:7" x14ac:dyDescent="0.2">
      <c r="A194" s="1143">
        <f>'Lintel Sheet'!B195</f>
        <v>0</v>
      </c>
      <c r="B194" s="1143">
        <f>'Lintel Sheet'!D195</f>
        <v>0</v>
      </c>
      <c r="C194" s="1143">
        <f>'Lintel Sheet'!H195</f>
        <v>0</v>
      </c>
      <c r="D194" s="1143" t="str">
        <f>IF(LintelTable[[#This Row],[Floor]]&gt;0,LintelTable[[#This Row],[Column1]]&amp;" / "&amp;'Lintel Sheet'!$I195,"")</f>
        <v/>
      </c>
      <c r="E194" s="1143" t="str">
        <f>IF('Lintel Sheet'!$B195&lt;&gt;"",IF(Coastal="Yes","Duplex","Galvanised"),"")</f>
        <v/>
      </c>
      <c r="F194">
        <f t="shared" si="3"/>
        <v>0</v>
      </c>
      <c r="G194" t="str">
        <f>IF(A194&gt;0,COUNTIFS($D$4:$D$315,LintelTable[[#This Row],[Length]],$C$4:$C$315,LintelTable[[#This Row],[Lintel]],$E$4:$E$315,LintelTable[[#This Row],[Treatment]],$A$4:$A$315,LintelTable[[#This Row],[Floor]],$B$4:$B$315,LintelTable[[#This Row],[Room]]),"")</f>
        <v/>
      </c>
    </row>
    <row r="195" spans="1:7" x14ac:dyDescent="0.2">
      <c r="A195" s="1143">
        <f>'Lintel Sheet'!B196</f>
        <v>0</v>
      </c>
      <c r="B195" s="1143">
        <f>'Lintel Sheet'!D196</f>
        <v>0</v>
      </c>
      <c r="C195" s="1143">
        <f>'Lintel Sheet'!H196</f>
        <v>0</v>
      </c>
      <c r="D195" s="1143" t="str">
        <f>IF(LintelTable[[#This Row],[Floor]]&gt;0,LintelTable[[#This Row],[Column1]]&amp;" / "&amp;'Lintel Sheet'!$I196,"")</f>
        <v/>
      </c>
      <c r="E195" s="1143" t="str">
        <f>IF('Lintel Sheet'!$B196&lt;&gt;"",IF(Coastal="Yes","Duplex","Galvanised"),"")</f>
        <v/>
      </c>
      <c r="F195">
        <f t="shared" si="3"/>
        <v>0</v>
      </c>
      <c r="G195" t="str">
        <f>IF(A195&gt;0,COUNTIFS($D$4:$D$315,LintelTable[[#This Row],[Length]],$C$4:$C$315,LintelTable[[#This Row],[Lintel]],$E$4:$E$315,LintelTable[[#This Row],[Treatment]],$A$4:$A$315,LintelTable[[#This Row],[Floor]],$B$4:$B$315,LintelTable[[#This Row],[Room]]),"")</f>
        <v/>
      </c>
    </row>
    <row r="196" spans="1:7" x14ac:dyDescent="0.2">
      <c r="A196" s="1143">
        <f>'Lintel Sheet'!B197</f>
        <v>0</v>
      </c>
      <c r="B196" s="1143">
        <f>'Lintel Sheet'!D197</f>
        <v>0</v>
      </c>
      <c r="C196" s="1143">
        <f>'Lintel Sheet'!H197</f>
        <v>0</v>
      </c>
      <c r="D196" s="1143" t="str">
        <f>IF(LintelTable[[#This Row],[Floor]]&gt;0,LintelTable[[#This Row],[Column1]]&amp;" / "&amp;'Lintel Sheet'!$I197,"")</f>
        <v/>
      </c>
      <c r="E196" s="1143" t="str">
        <f>IF('Lintel Sheet'!$B197&lt;&gt;"",IF(Coastal="Yes","Duplex","Galvanised"),"")</f>
        <v/>
      </c>
      <c r="F196">
        <f t="shared" si="3"/>
        <v>0</v>
      </c>
      <c r="G196" t="str">
        <f>IF(A196&gt;0,COUNTIFS($D$4:$D$315,LintelTable[[#This Row],[Length]],$C$4:$C$315,LintelTable[[#This Row],[Lintel]],$E$4:$E$315,LintelTable[[#This Row],[Treatment]],$A$4:$A$315,LintelTable[[#This Row],[Floor]],$B$4:$B$315,LintelTable[[#This Row],[Room]]),"")</f>
        <v/>
      </c>
    </row>
    <row r="197" spans="1:7" x14ac:dyDescent="0.2">
      <c r="A197" s="1143">
        <f>'Lintel Sheet'!B198</f>
        <v>0</v>
      </c>
      <c r="B197" s="1143">
        <f>'Lintel Sheet'!D198</f>
        <v>0</v>
      </c>
      <c r="C197" s="1143">
        <f>'Lintel Sheet'!H198</f>
        <v>0</v>
      </c>
      <c r="D197" s="1143" t="str">
        <f>IF(LintelTable[[#This Row],[Floor]]&gt;0,LintelTable[[#This Row],[Column1]]&amp;" / "&amp;'Lintel Sheet'!$I198,"")</f>
        <v/>
      </c>
      <c r="E197" s="1143" t="str">
        <f>IF('Lintel Sheet'!$B198&lt;&gt;"",IF(Coastal="Yes","Duplex","Galvanised"),"")</f>
        <v/>
      </c>
      <c r="F197">
        <f t="shared" si="3"/>
        <v>0</v>
      </c>
      <c r="G197" t="str">
        <f>IF(A197&gt;0,COUNTIFS($D$4:$D$315,LintelTable[[#This Row],[Length]],$C$4:$C$315,LintelTable[[#This Row],[Lintel]],$E$4:$E$315,LintelTable[[#This Row],[Treatment]],$A$4:$A$315,LintelTable[[#This Row],[Floor]],$B$4:$B$315,LintelTable[[#This Row],[Room]]),"")</f>
        <v/>
      </c>
    </row>
    <row r="198" spans="1:7" x14ac:dyDescent="0.2">
      <c r="A198" s="1143">
        <f>'Lintel Sheet'!B199</f>
        <v>0</v>
      </c>
      <c r="B198" s="1143">
        <f>'Lintel Sheet'!D199</f>
        <v>0</v>
      </c>
      <c r="C198" s="1143">
        <f>'Lintel Sheet'!H199</f>
        <v>0</v>
      </c>
      <c r="D198" s="1143" t="str">
        <f>IF(LintelTable[[#This Row],[Floor]]&gt;0,LintelTable[[#This Row],[Column1]]&amp;" / "&amp;'Lintel Sheet'!$I199,"")</f>
        <v/>
      </c>
      <c r="E198" s="1143" t="str">
        <f>IF('Lintel Sheet'!$B199&lt;&gt;"",IF(Coastal="Yes","Duplex","Galvanised"),"")</f>
        <v/>
      </c>
      <c r="F198">
        <f t="shared" si="3"/>
        <v>0</v>
      </c>
      <c r="G198" t="str">
        <f>IF(A198&gt;0,COUNTIFS($D$4:$D$315,LintelTable[[#This Row],[Length]],$C$4:$C$315,LintelTable[[#This Row],[Lintel]],$E$4:$E$315,LintelTable[[#This Row],[Treatment]],$A$4:$A$315,LintelTable[[#This Row],[Floor]],$B$4:$B$315,LintelTable[[#This Row],[Room]]),"")</f>
        <v/>
      </c>
    </row>
    <row r="199" spans="1:7" x14ac:dyDescent="0.2">
      <c r="A199" s="1143">
        <f>'Lintel Sheet'!B200</f>
        <v>0</v>
      </c>
      <c r="B199" s="1143">
        <f>'Lintel Sheet'!D200</f>
        <v>0</v>
      </c>
      <c r="C199" s="1143">
        <f>'Lintel Sheet'!H200</f>
        <v>0</v>
      </c>
      <c r="D199" s="1143" t="str">
        <f>IF(LintelTable[[#This Row],[Floor]]&gt;0,LintelTable[[#This Row],[Column1]]&amp;" / "&amp;'Lintel Sheet'!$I200,"")</f>
        <v/>
      </c>
      <c r="E199" s="1143" t="str">
        <f>IF('Lintel Sheet'!$B200&lt;&gt;"",IF(Coastal="Yes","Duplex","Galvanised"),"")</f>
        <v/>
      </c>
      <c r="F199">
        <f t="shared" si="3"/>
        <v>0</v>
      </c>
      <c r="G199" t="str">
        <f>IF(A199&gt;0,COUNTIFS($D$4:$D$315,LintelTable[[#This Row],[Length]],$C$4:$C$315,LintelTable[[#This Row],[Lintel]],$E$4:$E$315,LintelTable[[#This Row],[Treatment]],$A$4:$A$315,LintelTable[[#This Row],[Floor]],$B$4:$B$315,LintelTable[[#This Row],[Room]]),"")</f>
        <v/>
      </c>
    </row>
    <row r="200" spans="1:7" x14ac:dyDescent="0.2">
      <c r="A200" s="1143">
        <f>'Lintel Sheet'!B201</f>
        <v>0</v>
      </c>
      <c r="B200" s="1143">
        <f>'Lintel Sheet'!D201</f>
        <v>0</v>
      </c>
      <c r="C200" s="1143">
        <f>'Lintel Sheet'!H201</f>
        <v>0</v>
      </c>
      <c r="D200" s="1143" t="str">
        <f>IF(LintelTable[[#This Row],[Floor]]&gt;0,LintelTable[[#This Row],[Column1]]&amp;" / "&amp;'Lintel Sheet'!$I201,"")</f>
        <v/>
      </c>
      <c r="E200" s="1143" t="str">
        <f>IF('Lintel Sheet'!$B201&lt;&gt;"",IF(Coastal="Yes","Duplex","Galvanised"),"")</f>
        <v/>
      </c>
      <c r="F200">
        <f t="shared" si="3"/>
        <v>0</v>
      </c>
      <c r="G200" t="str">
        <f>IF(A200&gt;0,COUNTIFS($D$4:$D$315,LintelTable[[#This Row],[Length]],$C$4:$C$315,LintelTable[[#This Row],[Lintel]],$E$4:$E$315,LintelTable[[#This Row],[Treatment]],$A$4:$A$315,LintelTable[[#This Row],[Floor]],$B$4:$B$315,LintelTable[[#This Row],[Room]]),"")</f>
        <v/>
      </c>
    </row>
    <row r="201" spans="1:7" x14ac:dyDescent="0.2">
      <c r="A201" s="1143">
        <f>'Lintel Sheet'!B202</f>
        <v>0</v>
      </c>
      <c r="B201" s="1143">
        <f>'Lintel Sheet'!D202</f>
        <v>0</v>
      </c>
      <c r="C201" s="1143">
        <f>'Lintel Sheet'!H202</f>
        <v>0</v>
      </c>
      <c r="D201" s="1143" t="str">
        <f>IF(LintelTable[[#This Row],[Floor]]&gt;0,LintelTable[[#This Row],[Column1]]&amp;" / "&amp;'Lintel Sheet'!$I202,"")</f>
        <v/>
      </c>
      <c r="E201" s="1143" t="str">
        <f>IF('Lintel Sheet'!$B202&lt;&gt;"",IF(Coastal="Yes","Duplex","Galvanised"),"")</f>
        <v/>
      </c>
      <c r="F201">
        <f t="shared" si="3"/>
        <v>0</v>
      </c>
      <c r="G201" t="str">
        <f>IF(A201&gt;0,COUNTIFS($D$4:$D$315,LintelTable[[#This Row],[Length]],$C$4:$C$315,LintelTable[[#This Row],[Lintel]],$E$4:$E$315,LintelTable[[#This Row],[Treatment]],$A$4:$A$315,LintelTable[[#This Row],[Floor]],$B$4:$B$315,LintelTable[[#This Row],[Room]]),"")</f>
        <v/>
      </c>
    </row>
    <row r="202" spans="1:7" x14ac:dyDescent="0.2">
      <c r="A202" s="1143">
        <f>'Lintel Sheet'!B203</f>
        <v>0</v>
      </c>
      <c r="B202" s="1143">
        <f>'Lintel Sheet'!D203</f>
        <v>0</v>
      </c>
      <c r="C202" s="1143">
        <f>'Lintel Sheet'!H203</f>
        <v>0</v>
      </c>
      <c r="D202" s="1143" t="str">
        <f>IF(LintelTable[[#This Row],[Floor]]&gt;0,LintelTable[[#This Row],[Column1]]&amp;" / "&amp;'Lintel Sheet'!$I203,"")</f>
        <v/>
      </c>
      <c r="E202" s="1143" t="str">
        <f>IF('Lintel Sheet'!$B203&lt;&gt;"",IF(Coastal="Yes","Duplex","Galvanised"),"")</f>
        <v/>
      </c>
      <c r="F202">
        <f t="shared" si="3"/>
        <v>0</v>
      </c>
      <c r="G202" t="str">
        <f>IF(A202&gt;0,COUNTIFS($D$4:$D$315,LintelTable[[#This Row],[Length]],$C$4:$C$315,LintelTable[[#This Row],[Lintel]],$E$4:$E$315,LintelTable[[#This Row],[Treatment]],$A$4:$A$315,LintelTable[[#This Row],[Floor]],$B$4:$B$315,LintelTable[[#This Row],[Room]]),"")</f>
        <v/>
      </c>
    </row>
    <row r="203" spans="1:7" x14ac:dyDescent="0.2">
      <c r="A203" s="1143">
        <f>'Lintel Sheet'!B204</f>
        <v>0</v>
      </c>
      <c r="B203" s="1143">
        <f>'Lintel Sheet'!D204</f>
        <v>0</v>
      </c>
      <c r="C203" s="1143">
        <f>'Lintel Sheet'!H204</f>
        <v>0</v>
      </c>
      <c r="D203" s="1143" t="str">
        <f>IF(LintelTable[[#This Row],[Floor]]&gt;0,LintelTable[[#This Row],[Column1]]&amp;" / "&amp;'Lintel Sheet'!$I204,"")</f>
        <v/>
      </c>
      <c r="E203" s="1143" t="str">
        <f>IF('Lintel Sheet'!$B204&lt;&gt;"",IF(Coastal="Yes","Duplex","Galvanised"),"")</f>
        <v/>
      </c>
      <c r="F203">
        <f t="shared" si="3"/>
        <v>0</v>
      </c>
      <c r="G203" t="str">
        <f>IF(A203&gt;0,COUNTIFS($D$4:$D$315,LintelTable[[#This Row],[Length]],$C$4:$C$315,LintelTable[[#This Row],[Lintel]],$E$4:$E$315,LintelTable[[#This Row],[Treatment]],$A$4:$A$315,LintelTable[[#This Row],[Floor]],$B$4:$B$315,LintelTable[[#This Row],[Room]]),"")</f>
        <v/>
      </c>
    </row>
    <row r="204" spans="1:7" x14ac:dyDescent="0.2">
      <c r="A204" s="1143">
        <f>'Lintel Sheet'!B205</f>
        <v>0</v>
      </c>
      <c r="B204" s="1143">
        <f>'Lintel Sheet'!D205</f>
        <v>0</v>
      </c>
      <c r="C204" s="1143">
        <f>'Lintel Sheet'!H205</f>
        <v>0</v>
      </c>
      <c r="D204" s="1143" t="str">
        <f>IF(LintelTable[[#This Row],[Floor]]&gt;0,LintelTable[[#This Row],[Column1]]&amp;" / "&amp;'Lintel Sheet'!$I205,"")</f>
        <v/>
      </c>
      <c r="E204" s="1143" t="str">
        <f>IF('Lintel Sheet'!$B205&lt;&gt;"",IF(Coastal="Yes","Duplex","Galvanised"),"")</f>
        <v/>
      </c>
      <c r="F204">
        <f t="shared" si="3"/>
        <v>0</v>
      </c>
      <c r="G204" t="str">
        <f>IF(A204&gt;0,COUNTIFS($D$4:$D$315,LintelTable[[#This Row],[Length]],$C$4:$C$315,LintelTable[[#This Row],[Lintel]],$E$4:$E$315,LintelTable[[#This Row],[Treatment]],$A$4:$A$315,LintelTable[[#This Row],[Floor]],$B$4:$B$315,LintelTable[[#This Row],[Room]]),"")</f>
        <v/>
      </c>
    </row>
    <row r="205" spans="1:7" x14ac:dyDescent="0.2">
      <c r="A205" s="1143">
        <f>'Lintel Sheet'!B206</f>
        <v>0</v>
      </c>
      <c r="B205" s="1143">
        <f>'Lintel Sheet'!D206</f>
        <v>0</v>
      </c>
      <c r="C205" s="1143">
        <f>'Lintel Sheet'!H206</f>
        <v>0</v>
      </c>
      <c r="D205" s="1143" t="str">
        <f>IF(LintelTable[[#This Row],[Floor]]&gt;0,LintelTable[[#This Row],[Column1]]&amp;" / "&amp;'Lintel Sheet'!$I206,"")</f>
        <v/>
      </c>
      <c r="E205" s="1143" t="str">
        <f>IF('Lintel Sheet'!$B206&lt;&gt;"",IF(Coastal="Yes","Duplex","Galvanised"),"")</f>
        <v/>
      </c>
      <c r="F205">
        <f t="shared" si="3"/>
        <v>0</v>
      </c>
      <c r="G205" t="str">
        <f>IF(A205&gt;0,COUNTIFS($D$4:$D$315,LintelTable[[#This Row],[Length]],$C$4:$C$315,LintelTable[[#This Row],[Lintel]],$E$4:$E$315,LintelTable[[#This Row],[Treatment]],$A$4:$A$315,LintelTable[[#This Row],[Floor]],$B$4:$B$315,LintelTable[[#This Row],[Room]]),"")</f>
        <v/>
      </c>
    </row>
    <row r="206" spans="1:7" x14ac:dyDescent="0.2">
      <c r="A206" s="1143">
        <f>'Lintel Sheet'!B207</f>
        <v>0</v>
      </c>
      <c r="B206" s="1143">
        <f>'Lintel Sheet'!D207</f>
        <v>0</v>
      </c>
      <c r="C206" s="1143">
        <f>'Lintel Sheet'!H207</f>
        <v>0</v>
      </c>
      <c r="D206" s="1143" t="str">
        <f>IF(LintelTable[[#This Row],[Floor]]&gt;0,LintelTable[[#This Row],[Column1]]&amp;" / "&amp;'Lintel Sheet'!$I207,"")</f>
        <v/>
      </c>
      <c r="E206" s="1143" t="str">
        <f>IF('Lintel Sheet'!$B207&lt;&gt;"",IF(Coastal="Yes","Duplex","Galvanised"),"")</f>
        <v/>
      </c>
      <c r="F206">
        <f t="shared" si="3"/>
        <v>0</v>
      </c>
      <c r="G206" t="str">
        <f>IF(A206&gt;0,COUNTIFS($D$4:$D$315,LintelTable[[#This Row],[Length]],$C$4:$C$315,LintelTable[[#This Row],[Lintel]],$E$4:$E$315,LintelTable[[#This Row],[Treatment]],$A$4:$A$315,LintelTable[[#This Row],[Floor]],$B$4:$B$315,LintelTable[[#This Row],[Room]]),"")</f>
        <v/>
      </c>
    </row>
    <row r="207" spans="1:7" x14ac:dyDescent="0.2">
      <c r="A207" s="1143">
        <f>'Lintel Sheet'!B208</f>
        <v>0</v>
      </c>
      <c r="B207" s="1143">
        <f>'Lintel Sheet'!D208</f>
        <v>0</v>
      </c>
      <c r="C207" s="1143">
        <f>'Lintel Sheet'!H208</f>
        <v>0</v>
      </c>
      <c r="D207" s="1143" t="str">
        <f>IF(LintelTable[[#This Row],[Floor]]&gt;0,LintelTable[[#This Row],[Column1]]&amp;" / "&amp;'Lintel Sheet'!$I208,"")</f>
        <v/>
      </c>
      <c r="E207" s="1143" t="str">
        <f>IF('Lintel Sheet'!$B208&lt;&gt;"",IF(Coastal="Yes","Duplex","Galvanised"),"")</f>
        <v/>
      </c>
      <c r="F207">
        <f t="shared" si="3"/>
        <v>0</v>
      </c>
      <c r="G207" t="str">
        <f>IF(A207&gt;0,COUNTIFS($D$4:$D$315,LintelTable[[#This Row],[Length]],$C$4:$C$315,LintelTable[[#This Row],[Lintel]],$E$4:$E$315,LintelTable[[#This Row],[Treatment]],$A$4:$A$315,LintelTable[[#This Row],[Floor]],$B$4:$B$315,LintelTable[[#This Row],[Room]]),"")</f>
        <v/>
      </c>
    </row>
    <row r="208" spans="1:7" x14ac:dyDescent="0.2">
      <c r="A208" s="1143">
        <f>'Lintel Sheet'!B209</f>
        <v>0</v>
      </c>
      <c r="B208" s="1143">
        <f>'Lintel Sheet'!D209</f>
        <v>0</v>
      </c>
      <c r="C208" s="1143">
        <f>'Lintel Sheet'!H209</f>
        <v>0</v>
      </c>
      <c r="D208" s="1143" t="str">
        <f>IF(LintelTable[[#This Row],[Floor]]&gt;0,LintelTable[[#This Row],[Column1]]&amp;" / "&amp;'Lintel Sheet'!$I209,"")</f>
        <v/>
      </c>
      <c r="E208" s="1143" t="str">
        <f>IF('Lintel Sheet'!$B209&lt;&gt;"",IF(Coastal="Yes","Duplex","Galvanised"),"")</f>
        <v/>
      </c>
      <c r="F208">
        <f t="shared" si="3"/>
        <v>0</v>
      </c>
      <c r="G208" t="str">
        <f>IF(A208&gt;0,COUNTIFS($D$4:$D$315,LintelTable[[#This Row],[Length]],$C$4:$C$315,LintelTable[[#This Row],[Lintel]],$E$4:$E$315,LintelTable[[#This Row],[Treatment]],$A$4:$A$315,LintelTable[[#This Row],[Floor]],$B$4:$B$315,LintelTable[[#This Row],[Room]]),"")</f>
        <v/>
      </c>
    </row>
    <row r="209" spans="1:7" x14ac:dyDescent="0.2">
      <c r="A209" s="1143">
        <f>'Lintel Sheet'!B210</f>
        <v>0</v>
      </c>
      <c r="B209" s="1143">
        <f>'Lintel Sheet'!D210</f>
        <v>0</v>
      </c>
      <c r="C209" s="1143">
        <f>'Lintel Sheet'!H210</f>
        <v>0</v>
      </c>
      <c r="D209" s="1143" t="str">
        <f>IF(LintelTable[[#This Row],[Floor]]&gt;0,LintelTable[[#This Row],[Column1]]&amp;" / "&amp;'Lintel Sheet'!$I210,"")</f>
        <v/>
      </c>
      <c r="E209" s="1143" t="str">
        <f>IF('Lintel Sheet'!$B210&lt;&gt;"",IF(Coastal="Yes","Duplex","Galvanised"),"")</f>
        <v/>
      </c>
      <c r="F209">
        <f t="shared" si="3"/>
        <v>0</v>
      </c>
      <c r="G209" t="str">
        <f>IF(A209&gt;0,COUNTIFS($D$4:$D$315,LintelTable[[#This Row],[Length]],$C$4:$C$315,LintelTable[[#This Row],[Lintel]],$E$4:$E$315,LintelTable[[#This Row],[Treatment]],$A$4:$A$315,LintelTable[[#This Row],[Floor]],$B$4:$B$315,LintelTable[[#This Row],[Room]]),"")</f>
        <v/>
      </c>
    </row>
    <row r="210" spans="1:7" x14ac:dyDescent="0.2">
      <c r="A210" s="1143">
        <f>'Lintel Sheet'!B211</f>
        <v>0</v>
      </c>
      <c r="B210" s="1143">
        <f>'Lintel Sheet'!D211</f>
        <v>0</v>
      </c>
      <c r="C210" s="1143">
        <f>'Lintel Sheet'!H211</f>
        <v>0</v>
      </c>
      <c r="D210" s="1143" t="str">
        <f>IF(LintelTable[[#This Row],[Floor]]&gt;0,LintelTable[[#This Row],[Column1]]&amp;" / "&amp;'Lintel Sheet'!$I211,"")</f>
        <v/>
      </c>
      <c r="E210" s="1143" t="str">
        <f>IF('Lintel Sheet'!$B211&lt;&gt;"",IF(Coastal="Yes","Duplex","Galvanised"),"")</f>
        <v/>
      </c>
      <c r="F210">
        <f t="shared" si="3"/>
        <v>0</v>
      </c>
      <c r="G210" t="str">
        <f>IF(A210&gt;0,COUNTIFS($D$4:$D$315,LintelTable[[#This Row],[Length]],$C$4:$C$315,LintelTable[[#This Row],[Lintel]],$E$4:$E$315,LintelTable[[#This Row],[Treatment]],$A$4:$A$315,LintelTable[[#This Row],[Floor]],$B$4:$B$315,LintelTable[[#This Row],[Room]]),"")</f>
        <v/>
      </c>
    </row>
    <row r="211" spans="1:7" x14ac:dyDescent="0.2">
      <c r="A211" s="1143">
        <f>'Lintel Sheet'!B212</f>
        <v>0</v>
      </c>
      <c r="B211" s="1143">
        <f>'Lintel Sheet'!D212</f>
        <v>0</v>
      </c>
      <c r="C211" s="1143">
        <f>'Lintel Sheet'!H212</f>
        <v>0</v>
      </c>
      <c r="D211" s="1143" t="str">
        <f>IF(LintelTable[[#This Row],[Floor]]&gt;0,LintelTable[[#This Row],[Column1]]&amp;" / "&amp;'Lintel Sheet'!$I212,"")</f>
        <v/>
      </c>
      <c r="E211" s="1143" t="str">
        <f>IF('Lintel Sheet'!$B212&lt;&gt;"",IF(Coastal="Yes","Duplex","Galvanised"),"")</f>
        <v/>
      </c>
      <c r="F211">
        <f t="shared" si="3"/>
        <v>0</v>
      </c>
      <c r="G211" t="str">
        <f>IF(A211&gt;0,COUNTIFS($D$4:$D$315,LintelTable[[#This Row],[Length]],$C$4:$C$315,LintelTable[[#This Row],[Lintel]],$E$4:$E$315,LintelTable[[#This Row],[Treatment]],$A$4:$A$315,LintelTable[[#This Row],[Floor]],$B$4:$B$315,LintelTable[[#This Row],[Room]]),"")</f>
        <v/>
      </c>
    </row>
    <row r="212" spans="1:7" x14ac:dyDescent="0.2">
      <c r="A212" s="1143">
        <f>'Lintel Sheet'!B213</f>
        <v>0</v>
      </c>
      <c r="B212" s="1143">
        <f>'Lintel Sheet'!D213</f>
        <v>0</v>
      </c>
      <c r="C212" s="1143">
        <f>'Lintel Sheet'!H213</f>
        <v>0</v>
      </c>
      <c r="D212" s="1143" t="str">
        <f>IF(LintelTable[[#This Row],[Floor]]&gt;0,LintelTable[[#This Row],[Column1]]&amp;" / "&amp;'Lintel Sheet'!$I213,"")</f>
        <v/>
      </c>
      <c r="E212" s="1143" t="str">
        <f>IF('Lintel Sheet'!$B213&lt;&gt;"",IF(Coastal="Yes","Duplex","Galvanised"),"")</f>
        <v/>
      </c>
      <c r="F212">
        <f t="shared" si="3"/>
        <v>0</v>
      </c>
      <c r="G212" t="str">
        <f>IF(A212&gt;0,COUNTIFS($D$4:$D$315,LintelTable[[#This Row],[Length]],$C$4:$C$315,LintelTable[[#This Row],[Lintel]],$E$4:$E$315,LintelTable[[#This Row],[Treatment]],$A$4:$A$315,LintelTable[[#This Row],[Floor]],$B$4:$B$315,LintelTable[[#This Row],[Room]]),"")</f>
        <v/>
      </c>
    </row>
    <row r="213" spans="1:7" x14ac:dyDescent="0.2">
      <c r="A213" s="1143">
        <f>'Lintel Sheet'!B214</f>
        <v>0</v>
      </c>
      <c r="B213" s="1143">
        <f>'Lintel Sheet'!D214</f>
        <v>0</v>
      </c>
      <c r="C213" s="1143">
        <f>'Lintel Sheet'!H214</f>
        <v>0</v>
      </c>
      <c r="D213" s="1143" t="str">
        <f>IF(LintelTable[[#This Row],[Floor]]&gt;0,LintelTable[[#This Row],[Column1]]&amp;" / "&amp;'Lintel Sheet'!$I214,"")</f>
        <v/>
      </c>
      <c r="E213" s="1143" t="str">
        <f>IF('Lintel Sheet'!$B214&lt;&gt;"",IF(Coastal="Yes","Duplex","Galvanised"),"")</f>
        <v/>
      </c>
      <c r="F213">
        <f t="shared" si="3"/>
        <v>0</v>
      </c>
      <c r="G213" t="str">
        <f>IF(A213&gt;0,COUNTIFS($D$4:$D$315,LintelTable[[#This Row],[Length]],$C$4:$C$315,LintelTable[[#This Row],[Lintel]],$E$4:$E$315,LintelTable[[#This Row],[Treatment]],$A$4:$A$315,LintelTable[[#This Row],[Floor]],$B$4:$B$315,LintelTable[[#This Row],[Room]]),"")</f>
        <v/>
      </c>
    </row>
    <row r="214" spans="1:7" x14ac:dyDescent="0.2">
      <c r="A214" s="1143">
        <f>'Lintel Sheet'!B215</f>
        <v>0</v>
      </c>
      <c r="B214" s="1143">
        <f>'Lintel Sheet'!D215</f>
        <v>0</v>
      </c>
      <c r="C214" s="1143">
        <f>'Lintel Sheet'!H215</f>
        <v>0</v>
      </c>
      <c r="D214" s="1143" t="str">
        <f>IF(LintelTable[[#This Row],[Floor]]&gt;0,LintelTable[[#This Row],[Column1]]&amp;" / "&amp;'Lintel Sheet'!$I215,"")</f>
        <v/>
      </c>
      <c r="E214" s="1143" t="str">
        <f>IF('Lintel Sheet'!$B215&lt;&gt;"",IF(Coastal="Yes","Duplex","Galvanised"),"")</f>
        <v/>
      </c>
      <c r="F214">
        <f t="shared" si="3"/>
        <v>0</v>
      </c>
      <c r="G214" t="str">
        <f>IF(A214&gt;0,COUNTIFS($D$4:$D$315,LintelTable[[#This Row],[Length]],$C$4:$C$315,LintelTable[[#This Row],[Lintel]],$E$4:$E$315,LintelTable[[#This Row],[Treatment]],$A$4:$A$315,LintelTable[[#This Row],[Floor]],$B$4:$B$315,LintelTable[[#This Row],[Room]]),"")</f>
        <v/>
      </c>
    </row>
    <row r="215" spans="1:7" x14ac:dyDescent="0.2">
      <c r="A215" s="1143">
        <f>'Lintel Sheet'!B216</f>
        <v>0</v>
      </c>
      <c r="B215" s="1143">
        <f>'Lintel Sheet'!D216</f>
        <v>0</v>
      </c>
      <c r="C215" s="1143">
        <f>'Lintel Sheet'!H216</f>
        <v>0</v>
      </c>
      <c r="D215" s="1143" t="str">
        <f>IF(LintelTable[[#This Row],[Floor]]&gt;0,LintelTable[[#This Row],[Column1]]&amp;" / "&amp;'Lintel Sheet'!$I216,"")</f>
        <v/>
      </c>
      <c r="E215" s="1143" t="str">
        <f>IF('Lintel Sheet'!$B216&lt;&gt;"",IF(Coastal="Yes","Duplex","Galvanised"),"")</f>
        <v/>
      </c>
      <c r="F215">
        <f t="shared" si="3"/>
        <v>0</v>
      </c>
      <c r="G215" t="str">
        <f>IF(A215&gt;0,COUNTIFS($D$4:$D$315,LintelTable[[#This Row],[Length]],$C$4:$C$315,LintelTable[[#This Row],[Lintel]],$E$4:$E$315,LintelTable[[#This Row],[Treatment]],$A$4:$A$315,LintelTable[[#This Row],[Floor]],$B$4:$B$315,LintelTable[[#This Row],[Room]]),"")</f>
        <v/>
      </c>
    </row>
    <row r="216" spans="1:7" x14ac:dyDescent="0.2">
      <c r="A216" s="1143">
        <f>'Lintel Sheet'!B217</f>
        <v>0</v>
      </c>
      <c r="B216" s="1143">
        <f>'Lintel Sheet'!D217</f>
        <v>0</v>
      </c>
      <c r="C216" s="1143">
        <f>'Lintel Sheet'!H217</f>
        <v>0</v>
      </c>
      <c r="D216" s="1143" t="str">
        <f>IF(LintelTable[[#This Row],[Floor]]&gt;0,LintelTable[[#This Row],[Column1]]&amp;" / "&amp;'Lintel Sheet'!$I217,"")</f>
        <v/>
      </c>
      <c r="E216" s="1143" t="str">
        <f>IF('Lintel Sheet'!$B217&lt;&gt;"",IF(Coastal="Yes","Duplex","Galvanised"),"")</f>
        <v/>
      </c>
      <c r="F216">
        <f t="shared" si="3"/>
        <v>0</v>
      </c>
      <c r="G216" t="str">
        <f>IF(A216&gt;0,COUNTIFS($D$4:$D$315,LintelTable[[#This Row],[Length]],$C$4:$C$315,LintelTable[[#This Row],[Lintel]],$E$4:$E$315,LintelTable[[#This Row],[Treatment]],$A$4:$A$315,LintelTable[[#This Row],[Floor]],$B$4:$B$315,LintelTable[[#This Row],[Room]]),"")</f>
        <v/>
      </c>
    </row>
    <row r="217" spans="1:7" x14ac:dyDescent="0.2">
      <c r="A217" s="1143">
        <f>'Lintel Sheet'!B218</f>
        <v>0</v>
      </c>
      <c r="B217" s="1143">
        <f>'Lintel Sheet'!D218</f>
        <v>0</v>
      </c>
      <c r="C217" s="1143">
        <f>'Lintel Sheet'!H218</f>
        <v>0</v>
      </c>
      <c r="D217" s="1143" t="str">
        <f>IF(LintelTable[[#This Row],[Floor]]&gt;0,LintelTable[[#This Row],[Column1]]&amp;" / "&amp;'Lintel Sheet'!$I218,"")</f>
        <v/>
      </c>
      <c r="E217" s="1143" t="str">
        <f>IF('Lintel Sheet'!$B218&lt;&gt;"",IF(Coastal="Yes","Duplex","Galvanised"),"")</f>
        <v/>
      </c>
      <c r="F217">
        <f t="shared" si="3"/>
        <v>0</v>
      </c>
      <c r="G217" t="str">
        <f>IF(A217&gt;0,COUNTIFS($D$4:$D$315,LintelTable[[#This Row],[Length]],$C$4:$C$315,LintelTable[[#This Row],[Lintel]],$E$4:$E$315,LintelTable[[#This Row],[Treatment]],$A$4:$A$315,LintelTable[[#This Row],[Floor]],$B$4:$B$315,LintelTable[[#This Row],[Room]]),"")</f>
        <v/>
      </c>
    </row>
    <row r="218" spans="1:7" x14ac:dyDescent="0.2">
      <c r="A218" s="1143">
        <f>'Lintel Sheet'!B219</f>
        <v>0</v>
      </c>
      <c r="B218" s="1143">
        <f>'Lintel Sheet'!D219</f>
        <v>0</v>
      </c>
      <c r="C218" s="1143">
        <f>'Lintel Sheet'!H219</f>
        <v>0</v>
      </c>
      <c r="D218" s="1143" t="str">
        <f>IF(LintelTable[[#This Row],[Floor]]&gt;0,LintelTable[[#This Row],[Column1]]&amp;" / "&amp;'Lintel Sheet'!$I219,"")</f>
        <v/>
      </c>
      <c r="E218" s="1143" t="str">
        <f>IF('Lintel Sheet'!$B219&lt;&gt;"",IF(Coastal="Yes","Duplex","Galvanised"),"")</f>
        <v/>
      </c>
      <c r="F218">
        <f t="shared" ref="F218:F281" si="4">H218</f>
        <v>0</v>
      </c>
      <c r="G218" t="str">
        <f>IF(A218&gt;0,COUNTIFS($D$4:$D$315,LintelTable[[#This Row],[Length]],$C$4:$C$315,LintelTable[[#This Row],[Lintel]],$E$4:$E$315,LintelTable[[#This Row],[Treatment]],$A$4:$A$315,LintelTable[[#This Row],[Floor]],$B$4:$B$315,LintelTable[[#This Row],[Room]]),"")</f>
        <v/>
      </c>
    </row>
    <row r="219" spans="1:7" x14ac:dyDescent="0.2">
      <c r="A219" s="1143">
        <f>'Lintel Sheet'!B220</f>
        <v>0</v>
      </c>
      <c r="B219" s="1143">
        <f>'Lintel Sheet'!D220</f>
        <v>0</v>
      </c>
      <c r="C219" s="1143">
        <f>'Lintel Sheet'!H220</f>
        <v>0</v>
      </c>
      <c r="D219" s="1143" t="str">
        <f>IF(LintelTable[[#This Row],[Floor]]&gt;0,LintelTable[[#This Row],[Column1]]&amp;" / "&amp;'Lintel Sheet'!$I220,"")</f>
        <v/>
      </c>
      <c r="E219" s="1143" t="str">
        <f>IF('Lintel Sheet'!$B220&lt;&gt;"",IF(Coastal="Yes","Duplex","Galvanised"),"")</f>
        <v/>
      </c>
      <c r="F219">
        <f t="shared" si="4"/>
        <v>0</v>
      </c>
      <c r="G219" t="str">
        <f>IF(A219&gt;0,COUNTIFS($D$4:$D$315,LintelTable[[#This Row],[Length]],$C$4:$C$315,LintelTable[[#This Row],[Lintel]],$E$4:$E$315,LintelTable[[#This Row],[Treatment]],$A$4:$A$315,LintelTable[[#This Row],[Floor]],$B$4:$B$315,LintelTable[[#This Row],[Room]]),"")</f>
        <v/>
      </c>
    </row>
    <row r="220" spans="1:7" x14ac:dyDescent="0.2">
      <c r="A220" s="1143">
        <f>'Lintel Sheet'!B221</f>
        <v>0</v>
      </c>
      <c r="B220" s="1143">
        <f>'Lintel Sheet'!D221</f>
        <v>0</v>
      </c>
      <c r="C220" s="1143">
        <f>'Lintel Sheet'!H221</f>
        <v>0</v>
      </c>
      <c r="D220" s="1143" t="str">
        <f>IF(LintelTable[[#This Row],[Floor]]&gt;0,LintelTable[[#This Row],[Column1]]&amp;" / "&amp;'Lintel Sheet'!$I221,"")</f>
        <v/>
      </c>
      <c r="E220" s="1143" t="str">
        <f>IF('Lintel Sheet'!$B221&lt;&gt;"",IF(Coastal="Yes","Duplex","Galvanised"),"")</f>
        <v/>
      </c>
      <c r="F220">
        <f t="shared" si="4"/>
        <v>0</v>
      </c>
      <c r="G220" t="str">
        <f>IF(A220&gt;0,COUNTIFS($D$4:$D$315,LintelTable[[#This Row],[Length]],$C$4:$C$315,LintelTable[[#This Row],[Lintel]],$E$4:$E$315,LintelTable[[#This Row],[Treatment]],$A$4:$A$315,LintelTable[[#This Row],[Floor]],$B$4:$B$315,LintelTable[[#This Row],[Room]]),"")</f>
        <v/>
      </c>
    </row>
    <row r="221" spans="1:7" x14ac:dyDescent="0.2">
      <c r="A221" s="1143">
        <f>'Lintel Sheet'!B222</f>
        <v>0</v>
      </c>
      <c r="B221" s="1143">
        <f>'Lintel Sheet'!D222</f>
        <v>0</v>
      </c>
      <c r="C221" s="1143">
        <f>'Lintel Sheet'!H222</f>
        <v>0</v>
      </c>
      <c r="D221" s="1143" t="str">
        <f>IF(LintelTable[[#This Row],[Floor]]&gt;0,LintelTable[[#This Row],[Column1]]&amp;" / "&amp;'Lintel Sheet'!$I222,"")</f>
        <v/>
      </c>
      <c r="E221" s="1143" t="str">
        <f>IF('Lintel Sheet'!$B222&lt;&gt;"",IF(Coastal="Yes","Duplex","Galvanised"),"")</f>
        <v/>
      </c>
      <c r="F221">
        <f t="shared" si="4"/>
        <v>0</v>
      </c>
      <c r="G221" t="str">
        <f>IF(A221&gt;0,COUNTIFS($D$4:$D$315,LintelTable[[#This Row],[Length]],$C$4:$C$315,LintelTable[[#This Row],[Lintel]],$E$4:$E$315,LintelTable[[#This Row],[Treatment]],$A$4:$A$315,LintelTable[[#This Row],[Floor]],$B$4:$B$315,LintelTable[[#This Row],[Room]]),"")</f>
        <v/>
      </c>
    </row>
    <row r="222" spans="1:7" x14ac:dyDescent="0.2">
      <c r="A222" s="1143">
        <f>'Lintel Sheet'!B223</f>
        <v>0</v>
      </c>
      <c r="B222" s="1143">
        <f>'Lintel Sheet'!D223</f>
        <v>0</v>
      </c>
      <c r="C222" s="1143">
        <f>'Lintel Sheet'!H223</f>
        <v>0</v>
      </c>
      <c r="D222" s="1143" t="str">
        <f>IF(LintelTable[[#This Row],[Floor]]&gt;0,LintelTable[[#This Row],[Column1]]&amp;" / "&amp;'Lintel Sheet'!$I223,"")</f>
        <v/>
      </c>
      <c r="E222" s="1143" t="str">
        <f>IF('Lintel Sheet'!$B223&lt;&gt;"",IF(Coastal="Yes","Duplex","Galvanised"),"")</f>
        <v/>
      </c>
      <c r="F222">
        <f t="shared" si="4"/>
        <v>0</v>
      </c>
      <c r="G222" t="str">
        <f>IF(A222&gt;0,COUNTIFS($D$4:$D$315,LintelTable[[#This Row],[Length]],$C$4:$C$315,LintelTable[[#This Row],[Lintel]],$E$4:$E$315,LintelTable[[#This Row],[Treatment]],$A$4:$A$315,LintelTable[[#This Row],[Floor]],$B$4:$B$315,LintelTable[[#This Row],[Room]]),"")</f>
        <v/>
      </c>
    </row>
    <row r="223" spans="1:7" x14ac:dyDescent="0.2">
      <c r="A223" s="1143">
        <f>'Lintel Sheet'!B224</f>
        <v>0</v>
      </c>
      <c r="B223" s="1143">
        <f>'Lintel Sheet'!D224</f>
        <v>0</v>
      </c>
      <c r="C223" s="1143">
        <f>'Lintel Sheet'!H224</f>
        <v>0</v>
      </c>
      <c r="D223" s="1143" t="str">
        <f>IF(LintelTable[[#This Row],[Floor]]&gt;0,LintelTable[[#This Row],[Column1]]&amp;" / "&amp;'Lintel Sheet'!$I224,"")</f>
        <v/>
      </c>
      <c r="E223" s="1143" t="str">
        <f>IF('Lintel Sheet'!$B224&lt;&gt;"",IF(Coastal="Yes","Duplex","Galvanised"),"")</f>
        <v/>
      </c>
      <c r="F223">
        <f t="shared" si="4"/>
        <v>0</v>
      </c>
      <c r="G223" t="str">
        <f>IF(A223&gt;0,COUNTIFS($D$4:$D$315,LintelTable[[#This Row],[Length]],$C$4:$C$315,LintelTable[[#This Row],[Lintel]],$E$4:$E$315,LintelTable[[#This Row],[Treatment]],$A$4:$A$315,LintelTable[[#This Row],[Floor]],$B$4:$B$315,LintelTable[[#This Row],[Room]]),"")</f>
        <v/>
      </c>
    </row>
    <row r="224" spans="1:7" x14ac:dyDescent="0.2">
      <c r="A224" s="1143">
        <f>'Lintel Sheet'!B225</f>
        <v>0</v>
      </c>
      <c r="B224" s="1143">
        <f>'Lintel Sheet'!D225</f>
        <v>0</v>
      </c>
      <c r="C224" s="1143">
        <f>'Lintel Sheet'!H225</f>
        <v>0</v>
      </c>
      <c r="D224" s="1143" t="str">
        <f>IF(LintelTable[[#This Row],[Floor]]&gt;0,LintelTable[[#This Row],[Column1]]&amp;" / "&amp;'Lintel Sheet'!$I225,"")</f>
        <v/>
      </c>
      <c r="E224" s="1143" t="str">
        <f>IF('Lintel Sheet'!$B225&lt;&gt;"",IF(Coastal="Yes","Duplex","Galvanised"),"")</f>
        <v/>
      </c>
      <c r="F224">
        <f t="shared" si="4"/>
        <v>0</v>
      </c>
      <c r="G224" t="str">
        <f>IF(A224&gt;0,COUNTIFS($D$4:$D$315,LintelTable[[#This Row],[Length]],$C$4:$C$315,LintelTable[[#This Row],[Lintel]],$E$4:$E$315,LintelTable[[#This Row],[Treatment]],$A$4:$A$315,LintelTable[[#This Row],[Floor]],$B$4:$B$315,LintelTable[[#This Row],[Room]]),"")</f>
        <v/>
      </c>
    </row>
    <row r="225" spans="1:7" x14ac:dyDescent="0.2">
      <c r="A225" s="1143">
        <f>'Lintel Sheet'!B226</f>
        <v>0</v>
      </c>
      <c r="B225" s="1143">
        <f>'Lintel Sheet'!D226</f>
        <v>0</v>
      </c>
      <c r="C225" s="1143">
        <f>'Lintel Sheet'!H226</f>
        <v>0</v>
      </c>
      <c r="D225" s="1143" t="str">
        <f>IF(LintelTable[[#This Row],[Floor]]&gt;0,LintelTable[[#This Row],[Column1]]&amp;" / "&amp;'Lintel Sheet'!$I226,"")</f>
        <v/>
      </c>
      <c r="E225" s="1143" t="str">
        <f>IF('Lintel Sheet'!$B226&lt;&gt;"",IF(Coastal="Yes","Duplex","Galvanised"),"")</f>
        <v/>
      </c>
      <c r="F225">
        <f t="shared" si="4"/>
        <v>0</v>
      </c>
      <c r="G225" t="str">
        <f>IF(A225&gt;0,COUNTIFS($D$4:$D$315,LintelTable[[#This Row],[Length]],$C$4:$C$315,LintelTable[[#This Row],[Lintel]],$E$4:$E$315,LintelTable[[#This Row],[Treatment]],$A$4:$A$315,LintelTable[[#This Row],[Floor]],$B$4:$B$315,LintelTable[[#This Row],[Room]]),"")</f>
        <v/>
      </c>
    </row>
    <row r="226" spans="1:7" x14ac:dyDescent="0.2">
      <c r="A226" s="1143">
        <f>'Lintel Sheet'!B227</f>
        <v>0</v>
      </c>
      <c r="B226" s="1143">
        <f>'Lintel Sheet'!D227</f>
        <v>0</v>
      </c>
      <c r="C226" s="1143">
        <f>'Lintel Sheet'!H227</f>
        <v>0</v>
      </c>
      <c r="D226" s="1143" t="str">
        <f>IF(LintelTable[[#This Row],[Floor]]&gt;0,LintelTable[[#This Row],[Column1]]&amp;" / "&amp;'Lintel Sheet'!$I227,"")</f>
        <v/>
      </c>
      <c r="E226" s="1143" t="str">
        <f>IF('Lintel Sheet'!$B227&lt;&gt;"",IF(Coastal="Yes","Duplex","Galvanised"),"")</f>
        <v/>
      </c>
      <c r="F226">
        <f t="shared" si="4"/>
        <v>0</v>
      </c>
      <c r="G226" t="str">
        <f>IF(A226&gt;0,COUNTIFS($D$4:$D$315,LintelTable[[#This Row],[Length]],$C$4:$C$315,LintelTable[[#This Row],[Lintel]],$E$4:$E$315,LintelTable[[#This Row],[Treatment]],$A$4:$A$315,LintelTable[[#This Row],[Floor]],$B$4:$B$315,LintelTable[[#This Row],[Room]]),"")</f>
        <v/>
      </c>
    </row>
    <row r="227" spans="1:7" x14ac:dyDescent="0.2">
      <c r="A227" s="1143">
        <f>'Lintel Sheet'!B228</f>
        <v>0</v>
      </c>
      <c r="B227" s="1143">
        <f>'Lintel Sheet'!D228</f>
        <v>0</v>
      </c>
      <c r="C227" s="1143">
        <f>'Lintel Sheet'!H228</f>
        <v>0</v>
      </c>
      <c r="D227" s="1143" t="str">
        <f>IF(LintelTable[[#This Row],[Floor]]&gt;0,LintelTable[[#This Row],[Column1]]&amp;" / "&amp;'Lintel Sheet'!$I228,"")</f>
        <v/>
      </c>
      <c r="E227" s="1143" t="str">
        <f>IF('Lintel Sheet'!$B228&lt;&gt;"",IF(Coastal="Yes","Duplex","Galvanised"),"")</f>
        <v/>
      </c>
      <c r="F227">
        <f t="shared" si="4"/>
        <v>0</v>
      </c>
      <c r="G227" t="str">
        <f>IF(A227&gt;0,COUNTIFS($D$4:$D$315,LintelTable[[#This Row],[Length]],$C$4:$C$315,LintelTable[[#This Row],[Lintel]],$E$4:$E$315,LintelTable[[#This Row],[Treatment]],$A$4:$A$315,LintelTable[[#This Row],[Floor]],$B$4:$B$315,LintelTable[[#This Row],[Room]]),"")</f>
        <v/>
      </c>
    </row>
    <row r="228" spans="1:7" x14ac:dyDescent="0.2">
      <c r="A228" s="1143">
        <f>'Lintel Sheet'!B229</f>
        <v>0</v>
      </c>
      <c r="B228" s="1143">
        <f>'Lintel Sheet'!D229</f>
        <v>0</v>
      </c>
      <c r="C228" s="1143">
        <f>'Lintel Sheet'!H229</f>
        <v>0</v>
      </c>
      <c r="D228" s="1143" t="str">
        <f>IF(LintelTable[[#This Row],[Floor]]&gt;0,LintelTable[[#This Row],[Column1]]&amp;" / "&amp;'Lintel Sheet'!$I229,"")</f>
        <v/>
      </c>
      <c r="E228" s="1143" t="str">
        <f>IF('Lintel Sheet'!$B229&lt;&gt;"",IF(Coastal="Yes","Duplex","Galvanised"),"")</f>
        <v/>
      </c>
      <c r="F228">
        <f t="shared" si="4"/>
        <v>0</v>
      </c>
      <c r="G228" t="str">
        <f>IF(A228&gt;0,COUNTIFS($D$4:$D$315,LintelTable[[#This Row],[Length]],$C$4:$C$315,LintelTable[[#This Row],[Lintel]],$E$4:$E$315,LintelTable[[#This Row],[Treatment]],$A$4:$A$315,LintelTable[[#This Row],[Floor]],$B$4:$B$315,LintelTable[[#This Row],[Room]]),"")</f>
        <v/>
      </c>
    </row>
    <row r="229" spans="1:7" x14ac:dyDescent="0.2">
      <c r="A229" s="1143">
        <f>'Lintel Sheet'!B230</f>
        <v>0</v>
      </c>
      <c r="B229" s="1143">
        <f>'Lintel Sheet'!D230</f>
        <v>0</v>
      </c>
      <c r="C229" s="1143">
        <f>'Lintel Sheet'!H230</f>
        <v>0</v>
      </c>
      <c r="D229" s="1143" t="str">
        <f>IF(LintelTable[[#This Row],[Floor]]&gt;0,LintelTable[[#This Row],[Column1]]&amp;" / "&amp;'Lintel Sheet'!$I230,"")</f>
        <v/>
      </c>
      <c r="E229" s="1143" t="str">
        <f>IF('Lintel Sheet'!$B230&lt;&gt;"",IF(Coastal="Yes","Duplex","Galvanised"),"")</f>
        <v/>
      </c>
      <c r="F229">
        <f t="shared" si="4"/>
        <v>0</v>
      </c>
      <c r="G229" t="str">
        <f>IF(A229&gt;0,COUNTIFS($D$4:$D$315,LintelTable[[#This Row],[Length]],$C$4:$C$315,LintelTable[[#This Row],[Lintel]],$E$4:$E$315,LintelTable[[#This Row],[Treatment]],$A$4:$A$315,LintelTable[[#This Row],[Floor]],$B$4:$B$315,LintelTable[[#This Row],[Room]]),"")</f>
        <v/>
      </c>
    </row>
    <row r="230" spans="1:7" x14ac:dyDescent="0.2">
      <c r="A230" s="1143">
        <f>'Lintel Sheet'!B231</f>
        <v>0</v>
      </c>
      <c r="B230" s="1143">
        <f>'Lintel Sheet'!D231</f>
        <v>0</v>
      </c>
      <c r="C230" s="1143">
        <f>'Lintel Sheet'!H231</f>
        <v>0</v>
      </c>
      <c r="D230" s="1143" t="str">
        <f>IF(LintelTable[[#This Row],[Floor]]&gt;0,LintelTable[[#This Row],[Column1]]&amp;" / "&amp;'Lintel Sheet'!$I231,"")</f>
        <v/>
      </c>
      <c r="E230" s="1143" t="str">
        <f>IF('Lintel Sheet'!$B231&lt;&gt;"",IF(Coastal="Yes","Duplex","Galvanised"),"")</f>
        <v/>
      </c>
      <c r="F230">
        <f t="shared" si="4"/>
        <v>0</v>
      </c>
      <c r="G230" t="str">
        <f>IF(A230&gt;0,COUNTIFS($D$4:$D$315,LintelTable[[#This Row],[Length]],$C$4:$C$315,LintelTable[[#This Row],[Lintel]],$E$4:$E$315,LintelTable[[#This Row],[Treatment]],$A$4:$A$315,LintelTable[[#This Row],[Floor]],$B$4:$B$315,LintelTable[[#This Row],[Room]]),"")</f>
        <v/>
      </c>
    </row>
    <row r="231" spans="1:7" x14ac:dyDescent="0.2">
      <c r="A231" s="1143">
        <f>'Lintel Sheet'!B232</f>
        <v>0</v>
      </c>
      <c r="B231" s="1143">
        <f>'Lintel Sheet'!D232</f>
        <v>0</v>
      </c>
      <c r="C231" s="1143">
        <f>'Lintel Sheet'!H232</f>
        <v>0</v>
      </c>
      <c r="D231" s="1143" t="str">
        <f>IF(LintelTable[[#This Row],[Floor]]&gt;0,LintelTable[[#This Row],[Column1]]&amp;" / "&amp;'Lintel Sheet'!$I232,"")</f>
        <v/>
      </c>
      <c r="E231" s="1143" t="str">
        <f>IF('Lintel Sheet'!$B232&lt;&gt;"",IF(Coastal="Yes","Duplex","Galvanised"),"")</f>
        <v/>
      </c>
      <c r="F231">
        <f t="shared" si="4"/>
        <v>0</v>
      </c>
      <c r="G231" t="str">
        <f>IF(A231&gt;0,COUNTIFS($D$4:$D$315,LintelTable[[#This Row],[Length]],$C$4:$C$315,LintelTable[[#This Row],[Lintel]],$E$4:$E$315,LintelTable[[#This Row],[Treatment]],$A$4:$A$315,LintelTable[[#This Row],[Floor]],$B$4:$B$315,LintelTable[[#This Row],[Room]]),"")</f>
        <v/>
      </c>
    </row>
    <row r="232" spans="1:7" x14ac:dyDescent="0.2">
      <c r="A232" s="1143">
        <f>'Lintel Sheet'!B233</f>
        <v>0</v>
      </c>
      <c r="B232" s="1143">
        <f>'Lintel Sheet'!D233</f>
        <v>0</v>
      </c>
      <c r="C232" s="1143">
        <f>'Lintel Sheet'!H233</f>
        <v>0</v>
      </c>
      <c r="D232" s="1143" t="str">
        <f>IF(LintelTable[[#This Row],[Floor]]&gt;0,LintelTable[[#This Row],[Column1]]&amp;" / "&amp;'Lintel Sheet'!$I233,"")</f>
        <v/>
      </c>
      <c r="E232" s="1143" t="str">
        <f>IF('Lintel Sheet'!$B233&lt;&gt;"",IF(Coastal="Yes","Duplex","Galvanised"),"")</f>
        <v/>
      </c>
      <c r="F232">
        <f t="shared" si="4"/>
        <v>0</v>
      </c>
      <c r="G232" t="str">
        <f>IF(A232&gt;0,COUNTIFS($D$4:$D$315,LintelTable[[#This Row],[Length]],$C$4:$C$315,LintelTable[[#This Row],[Lintel]],$E$4:$E$315,LintelTable[[#This Row],[Treatment]],$A$4:$A$315,LintelTable[[#This Row],[Floor]],$B$4:$B$315,LintelTable[[#This Row],[Room]]),"")</f>
        <v/>
      </c>
    </row>
    <row r="233" spans="1:7" x14ac:dyDescent="0.2">
      <c r="A233" s="1143">
        <f>'Lintel Sheet'!B234</f>
        <v>0</v>
      </c>
      <c r="B233" s="1143">
        <f>'Lintel Sheet'!D234</f>
        <v>0</v>
      </c>
      <c r="C233" s="1143">
        <f>'Lintel Sheet'!H234</f>
        <v>0</v>
      </c>
      <c r="D233" s="1143" t="str">
        <f>IF(LintelTable[[#This Row],[Floor]]&gt;0,LintelTable[[#This Row],[Column1]]&amp;" / "&amp;'Lintel Sheet'!$I234,"")</f>
        <v/>
      </c>
      <c r="E233" s="1143" t="str">
        <f>IF('Lintel Sheet'!$B234&lt;&gt;"",IF(Coastal="Yes","Duplex","Galvanised"),"")</f>
        <v/>
      </c>
      <c r="F233">
        <f t="shared" si="4"/>
        <v>0</v>
      </c>
      <c r="G233" t="str">
        <f>IF(A233&gt;0,COUNTIFS($D$4:$D$315,LintelTable[[#This Row],[Length]],$C$4:$C$315,LintelTable[[#This Row],[Lintel]],$E$4:$E$315,LintelTable[[#This Row],[Treatment]],$A$4:$A$315,LintelTable[[#This Row],[Floor]],$B$4:$B$315,LintelTable[[#This Row],[Room]]),"")</f>
        <v/>
      </c>
    </row>
    <row r="234" spans="1:7" x14ac:dyDescent="0.2">
      <c r="A234" s="1143">
        <f>'Lintel Sheet'!B235</f>
        <v>0</v>
      </c>
      <c r="B234" s="1143">
        <f>'Lintel Sheet'!D235</f>
        <v>0</v>
      </c>
      <c r="C234" s="1143">
        <f>'Lintel Sheet'!H235</f>
        <v>0</v>
      </c>
      <c r="D234" s="1143" t="str">
        <f>IF(LintelTable[[#This Row],[Floor]]&gt;0,LintelTable[[#This Row],[Column1]]&amp;" / "&amp;'Lintel Sheet'!$I235,"")</f>
        <v/>
      </c>
      <c r="E234" s="1143" t="str">
        <f>IF('Lintel Sheet'!$B235&lt;&gt;"",IF(Coastal="Yes","Duplex","Galvanised"),"")</f>
        <v/>
      </c>
      <c r="F234">
        <f t="shared" si="4"/>
        <v>0</v>
      </c>
      <c r="G234" t="str">
        <f>IF(A234&gt;0,COUNTIFS($D$4:$D$315,LintelTable[[#This Row],[Length]],$C$4:$C$315,LintelTable[[#This Row],[Lintel]],$E$4:$E$315,LintelTable[[#This Row],[Treatment]],$A$4:$A$315,LintelTable[[#This Row],[Floor]],$B$4:$B$315,LintelTable[[#This Row],[Room]]),"")</f>
        <v/>
      </c>
    </row>
    <row r="235" spans="1:7" x14ac:dyDescent="0.2">
      <c r="A235" s="1143">
        <f>'Lintel Sheet'!B236</f>
        <v>0</v>
      </c>
      <c r="B235" s="1143">
        <f>'Lintel Sheet'!D236</f>
        <v>0</v>
      </c>
      <c r="C235" s="1143">
        <f>'Lintel Sheet'!H236</f>
        <v>0</v>
      </c>
      <c r="D235" s="1143" t="str">
        <f>IF(LintelTable[[#This Row],[Floor]]&gt;0,LintelTable[[#This Row],[Column1]]&amp;" / "&amp;'Lintel Sheet'!$I236,"")</f>
        <v/>
      </c>
      <c r="E235" s="1143" t="str">
        <f>IF('Lintel Sheet'!$B236&lt;&gt;"",IF(Coastal="Yes","Duplex","Galvanised"),"")</f>
        <v/>
      </c>
      <c r="F235">
        <f t="shared" si="4"/>
        <v>0</v>
      </c>
      <c r="G235" t="str">
        <f>IF(A235&gt;0,COUNTIFS($D$4:$D$315,LintelTable[[#This Row],[Length]],$C$4:$C$315,LintelTable[[#This Row],[Lintel]],$E$4:$E$315,LintelTable[[#This Row],[Treatment]],$A$4:$A$315,LintelTable[[#This Row],[Floor]],$B$4:$B$315,LintelTable[[#This Row],[Room]]),"")</f>
        <v/>
      </c>
    </row>
    <row r="236" spans="1:7" x14ac:dyDescent="0.2">
      <c r="A236" s="1143">
        <f>'Lintel Sheet'!B237</f>
        <v>0</v>
      </c>
      <c r="B236" s="1143">
        <f>'Lintel Sheet'!D237</f>
        <v>0</v>
      </c>
      <c r="C236" s="1143">
        <f>'Lintel Sheet'!H237</f>
        <v>0</v>
      </c>
      <c r="D236" s="1143" t="str">
        <f>IF(LintelTable[[#This Row],[Floor]]&gt;0,LintelTable[[#This Row],[Column1]]&amp;" / "&amp;'Lintel Sheet'!$I237,"")</f>
        <v/>
      </c>
      <c r="E236" s="1143" t="str">
        <f>IF('Lintel Sheet'!$B237&lt;&gt;"",IF(Coastal="Yes","Duplex","Galvanised"),"")</f>
        <v/>
      </c>
      <c r="F236">
        <f t="shared" si="4"/>
        <v>0</v>
      </c>
      <c r="G236" t="str">
        <f>IF(A236&gt;0,COUNTIFS($D$4:$D$315,LintelTable[[#This Row],[Length]],$C$4:$C$315,LintelTable[[#This Row],[Lintel]],$E$4:$E$315,LintelTable[[#This Row],[Treatment]],$A$4:$A$315,LintelTable[[#This Row],[Floor]],$B$4:$B$315,LintelTable[[#This Row],[Room]]),"")</f>
        <v/>
      </c>
    </row>
    <row r="237" spans="1:7" x14ac:dyDescent="0.2">
      <c r="A237" s="1143">
        <f>'Lintel Sheet'!B238</f>
        <v>0</v>
      </c>
      <c r="B237" s="1143">
        <f>'Lintel Sheet'!D238</f>
        <v>0</v>
      </c>
      <c r="C237" s="1143">
        <f>'Lintel Sheet'!H238</f>
        <v>0</v>
      </c>
      <c r="D237" s="1143" t="str">
        <f>IF(LintelTable[[#This Row],[Floor]]&gt;0,LintelTable[[#This Row],[Column1]]&amp;" / "&amp;'Lintel Sheet'!$I238,"")</f>
        <v/>
      </c>
      <c r="E237" s="1143" t="str">
        <f>IF('Lintel Sheet'!$B238&lt;&gt;"",IF(Coastal="Yes","Duplex","Galvanised"),"")</f>
        <v/>
      </c>
      <c r="F237">
        <f t="shared" si="4"/>
        <v>0</v>
      </c>
      <c r="G237" t="str">
        <f>IF(A237&gt;0,COUNTIFS($D$4:$D$315,LintelTable[[#This Row],[Length]],$C$4:$C$315,LintelTable[[#This Row],[Lintel]],$E$4:$E$315,LintelTable[[#This Row],[Treatment]],$A$4:$A$315,LintelTable[[#This Row],[Floor]],$B$4:$B$315,LintelTable[[#This Row],[Room]]),"")</f>
        <v/>
      </c>
    </row>
    <row r="238" spans="1:7" x14ac:dyDescent="0.2">
      <c r="A238" s="1143">
        <f>'Lintel Sheet'!B239</f>
        <v>0</v>
      </c>
      <c r="B238" s="1143">
        <f>'Lintel Sheet'!D239</f>
        <v>0</v>
      </c>
      <c r="C238" s="1143">
        <f>'Lintel Sheet'!H239</f>
        <v>0</v>
      </c>
      <c r="D238" s="1143" t="str">
        <f>IF(LintelTable[[#This Row],[Floor]]&gt;0,LintelTable[[#This Row],[Column1]]&amp;" / "&amp;'Lintel Sheet'!$I239,"")</f>
        <v/>
      </c>
      <c r="E238" s="1143" t="str">
        <f>IF('Lintel Sheet'!$B239&lt;&gt;"",IF(Coastal="Yes","Duplex","Galvanised"),"")</f>
        <v/>
      </c>
      <c r="F238">
        <f t="shared" si="4"/>
        <v>0</v>
      </c>
      <c r="G238" t="str">
        <f>IF(A238&gt;0,COUNTIFS($D$4:$D$315,LintelTable[[#This Row],[Length]],$C$4:$C$315,LintelTable[[#This Row],[Lintel]],$E$4:$E$315,LintelTable[[#This Row],[Treatment]],$A$4:$A$315,LintelTable[[#This Row],[Floor]],$B$4:$B$315,LintelTable[[#This Row],[Room]]),"")</f>
        <v/>
      </c>
    </row>
    <row r="239" spans="1:7" x14ac:dyDescent="0.2">
      <c r="A239" s="1143">
        <f>'Lintel Sheet'!B240</f>
        <v>0</v>
      </c>
      <c r="B239" s="1143">
        <f>'Lintel Sheet'!D240</f>
        <v>0</v>
      </c>
      <c r="C239" s="1143">
        <f>'Lintel Sheet'!H240</f>
        <v>0</v>
      </c>
      <c r="D239" s="1143" t="str">
        <f>IF(LintelTable[[#This Row],[Floor]]&gt;0,LintelTable[[#This Row],[Column1]]&amp;" / "&amp;'Lintel Sheet'!$I240,"")</f>
        <v/>
      </c>
      <c r="E239" s="1143" t="str">
        <f>IF('Lintel Sheet'!$B240&lt;&gt;"",IF(Coastal="Yes","Duplex","Galvanised"),"")</f>
        <v/>
      </c>
      <c r="F239">
        <f t="shared" si="4"/>
        <v>0</v>
      </c>
      <c r="G239" t="str">
        <f>IF(A239&gt;0,COUNTIFS($D$4:$D$315,LintelTable[[#This Row],[Length]],$C$4:$C$315,LintelTable[[#This Row],[Lintel]],$E$4:$E$315,LintelTable[[#This Row],[Treatment]],$A$4:$A$315,LintelTable[[#This Row],[Floor]],$B$4:$B$315,LintelTable[[#This Row],[Room]]),"")</f>
        <v/>
      </c>
    </row>
    <row r="240" spans="1:7" x14ac:dyDescent="0.2">
      <c r="A240" s="1143">
        <f>'Lintel Sheet'!B241</f>
        <v>0</v>
      </c>
      <c r="B240" s="1143">
        <f>'Lintel Sheet'!D241</f>
        <v>0</v>
      </c>
      <c r="C240" s="1143">
        <f>'Lintel Sheet'!H241</f>
        <v>0</v>
      </c>
      <c r="D240" s="1143" t="str">
        <f>IF(LintelTable[[#This Row],[Floor]]&gt;0,LintelTable[[#This Row],[Column1]]&amp;" / "&amp;'Lintel Sheet'!$I241,"")</f>
        <v/>
      </c>
      <c r="E240" s="1143" t="str">
        <f>IF('Lintel Sheet'!$B241&lt;&gt;"",IF(Coastal="Yes","Duplex","Galvanised"),"")</f>
        <v/>
      </c>
      <c r="F240">
        <f t="shared" si="4"/>
        <v>0</v>
      </c>
      <c r="G240" t="str">
        <f>IF(A240&gt;0,COUNTIFS($D$4:$D$315,LintelTable[[#This Row],[Length]],$C$4:$C$315,LintelTable[[#This Row],[Lintel]],$E$4:$E$315,LintelTable[[#This Row],[Treatment]],$A$4:$A$315,LintelTable[[#This Row],[Floor]],$B$4:$B$315,LintelTable[[#This Row],[Room]]),"")</f>
        <v/>
      </c>
    </row>
    <row r="241" spans="1:7" x14ac:dyDescent="0.2">
      <c r="A241" s="1143">
        <f>'Lintel Sheet'!B242</f>
        <v>0</v>
      </c>
      <c r="B241" s="1143">
        <f>'Lintel Sheet'!D242</f>
        <v>0</v>
      </c>
      <c r="C241" s="1143">
        <f>'Lintel Sheet'!H242</f>
        <v>0</v>
      </c>
      <c r="D241" s="1143" t="str">
        <f>IF(LintelTable[[#This Row],[Floor]]&gt;0,LintelTable[[#This Row],[Column1]]&amp;" / "&amp;'Lintel Sheet'!$I242,"")</f>
        <v/>
      </c>
      <c r="E241" s="1143" t="str">
        <f>IF('Lintel Sheet'!$B242&lt;&gt;"",IF(Coastal="Yes","Duplex","Galvanised"),"")</f>
        <v/>
      </c>
      <c r="F241">
        <f t="shared" si="4"/>
        <v>0</v>
      </c>
      <c r="G241" t="str">
        <f>IF(A241&gt;0,COUNTIFS($D$4:$D$315,LintelTable[[#This Row],[Length]],$C$4:$C$315,LintelTable[[#This Row],[Lintel]],$E$4:$E$315,LintelTable[[#This Row],[Treatment]],$A$4:$A$315,LintelTable[[#This Row],[Floor]],$B$4:$B$315,LintelTable[[#This Row],[Room]]),"")</f>
        <v/>
      </c>
    </row>
    <row r="242" spans="1:7" x14ac:dyDescent="0.2">
      <c r="A242" s="1143">
        <f>'Lintel Sheet'!B243</f>
        <v>0</v>
      </c>
      <c r="B242" s="1143">
        <f>'Lintel Sheet'!D243</f>
        <v>0</v>
      </c>
      <c r="C242" s="1143">
        <f>'Lintel Sheet'!H243</f>
        <v>0</v>
      </c>
      <c r="D242" s="1143" t="str">
        <f>IF(LintelTable[[#This Row],[Floor]]&gt;0,LintelTable[[#This Row],[Column1]]&amp;" / "&amp;'Lintel Sheet'!$I243,"")</f>
        <v/>
      </c>
      <c r="E242" s="1143" t="str">
        <f>IF('Lintel Sheet'!$B243&lt;&gt;"",IF(Coastal="Yes","Duplex","Galvanised"),"")</f>
        <v/>
      </c>
      <c r="F242">
        <f t="shared" si="4"/>
        <v>0</v>
      </c>
      <c r="G242" t="str">
        <f>IF(A242&gt;0,COUNTIFS($D$4:$D$315,LintelTable[[#This Row],[Length]],$C$4:$C$315,LintelTable[[#This Row],[Lintel]],$E$4:$E$315,LintelTable[[#This Row],[Treatment]],$A$4:$A$315,LintelTable[[#This Row],[Floor]],$B$4:$B$315,LintelTable[[#This Row],[Room]]),"")</f>
        <v/>
      </c>
    </row>
    <row r="243" spans="1:7" x14ac:dyDescent="0.2">
      <c r="A243" s="1143">
        <f>'Lintel Sheet'!B244</f>
        <v>0</v>
      </c>
      <c r="B243" s="1143">
        <f>'Lintel Sheet'!D244</f>
        <v>0</v>
      </c>
      <c r="C243" s="1143">
        <f>'Lintel Sheet'!H244</f>
        <v>0</v>
      </c>
      <c r="D243" s="1143" t="str">
        <f>IF(LintelTable[[#This Row],[Floor]]&gt;0,LintelTable[[#This Row],[Column1]]&amp;" / "&amp;'Lintel Sheet'!$I244,"")</f>
        <v/>
      </c>
      <c r="E243" s="1143" t="str">
        <f>IF('Lintel Sheet'!$B244&lt;&gt;"",IF(Coastal="Yes","Duplex","Galvanised"),"")</f>
        <v/>
      </c>
      <c r="F243">
        <f t="shared" si="4"/>
        <v>0</v>
      </c>
      <c r="G243" t="str">
        <f>IF(A243&gt;0,COUNTIFS($D$4:$D$315,LintelTable[[#This Row],[Length]],$C$4:$C$315,LintelTable[[#This Row],[Lintel]],$E$4:$E$315,LintelTable[[#This Row],[Treatment]],$A$4:$A$315,LintelTable[[#This Row],[Floor]],$B$4:$B$315,LintelTable[[#This Row],[Room]]),"")</f>
        <v/>
      </c>
    </row>
    <row r="244" spans="1:7" x14ac:dyDescent="0.2">
      <c r="A244" s="1143">
        <f>'Lintel Sheet'!B245</f>
        <v>0</v>
      </c>
      <c r="B244" s="1143">
        <f>'Lintel Sheet'!D245</f>
        <v>0</v>
      </c>
      <c r="C244" s="1143">
        <f>'Lintel Sheet'!H245</f>
        <v>0</v>
      </c>
      <c r="D244" s="1143" t="str">
        <f>IF(LintelTable[[#This Row],[Floor]]&gt;0,LintelTable[[#This Row],[Column1]]&amp;" / "&amp;'Lintel Sheet'!$I245,"")</f>
        <v/>
      </c>
      <c r="E244" s="1143" t="str">
        <f>IF('Lintel Sheet'!$B245&lt;&gt;"",IF(Coastal="Yes","Duplex","Galvanised"),"")</f>
        <v/>
      </c>
      <c r="F244">
        <f t="shared" si="4"/>
        <v>0</v>
      </c>
      <c r="G244" t="str">
        <f>IF(A244&gt;0,COUNTIFS($D$4:$D$315,LintelTable[[#This Row],[Length]],$C$4:$C$315,LintelTable[[#This Row],[Lintel]],$E$4:$E$315,LintelTable[[#This Row],[Treatment]],$A$4:$A$315,LintelTable[[#This Row],[Floor]],$B$4:$B$315,LintelTable[[#This Row],[Room]]),"")</f>
        <v/>
      </c>
    </row>
    <row r="245" spans="1:7" x14ac:dyDescent="0.2">
      <c r="A245" s="1143">
        <f>'Lintel Sheet'!B246</f>
        <v>0</v>
      </c>
      <c r="B245" s="1143">
        <f>'Lintel Sheet'!D246</f>
        <v>0</v>
      </c>
      <c r="C245" s="1143">
        <f>'Lintel Sheet'!H246</f>
        <v>0</v>
      </c>
      <c r="D245" s="1143" t="str">
        <f>IF(LintelTable[[#This Row],[Floor]]&gt;0,LintelTable[[#This Row],[Column1]]&amp;" / "&amp;'Lintel Sheet'!$I246,"")</f>
        <v/>
      </c>
      <c r="E245" s="1143" t="str">
        <f>IF('Lintel Sheet'!$B246&lt;&gt;"",IF(Coastal="Yes","Duplex","Galvanised"),"")</f>
        <v/>
      </c>
      <c r="F245">
        <f t="shared" si="4"/>
        <v>0</v>
      </c>
      <c r="G245" t="str">
        <f>IF(A245&gt;0,COUNTIFS($D$4:$D$315,LintelTable[[#This Row],[Length]],$C$4:$C$315,LintelTable[[#This Row],[Lintel]],$E$4:$E$315,LintelTable[[#This Row],[Treatment]],$A$4:$A$315,LintelTable[[#This Row],[Floor]],$B$4:$B$315,LintelTable[[#This Row],[Room]]),"")</f>
        <v/>
      </c>
    </row>
    <row r="246" spans="1:7" x14ac:dyDescent="0.2">
      <c r="A246" s="1143">
        <f>'Lintel Sheet'!B247</f>
        <v>0</v>
      </c>
      <c r="B246" s="1143">
        <f>'Lintel Sheet'!D247</f>
        <v>0</v>
      </c>
      <c r="C246" s="1143">
        <f>'Lintel Sheet'!H247</f>
        <v>0</v>
      </c>
      <c r="D246" s="1143" t="str">
        <f>IF(LintelTable[[#This Row],[Floor]]&gt;0,LintelTable[[#This Row],[Column1]]&amp;" / "&amp;'Lintel Sheet'!$I247,"")</f>
        <v/>
      </c>
      <c r="E246" s="1143" t="str">
        <f>IF('Lintel Sheet'!$B247&lt;&gt;"",IF(Coastal="Yes","Duplex","Galvanised"),"")</f>
        <v/>
      </c>
      <c r="F246">
        <f t="shared" si="4"/>
        <v>0</v>
      </c>
      <c r="G246" t="str">
        <f>IF(A246&gt;0,COUNTIFS($D$4:$D$315,LintelTable[[#This Row],[Length]],$C$4:$C$315,LintelTable[[#This Row],[Lintel]],$E$4:$E$315,LintelTable[[#This Row],[Treatment]],$A$4:$A$315,LintelTable[[#This Row],[Floor]],$B$4:$B$315,LintelTable[[#This Row],[Room]]),"")</f>
        <v/>
      </c>
    </row>
    <row r="247" spans="1:7" x14ac:dyDescent="0.2">
      <c r="A247" s="1143">
        <f>'Lintel Sheet'!B248</f>
        <v>0</v>
      </c>
      <c r="B247" s="1143">
        <f>'Lintel Sheet'!D248</f>
        <v>0</v>
      </c>
      <c r="C247" s="1143">
        <f>'Lintel Sheet'!H248</f>
        <v>0</v>
      </c>
      <c r="D247" s="1143" t="str">
        <f>IF(LintelTable[[#This Row],[Floor]]&gt;0,LintelTable[[#This Row],[Column1]]&amp;" / "&amp;'Lintel Sheet'!$I248,"")</f>
        <v/>
      </c>
      <c r="E247" s="1143" t="str">
        <f>IF('Lintel Sheet'!$B248&lt;&gt;"",IF(Coastal="Yes","Duplex","Galvanised"),"")</f>
        <v/>
      </c>
      <c r="F247">
        <f t="shared" si="4"/>
        <v>0</v>
      </c>
      <c r="G247" t="str">
        <f>IF(A247&gt;0,COUNTIFS($D$4:$D$315,LintelTable[[#This Row],[Length]],$C$4:$C$315,LintelTable[[#This Row],[Lintel]],$E$4:$E$315,LintelTable[[#This Row],[Treatment]],$A$4:$A$315,LintelTable[[#This Row],[Floor]],$B$4:$B$315,LintelTable[[#This Row],[Room]]),"")</f>
        <v/>
      </c>
    </row>
    <row r="248" spans="1:7" x14ac:dyDescent="0.2">
      <c r="A248" s="1143">
        <f>'Lintel Sheet'!B249</f>
        <v>0</v>
      </c>
      <c r="B248" s="1143">
        <f>'Lintel Sheet'!D249</f>
        <v>0</v>
      </c>
      <c r="C248" s="1143">
        <f>'Lintel Sheet'!H249</f>
        <v>0</v>
      </c>
      <c r="D248" s="1143" t="str">
        <f>IF(LintelTable[[#This Row],[Floor]]&gt;0,LintelTable[[#This Row],[Column1]]&amp;" / "&amp;'Lintel Sheet'!$I249,"")</f>
        <v/>
      </c>
      <c r="E248" s="1143" t="str">
        <f>IF('Lintel Sheet'!$B249&lt;&gt;"",IF(Coastal="Yes","Duplex","Galvanised"),"")</f>
        <v/>
      </c>
      <c r="F248">
        <f t="shared" si="4"/>
        <v>0</v>
      </c>
      <c r="G248" t="str">
        <f>IF(A248&gt;0,COUNTIFS($D$4:$D$315,LintelTable[[#This Row],[Length]],$C$4:$C$315,LintelTable[[#This Row],[Lintel]],$E$4:$E$315,LintelTable[[#This Row],[Treatment]],$A$4:$A$315,LintelTable[[#This Row],[Floor]],$B$4:$B$315,LintelTable[[#This Row],[Room]]),"")</f>
        <v/>
      </c>
    </row>
    <row r="249" spans="1:7" x14ac:dyDescent="0.2">
      <c r="A249" s="1143">
        <f>'Lintel Sheet'!B250</f>
        <v>0</v>
      </c>
      <c r="B249" s="1143">
        <f>'Lintel Sheet'!D250</f>
        <v>0</v>
      </c>
      <c r="C249" s="1143">
        <f>'Lintel Sheet'!H250</f>
        <v>0</v>
      </c>
      <c r="D249" s="1143" t="str">
        <f>IF(LintelTable[[#This Row],[Floor]]&gt;0,LintelTable[[#This Row],[Column1]]&amp;" / "&amp;'Lintel Sheet'!$I250,"")</f>
        <v/>
      </c>
      <c r="E249" s="1143" t="str">
        <f>IF('Lintel Sheet'!$B250&lt;&gt;"",IF(Coastal="Yes","Duplex","Galvanised"),"")</f>
        <v/>
      </c>
      <c r="F249">
        <f t="shared" si="4"/>
        <v>0</v>
      </c>
      <c r="G249" t="str">
        <f>IF(A249&gt;0,COUNTIFS($D$4:$D$315,LintelTable[[#This Row],[Length]],$C$4:$C$315,LintelTable[[#This Row],[Lintel]],$E$4:$E$315,LintelTable[[#This Row],[Treatment]],$A$4:$A$315,LintelTable[[#This Row],[Floor]],$B$4:$B$315,LintelTable[[#This Row],[Room]]),"")</f>
        <v/>
      </c>
    </row>
    <row r="250" spans="1:7" x14ac:dyDescent="0.2">
      <c r="A250" s="1143">
        <f>'Lintel Sheet'!B251</f>
        <v>0</v>
      </c>
      <c r="B250" s="1143">
        <f>'Lintel Sheet'!D251</f>
        <v>0</v>
      </c>
      <c r="C250" s="1143">
        <f>'Lintel Sheet'!H251</f>
        <v>0</v>
      </c>
      <c r="D250" s="1143" t="str">
        <f>IF(LintelTable[[#This Row],[Floor]]&gt;0,LintelTable[[#This Row],[Column1]]&amp;" / "&amp;'Lintel Sheet'!$I251,"")</f>
        <v/>
      </c>
      <c r="E250" s="1143" t="str">
        <f>IF('Lintel Sheet'!$B251&lt;&gt;"",IF(Coastal="Yes","Duplex","Galvanised"),"")</f>
        <v/>
      </c>
      <c r="F250">
        <f t="shared" si="4"/>
        <v>0</v>
      </c>
      <c r="G250" t="str">
        <f>IF(A250&gt;0,COUNTIFS($D$4:$D$315,LintelTable[[#This Row],[Length]],$C$4:$C$315,LintelTable[[#This Row],[Lintel]],$E$4:$E$315,LintelTable[[#This Row],[Treatment]],$A$4:$A$315,LintelTable[[#This Row],[Floor]],$B$4:$B$315,LintelTable[[#This Row],[Room]]),"")</f>
        <v/>
      </c>
    </row>
    <row r="251" spans="1:7" x14ac:dyDescent="0.2">
      <c r="A251" s="1143">
        <f>'Lintel Sheet'!B252</f>
        <v>0</v>
      </c>
      <c r="B251" s="1143">
        <f>'Lintel Sheet'!D252</f>
        <v>0</v>
      </c>
      <c r="C251" s="1143">
        <f>'Lintel Sheet'!H252</f>
        <v>0</v>
      </c>
      <c r="D251" s="1143" t="str">
        <f>IF(LintelTable[[#This Row],[Floor]]&gt;0,LintelTable[[#This Row],[Column1]]&amp;" / "&amp;'Lintel Sheet'!$I252,"")</f>
        <v/>
      </c>
      <c r="E251" s="1143" t="str">
        <f>IF('Lintel Sheet'!$B252&lt;&gt;"",IF(Coastal="Yes","Duplex","Galvanised"),"")</f>
        <v/>
      </c>
      <c r="F251">
        <f t="shared" si="4"/>
        <v>0</v>
      </c>
      <c r="G251" t="str">
        <f>IF(A251&gt;0,COUNTIFS($D$4:$D$315,LintelTable[[#This Row],[Length]],$C$4:$C$315,LintelTable[[#This Row],[Lintel]],$E$4:$E$315,LintelTable[[#This Row],[Treatment]],$A$4:$A$315,LintelTable[[#This Row],[Floor]],$B$4:$B$315,LintelTable[[#This Row],[Room]]),"")</f>
        <v/>
      </c>
    </row>
    <row r="252" spans="1:7" x14ac:dyDescent="0.2">
      <c r="A252" s="1143">
        <f>'Lintel Sheet'!B253</f>
        <v>0</v>
      </c>
      <c r="B252" s="1143">
        <f>'Lintel Sheet'!D253</f>
        <v>0</v>
      </c>
      <c r="C252" s="1143">
        <f>'Lintel Sheet'!H253</f>
        <v>0</v>
      </c>
      <c r="D252" s="1143" t="str">
        <f>IF(LintelTable[[#This Row],[Floor]]&gt;0,LintelTable[[#This Row],[Column1]]&amp;" / "&amp;'Lintel Sheet'!$I253,"")</f>
        <v/>
      </c>
      <c r="E252" s="1143" t="str">
        <f>IF('Lintel Sheet'!$B253&lt;&gt;"",IF(Coastal="Yes","Duplex","Galvanised"),"")</f>
        <v/>
      </c>
      <c r="F252">
        <f t="shared" si="4"/>
        <v>0</v>
      </c>
      <c r="G252" t="str">
        <f>IF(A252&gt;0,COUNTIFS($D$4:$D$315,LintelTable[[#This Row],[Length]],$C$4:$C$315,LintelTable[[#This Row],[Lintel]],$E$4:$E$315,LintelTable[[#This Row],[Treatment]],$A$4:$A$315,LintelTable[[#This Row],[Floor]],$B$4:$B$315,LintelTable[[#This Row],[Room]]),"")</f>
        <v/>
      </c>
    </row>
    <row r="253" spans="1:7" x14ac:dyDescent="0.2">
      <c r="A253" s="1143">
        <f>'Lintel Sheet'!B254</f>
        <v>0</v>
      </c>
      <c r="B253" s="1143">
        <f>'Lintel Sheet'!D254</f>
        <v>0</v>
      </c>
      <c r="C253" s="1143">
        <f>'Lintel Sheet'!H254</f>
        <v>0</v>
      </c>
      <c r="D253" s="1143" t="str">
        <f>IF(LintelTable[[#This Row],[Floor]]&gt;0,LintelTable[[#This Row],[Column1]]&amp;" / "&amp;'Lintel Sheet'!$I254,"")</f>
        <v/>
      </c>
      <c r="E253" s="1143" t="str">
        <f>IF('Lintel Sheet'!$B254&lt;&gt;"",IF(Coastal="Yes","Duplex","Galvanised"),"")</f>
        <v/>
      </c>
      <c r="F253">
        <f t="shared" si="4"/>
        <v>0</v>
      </c>
      <c r="G253" t="str">
        <f>IF(A253&gt;0,COUNTIFS($D$4:$D$315,LintelTable[[#This Row],[Length]],$C$4:$C$315,LintelTable[[#This Row],[Lintel]],$E$4:$E$315,LintelTable[[#This Row],[Treatment]],$A$4:$A$315,LintelTable[[#This Row],[Floor]],$B$4:$B$315,LintelTable[[#This Row],[Room]]),"")</f>
        <v/>
      </c>
    </row>
    <row r="254" spans="1:7" x14ac:dyDescent="0.2">
      <c r="A254" s="1143">
        <f>'Lintel Sheet'!B255</f>
        <v>0</v>
      </c>
      <c r="B254" s="1143">
        <f>'Lintel Sheet'!D255</f>
        <v>0</v>
      </c>
      <c r="C254" s="1143">
        <f>'Lintel Sheet'!H255</f>
        <v>0</v>
      </c>
      <c r="D254" s="1143" t="str">
        <f>IF(LintelTable[[#This Row],[Floor]]&gt;0,LintelTable[[#This Row],[Column1]]&amp;" / "&amp;'Lintel Sheet'!$I255,"")</f>
        <v/>
      </c>
      <c r="E254" s="1143" t="str">
        <f>IF('Lintel Sheet'!$B255&lt;&gt;"",IF(Coastal="Yes","Duplex","Galvanised"),"")</f>
        <v/>
      </c>
      <c r="F254">
        <f t="shared" si="4"/>
        <v>0</v>
      </c>
      <c r="G254" t="str">
        <f>IF(A254&gt;0,COUNTIFS($D$4:$D$315,LintelTable[[#This Row],[Length]],$C$4:$C$315,LintelTable[[#This Row],[Lintel]],$E$4:$E$315,LintelTable[[#This Row],[Treatment]],$A$4:$A$315,LintelTable[[#This Row],[Floor]],$B$4:$B$315,LintelTable[[#This Row],[Room]]),"")</f>
        <v/>
      </c>
    </row>
    <row r="255" spans="1:7" x14ac:dyDescent="0.2">
      <c r="A255" s="1143">
        <f>'Lintel Sheet'!B256</f>
        <v>0</v>
      </c>
      <c r="B255" s="1143">
        <f>'Lintel Sheet'!D256</f>
        <v>0</v>
      </c>
      <c r="C255" s="1143">
        <f>'Lintel Sheet'!H256</f>
        <v>0</v>
      </c>
      <c r="D255" s="1143" t="str">
        <f>IF(LintelTable[[#This Row],[Floor]]&gt;0,LintelTable[[#This Row],[Column1]]&amp;" / "&amp;'Lintel Sheet'!$I256,"")</f>
        <v/>
      </c>
      <c r="E255" s="1143" t="str">
        <f>IF('Lintel Sheet'!$B256&lt;&gt;"",IF(Coastal="Yes","Duplex","Galvanised"),"")</f>
        <v/>
      </c>
      <c r="F255">
        <f t="shared" si="4"/>
        <v>0</v>
      </c>
      <c r="G255" t="str">
        <f>IF(A255&gt;0,COUNTIFS($D$4:$D$315,LintelTable[[#This Row],[Length]],$C$4:$C$315,LintelTable[[#This Row],[Lintel]],$E$4:$E$315,LintelTable[[#This Row],[Treatment]],$A$4:$A$315,LintelTable[[#This Row],[Floor]],$B$4:$B$315,LintelTable[[#This Row],[Room]]),"")</f>
        <v/>
      </c>
    </row>
    <row r="256" spans="1:7" x14ac:dyDescent="0.2">
      <c r="A256" s="1143">
        <f>'Lintel Sheet'!B257</f>
        <v>0</v>
      </c>
      <c r="B256" s="1143">
        <f>'Lintel Sheet'!D257</f>
        <v>0</v>
      </c>
      <c r="C256" s="1143">
        <f>'Lintel Sheet'!H257</f>
        <v>0</v>
      </c>
      <c r="D256" s="1143" t="str">
        <f>IF(LintelTable[[#This Row],[Floor]]&gt;0,LintelTable[[#This Row],[Column1]]&amp;" / "&amp;'Lintel Sheet'!$I257,"")</f>
        <v/>
      </c>
      <c r="E256" s="1143" t="str">
        <f>IF('Lintel Sheet'!$B257&lt;&gt;"",IF(Coastal="Yes","Duplex","Galvanised"),"")</f>
        <v/>
      </c>
      <c r="F256">
        <f t="shared" si="4"/>
        <v>0</v>
      </c>
      <c r="G256" t="str">
        <f>IF(A256&gt;0,COUNTIFS($D$4:$D$315,LintelTable[[#This Row],[Length]],$C$4:$C$315,LintelTable[[#This Row],[Lintel]],$E$4:$E$315,LintelTable[[#This Row],[Treatment]],$A$4:$A$315,LintelTable[[#This Row],[Floor]],$B$4:$B$315,LintelTable[[#This Row],[Room]]),"")</f>
        <v/>
      </c>
    </row>
    <row r="257" spans="1:7" x14ac:dyDescent="0.2">
      <c r="A257" s="1143">
        <f>'Lintel Sheet'!B258</f>
        <v>0</v>
      </c>
      <c r="B257" s="1143">
        <f>'Lintel Sheet'!D258</f>
        <v>0</v>
      </c>
      <c r="C257" s="1143">
        <f>'Lintel Sheet'!H258</f>
        <v>0</v>
      </c>
      <c r="D257" s="1143" t="str">
        <f>IF(LintelTable[[#This Row],[Floor]]&gt;0,LintelTable[[#This Row],[Column1]]&amp;" / "&amp;'Lintel Sheet'!$I258,"")</f>
        <v/>
      </c>
      <c r="E257" s="1143" t="str">
        <f>IF('Lintel Sheet'!$B258&lt;&gt;"",IF(Coastal="Yes","Duplex","Galvanised"),"")</f>
        <v/>
      </c>
      <c r="F257">
        <f t="shared" si="4"/>
        <v>0</v>
      </c>
      <c r="G257" t="str">
        <f>IF(A257&gt;0,COUNTIFS($D$4:$D$315,LintelTable[[#This Row],[Length]],$C$4:$C$315,LintelTable[[#This Row],[Lintel]],$E$4:$E$315,LintelTable[[#This Row],[Treatment]],$A$4:$A$315,LintelTable[[#This Row],[Floor]],$B$4:$B$315,LintelTable[[#This Row],[Room]]),"")</f>
        <v/>
      </c>
    </row>
    <row r="258" spans="1:7" x14ac:dyDescent="0.2">
      <c r="A258" s="1143">
        <f>'Lintel Sheet'!B259</f>
        <v>0</v>
      </c>
      <c r="B258" s="1143">
        <f>'Lintel Sheet'!D259</f>
        <v>0</v>
      </c>
      <c r="C258" s="1143">
        <f>'Lintel Sheet'!H259</f>
        <v>0</v>
      </c>
      <c r="D258" s="1143" t="str">
        <f>IF(LintelTable[[#This Row],[Floor]]&gt;0,LintelTable[[#This Row],[Column1]]&amp;" / "&amp;'Lintel Sheet'!$I259,"")</f>
        <v/>
      </c>
      <c r="E258" s="1143" t="str">
        <f>IF('Lintel Sheet'!$B259&lt;&gt;"",IF(Coastal="Yes","Duplex","Galvanised"),"")</f>
        <v/>
      </c>
      <c r="F258">
        <f t="shared" si="4"/>
        <v>0</v>
      </c>
      <c r="G258" t="str">
        <f>IF(A258&gt;0,COUNTIFS($D$4:$D$315,LintelTable[[#This Row],[Length]],$C$4:$C$315,LintelTable[[#This Row],[Lintel]],$E$4:$E$315,LintelTable[[#This Row],[Treatment]],$A$4:$A$315,LintelTable[[#This Row],[Floor]],$B$4:$B$315,LintelTable[[#This Row],[Room]]),"")</f>
        <v/>
      </c>
    </row>
    <row r="259" spans="1:7" x14ac:dyDescent="0.2">
      <c r="A259" s="1143">
        <f>'Lintel Sheet'!B260</f>
        <v>0</v>
      </c>
      <c r="B259" s="1143">
        <f>'Lintel Sheet'!D260</f>
        <v>0</v>
      </c>
      <c r="C259" s="1143">
        <f>'Lintel Sheet'!H260</f>
        <v>0</v>
      </c>
      <c r="D259" s="1143" t="str">
        <f>IF(LintelTable[[#This Row],[Floor]]&gt;0,LintelTable[[#This Row],[Column1]]&amp;" / "&amp;'Lintel Sheet'!$I260,"")</f>
        <v/>
      </c>
      <c r="E259" s="1143" t="str">
        <f>IF('Lintel Sheet'!$B260&lt;&gt;"",IF(Coastal="Yes","Duplex","Galvanised"),"")</f>
        <v/>
      </c>
      <c r="F259">
        <f t="shared" si="4"/>
        <v>0</v>
      </c>
      <c r="G259" t="str">
        <f>IF(A259&gt;0,COUNTIFS($D$4:$D$315,LintelTable[[#This Row],[Length]],$C$4:$C$315,LintelTable[[#This Row],[Lintel]],$E$4:$E$315,LintelTable[[#This Row],[Treatment]],$A$4:$A$315,LintelTable[[#This Row],[Floor]],$B$4:$B$315,LintelTable[[#This Row],[Room]]),"")</f>
        <v/>
      </c>
    </row>
    <row r="260" spans="1:7" x14ac:dyDescent="0.2">
      <c r="A260" s="1143">
        <f>'Lintel Sheet'!B261</f>
        <v>0</v>
      </c>
      <c r="B260" s="1143">
        <f>'Lintel Sheet'!D261</f>
        <v>0</v>
      </c>
      <c r="C260" s="1143">
        <f>'Lintel Sheet'!H261</f>
        <v>0</v>
      </c>
      <c r="D260" s="1143" t="str">
        <f>IF(LintelTable[[#This Row],[Floor]]&gt;0,LintelTable[[#This Row],[Column1]]&amp;" / "&amp;'Lintel Sheet'!$I261,"")</f>
        <v/>
      </c>
      <c r="E260" s="1143" t="str">
        <f>IF('Lintel Sheet'!$B261&lt;&gt;"",IF(Coastal="Yes","Duplex","Galvanised"),"")</f>
        <v/>
      </c>
      <c r="F260">
        <f t="shared" si="4"/>
        <v>0</v>
      </c>
      <c r="G260" t="str">
        <f>IF(A260&gt;0,COUNTIFS($D$4:$D$315,LintelTable[[#This Row],[Length]],$C$4:$C$315,LintelTable[[#This Row],[Lintel]],$E$4:$E$315,LintelTable[[#This Row],[Treatment]],$A$4:$A$315,LintelTable[[#This Row],[Floor]],$B$4:$B$315,LintelTable[[#This Row],[Room]]),"")</f>
        <v/>
      </c>
    </row>
    <row r="261" spans="1:7" x14ac:dyDescent="0.2">
      <c r="A261" s="1143">
        <f>'Lintel Sheet'!B262</f>
        <v>0</v>
      </c>
      <c r="B261" s="1143">
        <f>'Lintel Sheet'!D262</f>
        <v>0</v>
      </c>
      <c r="C261" s="1143">
        <f>'Lintel Sheet'!H262</f>
        <v>0</v>
      </c>
      <c r="D261" s="1143" t="str">
        <f>IF(LintelTable[[#This Row],[Floor]]&gt;0,LintelTable[[#This Row],[Column1]]&amp;" / "&amp;'Lintel Sheet'!$I262,"")</f>
        <v/>
      </c>
      <c r="E261" s="1143" t="str">
        <f>IF('Lintel Sheet'!$B262&lt;&gt;"",IF(Coastal="Yes","Duplex","Galvanised"),"")</f>
        <v/>
      </c>
      <c r="F261">
        <f t="shared" si="4"/>
        <v>0</v>
      </c>
      <c r="G261" t="str">
        <f>IF(A261&gt;0,COUNTIFS($D$4:$D$315,LintelTable[[#This Row],[Length]],$C$4:$C$315,LintelTable[[#This Row],[Lintel]],$E$4:$E$315,LintelTable[[#This Row],[Treatment]],$A$4:$A$315,LintelTable[[#This Row],[Floor]],$B$4:$B$315,LintelTable[[#This Row],[Room]]),"")</f>
        <v/>
      </c>
    </row>
    <row r="262" spans="1:7" x14ac:dyDescent="0.2">
      <c r="A262" s="1143">
        <f>'Lintel Sheet'!B263</f>
        <v>0</v>
      </c>
      <c r="B262" s="1143">
        <f>'Lintel Sheet'!D263</f>
        <v>0</v>
      </c>
      <c r="C262" s="1143">
        <f>'Lintel Sheet'!H263</f>
        <v>0</v>
      </c>
      <c r="D262" s="1143" t="str">
        <f>IF(LintelTable[[#This Row],[Floor]]&gt;0,LintelTable[[#This Row],[Column1]]&amp;" / "&amp;'Lintel Sheet'!$I263,"")</f>
        <v/>
      </c>
      <c r="E262" s="1143" t="str">
        <f>IF('Lintel Sheet'!$B263&lt;&gt;"",IF(Coastal="Yes","Duplex","Galvanised"),"")</f>
        <v/>
      </c>
      <c r="F262">
        <f t="shared" si="4"/>
        <v>0</v>
      </c>
      <c r="G262" t="str">
        <f>IF(A262&gt;0,COUNTIFS($D$4:$D$315,LintelTable[[#This Row],[Length]],$C$4:$C$315,LintelTable[[#This Row],[Lintel]],$E$4:$E$315,LintelTable[[#This Row],[Treatment]],$A$4:$A$315,LintelTable[[#This Row],[Floor]],$B$4:$B$315,LintelTable[[#This Row],[Room]]),"")</f>
        <v/>
      </c>
    </row>
    <row r="263" spans="1:7" x14ac:dyDescent="0.2">
      <c r="A263" s="1143">
        <f>'Lintel Sheet'!B264</f>
        <v>0</v>
      </c>
      <c r="B263" s="1143">
        <f>'Lintel Sheet'!D264</f>
        <v>0</v>
      </c>
      <c r="C263" s="1143">
        <f>'Lintel Sheet'!H264</f>
        <v>0</v>
      </c>
      <c r="D263" s="1143" t="str">
        <f>IF(LintelTable[[#This Row],[Floor]]&gt;0,LintelTable[[#This Row],[Column1]]&amp;" / "&amp;'Lintel Sheet'!$I264,"")</f>
        <v/>
      </c>
      <c r="E263" s="1143" t="str">
        <f>IF('Lintel Sheet'!$B264&lt;&gt;"",IF(Coastal="Yes","Duplex","Galvanised"),"")</f>
        <v/>
      </c>
      <c r="F263">
        <f t="shared" si="4"/>
        <v>0</v>
      </c>
      <c r="G263" t="str">
        <f>IF(A263&gt;0,COUNTIFS($D$4:$D$315,LintelTable[[#This Row],[Length]],$C$4:$C$315,LintelTable[[#This Row],[Lintel]],$E$4:$E$315,LintelTable[[#This Row],[Treatment]],$A$4:$A$315,LintelTable[[#This Row],[Floor]],$B$4:$B$315,LintelTable[[#This Row],[Room]]),"")</f>
        <v/>
      </c>
    </row>
    <row r="264" spans="1:7" x14ac:dyDescent="0.2">
      <c r="A264" s="1143">
        <f>'Lintel Sheet'!B265</f>
        <v>0</v>
      </c>
      <c r="B264" s="1143">
        <f>'Lintel Sheet'!D265</f>
        <v>0</v>
      </c>
      <c r="C264" s="1143">
        <f>'Lintel Sheet'!H265</f>
        <v>0</v>
      </c>
      <c r="D264" s="1143" t="str">
        <f>IF(LintelTable[[#This Row],[Floor]]&gt;0,LintelTable[[#This Row],[Column1]]&amp;" / "&amp;'Lintel Sheet'!$I265,"")</f>
        <v/>
      </c>
      <c r="E264" s="1143" t="str">
        <f>IF('Lintel Sheet'!$B265&lt;&gt;"",IF(Coastal="Yes","Duplex","Galvanised"),"")</f>
        <v/>
      </c>
      <c r="F264">
        <f t="shared" si="4"/>
        <v>0</v>
      </c>
      <c r="G264" t="str">
        <f>IF(A264&gt;0,COUNTIFS($D$4:$D$315,LintelTable[[#This Row],[Length]],$C$4:$C$315,LintelTable[[#This Row],[Lintel]],$E$4:$E$315,LintelTable[[#This Row],[Treatment]],$A$4:$A$315,LintelTable[[#This Row],[Floor]],$B$4:$B$315,LintelTable[[#This Row],[Room]]),"")</f>
        <v/>
      </c>
    </row>
    <row r="265" spans="1:7" x14ac:dyDescent="0.2">
      <c r="A265" s="1143">
        <f>'Lintel Sheet'!B266</f>
        <v>0</v>
      </c>
      <c r="B265" s="1143">
        <f>'Lintel Sheet'!D266</f>
        <v>0</v>
      </c>
      <c r="C265" s="1143">
        <f>'Lintel Sheet'!H266</f>
        <v>0</v>
      </c>
      <c r="D265" s="1143" t="str">
        <f>IF(LintelTable[[#This Row],[Floor]]&gt;0,LintelTable[[#This Row],[Column1]]&amp;" / "&amp;'Lintel Sheet'!$I266,"")</f>
        <v/>
      </c>
      <c r="E265" s="1143" t="str">
        <f>IF('Lintel Sheet'!$B266&lt;&gt;"",IF(Coastal="Yes","Duplex","Galvanised"),"")</f>
        <v/>
      </c>
      <c r="F265">
        <f t="shared" si="4"/>
        <v>0</v>
      </c>
      <c r="G265" t="str">
        <f>IF(A265&gt;0,COUNTIFS($D$4:$D$315,LintelTable[[#This Row],[Length]],$C$4:$C$315,LintelTable[[#This Row],[Lintel]],$E$4:$E$315,LintelTable[[#This Row],[Treatment]],$A$4:$A$315,LintelTable[[#This Row],[Floor]],$B$4:$B$315,LintelTable[[#This Row],[Room]]),"")</f>
        <v/>
      </c>
    </row>
    <row r="266" spans="1:7" x14ac:dyDescent="0.2">
      <c r="A266" s="1143">
        <f>'Lintel Sheet'!B267</f>
        <v>0</v>
      </c>
      <c r="B266" s="1143">
        <f>'Lintel Sheet'!D267</f>
        <v>0</v>
      </c>
      <c r="C266" s="1143">
        <f>'Lintel Sheet'!H267</f>
        <v>0</v>
      </c>
      <c r="D266" s="1143" t="str">
        <f>IF(LintelTable[[#This Row],[Floor]]&gt;0,LintelTable[[#This Row],[Column1]]&amp;" / "&amp;'Lintel Sheet'!$I267,"")</f>
        <v/>
      </c>
      <c r="E266" s="1143" t="str">
        <f>IF('Lintel Sheet'!$B267&lt;&gt;"",IF(Coastal="Yes","Duplex","Galvanised"),"")</f>
        <v/>
      </c>
      <c r="F266">
        <f t="shared" si="4"/>
        <v>0</v>
      </c>
      <c r="G266" t="str">
        <f>IF(A266&gt;0,COUNTIFS($D$4:$D$315,LintelTable[[#This Row],[Length]],$C$4:$C$315,LintelTable[[#This Row],[Lintel]],$E$4:$E$315,LintelTable[[#This Row],[Treatment]],$A$4:$A$315,LintelTable[[#This Row],[Floor]],$B$4:$B$315,LintelTable[[#This Row],[Room]]),"")</f>
        <v/>
      </c>
    </row>
    <row r="267" spans="1:7" x14ac:dyDescent="0.2">
      <c r="A267" s="1143">
        <f>'Lintel Sheet'!B268</f>
        <v>0</v>
      </c>
      <c r="B267" s="1143">
        <f>'Lintel Sheet'!D268</f>
        <v>0</v>
      </c>
      <c r="C267" s="1143">
        <f>'Lintel Sheet'!H268</f>
        <v>0</v>
      </c>
      <c r="D267" s="1143" t="str">
        <f>IF(LintelTable[[#This Row],[Floor]]&gt;0,LintelTable[[#This Row],[Column1]]&amp;" / "&amp;'Lintel Sheet'!$I268,"")</f>
        <v/>
      </c>
      <c r="E267" s="1143" t="str">
        <f>IF('Lintel Sheet'!$B268&lt;&gt;"",IF(Coastal="Yes","Duplex","Galvanised"),"")</f>
        <v/>
      </c>
      <c r="F267">
        <f t="shared" si="4"/>
        <v>0</v>
      </c>
      <c r="G267" t="str">
        <f>IF(A267&gt;0,COUNTIFS($D$4:$D$315,LintelTable[[#This Row],[Length]],$C$4:$C$315,LintelTable[[#This Row],[Lintel]],$E$4:$E$315,LintelTable[[#This Row],[Treatment]],$A$4:$A$315,LintelTable[[#This Row],[Floor]],$B$4:$B$315,LintelTable[[#This Row],[Room]]),"")</f>
        <v/>
      </c>
    </row>
    <row r="268" spans="1:7" x14ac:dyDescent="0.2">
      <c r="A268" s="1143">
        <f>'Lintel Sheet'!B269</f>
        <v>0</v>
      </c>
      <c r="B268" s="1143">
        <f>'Lintel Sheet'!D269</f>
        <v>0</v>
      </c>
      <c r="C268" s="1143">
        <f>'Lintel Sheet'!H269</f>
        <v>0</v>
      </c>
      <c r="D268" s="1143" t="str">
        <f>IF(LintelTable[[#This Row],[Floor]]&gt;0,LintelTable[[#This Row],[Column1]]&amp;" / "&amp;'Lintel Sheet'!$I269,"")</f>
        <v/>
      </c>
      <c r="E268" s="1143" t="str">
        <f>IF('Lintel Sheet'!$B269&lt;&gt;"",IF(Coastal="Yes","Duplex","Galvanised"),"")</f>
        <v/>
      </c>
      <c r="F268">
        <f t="shared" si="4"/>
        <v>0</v>
      </c>
      <c r="G268" t="str">
        <f>IF(A268&gt;0,COUNTIFS($D$4:$D$315,LintelTable[[#This Row],[Length]],$C$4:$C$315,LintelTable[[#This Row],[Lintel]],$E$4:$E$315,LintelTable[[#This Row],[Treatment]],$A$4:$A$315,LintelTable[[#This Row],[Floor]],$B$4:$B$315,LintelTable[[#This Row],[Room]]),"")</f>
        <v/>
      </c>
    </row>
    <row r="269" spans="1:7" x14ac:dyDescent="0.2">
      <c r="A269" s="1143">
        <f>'Lintel Sheet'!B270</f>
        <v>0</v>
      </c>
      <c r="B269" s="1143">
        <f>'Lintel Sheet'!D270</f>
        <v>0</v>
      </c>
      <c r="C269" s="1143">
        <f>'Lintel Sheet'!H270</f>
        <v>0</v>
      </c>
      <c r="D269" s="1143" t="str">
        <f>IF(LintelTable[[#This Row],[Floor]]&gt;0,LintelTable[[#This Row],[Column1]]&amp;" / "&amp;'Lintel Sheet'!$I270,"")</f>
        <v/>
      </c>
      <c r="E269" s="1143" t="str">
        <f>IF('Lintel Sheet'!$B270&lt;&gt;"",IF(Coastal="Yes","Duplex","Galvanised"),"")</f>
        <v/>
      </c>
      <c r="F269">
        <f t="shared" si="4"/>
        <v>0</v>
      </c>
      <c r="G269" t="str">
        <f>IF(A269&gt;0,COUNTIFS($D$4:$D$315,LintelTable[[#This Row],[Length]],$C$4:$C$315,LintelTable[[#This Row],[Lintel]],$E$4:$E$315,LintelTable[[#This Row],[Treatment]],$A$4:$A$315,LintelTable[[#This Row],[Floor]],$B$4:$B$315,LintelTable[[#This Row],[Room]]),"")</f>
        <v/>
      </c>
    </row>
    <row r="270" spans="1:7" x14ac:dyDescent="0.2">
      <c r="A270" s="1143">
        <f>'Lintel Sheet'!B271</f>
        <v>0</v>
      </c>
      <c r="B270" s="1143">
        <f>'Lintel Sheet'!D271</f>
        <v>0</v>
      </c>
      <c r="C270" s="1143">
        <f>'Lintel Sheet'!H271</f>
        <v>0</v>
      </c>
      <c r="D270" s="1143" t="str">
        <f>IF(LintelTable[[#This Row],[Floor]]&gt;0,LintelTable[[#This Row],[Column1]]&amp;" / "&amp;'Lintel Sheet'!$I271,"")</f>
        <v/>
      </c>
      <c r="E270" s="1143" t="str">
        <f>IF('Lintel Sheet'!$B271&lt;&gt;"",IF(Coastal="Yes","Duplex","Galvanised"),"")</f>
        <v/>
      </c>
      <c r="F270">
        <f t="shared" si="4"/>
        <v>0</v>
      </c>
      <c r="G270" t="str">
        <f>IF(A270&gt;0,COUNTIFS($D$4:$D$315,LintelTable[[#This Row],[Length]],$C$4:$C$315,LintelTable[[#This Row],[Lintel]],$E$4:$E$315,LintelTable[[#This Row],[Treatment]],$A$4:$A$315,LintelTable[[#This Row],[Floor]],$B$4:$B$315,LintelTable[[#This Row],[Room]]),"")</f>
        <v/>
      </c>
    </row>
    <row r="271" spans="1:7" x14ac:dyDescent="0.2">
      <c r="A271" s="1143">
        <f>'Lintel Sheet'!B272</f>
        <v>0</v>
      </c>
      <c r="B271" s="1143">
        <f>'Lintel Sheet'!D272</f>
        <v>0</v>
      </c>
      <c r="C271" s="1143">
        <f>'Lintel Sheet'!H272</f>
        <v>0</v>
      </c>
      <c r="D271" s="1143" t="str">
        <f>IF(LintelTable[[#This Row],[Floor]]&gt;0,LintelTable[[#This Row],[Column1]]&amp;" / "&amp;'Lintel Sheet'!$I272,"")</f>
        <v/>
      </c>
      <c r="E271" s="1143" t="str">
        <f>IF('Lintel Sheet'!$B272&lt;&gt;"",IF(Coastal="Yes","Duplex","Galvanised"),"")</f>
        <v/>
      </c>
      <c r="F271">
        <f t="shared" si="4"/>
        <v>0</v>
      </c>
      <c r="G271" t="str">
        <f>IF(A271&gt;0,COUNTIFS($D$4:$D$315,LintelTable[[#This Row],[Length]],$C$4:$C$315,LintelTable[[#This Row],[Lintel]],$E$4:$E$315,LintelTable[[#This Row],[Treatment]],$A$4:$A$315,LintelTable[[#This Row],[Floor]],$B$4:$B$315,LintelTable[[#This Row],[Room]]),"")</f>
        <v/>
      </c>
    </row>
    <row r="272" spans="1:7" x14ac:dyDescent="0.2">
      <c r="A272" s="1143">
        <f>'Lintel Sheet'!B273</f>
        <v>0</v>
      </c>
      <c r="B272" s="1143">
        <f>'Lintel Sheet'!D273</f>
        <v>0</v>
      </c>
      <c r="C272" s="1143">
        <f>'Lintel Sheet'!H273</f>
        <v>0</v>
      </c>
      <c r="D272" s="1143" t="str">
        <f>IF(LintelTable[[#This Row],[Floor]]&gt;0,LintelTable[[#This Row],[Column1]]&amp;" / "&amp;'Lintel Sheet'!$I273,"")</f>
        <v/>
      </c>
      <c r="E272" s="1143" t="str">
        <f>IF('Lintel Sheet'!$B273&lt;&gt;"",IF(Coastal="Yes","Duplex","Galvanised"),"")</f>
        <v/>
      </c>
      <c r="F272">
        <f t="shared" si="4"/>
        <v>0</v>
      </c>
      <c r="G272" t="str">
        <f>IF(A272&gt;0,COUNTIFS($D$4:$D$315,LintelTable[[#This Row],[Length]],$C$4:$C$315,LintelTable[[#This Row],[Lintel]],$E$4:$E$315,LintelTable[[#This Row],[Treatment]],$A$4:$A$315,LintelTable[[#This Row],[Floor]],$B$4:$B$315,LintelTable[[#This Row],[Room]]),"")</f>
        <v/>
      </c>
    </row>
    <row r="273" spans="1:7" x14ac:dyDescent="0.2">
      <c r="A273" s="1143">
        <f>'Lintel Sheet'!B274</f>
        <v>0</v>
      </c>
      <c r="B273" s="1143">
        <f>'Lintel Sheet'!D274</f>
        <v>0</v>
      </c>
      <c r="C273" s="1143">
        <f>'Lintel Sheet'!H274</f>
        <v>0</v>
      </c>
      <c r="D273" s="1143" t="str">
        <f>IF(LintelTable[[#This Row],[Floor]]&gt;0,LintelTable[[#This Row],[Column1]]&amp;" / "&amp;'Lintel Sheet'!$I274,"")</f>
        <v/>
      </c>
      <c r="E273" s="1143" t="str">
        <f>IF('Lintel Sheet'!$B274&lt;&gt;"",IF(Coastal="Yes","Duplex","Galvanised"),"")</f>
        <v/>
      </c>
      <c r="F273">
        <f t="shared" si="4"/>
        <v>0</v>
      </c>
      <c r="G273" t="str">
        <f>IF(A273&gt;0,COUNTIFS($D$4:$D$315,LintelTable[[#This Row],[Length]],$C$4:$C$315,LintelTable[[#This Row],[Lintel]],$E$4:$E$315,LintelTable[[#This Row],[Treatment]],$A$4:$A$315,LintelTable[[#This Row],[Floor]],$B$4:$B$315,LintelTable[[#This Row],[Room]]),"")</f>
        <v/>
      </c>
    </row>
    <row r="274" spans="1:7" x14ac:dyDescent="0.2">
      <c r="A274" s="1143">
        <f>'Lintel Sheet'!B275</f>
        <v>0</v>
      </c>
      <c r="B274" s="1143">
        <f>'Lintel Sheet'!D275</f>
        <v>0</v>
      </c>
      <c r="C274" s="1143">
        <f>'Lintel Sheet'!H275</f>
        <v>0</v>
      </c>
      <c r="D274" s="1143" t="str">
        <f>IF(LintelTable[[#This Row],[Floor]]&gt;0,LintelTable[[#This Row],[Column1]]&amp;" / "&amp;'Lintel Sheet'!$I275,"")</f>
        <v/>
      </c>
      <c r="E274" s="1143" t="str">
        <f>IF('Lintel Sheet'!$B275&lt;&gt;"",IF(Coastal="Yes","Duplex","Galvanised"),"")</f>
        <v/>
      </c>
      <c r="F274">
        <f t="shared" si="4"/>
        <v>0</v>
      </c>
      <c r="G274" t="str">
        <f>IF(A274&gt;0,COUNTIFS($D$4:$D$315,LintelTable[[#This Row],[Length]],$C$4:$C$315,LintelTable[[#This Row],[Lintel]],$E$4:$E$315,LintelTable[[#This Row],[Treatment]],$A$4:$A$315,LintelTable[[#This Row],[Floor]],$B$4:$B$315,LintelTable[[#This Row],[Room]]),"")</f>
        <v/>
      </c>
    </row>
    <row r="275" spans="1:7" x14ac:dyDescent="0.2">
      <c r="A275" s="1143">
        <f>'Lintel Sheet'!B276</f>
        <v>0</v>
      </c>
      <c r="B275" s="1143">
        <f>'Lintel Sheet'!D276</f>
        <v>0</v>
      </c>
      <c r="C275" s="1143">
        <f>'Lintel Sheet'!H276</f>
        <v>0</v>
      </c>
      <c r="D275" s="1143" t="str">
        <f>IF(LintelTable[[#This Row],[Floor]]&gt;0,LintelTable[[#This Row],[Column1]]&amp;" / "&amp;'Lintel Sheet'!$I276,"")</f>
        <v/>
      </c>
      <c r="E275" s="1143" t="str">
        <f>IF('Lintel Sheet'!$B276&lt;&gt;"",IF(Coastal="Yes","Duplex","Galvanised"),"")</f>
        <v/>
      </c>
      <c r="F275">
        <f t="shared" si="4"/>
        <v>0</v>
      </c>
      <c r="G275" t="str">
        <f>IF(A275&gt;0,COUNTIFS($D$4:$D$315,LintelTable[[#This Row],[Length]],$C$4:$C$315,LintelTable[[#This Row],[Lintel]],$E$4:$E$315,LintelTable[[#This Row],[Treatment]],$A$4:$A$315,LintelTable[[#This Row],[Floor]],$B$4:$B$315,LintelTable[[#This Row],[Room]]),"")</f>
        <v/>
      </c>
    </row>
    <row r="276" spans="1:7" x14ac:dyDescent="0.2">
      <c r="A276" s="1143">
        <f>'Lintel Sheet'!B277</f>
        <v>0</v>
      </c>
      <c r="B276" s="1143">
        <f>'Lintel Sheet'!D277</f>
        <v>0</v>
      </c>
      <c r="C276" s="1143">
        <f>'Lintel Sheet'!H277</f>
        <v>0</v>
      </c>
      <c r="D276" s="1143" t="str">
        <f>IF(LintelTable[[#This Row],[Floor]]&gt;0,LintelTable[[#This Row],[Column1]]&amp;" / "&amp;'Lintel Sheet'!$I277,"")</f>
        <v/>
      </c>
      <c r="E276" s="1143" t="str">
        <f>IF('Lintel Sheet'!$B277&lt;&gt;"",IF(Coastal="Yes","Duplex","Galvanised"),"")</f>
        <v/>
      </c>
      <c r="F276">
        <f t="shared" si="4"/>
        <v>0</v>
      </c>
      <c r="G276" t="str">
        <f>IF(A276&gt;0,COUNTIFS($D$4:$D$315,LintelTable[[#This Row],[Length]],$C$4:$C$315,LintelTable[[#This Row],[Lintel]],$E$4:$E$315,LintelTable[[#This Row],[Treatment]],$A$4:$A$315,LintelTable[[#This Row],[Floor]],$B$4:$B$315,LintelTable[[#This Row],[Room]]),"")</f>
        <v/>
      </c>
    </row>
    <row r="277" spans="1:7" x14ac:dyDescent="0.2">
      <c r="A277" s="1143">
        <f>'Lintel Sheet'!B278</f>
        <v>0</v>
      </c>
      <c r="B277" s="1143">
        <f>'Lintel Sheet'!D278</f>
        <v>0</v>
      </c>
      <c r="C277" s="1143">
        <f>'Lintel Sheet'!H278</f>
        <v>0</v>
      </c>
      <c r="D277" s="1143" t="str">
        <f>IF(LintelTable[[#This Row],[Floor]]&gt;0,LintelTable[[#This Row],[Column1]]&amp;" / "&amp;'Lintel Sheet'!$I278,"")</f>
        <v/>
      </c>
      <c r="E277" s="1143" t="str">
        <f>IF('Lintel Sheet'!$B278&lt;&gt;"",IF(Coastal="Yes","Duplex","Galvanised"),"")</f>
        <v/>
      </c>
      <c r="F277">
        <f t="shared" si="4"/>
        <v>0</v>
      </c>
      <c r="G277" t="str">
        <f>IF(A277&gt;0,COUNTIFS($D$4:$D$315,LintelTable[[#This Row],[Length]],$C$4:$C$315,LintelTable[[#This Row],[Lintel]],$E$4:$E$315,LintelTable[[#This Row],[Treatment]],$A$4:$A$315,LintelTable[[#This Row],[Floor]],$B$4:$B$315,LintelTable[[#This Row],[Room]]),"")</f>
        <v/>
      </c>
    </row>
    <row r="278" spans="1:7" x14ac:dyDescent="0.2">
      <c r="A278" s="1143">
        <f>'Lintel Sheet'!B279</f>
        <v>0</v>
      </c>
      <c r="B278" s="1143">
        <f>'Lintel Sheet'!D279</f>
        <v>0</v>
      </c>
      <c r="C278" s="1143">
        <f>'Lintel Sheet'!H279</f>
        <v>0</v>
      </c>
      <c r="D278" s="1143" t="str">
        <f>IF(LintelTable[[#This Row],[Floor]]&gt;0,LintelTable[[#This Row],[Column1]]&amp;" / "&amp;'Lintel Sheet'!$I279,"")</f>
        <v/>
      </c>
      <c r="E278" s="1143" t="str">
        <f>IF('Lintel Sheet'!$B279&lt;&gt;"",IF(Coastal="Yes","Duplex","Galvanised"),"")</f>
        <v/>
      </c>
      <c r="F278">
        <f t="shared" si="4"/>
        <v>0</v>
      </c>
      <c r="G278" t="str">
        <f>IF(A278&gt;0,COUNTIFS($D$4:$D$315,LintelTable[[#This Row],[Length]],$C$4:$C$315,LintelTable[[#This Row],[Lintel]],$E$4:$E$315,LintelTable[[#This Row],[Treatment]],$A$4:$A$315,LintelTable[[#This Row],[Floor]],$B$4:$B$315,LintelTable[[#This Row],[Room]]),"")</f>
        <v/>
      </c>
    </row>
    <row r="279" spans="1:7" x14ac:dyDescent="0.2">
      <c r="A279" s="1143">
        <f>'Lintel Sheet'!B280</f>
        <v>0</v>
      </c>
      <c r="B279" s="1143">
        <f>'Lintel Sheet'!D280</f>
        <v>0</v>
      </c>
      <c r="C279" s="1143">
        <f>'Lintel Sheet'!H280</f>
        <v>0</v>
      </c>
      <c r="D279" s="1143" t="str">
        <f>IF(LintelTable[[#This Row],[Floor]]&gt;0,LintelTable[[#This Row],[Column1]]&amp;" / "&amp;'Lintel Sheet'!$I280,"")</f>
        <v/>
      </c>
      <c r="E279" s="1143" t="str">
        <f>IF('Lintel Sheet'!$B280&lt;&gt;"",IF(Coastal="Yes","Duplex","Galvanised"),"")</f>
        <v/>
      </c>
      <c r="F279">
        <f t="shared" si="4"/>
        <v>0</v>
      </c>
      <c r="G279" t="str">
        <f>IF(A279&gt;0,COUNTIFS($D$4:$D$315,LintelTable[[#This Row],[Length]],$C$4:$C$315,LintelTable[[#This Row],[Lintel]],$E$4:$E$315,LintelTable[[#This Row],[Treatment]],$A$4:$A$315,LintelTable[[#This Row],[Floor]],$B$4:$B$315,LintelTable[[#This Row],[Room]]),"")</f>
        <v/>
      </c>
    </row>
    <row r="280" spans="1:7" x14ac:dyDescent="0.2">
      <c r="A280" s="1143">
        <f>'Lintel Sheet'!B281</f>
        <v>0</v>
      </c>
      <c r="B280" s="1143">
        <f>'Lintel Sheet'!D281</f>
        <v>0</v>
      </c>
      <c r="C280" s="1143">
        <f>'Lintel Sheet'!H281</f>
        <v>0</v>
      </c>
      <c r="D280" s="1143" t="str">
        <f>IF(LintelTable[[#This Row],[Floor]]&gt;0,LintelTable[[#This Row],[Column1]]&amp;" / "&amp;'Lintel Sheet'!$I281,"")</f>
        <v/>
      </c>
      <c r="E280" s="1143" t="str">
        <f>IF('Lintel Sheet'!$B281&lt;&gt;"",IF(Coastal="Yes","Duplex","Galvanised"),"")</f>
        <v/>
      </c>
      <c r="F280">
        <f t="shared" si="4"/>
        <v>0</v>
      </c>
      <c r="G280" t="str">
        <f>IF(A280&gt;0,COUNTIFS($D$4:$D$315,LintelTable[[#This Row],[Length]],$C$4:$C$315,LintelTable[[#This Row],[Lintel]],$E$4:$E$315,LintelTable[[#This Row],[Treatment]],$A$4:$A$315,LintelTable[[#This Row],[Floor]],$B$4:$B$315,LintelTable[[#This Row],[Room]]),"")</f>
        <v/>
      </c>
    </row>
    <row r="281" spans="1:7" x14ac:dyDescent="0.2">
      <c r="A281" s="1143">
        <f>'Lintel Sheet'!B282</f>
        <v>0</v>
      </c>
      <c r="B281" s="1143">
        <f>'Lintel Sheet'!D282</f>
        <v>0</v>
      </c>
      <c r="C281" s="1143">
        <f>'Lintel Sheet'!H282</f>
        <v>0</v>
      </c>
      <c r="D281" s="1143" t="str">
        <f>IF(LintelTable[[#This Row],[Floor]]&gt;0,LintelTable[[#This Row],[Column1]]&amp;" / "&amp;'Lintel Sheet'!$I282,"")</f>
        <v/>
      </c>
      <c r="E281" s="1143" t="str">
        <f>IF('Lintel Sheet'!$B282&lt;&gt;"",IF(Coastal="Yes","Duplex","Galvanised"),"")</f>
        <v/>
      </c>
      <c r="F281">
        <f t="shared" si="4"/>
        <v>0</v>
      </c>
      <c r="G281" t="str">
        <f>IF(A281&gt;0,COUNTIFS($D$4:$D$315,LintelTable[[#This Row],[Length]],$C$4:$C$315,LintelTable[[#This Row],[Lintel]],$E$4:$E$315,LintelTable[[#This Row],[Treatment]],$A$4:$A$315,LintelTable[[#This Row],[Floor]],$B$4:$B$315,LintelTable[[#This Row],[Room]]),"")</f>
        <v/>
      </c>
    </row>
    <row r="282" spans="1:7" x14ac:dyDescent="0.2">
      <c r="A282" s="1143">
        <f>'Lintel Sheet'!B283</f>
        <v>0</v>
      </c>
      <c r="B282" s="1143">
        <f>'Lintel Sheet'!D283</f>
        <v>0</v>
      </c>
      <c r="C282" s="1143">
        <f>'Lintel Sheet'!H283</f>
        <v>0</v>
      </c>
      <c r="D282" s="1143" t="str">
        <f>IF(LintelTable[[#This Row],[Floor]]&gt;0,LintelTable[[#This Row],[Column1]]&amp;" / "&amp;'Lintel Sheet'!$I283,"")</f>
        <v/>
      </c>
      <c r="E282" s="1143" t="str">
        <f>IF('Lintel Sheet'!$B283&lt;&gt;"",IF(Coastal="Yes","Duplex","Galvanised"),"")</f>
        <v/>
      </c>
      <c r="F282">
        <f t="shared" ref="F282:F315" si="5">H282</f>
        <v>0</v>
      </c>
      <c r="G282" t="str">
        <f>IF(A282&gt;0,COUNTIFS($D$4:$D$315,LintelTable[[#This Row],[Length]],$C$4:$C$315,LintelTable[[#This Row],[Lintel]],$E$4:$E$315,LintelTable[[#This Row],[Treatment]],$A$4:$A$315,LintelTable[[#This Row],[Floor]],$B$4:$B$315,LintelTable[[#This Row],[Room]]),"")</f>
        <v/>
      </c>
    </row>
    <row r="283" spans="1:7" x14ac:dyDescent="0.2">
      <c r="A283" s="1143">
        <f>'Lintel Sheet'!B284</f>
        <v>0</v>
      </c>
      <c r="B283" s="1143">
        <f>'Lintel Sheet'!D284</f>
        <v>0</v>
      </c>
      <c r="C283" s="1143">
        <f>'Lintel Sheet'!H284</f>
        <v>0</v>
      </c>
      <c r="D283" s="1143" t="str">
        <f>IF(LintelTable[[#This Row],[Floor]]&gt;0,LintelTable[[#This Row],[Column1]]&amp;" / "&amp;'Lintel Sheet'!$I284,"")</f>
        <v/>
      </c>
      <c r="E283" s="1143" t="str">
        <f>IF('Lintel Sheet'!$B284&lt;&gt;"",IF(Coastal="Yes","Duplex","Galvanised"),"")</f>
        <v/>
      </c>
      <c r="F283">
        <f t="shared" si="5"/>
        <v>0</v>
      </c>
      <c r="G283" t="str">
        <f>IF(A283&gt;0,COUNTIFS($D$4:$D$315,LintelTable[[#This Row],[Length]],$C$4:$C$315,LintelTable[[#This Row],[Lintel]],$E$4:$E$315,LintelTable[[#This Row],[Treatment]],$A$4:$A$315,LintelTable[[#This Row],[Floor]],$B$4:$B$315,LintelTable[[#This Row],[Room]]),"")</f>
        <v/>
      </c>
    </row>
    <row r="284" spans="1:7" x14ac:dyDescent="0.2">
      <c r="A284" s="1143">
        <f>'Lintel Sheet'!B285</f>
        <v>0</v>
      </c>
      <c r="B284" s="1143">
        <f>'Lintel Sheet'!D285</f>
        <v>0</v>
      </c>
      <c r="C284" s="1143">
        <f>'Lintel Sheet'!H285</f>
        <v>0</v>
      </c>
      <c r="D284" s="1143" t="str">
        <f>IF(LintelTable[[#This Row],[Floor]]&gt;0,LintelTable[[#This Row],[Column1]]&amp;" / "&amp;'Lintel Sheet'!$I285,"")</f>
        <v/>
      </c>
      <c r="E284" s="1143" t="str">
        <f>IF('Lintel Sheet'!$B285&lt;&gt;"",IF(Coastal="Yes","Duplex","Galvanised"),"")</f>
        <v/>
      </c>
      <c r="F284">
        <f t="shared" si="5"/>
        <v>0</v>
      </c>
      <c r="G284" t="str">
        <f>IF(A284&gt;0,COUNTIFS($D$4:$D$315,LintelTable[[#This Row],[Length]],$C$4:$C$315,LintelTable[[#This Row],[Lintel]],$E$4:$E$315,LintelTable[[#This Row],[Treatment]],$A$4:$A$315,LintelTable[[#This Row],[Floor]],$B$4:$B$315,LintelTable[[#This Row],[Room]]),"")</f>
        <v/>
      </c>
    </row>
    <row r="285" spans="1:7" x14ac:dyDescent="0.2">
      <c r="A285" s="1143">
        <f>'Lintel Sheet'!B286</f>
        <v>0</v>
      </c>
      <c r="B285" s="1143">
        <f>'Lintel Sheet'!D286</f>
        <v>0</v>
      </c>
      <c r="C285" s="1143">
        <f>'Lintel Sheet'!H286</f>
        <v>0</v>
      </c>
      <c r="D285" s="1143" t="str">
        <f>IF(LintelTable[[#This Row],[Floor]]&gt;0,LintelTable[[#This Row],[Column1]]&amp;" / "&amp;'Lintel Sheet'!$I286,"")</f>
        <v/>
      </c>
      <c r="E285" s="1143" t="str">
        <f>IF('Lintel Sheet'!$B286&lt;&gt;"",IF(Coastal="Yes","Duplex","Galvanised"),"")</f>
        <v/>
      </c>
      <c r="F285">
        <f t="shared" si="5"/>
        <v>0</v>
      </c>
      <c r="G285" t="str">
        <f>IF(A285&gt;0,COUNTIFS($D$4:$D$315,LintelTable[[#This Row],[Length]],$C$4:$C$315,LintelTable[[#This Row],[Lintel]],$E$4:$E$315,LintelTable[[#This Row],[Treatment]],$A$4:$A$315,LintelTable[[#This Row],[Floor]],$B$4:$B$315,LintelTable[[#This Row],[Room]]),"")</f>
        <v/>
      </c>
    </row>
    <row r="286" spans="1:7" x14ac:dyDescent="0.2">
      <c r="A286" s="1143">
        <f>'Lintel Sheet'!B287</f>
        <v>0</v>
      </c>
      <c r="B286" s="1143">
        <f>'Lintel Sheet'!D287</f>
        <v>0</v>
      </c>
      <c r="C286" s="1143">
        <f>'Lintel Sheet'!H287</f>
        <v>0</v>
      </c>
      <c r="D286" s="1143" t="str">
        <f>IF(LintelTable[[#This Row],[Floor]]&gt;0,LintelTable[[#This Row],[Column1]]&amp;" / "&amp;'Lintel Sheet'!$I287,"")</f>
        <v/>
      </c>
      <c r="E286" s="1143" t="str">
        <f>IF('Lintel Sheet'!$B287&lt;&gt;"",IF(Coastal="Yes","Duplex","Galvanised"),"")</f>
        <v/>
      </c>
      <c r="F286">
        <f t="shared" si="5"/>
        <v>0</v>
      </c>
      <c r="G286" t="str">
        <f>IF(A286&gt;0,COUNTIFS($D$4:$D$315,LintelTable[[#This Row],[Length]],$C$4:$C$315,LintelTable[[#This Row],[Lintel]],$E$4:$E$315,LintelTable[[#This Row],[Treatment]],$A$4:$A$315,LintelTable[[#This Row],[Floor]],$B$4:$B$315,LintelTable[[#This Row],[Room]]),"")</f>
        <v/>
      </c>
    </row>
    <row r="287" spans="1:7" x14ac:dyDescent="0.2">
      <c r="A287" s="1143">
        <f>'Lintel Sheet'!B288</f>
        <v>0</v>
      </c>
      <c r="B287" s="1143">
        <f>'Lintel Sheet'!D288</f>
        <v>0</v>
      </c>
      <c r="C287" s="1143">
        <f>'Lintel Sheet'!H288</f>
        <v>0</v>
      </c>
      <c r="D287" s="1143" t="str">
        <f>IF(LintelTable[[#This Row],[Floor]]&gt;0,LintelTable[[#This Row],[Column1]]&amp;" / "&amp;'Lintel Sheet'!$I288,"")</f>
        <v/>
      </c>
      <c r="E287" s="1143" t="str">
        <f>IF('Lintel Sheet'!$B288&lt;&gt;"",IF(Coastal="Yes","Duplex","Galvanised"),"")</f>
        <v/>
      </c>
      <c r="F287">
        <f t="shared" si="5"/>
        <v>0</v>
      </c>
      <c r="G287" t="str">
        <f>IF(A287&gt;0,COUNTIFS($D$4:$D$315,LintelTable[[#This Row],[Length]],$C$4:$C$315,LintelTable[[#This Row],[Lintel]],$E$4:$E$315,LintelTable[[#This Row],[Treatment]],$A$4:$A$315,LintelTable[[#This Row],[Floor]],$B$4:$B$315,LintelTable[[#This Row],[Room]]),"")</f>
        <v/>
      </c>
    </row>
    <row r="288" spans="1:7" x14ac:dyDescent="0.2">
      <c r="A288" s="1143">
        <f>'Lintel Sheet'!B289</f>
        <v>0</v>
      </c>
      <c r="B288" s="1143">
        <f>'Lintel Sheet'!D289</f>
        <v>0</v>
      </c>
      <c r="C288" s="1143">
        <f>'Lintel Sheet'!H289</f>
        <v>0</v>
      </c>
      <c r="D288" s="1143" t="str">
        <f>IF(LintelTable[[#This Row],[Floor]]&gt;0,LintelTable[[#This Row],[Column1]]&amp;" / "&amp;'Lintel Sheet'!$I289,"")</f>
        <v/>
      </c>
      <c r="E288" s="1143" t="str">
        <f>IF('Lintel Sheet'!$B289&lt;&gt;"",IF(Coastal="Yes","Duplex","Galvanised"),"")</f>
        <v/>
      </c>
      <c r="F288">
        <f t="shared" si="5"/>
        <v>0</v>
      </c>
      <c r="G288" t="str">
        <f>IF(A288&gt;0,COUNTIFS($D$4:$D$315,LintelTable[[#This Row],[Length]],$C$4:$C$315,LintelTable[[#This Row],[Lintel]],$E$4:$E$315,LintelTable[[#This Row],[Treatment]],$A$4:$A$315,LintelTable[[#This Row],[Floor]],$B$4:$B$315,LintelTable[[#This Row],[Room]]),"")</f>
        <v/>
      </c>
    </row>
    <row r="289" spans="1:7" x14ac:dyDescent="0.2">
      <c r="A289" s="1143">
        <f>'Lintel Sheet'!B290</f>
        <v>0</v>
      </c>
      <c r="B289" s="1143">
        <f>'Lintel Sheet'!D290</f>
        <v>0</v>
      </c>
      <c r="C289" s="1143">
        <f>'Lintel Sheet'!H290</f>
        <v>0</v>
      </c>
      <c r="D289" s="1143" t="str">
        <f>IF(LintelTable[[#This Row],[Floor]]&gt;0,LintelTable[[#This Row],[Column1]]&amp;" / "&amp;'Lintel Sheet'!$I290,"")</f>
        <v/>
      </c>
      <c r="E289" s="1143" t="str">
        <f>IF('Lintel Sheet'!$B290&lt;&gt;"",IF(Coastal="Yes","Duplex","Galvanised"),"")</f>
        <v/>
      </c>
      <c r="F289">
        <f t="shared" si="5"/>
        <v>0</v>
      </c>
      <c r="G289" t="str">
        <f>IF(A289&gt;0,COUNTIFS($D$4:$D$315,LintelTable[[#This Row],[Length]],$C$4:$C$315,LintelTable[[#This Row],[Lintel]],$E$4:$E$315,LintelTable[[#This Row],[Treatment]],$A$4:$A$315,LintelTable[[#This Row],[Floor]],$B$4:$B$315,LintelTable[[#This Row],[Room]]),"")</f>
        <v/>
      </c>
    </row>
    <row r="290" spans="1:7" x14ac:dyDescent="0.2">
      <c r="A290" s="1143">
        <f>'Lintel Sheet'!B291</f>
        <v>0</v>
      </c>
      <c r="B290" s="1143">
        <f>'Lintel Sheet'!D291</f>
        <v>0</v>
      </c>
      <c r="C290" s="1143">
        <f>'Lintel Sheet'!H291</f>
        <v>0</v>
      </c>
      <c r="D290" s="1143" t="str">
        <f>IF(LintelTable[[#This Row],[Floor]]&gt;0,LintelTable[[#This Row],[Column1]]&amp;" / "&amp;'Lintel Sheet'!$I291,"")</f>
        <v/>
      </c>
      <c r="E290" s="1143" t="str">
        <f>IF('Lintel Sheet'!$B291&lt;&gt;"",IF(Coastal="Yes","Duplex","Galvanised"),"")</f>
        <v/>
      </c>
      <c r="F290">
        <f t="shared" si="5"/>
        <v>0</v>
      </c>
      <c r="G290" t="str">
        <f>IF(A290&gt;0,COUNTIFS($D$4:$D$315,LintelTable[[#This Row],[Length]],$C$4:$C$315,LintelTable[[#This Row],[Lintel]],$E$4:$E$315,LintelTable[[#This Row],[Treatment]],$A$4:$A$315,LintelTable[[#This Row],[Floor]],$B$4:$B$315,LintelTable[[#This Row],[Room]]),"")</f>
        <v/>
      </c>
    </row>
    <row r="291" spans="1:7" x14ac:dyDescent="0.2">
      <c r="A291" s="1143">
        <f>'Lintel Sheet'!B292</f>
        <v>0</v>
      </c>
      <c r="B291" s="1143">
        <f>'Lintel Sheet'!D292</f>
        <v>0</v>
      </c>
      <c r="C291" s="1143">
        <f>'Lintel Sheet'!H292</f>
        <v>0</v>
      </c>
      <c r="D291" s="1143" t="str">
        <f>IF(LintelTable[[#This Row],[Floor]]&gt;0,LintelTable[[#This Row],[Column1]]&amp;" / "&amp;'Lintel Sheet'!$I292,"")</f>
        <v/>
      </c>
      <c r="E291" s="1143" t="str">
        <f>IF('Lintel Sheet'!$B292&lt;&gt;"",IF(Coastal="Yes","Duplex","Galvanised"),"")</f>
        <v/>
      </c>
      <c r="F291">
        <f t="shared" si="5"/>
        <v>0</v>
      </c>
      <c r="G291" t="str">
        <f>IF(A291&gt;0,COUNTIFS($D$4:$D$315,LintelTable[[#This Row],[Length]],$C$4:$C$315,LintelTable[[#This Row],[Lintel]],$E$4:$E$315,LintelTable[[#This Row],[Treatment]],$A$4:$A$315,LintelTable[[#This Row],[Floor]],$B$4:$B$315,LintelTable[[#This Row],[Room]]),"")</f>
        <v/>
      </c>
    </row>
    <row r="292" spans="1:7" x14ac:dyDescent="0.2">
      <c r="A292" s="1143">
        <f>'Lintel Sheet'!B293</f>
        <v>0</v>
      </c>
      <c r="B292" s="1143">
        <f>'Lintel Sheet'!D293</f>
        <v>0</v>
      </c>
      <c r="C292" s="1143">
        <f>'Lintel Sheet'!H293</f>
        <v>0</v>
      </c>
      <c r="D292" s="1143" t="str">
        <f>IF(LintelTable[[#This Row],[Floor]]&gt;0,LintelTable[[#This Row],[Column1]]&amp;" / "&amp;'Lintel Sheet'!$I293,"")</f>
        <v/>
      </c>
      <c r="E292" s="1143" t="str">
        <f>IF('Lintel Sheet'!$B293&lt;&gt;"",IF(Coastal="Yes","Duplex","Galvanised"),"")</f>
        <v/>
      </c>
      <c r="F292">
        <f t="shared" si="5"/>
        <v>0</v>
      </c>
      <c r="G292" t="str">
        <f>IF(A292&gt;0,COUNTIFS($D$4:$D$315,LintelTable[[#This Row],[Length]],$C$4:$C$315,LintelTable[[#This Row],[Lintel]],$E$4:$E$315,LintelTable[[#This Row],[Treatment]],$A$4:$A$315,LintelTable[[#This Row],[Floor]],$B$4:$B$315,LintelTable[[#This Row],[Room]]),"")</f>
        <v/>
      </c>
    </row>
    <row r="293" spans="1:7" x14ac:dyDescent="0.2">
      <c r="A293" s="1143">
        <f>'Lintel Sheet'!B294</f>
        <v>0</v>
      </c>
      <c r="B293" s="1143">
        <f>'Lintel Sheet'!D294</f>
        <v>0</v>
      </c>
      <c r="C293" s="1143">
        <f>'Lintel Sheet'!H294</f>
        <v>0</v>
      </c>
      <c r="D293" s="1143" t="str">
        <f>IF(LintelTable[[#This Row],[Floor]]&gt;0,LintelTable[[#This Row],[Column1]]&amp;" / "&amp;'Lintel Sheet'!$I294,"")</f>
        <v/>
      </c>
      <c r="E293" s="1143" t="str">
        <f>IF('Lintel Sheet'!$B294&lt;&gt;"",IF(Coastal="Yes","Duplex","Galvanised"),"")</f>
        <v/>
      </c>
      <c r="F293">
        <f t="shared" si="5"/>
        <v>0</v>
      </c>
      <c r="G293" t="str">
        <f>IF(A293&gt;0,COUNTIFS($D$4:$D$315,LintelTable[[#This Row],[Length]],$C$4:$C$315,LintelTable[[#This Row],[Lintel]],$E$4:$E$315,LintelTable[[#This Row],[Treatment]],$A$4:$A$315,LintelTable[[#This Row],[Floor]],$B$4:$B$315,LintelTable[[#This Row],[Room]]),"")</f>
        <v/>
      </c>
    </row>
    <row r="294" spans="1:7" x14ac:dyDescent="0.2">
      <c r="A294" s="1143">
        <f>'Lintel Sheet'!B295</f>
        <v>0</v>
      </c>
      <c r="B294" s="1143">
        <f>'Lintel Sheet'!D295</f>
        <v>0</v>
      </c>
      <c r="C294" s="1143">
        <f>'Lintel Sheet'!H295</f>
        <v>0</v>
      </c>
      <c r="D294" s="1143" t="str">
        <f>IF(LintelTable[[#This Row],[Floor]]&gt;0,LintelTable[[#This Row],[Column1]]&amp;" / "&amp;'Lintel Sheet'!$I295,"")</f>
        <v/>
      </c>
      <c r="E294" s="1143" t="str">
        <f>IF('Lintel Sheet'!$B295&lt;&gt;"",IF(Coastal="Yes","Duplex","Galvanised"),"")</f>
        <v/>
      </c>
      <c r="F294">
        <f t="shared" si="5"/>
        <v>0</v>
      </c>
      <c r="G294" t="str">
        <f>IF(A294&gt;0,COUNTIFS($D$4:$D$315,LintelTable[[#This Row],[Length]],$C$4:$C$315,LintelTable[[#This Row],[Lintel]],$E$4:$E$315,LintelTable[[#This Row],[Treatment]],$A$4:$A$315,LintelTable[[#This Row],[Floor]],$B$4:$B$315,LintelTable[[#This Row],[Room]]),"")</f>
        <v/>
      </c>
    </row>
    <row r="295" spans="1:7" x14ac:dyDescent="0.2">
      <c r="A295" s="1143">
        <f>'Lintel Sheet'!B296</f>
        <v>0</v>
      </c>
      <c r="B295" s="1143">
        <f>'Lintel Sheet'!D296</f>
        <v>0</v>
      </c>
      <c r="C295" s="1143">
        <f>'Lintel Sheet'!H296</f>
        <v>0</v>
      </c>
      <c r="D295" s="1143" t="str">
        <f>IF(LintelTable[[#This Row],[Floor]]&gt;0,LintelTable[[#This Row],[Column1]]&amp;" / "&amp;'Lintel Sheet'!$I296,"")</f>
        <v/>
      </c>
      <c r="E295" s="1143" t="str">
        <f>IF('Lintel Sheet'!$B296&lt;&gt;"",IF(Coastal="Yes","Duplex","Galvanised"),"")</f>
        <v/>
      </c>
      <c r="F295">
        <f t="shared" si="5"/>
        <v>0</v>
      </c>
      <c r="G295" t="str">
        <f>IF(A295&gt;0,COUNTIFS($D$4:$D$315,LintelTable[[#This Row],[Length]],$C$4:$C$315,LintelTable[[#This Row],[Lintel]],$E$4:$E$315,LintelTable[[#This Row],[Treatment]],$A$4:$A$315,LintelTable[[#This Row],[Floor]],$B$4:$B$315,LintelTable[[#This Row],[Room]]),"")</f>
        <v/>
      </c>
    </row>
    <row r="296" spans="1:7" x14ac:dyDescent="0.2">
      <c r="A296" s="1143">
        <f>'Lintel Sheet'!B297</f>
        <v>0</v>
      </c>
      <c r="B296" s="1143">
        <f>'Lintel Sheet'!D297</f>
        <v>0</v>
      </c>
      <c r="C296" s="1143">
        <f>'Lintel Sheet'!H297</f>
        <v>0</v>
      </c>
      <c r="D296" s="1143" t="str">
        <f>IF(LintelTable[[#This Row],[Floor]]&gt;0,LintelTable[[#This Row],[Column1]]&amp;" / "&amp;'Lintel Sheet'!$I297,"")</f>
        <v/>
      </c>
      <c r="E296" s="1143" t="str">
        <f>IF('Lintel Sheet'!$B297&lt;&gt;"",IF(Coastal="Yes","Duplex","Galvanised"),"")</f>
        <v/>
      </c>
      <c r="F296">
        <f t="shared" si="5"/>
        <v>0</v>
      </c>
      <c r="G296" t="str">
        <f>IF(A296&gt;0,COUNTIFS($D$4:$D$315,LintelTable[[#This Row],[Length]],$C$4:$C$315,LintelTable[[#This Row],[Lintel]],$E$4:$E$315,LintelTable[[#This Row],[Treatment]],$A$4:$A$315,LintelTable[[#This Row],[Floor]],$B$4:$B$315,LintelTable[[#This Row],[Room]]),"")</f>
        <v/>
      </c>
    </row>
    <row r="297" spans="1:7" x14ac:dyDescent="0.2">
      <c r="A297" s="1143">
        <f>'Lintel Sheet'!B298</f>
        <v>0</v>
      </c>
      <c r="B297" s="1143">
        <f>'Lintel Sheet'!D298</f>
        <v>0</v>
      </c>
      <c r="C297" s="1143">
        <f>'Lintel Sheet'!H298</f>
        <v>0</v>
      </c>
      <c r="D297" s="1143" t="str">
        <f>IF(LintelTable[[#This Row],[Floor]]&gt;0,LintelTable[[#This Row],[Column1]]&amp;" / "&amp;'Lintel Sheet'!$I298,"")</f>
        <v/>
      </c>
      <c r="E297" s="1143" t="str">
        <f>IF('Lintel Sheet'!$B298&lt;&gt;"",IF(Coastal="Yes","Duplex","Galvanised"),"")</f>
        <v/>
      </c>
      <c r="F297">
        <f t="shared" si="5"/>
        <v>0</v>
      </c>
      <c r="G297" t="str">
        <f>IF(A297&gt;0,COUNTIFS($D$4:$D$315,LintelTable[[#This Row],[Length]],$C$4:$C$315,LintelTable[[#This Row],[Lintel]],$E$4:$E$315,LintelTable[[#This Row],[Treatment]],$A$4:$A$315,LintelTable[[#This Row],[Floor]],$B$4:$B$315,LintelTable[[#This Row],[Room]]),"")</f>
        <v/>
      </c>
    </row>
    <row r="298" spans="1:7" x14ac:dyDescent="0.2">
      <c r="A298" s="1143">
        <f>'Lintel Sheet'!B299</f>
        <v>0</v>
      </c>
      <c r="B298" s="1143">
        <f>'Lintel Sheet'!D299</f>
        <v>0</v>
      </c>
      <c r="C298" s="1143">
        <f>'Lintel Sheet'!H299</f>
        <v>0</v>
      </c>
      <c r="D298" s="1143" t="str">
        <f>IF(LintelTable[[#This Row],[Floor]]&gt;0,LintelTable[[#This Row],[Column1]]&amp;" / "&amp;'Lintel Sheet'!$I299,"")</f>
        <v/>
      </c>
      <c r="E298" s="1143" t="str">
        <f>IF('Lintel Sheet'!$B299&lt;&gt;"",IF(Coastal="Yes","Duplex","Galvanised"),"")</f>
        <v/>
      </c>
      <c r="F298">
        <f t="shared" si="5"/>
        <v>0</v>
      </c>
      <c r="G298" t="str">
        <f>IF(A298&gt;0,COUNTIFS($D$4:$D$315,LintelTable[[#This Row],[Length]],$C$4:$C$315,LintelTable[[#This Row],[Lintel]],$E$4:$E$315,LintelTable[[#This Row],[Treatment]],$A$4:$A$315,LintelTable[[#This Row],[Floor]],$B$4:$B$315,LintelTable[[#This Row],[Room]]),"")</f>
        <v/>
      </c>
    </row>
    <row r="299" spans="1:7" x14ac:dyDescent="0.2">
      <c r="A299" s="1143">
        <f>'Lintel Sheet'!B300</f>
        <v>0</v>
      </c>
      <c r="B299" s="1143">
        <f>'Lintel Sheet'!D300</f>
        <v>0</v>
      </c>
      <c r="C299" s="1143">
        <f>'Lintel Sheet'!H300</f>
        <v>0</v>
      </c>
      <c r="D299" s="1143" t="str">
        <f>IF(LintelTable[[#This Row],[Floor]]&gt;0,LintelTable[[#This Row],[Column1]]&amp;" / "&amp;'Lintel Sheet'!$I300,"")</f>
        <v/>
      </c>
      <c r="E299" s="1143" t="str">
        <f>IF('Lintel Sheet'!$B300&lt;&gt;"",IF(Coastal="Yes","Duplex","Galvanised"),"")</f>
        <v/>
      </c>
      <c r="F299">
        <f t="shared" si="5"/>
        <v>0</v>
      </c>
      <c r="G299" t="str">
        <f>IF(A299&gt;0,COUNTIFS($D$4:$D$315,LintelTable[[#This Row],[Length]],$C$4:$C$315,LintelTable[[#This Row],[Lintel]],$E$4:$E$315,LintelTable[[#This Row],[Treatment]],$A$4:$A$315,LintelTable[[#This Row],[Floor]],$B$4:$B$315,LintelTable[[#This Row],[Room]]),"")</f>
        <v/>
      </c>
    </row>
    <row r="300" spans="1:7" x14ac:dyDescent="0.2">
      <c r="A300" s="1143">
        <f>'Lintel Sheet'!B301</f>
        <v>0</v>
      </c>
      <c r="B300" s="1143">
        <f>'Lintel Sheet'!D301</f>
        <v>0</v>
      </c>
      <c r="C300" s="1143">
        <f>'Lintel Sheet'!H301</f>
        <v>0</v>
      </c>
      <c r="D300" s="1143" t="str">
        <f>IF(LintelTable[[#This Row],[Floor]]&gt;0,LintelTable[[#This Row],[Column1]]&amp;" / "&amp;'Lintel Sheet'!$I301,"")</f>
        <v/>
      </c>
      <c r="E300" s="1143" t="str">
        <f>IF('Lintel Sheet'!$B301&lt;&gt;"",IF(Coastal="Yes","Duplex","Galvanised"),"")</f>
        <v/>
      </c>
      <c r="F300">
        <f t="shared" si="5"/>
        <v>0</v>
      </c>
      <c r="G300" t="str">
        <f>IF(A300&gt;0,COUNTIFS($D$4:$D$315,LintelTable[[#This Row],[Length]],$C$4:$C$315,LintelTable[[#This Row],[Lintel]],$E$4:$E$315,LintelTable[[#This Row],[Treatment]],$A$4:$A$315,LintelTable[[#This Row],[Floor]],$B$4:$B$315,LintelTable[[#This Row],[Room]]),"")</f>
        <v/>
      </c>
    </row>
    <row r="301" spans="1:7" x14ac:dyDescent="0.2">
      <c r="A301" s="1143">
        <f>'Lintel Sheet'!B302</f>
        <v>0</v>
      </c>
      <c r="B301" s="1143">
        <f>'Lintel Sheet'!D302</f>
        <v>0</v>
      </c>
      <c r="C301" s="1143">
        <f>'Lintel Sheet'!H302</f>
        <v>0</v>
      </c>
      <c r="D301" s="1143" t="str">
        <f>IF(LintelTable[[#This Row],[Floor]]&gt;0,LintelTable[[#This Row],[Column1]]&amp;" / "&amp;'Lintel Sheet'!$I302,"")</f>
        <v/>
      </c>
      <c r="E301" s="1143" t="str">
        <f>IF('Lintel Sheet'!$B302&lt;&gt;"",IF(Coastal="Yes","Duplex","Galvanised"),"")</f>
        <v/>
      </c>
      <c r="F301">
        <f t="shared" si="5"/>
        <v>0</v>
      </c>
      <c r="G301" t="str">
        <f>IF(A301&gt;0,COUNTIFS($D$4:$D$315,LintelTable[[#This Row],[Length]],$C$4:$C$315,LintelTable[[#This Row],[Lintel]],$E$4:$E$315,LintelTable[[#This Row],[Treatment]],$A$4:$A$315,LintelTable[[#This Row],[Floor]],$B$4:$B$315,LintelTable[[#This Row],[Room]]),"")</f>
        <v/>
      </c>
    </row>
    <row r="302" spans="1:7" x14ac:dyDescent="0.2">
      <c r="A302" s="1143">
        <f>'Lintel Sheet'!B303</f>
        <v>0</v>
      </c>
      <c r="B302" s="1143">
        <f>'Lintel Sheet'!D303</f>
        <v>0</v>
      </c>
      <c r="C302" s="1143">
        <f>'Lintel Sheet'!H303</f>
        <v>0</v>
      </c>
      <c r="D302" s="1143" t="str">
        <f>IF(LintelTable[[#This Row],[Floor]]&gt;0,LintelTable[[#This Row],[Column1]]&amp;" / "&amp;'Lintel Sheet'!$I303,"")</f>
        <v/>
      </c>
      <c r="E302" s="1143" t="str">
        <f>IF('Lintel Sheet'!$B303&lt;&gt;"",IF(Coastal="Yes","Duplex","Galvanised"),"")</f>
        <v/>
      </c>
      <c r="F302">
        <f t="shared" si="5"/>
        <v>0</v>
      </c>
      <c r="G302" t="str">
        <f>IF(A302&gt;0,COUNTIFS($D$4:$D$315,LintelTable[[#This Row],[Length]],$C$4:$C$315,LintelTable[[#This Row],[Lintel]],$E$4:$E$315,LintelTable[[#This Row],[Treatment]],$A$4:$A$315,LintelTable[[#This Row],[Floor]],$B$4:$B$315,LintelTable[[#This Row],[Room]]),"")</f>
        <v/>
      </c>
    </row>
    <row r="303" spans="1:7" x14ac:dyDescent="0.2">
      <c r="A303" s="1143">
        <f>'Lintel Sheet'!B304</f>
        <v>0</v>
      </c>
      <c r="B303" s="1143">
        <f>'Lintel Sheet'!D304</f>
        <v>0</v>
      </c>
      <c r="C303" s="1143">
        <f>'Lintel Sheet'!H304</f>
        <v>0</v>
      </c>
      <c r="D303" s="1143" t="str">
        <f>IF(LintelTable[[#This Row],[Floor]]&gt;0,LintelTable[[#This Row],[Column1]]&amp;" / "&amp;'Lintel Sheet'!$I304,"")</f>
        <v/>
      </c>
      <c r="E303" s="1143" t="str">
        <f>IF('Lintel Sheet'!$B304&lt;&gt;"",IF(Coastal="Yes","Duplex","Galvanised"),"")</f>
        <v/>
      </c>
      <c r="F303">
        <f t="shared" si="5"/>
        <v>0</v>
      </c>
      <c r="G303" t="str">
        <f>IF(A303&gt;0,COUNTIFS($D$4:$D$315,LintelTable[[#This Row],[Length]],$C$4:$C$315,LintelTable[[#This Row],[Lintel]],$E$4:$E$315,LintelTable[[#This Row],[Treatment]],$A$4:$A$315,LintelTable[[#This Row],[Floor]],$B$4:$B$315,LintelTable[[#This Row],[Room]]),"")</f>
        <v/>
      </c>
    </row>
    <row r="304" spans="1:7" x14ac:dyDescent="0.2">
      <c r="A304" s="1143">
        <f>'Lintel Sheet'!B305</f>
        <v>0</v>
      </c>
      <c r="B304" s="1143">
        <f>'Lintel Sheet'!D305</f>
        <v>0</v>
      </c>
      <c r="C304" s="1143">
        <f>'Lintel Sheet'!H305</f>
        <v>0</v>
      </c>
      <c r="D304" s="1143" t="str">
        <f>IF(LintelTable[[#This Row],[Floor]]&gt;0,LintelTable[[#This Row],[Column1]]&amp;" / "&amp;'Lintel Sheet'!$I305,"")</f>
        <v/>
      </c>
      <c r="E304" s="1143" t="str">
        <f>IF('Lintel Sheet'!$B305&lt;&gt;"",IF(Coastal="Yes","Duplex","Galvanised"),"")</f>
        <v/>
      </c>
      <c r="F304">
        <f t="shared" si="5"/>
        <v>0</v>
      </c>
      <c r="G304" t="str">
        <f>IF(A304&gt;0,COUNTIFS($D$4:$D$315,LintelTable[[#This Row],[Length]],$C$4:$C$315,LintelTable[[#This Row],[Lintel]],$E$4:$E$315,LintelTable[[#This Row],[Treatment]],$A$4:$A$315,LintelTable[[#This Row],[Floor]],$B$4:$B$315,LintelTable[[#This Row],[Room]]),"")</f>
        <v/>
      </c>
    </row>
    <row r="305" spans="1:7" x14ac:dyDescent="0.2">
      <c r="A305" s="1143">
        <f>'Lintel Sheet'!B306</f>
        <v>0</v>
      </c>
      <c r="B305" s="1143">
        <f>'Lintel Sheet'!D306</f>
        <v>0</v>
      </c>
      <c r="C305" s="1143">
        <f>'Lintel Sheet'!H306</f>
        <v>0</v>
      </c>
      <c r="D305" s="1143" t="str">
        <f>IF(LintelTable[[#This Row],[Floor]]&gt;0,LintelTable[[#This Row],[Column1]]&amp;" / "&amp;'Lintel Sheet'!$I306,"")</f>
        <v/>
      </c>
      <c r="E305" s="1143" t="str">
        <f>IF('Lintel Sheet'!$B306&lt;&gt;"",IF(Coastal="Yes","Duplex","Galvanised"),"")</f>
        <v/>
      </c>
      <c r="F305">
        <f t="shared" si="5"/>
        <v>0</v>
      </c>
      <c r="G305" t="str">
        <f>IF(A305&gt;0,COUNTIFS($D$4:$D$315,LintelTable[[#This Row],[Length]],$C$4:$C$315,LintelTable[[#This Row],[Lintel]],$E$4:$E$315,LintelTable[[#This Row],[Treatment]],$A$4:$A$315,LintelTable[[#This Row],[Floor]],$B$4:$B$315,LintelTable[[#This Row],[Room]]),"")</f>
        <v/>
      </c>
    </row>
    <row r="306" spans="1:7" x14ac:dyDescent="0.2">
      <c r="A306" s="1143">
        <f>'Lintel Sheet'!B307</f>
        <v>0</v>
      </c>
      <c r="B306" s="1143">
        <f>'Lintel Sheet'!D307</f>
        <v>0</v>
      </c>
      <c r="C306" s="1143">
        <f>'Lintel Sheet'!H307</f>
        <v>0</v>
      </c>
      <c r="D306" s="1143" t="str">
        <f>IF(LintelTable[[#This Row],[Floor]]&gt;0,LintelTable[[#This Row],[Column1]]&amp;" / "&amp;'Lintel Sheet'!$I307,"")</f>
        <v/>
      </c>
      <c r="E306" s="1143" t="str">
        <f>IF('Lintel Sheet'!$B307&lt;&gt;"",IF(Coastal="Yes","Duplex","Galvanised"),"")</f>
        <v/>
      </c>
      <c r="F306">
        <f t="shared" si="5"/>
        <v>0</v>
      </c>
      <c r="G306" t="str">
        <f>IF(A306&gt;0,COUNTIFS($D$4:$D$315,LintelTable[[#This Row],[Length]],$C$4:$C$315,LintelTable[[#This Row],[Lintel]],$E$4:$E$315,LintelTable[[#This Row],[Treatment]],$A$4:$A$315,LintelTable[[#This Row],[Floor]],$B$4:$B$315,LintelTable[[#This Row],[Room]]),"")</f>
        <v/>
      </c>
    </row>
    <row r="307" spans="1:7" x14ac:dyDescent="0.2">
      <c r="A307" s="1143">
        <f>'Lintel Sheet'!B308</f>
        <v>0</v>
      </c>
      <c r="B307" s="1143">
        <f>'Lintel Sheet'!D308</f>
        <v>0</v>
      </c>
      <c r="C307" s="1143">
        <f>'Lintel Sheet'!H308</f>
        <v>0</v>
      </c>
      <c r="D307" s="1143" t="str">
        <f>IF(LintelTable[[#This Row],[Floor]]&gt;0,LintelTable[[#This Row],[Column1]]&amp;" / "&amp;'Lintel Sheet'!$I308,"")</f>
        <v/>
      </c>
      <c r="E307" s="1143" t="str">
        <f>IF('Lintel Sheet'!$B308&lt;&gt;"",IF(Coastal="Yes","Duplex","Galvanised"),"")</f>
        <v/>
      </c>
      <c r="F307">
        <f t="shared" si="5"/>
        <v>0</v>
      </c>
      <c r="G307" t="str">
        <f>IF(A307&gt;0,COUNTIFS($D$4:$D$315,LintelTable[[#This Row],[Length]],$C$4:$C$315,LintelTable[[#This Row],[Lintel]],$E$4:$E$315,LintelTable[[#This Row],[Treatment]],$A$4:$A$315,LintelTable[[#This Row],[Floor]],$B$4:$B$315,LintelTable[[#This Row],[Room]]),"")</f>
        <v/>
      </c>
    </row>
    <row r="308" spans="1:7" x14ac:dyDescent="0.2">
      <c r="A308" s="1143">
        <f>'Lintel Sheet'!B309</f>
        <v>0</v>
      </c>
      <c r="B308" s="1143">
        <f>'Lintel Sheet'!D309</f>
        <v>0</v>
      </c>
      <c r="C308" s="1143">
        <f>'Lintel Sheet'!H309</f>
        <v>0</v>
      </c>
      <c r="D308" s="1143" t="str">
        <f>IF(LintelTable[[#This Row],[Floor]]&gt;0,LintelTable[[#This Row],[Column1]]&amp;" / "&amp;'Lintel Sheet'!$I309,"")</f>
        <v/>
      </c>
      <c r="E308" s="1143" t="str">
        <f>IF('Lintel Sheet'!$B309&lt;&gt;"",IF(Coastal="Yes","Duplex","Galvanised"),"")</f>
        <v/>
      </c>
      <c r="F308">
        <f t="shared" si="5"/>
        <v>0</v>
      </c>
      <c r="G308" t="str">
        <f>IF(A308&gt;0,COUNTIFS($D$4:$D$315,LintelTable[[#This Row],[Length]],$C$4:$C$315,LintelTable[[#This Row],[Lintel]],$E$4:$E$315,LintelTable[[#This Row],[Treatment]],$A$4:$A$315,LintelTable[[#This Row],[Floor]],$B$4:$B$315,LintelTable[[#This Row],[Room]]),"")</f>
        <v/>
      </c>
    </row>
    <row r="309" spans="1:7" x14ac:dyDescent="0.2">
      <c r="A309" s="1143">
        <f>'Lintel Sheet'!B310</f>
        <v>0</v>
      </c>
      <c r="B309" s="1143">
        <f>'Lintel Sheet'!D310</f>
        <v>0</v>
      </c>
      <c r="C309" s="1143">
        <f>'Lintel Sheet'!H310</f>
        <v>0</v>
      </c>
      <c r="D309" s="1143" t="str">
        <f>IF(LintelTable[[#This Row],[Floor]]&gt;0,LintelTable[[#This Row],[Column1]]&amp;" / "&amp;'Lintel Sheet'!$I310,"")</f>
        <v/>
      </c>
      <c r="E309" s="1143" t="str">
        <f>IF('Lintel Sheet'!$B310&lt;&gt;"",IF(Coastal="Yes","Duplex","Galvanised"),"")</f>
        <v/>
      </c>
      <c r="F309">
        <f t="shared" si="5"/>
        <v>0</v>
      </c>
      <c r="G309" t="str">
        <f>IF(A309&gt;0,COUNTIFS($D$4:$D$315,LintelTable[[#This Row],[Length]],$C$4:$C$315,LintelTable[[#This Row],[Lintel]],$E$4:$E$315,LintelTable[[#This Row],[Treatment]],$A$4:$A$315,LintelTable[[#This Row],[Floor]],$B$4:$B$315,LintelTable[[#This Row],[Room]]),"")</f>
        <v/>
      </c>
    </row>
    <row r="310" spans="1:7" x14ac:dyDescent="0.2">
      <c r="A310" s="1143">
        <f>'Lintel Sheet'!B311</f>
        <v>0</v>
      </c>
      <c r="B310" s="1143">
        <f>'Lintel Sheet'!D311</f>
        <v>0</v>
      </c>
      <c r="C310" s="1143">
        <f>'Lintel Sheet'!H311</f>
        <v>0</v>
      </c>
      <c r="D310" s="1143" t="str">
        <f>IF(LintelTable[[#This Row],[Floor]]&gt;0,LintelTable[[#This Row],[Column1]]&amp;" / "&amp;'Lintel Sheet'!$I311,"")</f>
        <v/>
      </c>
      <c r="E310" s="1143" t="str">
        <f>IF('Lintel Sheet'!$B311&lt;&gt;"",IF(Coastal="Yes","Duplex","Galvanised"),"")</f>
        <v/>
      </c>
      <c r="F310">
        <f t="shared" si="5"/>
        <v>0</v>
      </c>
      <c r="G310" t="str">
        <f>IF(A310&gt;0,COUNTIFS($D$4:$D$315,LintelTable[[#This Row],[Length]],$C$4:$C$315,LintelTable[[#This Row],[Lintel]],$E$4:$E$315,LintelTable[[#This Row],[Treatment]],$A$4:$A$315,LintelTable[[#This Row],[Floor]],$B$4:$B$315,LintelTable[[#This Row],[Room]]),"")</f>
        <v/>
      </c>
    </row>
    <row r="311" spans="1:7" x14ac:dyDescent="0.2">
      <c r="A311" s="1143">
        <f>'Lintel Sheet'!B312</f>
        <v>0</v>
      </c>
      <c r="B311" s="1143">
        <f>'Lintel Sheet'!D312</f>
        <v>0</v>
      </c>
      <c r="C311" s="1143">
        <f>'Lintel Sheet'!H312</f>
        <v>0</v>
      </c>
      <c r="D311" s="1143" t="str">
        <f>IF(LintelTable[[#This Row],[Floor]]&gt;0,LintelTable[[#This Row],[Column1]]&amp;" / "&amp;'Lintel Sheet'!$I312,"")</f>
        <v/>
      </c>
      <c r="E311" s="1143" t="str">
        <f>IF('Lintel Sheet'!$B312&lt;&gt;"",IF(Coastal="Yes","Duplex","Galvanised"),"")</f>
        <v/>
      </c>
      <c r="F311">
        <f t="shared" si="5"/>
        <v>0</v>
      </c>
      <c r="G311" t="str">
        <f>IF(A311&gt;0,COUNTIFS($D$4:$D$315,LintelTable[[#This Row],[Length]],$C$4:$C$315,LintelTable[[#This Row],[Lintel]],$E$4:$E$315,LintelTable[[#This Row],[Treatment]],$A$4:$A$315,LintelTable[[#This Row],[Floor]],$B$4:$B$315,LintelTable[[#This Row],[Room]]),"")</f>
        <v/>
      </c>
    </row>
    <row r="312" spans="1:7" x14ac:dyDescent="0.2">
      <c r="A312" s="1143">
        <f>'Lintel Sheet'!B313</f>
        <v>0</v>
      </c>
      <c r="B312" s="1143">
        <f>'Lintel Sheet'!D313</f>
        <v>0</v>
      </c>
      <c r="C312" s="1143">
        <f>'Lintel Sheet'!H313</f>
        <v>0</v>
      </c>
      <c r="D312" s="1143" t="str">
        <f>IF(LintelTable[[#This Row],[Floor]]&gt;0,LintelTable[[#This Row],[Column1]]&amp;" / "&amp;'Lintel Sheet'!$I313,"")</f>
        <v/>
      </c>
      <c r="E312" s="1143" t="str">
        <f>IF('Lintel Sheet'!$B313&lt;&gt;"",IF(Coastal="Yes","Duplex","Galvanised"),"")</f>
        <v/>
      </c>
      <c r="F312">
        <f t="shared" si="5"/>
        <v>0</v>
      </c>
      <c r="G312" t="str">
        <f>IF(A312&gt;0,COUNTIFS($D$4:$D$315,LintelTable[[#This Row],[Length]],$C$4:$C$315,LintelTable[[#This Row],[Lintel]],$E$4:$E$315,LintelTable[[#This Row],[Treatment]],$A$4:$A$315,LintelTable[[#This Row],[Floor]],$B$4:$B$315,LintelTable[[#This Row],[Room]]),"")</f>
        <v/>
      </c>
    </row>
    <row r="313" spans="1:7" x14ac:dyDescent="0.2">
      <c r="A313" s="1143">
        <f>'Lintel Sheet'!B314</f>
        <v>0</v>
      </c>
      <c r="B313" s="1143">
        <f>'Lintel Sheet'!D314</f>
        <v>0</v>
      </c>
      <c r="C313" s="1143">
        <f>'Lintel Sheet'!H314</f>
        <v>0</v>
      </c>
      <c r="D313" s="1143" t="str">
        <f>IF(LintelTable[[#This Row],[Floor]]&gt;0,LintelTable[[#This Row],[Column1]]&amp;" / "&amp;'Lintel Sheet'!$I314,"")</f>
        <v/>
      </c>
      <c r="E313" s="1143" t="str">
        <f>IF('Lintel Sheet'!$B314&lt;&gt;"",IF(Coastal="Yes","Duplex","Galvanised"),"")</f>
        <v/>
      </c>
      <c r="F313">
        <f t="shared" si="5"/>
        <v>0</v>
      </c>
      <c r="G313" t="str">
        <f>IF(A313&gt;0,COUNTIFS($D$4:$D$315,LintelTable[[#This Row],[Length]],$C$4:$C$315,LintelTable[[#This Row],[Lintel]],$E$4:$E$315,LintelTable[[#This Row],[Treatment]],$A$4:$A$315,LintelTable[[#This Row],[Floor]],$B$4:$B$315,LintelTable[[#This Row],[Room]]),"")</f>
        <v/>
      </c>
    </row>
    <row r="314" spans="1:7" x14ac:dyDescent="0.2">
      <c r="A314" s="1143">
        <f>'Lintel Sheet'!B315</f>
        <v>0</v>
      </c>
      <c r="B314" s="1143">
        <f>'Lintel Sheet'!D315</f>
        <v>0</v>
      </c>
      <c r="C314" s="1143">
        <f>'Lintel Sheet'!H315</f>
        <v>0</v>
      </c>
      <c r="D314" s="1143" t="str">
        <f>IF(LintelTable[[#This Row],[Floor]]&gt;0,LintelTable[[#This Row],[Column1]]&amp;" / "&amp;'Lintel Sheet'!$I315,"")</f>
        <v/>
      </c>
      <c r="E314" s="1143" t="str">
        <f>IF('Lintel Sheet'!$B315&lt;&gt;"",IF(Coastal="Yes","Duplex","Galvanised"),"")</f>
        <v/>
      </c>
      <c r="F314">
        <f t="shared" si="5"/>
        <v>0</v>
      </c>
      <c r="G314" t="str">
        <f>IF(A314&gt;0,COUNTIFS($D$4:$D$315,LintelTable[[#This Row],[Length]],$C$4:$C$315,LintelTable[[#This Row],[Lintel]],$E$4:$E$315,LintelTable[[#This Row],[Treatment]],$A$4:$A$315,LintelTable[[#This Row],[Floor]],$B$4:$B$315,LintelTable[[#This Row],[Room]]),"")</f>
        <v/>
      </c>
    </row>
    <row r="315" spans="1:7" x14ac:dyDescent="0.2">
      <c r="A315" s="1143">
        <f>'Lintel Sheet'!B316</f>
        <v>0</v>
      </c>
      <c r="B315" s="1143">
        <f>'Lintel Sheet'!D316</f>
        <v>0</v>
      </c>
      <c r="C315" s="1143">
        <f>'Lintel Sheet'!H316</f>
        <v>0</v>
      </c>
      <c r="D315" s="1143" t="str">
        <f>IF(LintelTable[[#This Row],[Floor]]&gt;0,LintelTable[[#This Row],[Column1]]&amp;" / "&amp;'Lintel Sheet'!$I316,"")</f>
        <v/>
      </c>
      <c r="E315" s="1143" t="str">
        <f>IF('Lintel Sheet'!$B316&lt;&gt;"",IF(Coastal="Yes","Duplex","Galvanised"),"")</f>
        <v/>
      </c>
      <c r="F315">
        <f t="shared" si="5"/>
        <v>0</v>
      </c>
      <c r="G315" t="str">
        <f>IF(A315&gt;0,COUNTIFS($D$4:$D$315,LintelTable[[#This Row],[Length]],$C$4:$C$315,LintelTable[[#This Row],[Lintel]],$E$4:$E$315,LintelTable[[#This Row],[Treatment]],$A$4:$A$315,LintelTable[[#This Row],[Floor]],$B$4:$B$315,LintelTable[[#This Row],[Room]]),"")</f>
        <v/>
      </c>
    </row>
  </sheetData>
  <sheetProtection selectLockedCells="1"/>
  <sortState xmlns:xlrd2="http://schemas.microsoft.com/office/spreadsheetml/2017/richdata2" ref="B5:G12046">
    <sortCondition descending="1" ref="B5:B12046"/>
    <sortCondition ref="C5:C12046"/>
    <sortCondition ref="D5:D12046"/>
    <sortCondition ref="E5:E12046"/>
  </sortState>
  <mergeCells count="1">
    <mergeCell ref="A1:E1"/>
  </mergeCells>
  <phoneticPr fontId="12" type="noConversion"/>
  <conditionalFormatting sqref="I25:I30 I14:I23">
    <cfRule type="expression" priority="1" stopIfTrue="1">
      <formula>#REF!=0</formula>
    </cfRule>
    <cfRule type="expression" dxfId="221" priority="2" stopIfTrue="1">
      <formula>#REF!&gt;0</formula>
    </cfRule>
  </conditionalFormatting>
  <conditionalFormatting sqref="I24">
    <cfRule type="expression" priority="39" stopIfTrue="1">
      <formula>#REF!=0</formula>
    </cfRule>
    <cfRule type="expression" dxfId="220" priority="40" stopIfTrue="1">
      <formula>#REF!&gt;0</formula>
    </cfRule>
  </conditionalFormatting>
  <pageMargins left="0.7" right="0.7" top="0.75" bottom="0.75" header="0.3" footer="0.3"/>
  <pageSetup paperSize="9" scale="86" orientation="portrait" r:id="rId1"/>
  <headerFooter alignWithMargins="0">
    <oddHeader>&amp;C&amp;"Arial Black,Regular"&amp;12Lintel and Beam Summary Sheet</oddHeader>
  </headerFooter>
  <rowBreaks count="1" manualBreakCount="1">
    <brk id="12037" max="4" man="1"/>
  </rowBreaks>
  <drawing r:id="rId2"/>
  <legacyDrawing r:id="rId3"/>
  <mc:AlternateContent xmlns:mc="http://schemas.openxmlformats.org/markup-compatibility/2006">
    <mc:Choice Requires="x14">
      <controls>
        <mc:AlternateContent xmlns:mc="http://schemas.openxmlformats.org/markup-compatibility/2006">
          <mc:Choice Requires="x14">
            <control shapeId="14341" r:id="rId4" name="Button 5">
              <controlPr defaultSize="0" print="0" autoFill="0" autoPict="0" macro="[0]!SortLintels">
                <anchor moveWithCells="1" sizeWithCells="1">
                  <from>
                    <xdr:col>9</xdr:col>
                    <xdr:colOff>0</xdr:colOff>
                    <xdr:row>4</xdr:row>
                    <xdr:rowOff>142875</xdr:rowOff>
                  </from>
                  <to>
                    <xdr:col>9</xdr:col>
                    <xdr:colOff>1800225</xdr:colOff>
                    <xdr:row>5</xdr:row>
                    <xdr:rowOff>152400</xdr:rowOff>
                  </to>
                </anchor>
              </controlPr>
            </control>
          </mc:Choice>
        </mc:AlternateContent>
        <mc:AlternateContent xmlns:mc="http://schemas.openxmlformats.org/markup-compatibility/2006">
          <mc:Choice Requires="x14">
            <control shapeId="14342" r:id="rId5" name="Button 6">
              <controlPr defaultSize="0" print="0" autoFill="0" autoPict="0" macro="[0]!ResetLintels">
                <anchor moveWithCells="1">
                  <from>
                    <xdr:col>9</xdr:col>
                    <xdr:colOff>0</xdr:colOff>
                    <xdr:row>7</xdr:row>
                    <xdr:rowOff>0</xdr:rowOff>
                  </from>
                  <to>
                    <xdr:col>9</xdr:col>
                    <xdr:colOff>1800225</xdr:colOff>
                    <xdr:row>8</xdr:row>
                    <xdr:rowOff>19050</xdr:rowOff>
                  </to>
                </anchor>
              </controlPr>
            </control>
          </mc:Choice>
        </mc:AlternateContent>
      </controls>
    </mc:Choice>
  </mc:AlternateContent>
  <tableParts count="1">
    <tablePart r:id="rId6"/>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O90"/>
  <sheetViews>
    <sheetView zoomScaleNormal="100" workbookViewId="0"/>
  </sheetViews>
  <sheetFormatPr defaultColWidth="9.140625" defaultRowHeight="12.75" x14ac:dyDescent="0.2"/>
  <cols>
    <col min="1" max="2" width="16.7109375" customWidth="1"/>
    <col min="3" max="3" width="4.7109375" bestFit="1" customWidth="1"/>
    <col min="4" max="4" width="9.7109375" customWidth="1"/>
    <col min="5" max="5" width="42.5703125" bestFit="1" customWidth="1"/>
    <col min="6" max="6" width="54.5703125" bestFit="1" customWidth="1"/>
    <col min="7" max="8" width="15.7109375" customWidth="1"/>
    <col min="9" max="9" width="12.140625" bestFit="1" customWidth="1"/>
    <col min="10" max="10" width="20.7109375" customWidth="1"/>
    <col min="11" max="11" width="60.7109375" bestFit="1" customWidth="1"/>
    <col min="12" max="12" width="16.85546875" customWidth="1"/>
    <col min="13" max="13" width="17.85546875" customWidth="1"/>
  </cols>
  <sheetData>
    <row r="1" spans="1:15" ht="24" thickBot="1" x14ac:dyDescent="0.4">
      <c r="A1" s="524" t="s">
        <v>67</v>
      </c>
      <c r="B1" s="525"/>
      <c r="C1" s="525"/>
      <c r="D1" s="525"/>
      <c r="E1" s="525"/>
      <c r="F1" s="526" t="str">
        <f>IF(Coastal="No","Not Coastal","Coastal")</f>
        <v>Not Coastal</v>
      </c>
      <c r="G1" s="525"/>
      <c r="H1" s="525"/>
      <c r="I1" s="525"/>
      <c r="J1" s="527"/>
      <c r="K1" s="550" t="s">
        <v>344</v>
      </c>
      <c r="L1" s="177" t="s">
        <v>373</v>
      </c>
      <c r="M1" s="176" t="s">
        <v>345</v>
      </c>
      <c r="N1" s="158"/>
      <c r="O1" s="159"/>
    </row>
    <row r="2" spans="1:15" ht="13.5" customHeight="1" thickBot="1" x14ac:dyDescent="0.25">
      <c r="A2" s="528" t="s">
        <v>143</v>
      </c>
      <c r="B2" s="575">
        <f>Job_No</f>
        <v>304909</v>
      </c>
      <c r="C2" s="136"/>
      <c r="D2" s="137"/>
      <c r="E2" s="1277" t="str">
        <f>Address</f>
        <v/>
      </c>
      <c r="F2" s="1278"/>
      <c r="G2" s="1279"/>
      <c r="H2" s="136"/>
      <c r="I2" s="136"/>
      <c r="J2" s="529"/>
      <c r="K2" s="551"/>
      <c r="L2" s="552"/>
      <c r="M2" s="553"/>
      <c r="N2" s="83"/>
      <c r="O2" s="84"/>
    </row>
    <row r="3" spans="1:15" ht="15.75" customHeight="1" thickBot="1" x14ac:dyDescent="0.25">
      <c r="A3" s="530" t="s">
        <v>68</v>
      </c>
      <c r="B3" s="569" t="s">
        <v>552</v>
      </c>
      <c r="C3" s="531" t="s">
        <v>233</v>
      </c>
      <c r="D3" s="138" t="s">
        <v>34</v>
      </c>
      <c r="E3" s="532" t="s">
        <v>69</v>
      </c>
      <c r="F3" s="138" t="s">
        <v>148</v>
      </c>
      <c r="G3" s="138" t="s">
        <v>86</v>
      </c>
      <c r="H3" s="138" t="s">
        <v>569</v>
      </c>
      <c r="I3" s="136"/>
      <c r="J3" s="533"/>
      <c r="K3" s="554"/>
      <c r="L3" s="555"/>
      <c r="M3" s="556"/>
      <c r="O3" s="86"/>
    </row>
    <row r="4" spans="1:15" x14ac:dyDescent="0.2">
      <c r="A4" s="534">
        <f>$C4*$D4</f>
        <v>0</v>
      </c>
      <c r="B4" s="139"/>
      <c r="C4" s="151"/>
      <c r="D4" s="148"/>
      <c r="E4" s="140"/>
      <c r="F4" s="141"/>
      <c r="G4" s="322"/>
      <c r="H4" s="521">
        <f t="shared" ref="H4:H9" si="0">IF($G4="T8",$C4*2,IF(OR($G4="T7",$G4="T6"),$C4,0))</f>
        <v>0</v>
      </c>
      <c r="I4" s="535"/>
      <c r="J4" s="536"/>
      <c r="K4" s="554"/>
      <c r="L4" s="555"/>
      <c r="M4" s="556"/>
      <c r="O4" s="86"/>
    </row>
    <row r="5" spans="1:15" x14ac:dyDescent="0.2">
      <c r="A5" s="534">
        <f t="shared" ref="A5:A16" si="1">$C5*$D5</f>
        <v>0</v>
      </c>
      <c r="B5" s="142"/>
      <c r="C5" s="152"/>
      <c r="D5" s="149"/>
      <c r="E5" s="143"/>
      <c r="F5" s="208"/>
      <c r="G5" s="208"/>
      <c r="H5" s="522">
        <f t="shared" si="0"/>
        <v>0</v>
      </c>
      <c r="I5" s="535"/>
      <c r="J5" s="536"/>
      <c r="K5" s="554"/>
      <c r="L5" s="555"/>
      <c r="M5" s="556"/>
      <c r="O5" s="86"/>
    </row>
    <row r="6" spans="1:15" x14ac:dyDescent="0.2">
      <c r="A6" s="534">
        <f t="shared" si="1"/>
        <v>0</v>
      </c>
      <c r="B6" s="142"/>
      <c r="C6" s="152"/>
      <c r="D6" s="149"/>
      <c r="E6" s="143"/>
      <c r="F6" s="208"/>
      <c r="G6" s="208"/>
      <c r="H6" s="522">
        <f t="shared" si="0"/>
        <v>0</v>
      </c>
      <c r="I6" s="535"/>
      <c r="J6" s="536"/>
      <c r="K6" s="554"/>
      <c r="L6" s="555"/>
      <c r="M6" s="556"/>
      <c r="O6" s="86"/>
    </row>
    <row r="7" spans="1:15" x14ac:dyDescent="0.2">
      <c r="A7" s="534">
        <f t="shared" si="1"/>
        <v>0</v>
      </c>
      <c r="B7" s="142"/>
      <c r="C7" s="152"/>
      <c r="D7" s="149"/>
      <c r="E7" s="143"/>
      <c r="F7" s="208"/>
      <c r="G7" s="208"/>
      <c r="H7" s="522">
        <f t="shared" si="0"/>
        <v>0</v>
      </c>
      <c r="I7" s="535"/>
      <c r="J7" s="536"/>
      <c r="K7" s="554"/>
      <c r="L7" s="555"/>
      <c r="M7" s="556"/>
      <c r="O7" s="86"/>
    </row>
    <row r="8" spans="1:15" x14ac:dyDescent="0.2">
      <c r="A8" s="534">
        <f t="shared" si="1"/>
        <v>0</v>
      </c>
      <c r="B8" s="142"/>
      <c r="C8" s="152"/>
      <c r="D8" s="149"/>
      <c r="E8" s="143"/>
      <c r="F8" s="208"/>
      <c r="G8" s="208"/>
      <c r="H8" s="522">
        <f t="shared" si="0"/>
        <v>0</v>
      </c>
      <c r="I8" s="535"/>
      <c r="J8" s="536"/>
      <c r="K8" s="554"/>
      <c r="L8" s="555"/>
      <c r="M8" s="556"/>
      <c r="O8" s="86"/>
    </row>
    <row r="9" spans="1:15" x14ac:dyDescent="0.2">
      <c r="A9" s="534">
        <f t="shared" si="1"/>
        <v>0</v>
      </c>
      <c r="B9" s="142"/>
      <c r="C9" s="152"/>
      <c r="D9" s="149"/>
      <c r="E9" s="143"/>
      <c r="F9" s="208"/>
      <c r="G9" s="208"/>
      <c r="H9" s="522">
        <f t="shared" si="0"/>
        <v>0</v>
      </c>
      <c r="I9" s="535"/>
      <c r="J9" s="536"/>
      <c r="K9" s="554"/>
      <c r="L9" s="555"/>
      <c r="M9" s="556"/>
      <c r="O9" s="86"/>
    </row>
    <row r="10" spans="1:15" x14ac:dyDescent="0.2">
      <c r="A10" s="534">
        <f t="shared" si="1"/>
        <v>0</v>
      </c>
      <c r="B10" s="142"/>
      <c r="C10" s="152"/>
      <c r="D10" s="149"/>
      <c r="E10" s="143"/>
      <c r="F10" s="208"/>
      <c r="G10" s="208"/>
      <c r="H10" s="522">
        <f t="shared" ref="H10:H16" si="2">IF($G10="T8",$C10*2,IF(OR($G10="T7",$G10="T6"),$C10,0))</f>
        <v>0</v>
      </c>
      <c r="I10" s="535"/>
      <c r="J10" s="536"/>
      <c r="K10" s="554"/>
      <c r="L10" s="555"/>
      <c r="M10" s="556"/>
      <c r="O10" s="86"/>
    </row>
    <row r="11" spans="1:15" x14ac:dyDescent="0.2">
      <c r="A11" s="534">
        <f t="shared" si="1"/>
        <v>0</v>
      </c>
      <c r="B11" s="142"/>
      <c r="C11" s="152"/>
      <c r="D11" s="149"/>
      <c r="E11" s="143"/>
      <c r="F11" s="208"/>
      <c r="G11" s="208"/>
      <c r="H11" s="522">
        <f t="shared" si="2"/>
        <v>0</v>
      </c>
      <c r="I11" s="535"/>
      <c r="J11" s="536"/>
      <c r="K11" s="554"/>
      <c r="L11" s="555"/>
      <c r="M11" s="556"/>
      <c r="O11" s="86"/>
    </row>
    <row r="12" spans="1:15" x14ac:dyDescent="0.2">
      <c r="A12" s="534">
        <f t="shared" si="1"/>
        <v>0</v>
      </c>
      <c r="B12" s="142"/>
      <c r="C12" s="152"/>
      <c r="D12" s="149"/>
      <c r="E12" s="143"/>
      <c r="F12" s="208"/>
      <c r="G12" s="208"/>
      <c r="H12" s="522">
        <f t="shared" si="2"/>
        <v>0</v>
      </c>
      <c r="I12" s="535"/>
      <c r="J12" s="529"/>
      <c r="K12" s="554"/>
      <c r="L12" s="555"/>
      <c r="M12" s="556"/>
      <c r="O12" s="86"/>
    </row>
    <row r="13" spans="1:15" x14ac:dyDescent="0.2">
      <c r="A13" s="534">
        <f t="shared" si="1"/>
        <v>0</v>
      </c>
      <c r="B13" s="570"/>
      <c r="C13" s="571"/>
      <c r="D13" s="572"/>
      <c r="E13" s="573"/>
      <c r="F13" s="574"/>
      <c r="G13" s="574"/>
      <c r="H13" s="522">
        <f t="shared" si="2"/>
        <v>0</v>
      </c>
      <c r="I13" s="535"/>
      <c r="J13" s="529"/>
      <c r="K13" s="554"/>
      <c r="L13" s="555"/>
      <c r="M13" s="556"/>
      <c r="O13" s="86"/>
    </row>
    <row r="14" spans="1:15" x14ac:dyDescent="0.2">
      <c r="A14" s="534">
        <f t="shared" si="1"/>
        <v>0</v>
      </c>
      <c r="B14" s="570"/>
      <c r="C14" s="571"/>
      <c r="D14" s="572"/>
      <c r="E14" s="573"/>
      <c r="F14" s="574"/>
      <c r="G14" s="574"/>
      <c r="H14" s="522">
        <f t="shared" si="2"/>
        <v>0</v>
      </c>
      <c r="I14" s="535"/>
      <c r="J14" s="529"/>
      <c r="K14" s="554"/>
      <c r="L14" s="555"/>
      <c r="M14" s="556"/>
      <c r="O14" s="86"/>
    </row>
    <row r="15" spans="1:15" ht="15" customHeight="1" x14ac:dyDescent="0.2">
      <c r="A15" s="534">
        <f t="shared" si="1"/>
        <v>0</v>
      </c>
      <c r="B15" s="570"/>
      <c r="C15" s="571"/>
      <c r="D15" s="572"/>
      <c r="E15" s="573"/>
      <c r="F15" s="574"/>
      <c r="G15" s="574"/>
      <c r="H15" s="522">
        <f t="shared" si="2"/>
        <v>0</v>
      </c>
      <c r="I15" s="535"/>
      <c r="J15" s="529"/>
      <c r="K15" s="554"/>
      <c r="L15" s="555"/>
      <c r="M15" s="556"/>
      <c r="O15" s="86"/>
    </row>
    <row r="16" spans="1:15" ht="13.5" thickBot="1" x14ac:dyDescent="0.25">
      <c r="A16" s="534">
        <f t="shared" si="1"/>
        <v>0</v>
      </c>
      <c r="B16" s="145"/>
      <c r="C16" s="153"/>
      <c r="D16" s="150"/>
      <c r="E16" s="146"/>
      <c r="F16" s="147"/>
      <c r="G16" s="147"/>
      <c r="H16" s="523">
        <f t="shared" si="2"/>
        <v>0</v>
      </c>
      <c r="I16" s="535"/>
      <c r="J16" s="529"/>
      <c r="K16" s="554"/>
      <c r="L16" s="555"/>
      <c r="M16" s="557"/>
      <c r="O16" s="86"/>
    </row>
    <row r="17" spans="1:15" ht="13.5" thickBot="1" x14ac:dyDescent="0.25">
      <c r="A17" s="537"/>
      <c r="B17" s="136"/>
      <c r="C17" s="560">
        <f>SUM(C4:C16)</f>
        <v>0</v>
      </c>
      <c r="D17" s="538">
        <f>SUMPRODUCT(C4:C16,D4:D16)</f>
        <v>0</v>
      </c>
      <c r="E17" s="539"/>
      <c r="F17" s="138"/>
      <c r="G17" s="138"/>
      <c r="H17" s="538">
        <f>SUM(H4:H16)</f>
        <v>0</v>
      </c>
      <c r="I17" s="535"/>
      <c r="J17" s="529"/>
      <c r="K17" s="554"/>
      <c r="L17" s="555"/>
      <c r="M17" s="556"/>
      <c r="O17" s="86"/>
    </row>
    <row r="18" spans="1:15" ht="13.5" thickBot="1" x14ac:dyDescent="0.25">
      <c r="A18" s="530" t="s">
        <v>70</v>
      </c>
      <c r="B18" s="569" t="s">
        <v>7</v>
      </c>
      <c r="C18" s="531" t="s">
        <v>233</v>
      </c>
      <c r="D18" s="138" t="s">
        <v>34</v>
      </c>
      <c r="E18" s="532" t="s">
        <v>69</v>
      </c>
      <c r="F18" s="138" t="s">
        <v>148</v>
      </c>
      <c r="G18" s="138" t="s">
        <v>86</v>
      </c>
      <c r="H18" s="138" t="s">
        <v>85</v>
      </c>
      <c r="I18" s="137" t="s">
        <v>548</v>
      </c>
      <c r="J18" s="529"/>
      <c r="K18" s="554"/>
      <c r="L18" s="555"/>
      <c r="M18" s="556"/>
      <c r="O18" s="86"/>
    </row>
    <row r="19" spans="1:15" x14ac:dyDescent="0.2">
      <c r="A19" s="540">
        <f>$C19*$D19</f>
        <v>0</v>
      </c>
      <c r="B19" s="139"/>
      <c r="C19" s="140"/>
      <c r="D19" s="148"/>
      <c r="E19" s="140"/>
      <c r="F19" s="322"/>
      <c r="G19" s="141"/>
      <c r="H19" s="322"/>
      <c r="I19" s="601"/>
      <c r="J19" s="529"/>
      <c r="K19" s="554" t="s">
        <v>2431</v>
      </c>
      <c r="L19" s="555"/>
      <c r="M19" s="556"/>
      <c r="O19" s="86"/>
    </row>
    <row r="20" spans="1:15" x14ac:dyDescent="0.2">
      <c r="A20" s="540">
        <f t="shared" ref="A20:A30" si="3">$C20*$D20</f>
        <v>0</v>
      </c>
      <c r="B20" s="142"/>
      <c r="C20" s="143"/>
      <c r="D20" s="149"/>
      <c r="E20" s="143"/>
      <c r="F20" s="208"/>
      <c r="G20" s="144"/>
      <c r="H20" s="208"/>
      <c r="I20" s="602"/>
      <c r="J20" s="529"/>
      <c r="K20" s="554"/>
      <c r="L20" s="555"/>
      <c r="M20" s="556"/>
      <c r="O20" s="86"/>
    </row>
    <row r="21" spans="1:15" x14ac:dyDescent="0.2">
      <c r="A21" s="540">
        <f t="shared" si="3"/>
        <v>0</v>
      </c>
      <c r="B21" s="142"/>
      <c r="C21" s="143"/>
      <c r="D21" s="149"/>
      <c r="E21" s="143"/>
      <c r="F21" s="208"/>
      <c r="G21" s="144"/>
      <c r="H21" s="208"/>
      <c r="I21" s="602"/>
      <c r="J21" s="529"/>
      <c r="K21" s="554"/>
      <c r="L21" s="555"/>
      <c r="M21" s="556"/>
      <c r="O21" s="86"/>
    </row>
    <row r="22" spans="1:15" x14ac:dyDescent="0.2">
      <c r="A22" s="540">
        <f t="shared" si="3"/>
        <v>0</v>
      </c>
      <c r="B22" s="142"/>
      <c r="C22" s="143"/>
      <c r="D22" s="149"/>
      <c r="E22" s="143"/>
      <c r="F22" s="208"/>
      <c r="G22" s="144"/>
      <c r="H22" s="208"/>
      <c r="I22" s="519"/>
      <c r="J22" s="529"/>
      <c r="K22" s="554"/>
      <c r="L22" s="555"/>
      <c r="M22" s="556"/>
      <c r="O22" s="86"/>
    </row>
    <row r="23" spans="1:15" x14ac:dyDescent="0.2">
      <c r="A23" s="540">
        <f t="shared" si="3"/>
        <v>0</v>
      </c>
      <c r="B23" s="142"/>
      <c r="C23" s="143"/>
      <c r="D23" s="149"/>
      <c r="E23" s="143"/>
      <c r="F23" s="208"/>
      <c r="G23" s="144"/>
      <c r="H23" s="208"/>
      <c r="I23" s="519"/>
      <c r="J23" s="529"/>
      <c r="K23" s="554"/>
      <c r="L23" s="555"/>
      <c r="M23" s="556"/>
      <c r="O23" s="86"/>
    </row>
    <row r="24" spans="1:15" x14ac:dyDescent="0.2">
      <c r="A24" s="540">
        <f t="shared" si="3"/>
        <v>0</v>
      </c>
      <c r="B24" s="142"/>
      <c r="C24" s="143"/>
      <c r="D24" s="149"/>
      <c r="E24" s="143"/>
      <c r="F24" s="208"/>
      <c r="G24" s="144"/>
      <c r="H24" s="208"/>
      <c r="I24" s="519"/>
      <c r="J24" s="529"/>
      <c r="K24" s="554"/>
      <c r="L24" s="555"/>
      <c r="M24" s="556"/>
      <c r="O24" s="86"/>
    </row>
    <row r="25" spans="1:15" x14ac:dyDescent="0.2">
      <c r="A25" s="540">
        <f t="shared" si="3"/>
        <v>0</v>
      </c>
      <c r="B25" s="142"/>
      <c r="C25" s="143"/>
      <c r="D25" s="149"/>
      <c r="E25" s="143"/>
      <c r="F25" s="208"/>
      <c r="G25" s="144"/>
      <c r="H25" s="208"/>
      <c r="I25" s="519"/>
      <c r="J25" s="529"/>
      <c r="K25" s="554"/>
      <c r="L25" s="555"/>
      <c r="M25" s="556"/>
      <c r="O25" s="86"/>
    </row>
    <row r="26" spans="1:15" x14ac:dyDescent="0.2">
      <c r="A26" s="540">
        <f t="shared" si="3"/>
        <v>0</v>
      </c>
      <c r="B26" s="142"/>
      <c r="C26" s="143"/>
      <c r="D26" s="149"/>
      <c r="E26" s="143"/>
      <c r="F26" s="144"/>
      <c r="G26" s="144"/>
      <c r="H26" s="144"/>
      <c r="I26" s="519"/>
      <c r="J26" s="529"/>
      <c r="K26" s="554"/>
      <c r="L26" s="555"/>
      <c r="M26" s="556"/>
      <c r="O26" s="86"/>
    </row>
    <row r="27" spans="1:15" x14ac:dyDescent="0.2">
      <c r="A27" s="540">
        <f t="shared" si="3"/>
        <v>0</v>
      </c>
      <c r="B27" s="142"/>
      <c r="C27" s="143"/>
      <c r="D27" s="149"/>
      <c r="E27" s="143"/>
      <c r="F27" s="144"/>
      <c r="G27" s="144"/>
      <c r="H27" s="144"/>
      <c r="I27" s="519"/>
      <c r="J27" s="529"/>
      <c r="K27" s="554"/>
      <c r="L27" s="555"/>
      <c r="M27" s="556"/>
      <c r="O27" s="86"/>
    </row>
    <row r="28" spans="1:15" x14ac:dyDescent="0.2">
      <c r="A28" s="540">
        <f t="shared" si="3"/>
        <v>0</v>
      </c>
      <c r="B28" s="142"/>
      <c r="C28" s="143"/>
      <c r="D28" s="149"/>
      <c r="E28" s="143"/>
      <c r="F28" s="144"/>
      <c r="G28" s="144"/>
      <c r="H28" s="144"/>
      <c r="I28" s="519"/>
      <c r="J28" s="529"/>
      <c r="K28" s="554"/>
      <c r="L28" s="555"/>
      <c r="M28" s="556"/>
      <c r="O28" s="86"/>
    </row>
    <row r="29" spans="1:15" x14ac:dyDescent="0.2">
      <c r="A29" s="540">
        <f t="shared" si="3"/>
        <v>0</v>
      </c>
      <c r="B29" s="142"/>
      <c r="C29" s="143"/>
      <c r="D29" s="149"/>
      <c r="E29" s="143"/>
      <c r="F29" s="144"/>
      <c r="G29" s="144"/>
      <c r="H29" s="144"/>
      <c r="I29" s="519"/>
      <c r="J29" s="529"/>
      <c r="K29" s="86"/>
      <c r="L29" s="555"/>
      <c r="M29" s="556"/>
      <c r="O29" s="86"/>
    </row>
    <row r="30" spans="1:15" ht="13.5" thickBot="1" x14ac:dyDescent="0.25">
      <c r="A30" s="540">
        <f t="shared" si="3"/>
        <v>0</v>
      </c>
      <c r="B30" s="145"/>
      <c r="C30" s="146"/>
      <c r="D30" s="150"/>
      <c r="E30" s="146"/>
      <c r="F30" s="147"/>
      <c r="G30" s="147"/>
      <c r="H30" s="147"/>
      <c r="I30" s="520"/>
      <c r="J30" s="529"/>
      <c r="K30" s="86"/>
      <c r="L30" s="555"/>
      <c r="M30" s="556"/>
      <c r="O30" s="86"/>
    </row>
    <row r="31" spans="1:15" ht="13.5" thickBot="1" x14ac:dyDescent="0.25">
      <c r="A31" s="537"/>
      <c r="B31" s="136"/>
      <c r="C31" s="560">
        <f>SUM(C19:C30)</f>
        <v>0</v>
      </c>
      <c r="D31" s="538">
        <f>SUMPRODUCT(C19:C30,D19:D30)</f>
        <v>0</v>
      </c>
      <c r="E31" s="539"/>
      <c r="F31" s="136"/>
      <c r="G31" s="136"/>
      <c r="H31" s="136"/>
      <c r="I31" s="136"/>
      <c r="J31" s="529"/>
      <c r="K31" s="86"/>
      <c r="L31" s="555"/>
      <c r="M31" s="556"/>
      <c r="O31" s="86"/>
    </row>
    <row r="32" spans="1:15" ht="13.5" thickBot="1" x14ac:dyDescent="0.25">
      <c r="A32" s="537"/>
      <c r="B32" s="136"/>
      <c r="C32" s="138"/>
      <c r="D32" s="138"/>
      <c r="E32" s="1280" t="s">
        <v>2432</v>
      </c>
      <c r="F32" s="1281"/>
      <c r="G32" s="1281"/>
      <c r="H32" s="1281"/>
      <c r="I32" s="1282"/>
      <c r="J32" s="529"/>
      <c r="K32" s="86"/>
      <c r="L32" s="555"/>
      <c r="M32" s="556"/>
      <c r="O32" s="86"/>
    </row>
    <row r="33" spans="1:15" x14ac:dyDescent="0.2">
      <c r="A33" s="537"/>
      <c r="B33" s="136"/>
      <c r="C33" s="138"/>
      <c r="D33" s="138"/>
      <c r="E33" s="138"/>
      <c r="F33" s="136"/>
      <c r="G33" s="136"/>
      <c r="H33" s="136"/>
      <c r="I33" s="136"/>
      <c r="J33" s="529"/>
      <c r="K33" s="86"/>
      <c r="L33" s="555"/>
      <c r="M33" s="556"/>
      <c r="O33" s="86"/>
    </row>
    <row r="34" spans="1:15" ht="13.5" thickBot="1" x14ac:dyDescent="0.25">
      <c r="A34" s="136"/>
      <c r="B34" s="137"/>
      <c r="C34" s="138"/>
      <c r="D34" s="138"/>
      <c r="E34" s="138"/>
      <c r="F34" s="137" t="s">
        <v>77</v>
      </c>
      <c r="G34" s="138" t="s">
        <v>554</v>
      </c>
      <c r="H34" s="138" t="s">
        <v>555</v>
      </c>
      <c r="I34" s="136"/>
      <c r="J34" s="529"/>
      <c r="K34" s="86"/>
      <c r="L34" s="555"/>
      <c r="M34" s="556"/>
      <c r="O34" s="86"/>
    </row>
    <row r="35" spans="1:15" x14ac:dyDescent="0.2">
      <c r="A35" s="136"/>
      <c r="B35" s="137"/>
      <c r="C35" s="138"/>
      <c r="D35" s="230"/>
      <c r="E35" s="803"/>
      <c r="F35" s="541" t="s">
        <v>78</v>
      </c>
      <c r="G35" s="542">
        <f t="shared" ref="G35:G45" si="4">SUMIFS($A$19:$A$30,$E$19:$E$30,$F35,$F$19:$F$30,$G$34)</f>
        <v>0</v>
      </c>
      <c r="H35" s="807">
        <f>SUMIFS($A$19:$A$30,$E$19:$E$30,$F35,$F$19:$F$30,$H$34)</f>
        <v>0</v>
      </c>
      <c r="I35" s="136"/>
      <c r="J35" s="529"/>
      <c r="K35" s="86"/>
      <c r="L35" s="555"/>
      <c r="M35" s="556"/>
      <c r="O35" s="86"/>
    </row>
    <row r="36" spans="1:15" x14ac:dyDescent="0.2">
      <c r="A36" s="136"/>
      <c r="B36" s="137"/>
      <c r="C36" s="138"/>
      <c r="D36" s="230"/>
      <c r="E36" s="803"/>
      <c r="F36" s="543" t="s">
        <v>1423</v>
      </c>
      <c r="G36" s="544">
        <f t="shared" si="4"/>
        <v>0</v>
      </c>
      <c r="H36" s="808">
        <f t="shared" ref="H36:H45" si="5">SUMIFS($A$19:$A$30,$E$19:$E$30,$F36,$F$19:$F$30,$H$34)</f>
        <v>0</v>
      </c>
      <c r="I36" s="136"/>
      <c r="J36" s="529"/>
      <c r="K36" s="86"/>
      <c r="L36" s="555"/>
      <c r="M36" s="556"/>
      <c r="O36" s="86"/>
    </row>
    <row r="37" spans="1:15" x14ac:dyDescent="0.2">
      <c r="A37" s="136"/>
      <c r="B37" s="137"/>
      <c r="C37" s="138"/>
      <c r="D37" s="230"/>
      <c r="E37" s="803"/>
      <c r="F37" s="543" t="s">
        <v>1424</v>
      </c>
      <c r="G37" s="544">
        <f t="shared" si="4"/>
        <v>0</v>
      </c>
      <c r="H37" s="808">
        <f t="shared" si="5"/>
        <v>0</v>
      </c>
      <c r="I37" s="136"/>
      <c r="J37" s="529"/>
      <c r="K37" s="86"/>
      <c r="L37" s="555"/>
      <c r="M37" s="556"/>
      <c r="O37" s="86"/>
    </row>
    <row r="38" spans="1:15" x14ac:dyDescent="0.2">
      <c r="A38" s="136"/>
      <c r="B38" s="137"/>
      <c r="C38" s="138"/>
      <c r="D38" s="230"/>
      <c r="E38" s="803"/>
      <c r="F38" s="543" t="s">
        <v>1425</v>
      </c>
      <c r="G38" s="544">
        <f t="shared" si="4"/>
        <v>0</v>
      </c>
      <c r="H38" s="808">
        <f t="shared" si="5"/>
        <v>0</v>
      </c>
      <c r="I38" s="136"/>
      <c r="J38" s="529"/>
      <c r="K38" s="86"/>
      <c r="L38" s="555"/>
      <c r="M38" s="556"/>
      <c r="O38" s="86"/>
    </row>
    <row r="39" spans="1:15" x14ac:dyDescent="0.2">
      <c r="A39" s="136"/>
      <c r="B39" s="137"/>
      <c r="C39" s="138"/>
      <c r="D39" s="230"/>
      <c r="E39" s="803"/>
      <c r="F39" s="543" t="s">
        <v>1426</v>
      </c>
      <c r="G39" s="544">
        <f t="shared" si="4"/>
        <v>0</v>
      </c>
      <c r="H39" s="808">
        <f t="shared" si="5"/>
        <v>0</v>
      </c>
      <c r="I39" s="136"/>
      <c r="J39" s="529"/>
      <c r="K39" s="86"/>
      <c r="L39" s="555"/>
      <c r="M39" s="556"/>
      <c r="O39" s="86"/>
    </row>
    <row r="40" spans="1:15" x14ac:dyDescent="0.2">
      <c r="A40" s="136"/>
      <c r="B40" s="137"/>
      <c r="C40" s="138"/>
      <c r="D40" s="230"/>
      <c r="E40" s="803"/>
      <c r="F40" s="804" t="s">
        <v>1101</v>
      </c>
      <c r="G40" s="544">
        <f t="shared" si="4"/>
        <v>0</v>
      </c>
      <c r="H40" s="808">
        <f t="shared" si="5"/>
        <v>0</v>
      </c>
      <c r="I40" s="136"/>
      <c r="J40" s="529"/>
      <c r="K40" s="86"/>
      <c r="L40" s="555"/>
      <c r="M40" s="556"/>
      <c r="O40" s="86"/>
    </row>
    <row r="41" spans="1:15" x14ac:dyDescent="0.2">
      <c r="A41" s="136"/>
      <c r="B41" s="137"/>
      <c r="C41" s="138"/>
      <c r="D41" s="230"/>
      <c r="E41" s="803"/>
      <c r="F41" s="804" t="s">
        <v>1427</v>
      </c>
      <c r="G41" s="544">
        <f t="shared" si="4"/>
        <v>0</v>
      </c>
      <c r="H41" s="808">
        <f t="shared" si="5"/>
        <v>0</v>
      </c>
      <c r="I41" s="136"/>
      <c r="J41" s="529"/>
      <c r="K41" s="86"/>
      <c r="L41" s="555"/>
      <c r="M41" s="556"/>
      <c r="O41" s="86"/>
    </row>
    <row r="42" spans="1:15" x14ac:dyDescent="0.2">
      <c r="A42" s="136"/>
      <c r="B42" s="137"/>
      <c r="C42" s="138"/>
      <c r="D42" s="230"/>
      <c r="E42" s="803"/>
      <c r="F42" s="804" t="s">
        <v>1428</v>
      </c>
      <c r="G42" s="544">
        <f t="shared" si="4"/>
        <v>0</v>
      </c>
      <c r="H42" s="808">
        <f t="shared" si="5"/>
        <v>0</v>
      </c>
      <c r="I42" s="136"/>
      <c r="J42" s="529"/>
      <c r="K42" s="86"/>
      <c r="L42" s="555"/>
      <c r="M42" s="556"/>
      <c r="O42" s="86"/>
    </row>
    <row r="43" spans="1:15" x14ac:dyDescent="0.2">
      <c r="A43" s="136"/>
      <c r="B43" s="137"/>
      <c r="C43" s="137"/>
      <c r="D43" s="137"/>
      <c r="E43" s="137"/>
      <c r="F43" s="804" t="s">
        <v>1144</v>
      </c>
      <c r="G43" s="544">
        <f t="shared" si="4"/>
        <v>0</v>
      </c>
      <c r="H43" s="808">
        <f t="shared" si="5"/>
        <v>0</v>
      </c>
      <c r="I43" s="136"/>
      <c r="J43" s="529"/>
      <c r="K43" s="86"/>
      <c r="L43" s="555"/>
      <c r="M43" s="556"/>
      <c r="O43" s="86"/>
    </row>
    <row r="44" spans="1:15" x14ac:dyDescent="0.2">
      <c r="A44" s="136"/>
      <c r="B44" s="137"/>
      <c r="C44" s="137"/>
      <c r="D44" s="137"/>
      <c r="E44" s="137"/>
      <c r="F44" s="804" t="s">
        <v>1145</v>
      </c>
      <c r="G44" s="544">
        <f t="shared" si="4"/>
        <v>0</v>
      </c>
      <c r="H44" s="808">
        <f t="shared" si="5"/>
        <v>0</v>
      </c>
      <c r="I44" s="136"/>
      <c r="J44" s="529"/>
      <c r="K44" s="86"/>
      <c r="L44" s="555"/>
      <c r="M44" s="556"/>
      <c r="O44" s="86"/>
    </row>
    <row r="45" spans="1:15" ht="13.5" thickBot="1" x14ac:dyDescent="0.25">
      <c r="A45" s="136"/>
      <c r="B45" s="137"/>
      <c r="C45" s="137"/>
      <c r="D45" s="137"/>
      <c r="E45" s="137"/>
      <c r="F45" s="805"/>
      <c r="G45" s="545">
        <f t="shared" si="4"/>
        <v>0</v>
      </c>
      <c r="H45" s="809">
        <f t="shared" si="5"/>
        <v>0</v>
      </c>
      <c r="I45" s="136"/>
      <c r="J45" s="529"/>
      <c r="K45" s="554"/>
      <c r="L45" s="555"/>
      <c r="M45" s="556"/>
      <c r="O45" s="86"/>
    </row>
    <row r="46" spans="1:15" ht="13.5" thickBot="1" x14ac:dyDescent="0.25">
      <c r="A46" s="136"/>
      <c r="B46" s="137"/>
      <c r="C46" s="137"/>
      <c r="D46" s="137"/>
      <c r="E46" s="137"/>
      <c r="F46" s="137" t="s">
        <v>576</v>
      </c>
      <c r="G46" s="546">
        <f>SUMIFS($C$19:$C$30,$F$19:$F$30,$G$34)</f>
        <v>0</v>
      </c>
      <c r="H46" s="546">
        <f>SUMIFS($C$19:$C$30,$F$19:$F$30,$H$34)</f>
        <v>0</v>
      </c>
      <c r="I46" s="136"/>
      <c r="J46" s="529"/>
      <c r="K46" s="554"/>
      <c r="L46" s="555"/>
      <c r="M46" s="556"/>
      <c r="O46" s="86"/>
    </row>
    <row r="47" spans="1:15" x14ac:dyDescent="0.2">
      <c r="A47" s="537"/>
      <c r="B47" s="136"/>
      <c r="C47" s="138"/>
      <c r="D47" s="138"/>
      <c r="E47" s="138"/>
      <c r="F47" s="136"/>
      <c r="G47" s="136"/>
      <c r="H47" s="136"/>
      <c r="I47" s="136"/>
      <c r="J47" s="529"/>
      <c r="K47" s="554"/>
      <c r="L47" s="555"/>
      <c r="M47" s="556"/>
      <c r="O47" s="86"/>
    </row>
    <row r="48" spans="1:15" x14ac:dyDescent="0.2">
      <c r="A48" s="537"/>
      <c r="B48" s="136"/>
      <c r="C48" s="138"/>
      <c r="D48" s="138"/>
      <c r="E48" s="138"/>
      <c r="F48" s="136"/>
      <c r="G48" s="136"/>
      <c r="H48" s="136"/>
      <c r="I48" s="136"/>
      <c r="J48" s="529"/>
      <c r="K48" s="554"/>
      <c r="L48" s="555"/>
      <c r="M48" s="556"/>
      <c r="O48" s="86"/>
    </row>
    <row r="49" spans="1:15" x14ac:dyDescent="0.2">
      <c r="A49" s="537"/>
      <c r="B49" s="136"/>
      <c r="C49" s="136"/>
      <c r="D49" s="136"/>
      <c r="E49" s="136"/>
      <c r="F49" s="136"/>
      <c r="G49" s="136"/>
      <c r="H49" s="136"/>
      <c r="I49" s="136"/>
      <c r="J49" s="529"/>
      <c r="K49" s="554"/>
      <c r="L49" s="555"/>
      <c r="M49" s="556"/>
      <c r="O49" s="86"/>
    </row>
    <row r="50" spans="1:15" x14ac:dyDescent="0.2">
      <c r="A50" s="537"/>
      <c r="B50" s="136"/>
      <c r="C50" s="136"/>
      <c r="D50" s="136"/>
      <c r="E50" s="136"/>
      <c r="F50" s="136"/>
      <c r="G50" s="136"/>
      <c r="H50" s="136"/>
      <c r="I50" s="136"/>
      <c r="J50" s="529"/>
      <c r="K50" s="554"/>
      <c r="L50" s="555"/>
      <c r="M50" s="556"/>
      <c r="O50" s="86"/>
    </row>
    <row r="51" spans="1:15" x14ac:dyDescent="0.2">
      <c r="A51" s="537"/>
      <c r="B51" s="136"/>
      <c r="C51" s="136"/>
      <c r="D51" s="136"/>
      <c r="E51" s="136"/>
      <c r="F51" s="136"/>
      <c r="G51" s="136"/>
      <c r="H51" s="136"/>
      <c r="I51" s="136"/>
      <c r="J51" s="529"/>
      <c r="K51" s="554"/>
      <c r="L51" s="555"/>
      <c r="M51" s="556"/>
      <c r="O51" s="86"/>
    </row>
    <row r="52" spans="1:15" x14ac:dyDescent="0.2">
      <c r="A52" s="537"/>
      <c r="B52" s="136"/>
      <c r="C52" s="136"/>
      <c r="D52" s="136"/>
      <c r="E52" s="136"/>
      <c r="F52" s="136"/>
      <c r="G52" s="136"/>
      <c r="H52" s="136"/>
      <c r="I52" s="136"/>
      <c r="J52" s="529"/>
      <c r="K52" s="554"/>
      <c r="L52" s="555"/>
      <c r="M52" s="556"/>
      <c r="O52" s="86"/>
    </row>
    <row r="53" spans="1:15" x14ac:dyDescent="0.2">
      <c r="A53" s="537"/>
      <c r="B53" s="136"/>
      <c r="C53" s="136"/>
      <c r="D53" s="136"/>
      <c r="E53" s="136"/>
      <c r="F53" s="136"/>
      <c r="G53" s="136"/>
      <c r="H53" s="136"/>
      <c r="I53" s="136"/>
      <c r="J53" s="529"/>
      <c r="K53" s="554"/>
      <c r="L53" s="555"/>
      <c r="M53" s="556"/>
      <c r="O53" s="86"/>
    </row>
    <row r="54" spans="1:15" x14ac:dyDescent="0.2">
      <c r="A54" s="537"/>
      <c r="B54" s="136"/>
      <c r="C54" s="136"/>
      <c r="D54" s="136"/>
      <c r="E54" s="136"/>
      <c r="F54" s="136"/>
      <c r="G54" s="136"/>
      <c r="H54" s="136"/>
      <c r="I54" s="136"/>
      <c r="J54" s="529"/>
      <c r="K54" s="554"/>
      <c r="L54" s="555"/>
      <c r="M54" s="556"/>
      <c r="O54" s="86"/>
    </row>
    <row r="55" spans="1:15" x14ac:dyDescent="0.2">
      <c r="A55" s="537"/>
      <c r="B55" s="136"/>
      <c r="C55" s="136"/>
      <c r="D55" s="136"/>
      <c r="E55" s="136"/>
      <c r="F55" s="136"/>
      <c r="G55" s="136"/>
      <c r="H55" s="136"/>
      <c r="I55" s="136"/>
      <c r="J55" s="529"/>
      <c r="K55" s="554"/>
      <c r="L55" s="555"/>
      <c r="M55" s="556"/>
      <c r="O55" s="86"/>
    </row>
    <row r="56" spans="1:15" x14ac:dyDescent="0.2">
      <c r="A56" s="537"/>
      <c r="B56" s="136"/>
      <c r="C56" s="136"/>
      <c r="D56" s="136"/>
      <c r="E56" s="136"/>
      <c r="F56" s="136"/>
      <c r="G56" s="136"/>
      <c r="H56" s="136"/>
      <c r="I56" s="136"/>
      <c r="J56" s="529"/>
      <c r="K56" s="554"/>
      <c r="L56" s="555"/>
      <c r="M56" s="556"/>
      <c r="O56" s="86"/>
    </row>
    <row r="57" spans="1:15" x14ac:dyDescent="0.2">
      <c r="A57" s="537"/>
      <c r="B57" s="136"/>
      <c r="C57" s="136"/>
      <c r="D57" s="136"/>
      <c r="E57" s="136"/>
      <c r="F57" s="136"/>
      <c r="G57" s="136"/>
      <c r="H57" s="136"/>
      <c r="I57" s="136"/>
      <c r="J57" s="529"/>
      <c r="K57" s="554"/>
      <c r="L57" s="555"/>
      <c r="M57" s="556"/>
      <c r="O57" s="86"/>
    </row>
    <row r="58" spans="1:15" x14ac:dyDescent="0.2">
      <c r="A58" s="537"/>
      <c r="B58" s="136"/>
      <c r="C58" s="136"/>
      <c r="D58" s="136"/>
      <c r="E58" s="136"/>
      <c r="F58" s="136"/>
      <c r="G58" s="136"/>
      <c r="H58" s="136"/>
      <c r="I58" s="136"/>
      <c r="J58" s="529"/>
      <c r="K58" s="554"/>
      <c r="L58" s="555"/>
      <c r="M58" s="556"/>
      <c r="O58" s="86"/>
    </row>
    <row r="59" spans="1:15" x14ac:dyDescent="0.2">
      <c r="A59" s="537"/>
      <c r="B59" s="136"/>
      <c r="C59" s="136"/>
      <c r="D59" s="136"/>
      <c r="E59" s="136"/>
      <c r="F59" s="136"/>
      <c r="G59" s="136"/>
      <c r="H59" s="136"/>
      <c r="I59" s="136"/>
      <c r="J59" s="529"/>
      <c r="K59" s="554"/>
      <c r="L59" s="555"/>
      <c r="M59" s="556"/>
      <c r="O59" s="86"/>
    </row>
    <row r="60" spans="1:15" x14ac:dyDescent="0.2">
      <c r="A60" s="537"/>
      <c r="B60" s="136"/>
      <c r="C60" s="136"/>
      <c r="D60" s="136"/>
      <c r="E60" s="136"/>
      <c r="F60" s="136"/>
      <c r="G60" s="136"/>
      <c r="H60" s="136"/>
      <c r="I60" s="136"/>
      <c r="J60" s="529"/>
      <c r="K60" s="554"/>
      <c r="L60" s="555"/>
      <c r="M60" s="556"/>
      <c r="O60" s="86"/>
    </row>
    <row r="61" spans="1:15" x14ac:dyDescent="0.2">
      <c r="A61" s="537"/>
      <c r="B61" s="136"/>
      <c r="C61" s="136"/>
      <c r="D61" s="136"/>
      <c r="E61" s="136"/>
      <c r="F61" s="136"/>
      <c r="G61" s="136"/>
      <c r="H61" s="136"/>
      <c r="I61" s="136"/>
      <c r="J61" s="529"/>
      <c r="K61" s="554"/>
      <c r="L61" s="555"/>
      <c r="M61" s="556"/>
      <c r="O61" s="86"/>
    </row>
    <row r="62" spans="1:15" x14ac:dyDescent="0.2">
      <c r="A62" s="537"/>
      <c r="B62" s="136"/>
      <c r="C62" s="136"/>
      <c r="D62" s="136"/>
      <c r="E62" s="136"/>
      <c r="F62" s="136"/>
      <c r="G62" s="136"/>
      <c r="H62" s="136"/>
      <c r="I62" s="136"/>
      <c r="J62" s="529"/>
      <c r="K62" s="554"/>
      <c r="L62" s="555"/>
      <c r="M62" s="556"/>
      <c r="O62" s="86"/>
    </row>
    <row r="63" spans="1:15" x14ac:dyDescent="0.2">
      <c r="A63" s="537"/>
      <c r="B63" s="136"/>
      <c r="C63" s="136"/>
      <c r="D63" s="136"/>
      <c r="E63" s="136"/>
      <c r="F63" s="136"/>
      <c r="G63" s="136"/>
      <c r="H63" s="136"/>
      <c r="I63" s="136"/>
      <c r="J63" s="529"/>
      <c r="K63" s="554"/>
      <c r="L63" s="555"/>
      <c r="M63" s="556"/>
      <c r="O63" s="86"/>
    </row>
    <row r="64" spans="1:15" x14ac:dyDescent="0.2">
      <c r="A64" s="537"/>
      <c r="B64" s="136"/>
      <c r="C64" s="136"/>
      <c r="D64" s="136"/>
      <c r="E64" s="136"/>
      <c r="F64" s="136"/>
      <c r="G64" s="136"/>
      <c r="H64" s="136"/>
      <c r="I64" s="136"/>
      <c r="J64" s="529"/>
      <c r="K64" s="554"/>
      <c r="L64" s="555"/>
      <c r="M64" s="556"/>
      <c r="O64" s="86"/>
    </row>
    <row r="65" spans="1:15" ht="13.5" thickBot="1" x14ac:dyDescent="0.25">
      <c r="A65" s="547"/>
      <c r="B65" s="548"/>
      <c r="C65" s="548"/>
      <c r="D65" s="548"/>
      <c r="E65" s="548"/>
      <c r="F65" s="548"/>
      <c r="G65" s="548"/>
      <c r="H65" s="548"/>
      <c r="I65" s="548"/>
      <c r="J65" s="549"/>
      <c r="K65" s="554"/>
      <c r="L65" s="555"/>
      <c r="M65" s="556"/>
      <c r="O65" s="86"/>
    </row>
    <row r="66" spans="1:15" x14ac:dyDescent="0.2">
      <c r="K66" s="554"/>
      <c r="L66" s="555"/>
      <c r="M66" s="556"/>
      <c r="O66" s="86"/>
    </row>
    <row r="67" spans="1:15" x14ac:dyDescent="0.2">
      <c r="K67" s="554"/>
      <c r="L67" s="555"/>
      <c r="M67" s="556"/>
      <c r="O67" s="86"/>
    </row>
    <row r="68" spans="1:15" x14ac:dyDescent="0.2">
      <c r="K68" s="554"/>
      <c r="L68" s="555"/>
      <c r="M68" s="556"/>
      <c r="O68" s="86"/>
    </row>
    <row r="69" spans="1:15" x14ac:dyDescent="0.2">
      <c r="K69" s="554"/>
      <c r="L69" s="555"/>
      <c r="M69" s="556"/>
      <c r="O69" s="86"/>
    </row>
    <row r="70" spans="1:15" x14ac:dyDescent="0.2">
      <c r="K70" s="554"/>
      <c r="L70" s="555"/>
      <c r="M70" s="556"/>
      <c r="O70" s="86"/>
    </row>
    <row r="71" spans="1:15" x14ac:dyDescent="0.2">
      <c r="K71" s="554"/>
      <c r="L71" s="555"/>
      <c r="M71" s="556"/>
      <c r="O71" s="86"/>
    </row>
    <row r="72" spans="1:15" x14ac:dyDescent="0.2">
      <c r="K72" s="554"/>
      <c r="L72" s="555"/>
      <c r="M72" s="556"/>
      <c r="O72" s="86"/>
    </row>
    <row r="73" spans="1:15" x14ac:dyDescent="0.2">
      <c r="K73" s="554"/>
      <c r="L73" s="555"/>
      <c r="M73" s="556"/>
      <c r="O73" s="86"/>
    </row>
    <row r="74" spans="1:15" x14ac:dyDescent="0.2">
      <c r="K74" s="554"/>
      <c r="L74" s="555"/>
      <c r="M74" s="556"/>
      <c r="O74" s="86"/>
    </row>
    <row r="75" spans="1:15" x14ac:dyDescent="0.2">
      <c r="K75" s="554"/>
      <c r="L75" s="555"/>
      <c r="M75" s="556"/>
      <c r="O75" s="86"/>
    </row>
    <row r="76" spans="1:15" x14ac:dyDescent="0.2">
      <c r="K76" s="554"/>
      <c r="L76" s="555"/>
      <c r="M76" s="556"/>
      <c r="O76" s="86"/>
    </row>
    <row r="77" spans="1:15" x14ac:dyDescent="0.2">
      <c r="K77" s="554"/>
      <c r="L77" s="555"/>
      <c r="M77" s="556"/>
      <c r="O77" s="86"/>
    </row>
    <row r="78" spans="1:15" x14ac:dyDescent="0.2">
      <c r="K78" s="554"/>
      <c r="L78" s="555"/>
      <c r="M78" s="556"/>
      <c r="O78" s="86"/>
    </row>
    <row r="79" spans="1:15" x14ac:dyDescent="0.2">
      <c r="K79" s="554"/>
      <c r="L79" s="555"/>
      <c r="M79" s="556"/>
      <c r="O79" s="86"/>
    </row>
    <row r="80" spans="1:15" x14ac:dyDescent="0.2">
      <c r="K80" s="554"/>
      <c r="L80" s="555"/>
      <c r="M80" s="556"/>
      <c r="O80" s="86"/>
    </row>
    <row r="81" spans="11:15" x14ac:dyDescent="0.2">
      <c r="K81" s="554"/>
      <c r="L81" s="555"/>
      <c r="M81" s="556"/>
      <c r="O81" s="86"/>
    </row>
    <row r="82" spans="11:15" x14ac:dyDescent="0.2">
      <c r="K82" s="554"/>
      <c r="L82" s="555"/>
      <c r="M82" s="556"/>
      <c r="O82" s="86"/>
    </row>
    <row r="83" spans="11:15" x14ac:dyDescent="0.2">
      <c r="K83" s="554"/>
      <c r="L83" s="555"/>
      <c r="M83" s="556"/>
      <c r="O83" s="86"/>
    </row>
    <row r="84" spans="11:15" x14ac:dyDescent="0.2">
      <c r="K84" s="554"/>
      <c r="L84" s="555"/>
      <c r="M84" s="556"/>
      <c r="O84" s="86"/>
    </row>
    <row r="85" spans="11:15" x14ac:dyDescent="0.2">
      <c r="K85" s="554"/>
      <c r="L85" s="555"/>
      <c r="M85" s="556"/>
      <c r="O85" s="86"/>
    </row>
    <row r="86" spans="11:15" x14ac:dyDescent="0.2">
      <c r="K86" s="554"/>
      <c r="L86" s="555"/>
      <c r="M86" s="556"/>
      <c r="O86" s="86"/>
    </row>
    <row r="87" spans="11:15" x14ac:dyDescent="0.2">
      <c r="K87" s="554"/>
      <c r="L87" s="555"/>
      <c r="M87" s="556"/>
      <c r="O87" s="86"/>
    </row>
    <row r="88" spans="11:15" x14ac:dyDescent="0.2">
      <c r="K88" s="554"/>
      <c r="L88" s="555"/>
      <c r="M88" s="556"/>
      <c r="O88" s="86"/>
    </row>
    <row r="89" spans="11:15" x14ac:dyDescent="0.2">
      <c r="K89" s="554"/>
      <c r="L89" s="555"/>
      <c r="M89" s="556"/>
      <c r="O89" s="86"/>
    </row>
    <row r="90" spans="11:15" x14ac:dyDescent="0.2">
      <c r="K90" s="558"/>
      <c r="L90" s="559"/>
      <c r="M90" s="80"/>
      <c r="N90" s="81"/>
      <c r="O90" s="82"/>
    </row>
  </sheetData>
  <sheetProtection selectLockedCells="1"/>
  <mergeCells count="2">
    <mergeCell ref="E2:G2"/>
    <mergeCell ref="E32:I32"/>
  </mergeCells>
  <phoneticPr fontId="12" type="noConversion"/>
  <conditionalFormatting sqref="D46">
    <cfRule type="expression" dxfId="213" priority="2">
      <formula>$D$17&lt;&gt;SUM($A$4:$A$16)</formula>
    </cfRule>
  </conditionalFormatting>
  <dataValidations count="9">
    <dataValidation type="list" allowBlank="1" showInputMessage="1" showErrorMessage="1" sqref="F19:F30" xr:uid="{00000000-0002-0000-0B00-000000000000}">
      <formula1>"Ground,First"</formula1>
    </dataValidation>
    <dataValidation type="list" allowBlank="1" showInputMessage="1" showErrorMessage="1" sqref="H19:H30" xr:uid="{00000000-0002-0000-0B00-000001000000}">
      <formula1>Postbase</formula1>
    </dataValidation>
    <dataValidation type="list" allowBlank="1" showInputMessage="1" showErrorMessage="1" sqref="B4:B16 B19:B30" xr:uid="{00000000-0002-0000-0B00-000002000000}">
      <formula1>Locations</formula1>
    </dataValidation>
    <dataValidation type="whole" allowBlank="1" showInputMessage="1" showErrorMessage="1" error="Do not use decimal places" sqref="C4:C16 C19:C30" xr:uid="{00000000-0002-0000-0B00-000003000000}">
      <formula1>0</formula1>
      <formula2>15</formula2>
    </dataValidation>
    <dataValidation type="decimal" allowBlank="1" showInputMessage="1" showErrorMessage="1" sqref="D19:D20 D22:D30" xr:uid="{00000000-0002-0000-0B00-000004000000}">
      <formula1>0</formula1>
      <formula2>5</formula2>
    </dataValidation>
    <dataValidation type="decimal" allowBlank="1" showInputMessage="1" showErrorMessage="1" sqref="D4:D16" xr:uid="{00000000-0002-0000-0B00-000005000000}">
      <formula1>0</formula1>
      <formula2>15</formula2>
    </dataValidation>
    <dataValidation type="list" allowBlank="1" showInputMessage="1" showErrorMessage="1" sqref="F4:F16" xr:uid="{00000000-0002-0000-0B00-000006000000}">
      <formula1>"Ground, First"</formula1>
    </dataValidation>
    <dataValidation type="list" allowBlank="1" showInputMessage="1" showErrorMessage="1" sqref="F43:F44" xr:uid="{00000000-0002-0000-0B00-000007000000}">
      <formula1>Posts</formula1>
    </dataValidation>
    <dataValidation type="list" allowBlank="1" showInputMessage="1" showErrorMessage="1" sqref="E20 E22:E30" xr:uid="{00000000-0002-0000-0B00-000009000000}">
      <formula1>$F$35:$F$44</formula1>
    </dataValidation>
  </dataValidations>
  <printOptions horizontalCentered="1" verticalCentered="1"/>
  <pageMargins left="0" right="0" top="0" bottom="0" header="0" footer="0.19685039370078741"/>
  <pageSetup paperSize="9" scale="65" orientation="landscape" r:id="rId1"/>
  <headerFooter alignWithMargins="0">
    <oddFooter>Page &amp;P of &amp;N</oddFooter>
  </headerFooter>
  <drawing r:id="rId2"/>
  <legacyDrawing r:id="rId3"/>
  <oleObjects>
    <mc:AlternateContent xmlns:mc="http://schemas.openxmlformats.org/markup-compatibility/2006">
      <mc:Choice Requires="x14">
        <oleObject progId="AutoSketch.Drawing.7" shapeId="82959" r:id="rId4">
          <objectPr defaultSize="0" autoPict="0" r:id="rId5">
            <anchor moveWithCells="1">
              <from>
                <xdr:col>5</xdr:col>
                <xdr:colOff>1057275</xdr:colOff>
                <xdr:row>47</xdr:row>
                <xdr:rowOff>19050</xdr:rowOff>
              </from>
              <to>
                <xdr:col>5</xdr:col>
                <xdr:colOff>3438525</xdr:colOff>
                <xdr:row>63</xdr:row>
                <xdr:rowOff>38100</xdr:rowOff>
              </to>
            </anchor>
          </objectPr>
        </oleObject>
      </mc:Choice>
      <mc:Fallback>
        <oleObject progId="AutoSketch.Drawing.7" shapeId="82959" r:id="rId4"/>
      </mc:Fallback>
    </mc:AlternateContent>
    <mc:AlternateContent xmlns:mc="http://schemas.openxmlformats.org/markup-compatibility/2006">
      <mc:Choice Requires="x14">
        <oleObject progId="AutoSketch.Drawing.7" shapeId="82960" r:id="rId6">
          <objectPr defaultSize="0" autoPict="0" r:id="rId7">
            <anchor moveWithCells="1">
              <from>
                <xdr:col>0</xdr:col>
                <xdr:colOff>381000</xdr:colOff>
                <xdr:row>47</xdr:row>
                <xdr:rowOff>19050</xdr:rowOff>
              </from>
              <to>
                <xdr:col>3</xdr:col>
                <xdr:colOff>390525</xdr:colOff>
                <xdr:row>64</xdr:row>
                <xdr:rowOff>152400</xdr:rowOff>
              </to>
            </anchor>
          </objectPr>
        </oleObject>
      </mc:Choice>
      <mc:Fallback>
        <oleObject progId="AutoSketch.Drawing.7" shapeId="82960" r:id="rId6"/>
      </mc:Fallback>
    </mc:AlternateContent>
    <mc:AlternateContent xmlns:mc="http://schemas.openxmlformats.org/markup-compatibility/2006">
      <mc:Choice Requires="x14">
        <oleObject progId="AutoSketch.Drawing.7" shapeId="82963" r:id="rId8">
          <objectPr defaultSize="0" autoPict="0" r:id="rId9">
            <anchor moveWithCells="1">
              <from>
                <xdr:col>4</xdr:col>
                <xdr:colOff>57150</xdr:colOff>
                <xdr:row>47</xdr:row>
                <xdr:rowOff>28575</xdr:rowOff>
              </from>
              <to>
                <xdr:col>5</xdr:col>
                <xdr:colOff>590550</xdr:colOff>
                <xdr:row>61</xdr:row>
                <xdr:rowOff>38100</xdr:rowOff>
              </to>
            </anchor>
          </objectPr>
        </oleObject>
      </mc:Choice>
      <mc:Fallback>
        <oleObject progId="AutoSketch.Drawing.7" shapeId="82963" r:id="rId8"/>
      </mc:Fallback>
    </mc:AlternateContent>
  </oleObjec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A000000}">
          <x14:formula1>
            <xm:f>Lists!$L$32:$L$35</xm:f>
          </x14:formula1>
          <xm:sqref>G19:G30</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2"/>
  <dimension ref="B1:AE117"/>
  <sheetViews>
    <sheetView zoomScale="85" zoomScaleNormal="85" workbookViewId="0"/>
  </sheetViews>
  <sheetFormatPr defaultColWidth="9.140625" defaultRowHeight="15" customHeight="1" outlineLevelRow="1" x14ac:dyDescent="0.2"/>
  <cols>
    <col min="1" max="1" width="9.140625" style="420"/>
    <col min="2" max="2" width="3.7109375" style="420" customWidth="1"/>
    <col min="3" max="3" width="30.7109375" style="420" customWidth="1"/>
    <col min="4" max="4" width="12.7109375" style="420" customWidth="1"/>
    <col min="5" max="5" width="3.7109375" style="422" customWidth="1"/>
    <col min="6" max="6" width="12.7109375" style="420" customWidth="1"/>
    <col min="7" max="7" width="3.7109375" style="422" customWidth="1"/>
    <col min="8" max="9" width="12.7109375" style="420" customWidth="1"/>
    <col min="10" max="10" width="3.7109375" style="422" customWidth="1"/>
    <col min="11" max="11" width="12.7109375" style="420" customWidth="1"/>
    <col min="12" max="12" width="4.7109375" style="420" customWidth="1"/>
    <col min="13" max="13" width="60.7109375" style="420" customWidth="1"/>
    <col min="14" max="14" width="12.7109375" style="420" customWidth="1"/>
    <col min="15" max="15" width="3.7109375" style="420" customWidth="1"/>
    <col min="16" max="16" width="12.7109375" style="420" customWidth="1"/>
    <col min="17" max="17" width="3.7109375" style="420" customWidth="1"/>
    <col min="18" max="19" width="12.7109375" style="420" customWidth="1"/>
    <col min="20" max="20" width="3.7109375" style="420" customWidth="1"/>
    <col min="21" max="21" width="12.7109375" style="420" customWidth="1"/>
    <col min="22" max="22" width="4.7109375" style="420" customWidth="1"/>
    <col min="23" max="23" width="40.7109375" style="420" customWidth="1"/>
    <col min="24" max="24" width="9.140625" style="420"/>
    <col min="25" max="25" width="14.42578125" style="747" customWidth="1"/>
    <col min="26" max="26" width="15.140625" style="747" bestFit="1" customWidth="1"/>
    <col min="27" max="27" width="14.42578125" style="747" bestFit="1" customWidth="1"/>
    <col min="28" max="28" width="9.140625" style="747"/>
    <col min="29" max="16384" width="9.140625" style="420"/>
  </cols>
  <sheetData>
    <row r="1" spans="2:31" ht="39.950000000000003" customHeight="1" x14ac:dyDescent="0.2">
      <c r="C1" s="1288" t="s">
        <v>557</v>
      </c>
      <c r="D1" s="1288"/>
      <c r="E1" s="1288"/>
      <c r="F1" s="1288"/>
      <c r="G1" s="1288"/>
      <c r="H1" s="1288"/>
      <c r="I1" s="1288"/>
      <c r="J1" s="1288"/>
      <c r="K1" s="1288"/>
      <c r="L1" s="1288"/>
      <c r="M1" s="1288"/>
      <c r="N1" s="1288"/>
      <c r="O1" s="1288"/>
      <c r="P1" s="1288"/>
      <c r="Q1" s="1288"/>
      <c r="R1" s="1288"/>
      <c r="S1" s="1288"/>
      <c r="T1" s="1288"/>
      <c r="U1" s="1288"/>
      <c r="V1" s="1288"/>
    </row>
    <row r="2" spans="2:31" s="418" customFormat="1" ht="27.6" customHeight="1" x14ac:dyDescent="0.2">
      <c r="C2" s="418" t="s">
        <v>453</v>
      </c>
      <c r="E2" s="421"/>
      <c r="G2" s="421"/>
      <c r="J2" s="421"/>
      <c r="M2" s="418" t="s">
        <v>149</v>
      </c>
      <c r="N2" s="420"/>
      <c r="O2" s="422"/>
      <c r="P2" s="420"/>
      <c r="Q2" s="422"/>
      <c r="R2" s="420"/>
      <c r="S2" s="420"/>
      <c r="T2" s="422"/>
      <c r="U2" s="420"/>
      <c r="Y2" s="1168"/>
      <c r="Z2" s="1168"/>
      <c r="AA2" s="1168"/>
      <c r="AB2" s="1168"/>
      <c r="AC2" s="423" t="s">
        <v>433</v>
      </c>
      <c r="AD2" s="423" t="s">
        <v>434</v>
      </c>
      <c r="AE2" s="423" t="s">
        <v>435</v>
      </c>
    </row>
    <row r="3" spans="2:31" ht="17.45" customHeight="1" outlineLevel="1" thickBot="1" x14ac:dyDescent="0.25">
      <c r="C3" s="424" t="s">
        <v>7</v>
      </c>
      <c r="D3" s="424" t="s">
        <v>388</v>
      </c>
      <c r="E3" s="425"/>
      <c r="F3" s="424" t="s">
        <v>436</v>
      </c>
      <c r="G3" s="425"/>
      <c r="H3" s="424" t="s">
        <v>437</v>
      </c>
      <c r="I3" s="424" t="s">
        <v>438</v>
      </c>
      <c r="J3" s="425"/>
      <c r="K3" s="424" t="s">
        <v>420</v>
      </c>
      <c r="M3" s="424" t="s">
        <v>7</v>
      </c>
      <c r="N3" s="424" t="s">
        <v>388</v>
      </c>
      <c r="O3" s="425"/>
      <c r="P3" s="424" t="s">
        <v>436</v>
      </c>
      <c r="Q3" s="425"/>
      <c r="R3" s="424" t="s">
        <v>437</v>
      </c>
      <c r="S3" s="424" t="s">
        <v>438</v>
      </c>
      <c r="T3" s="425"/>
      <c r="U3" s="46" t="s">
        <v>420</v>
      </c>
      <c r="W3" s="426" t="s">
        <v>344</v>
      </c>
    </row>
    <row r="4" spans="2:31" ht="17.45" customHeight="1" outlineLevel="1" thickBot="1" x14ac:dyDescent="0.25">
      <c r="B4" s="1289" t="s">
        <v>479</v>
      </c>
      <c r="C4" s="427" t="s">
        <v>565</v>
      </c>
      <c r="D4" s="428">
        <v>1</v>
      </c>
      <c r="E4" s="429" t="s">
        <v>434</v>
      </c>
      <c r="F4" s="428">
        <f>(H_Perim-SUMIF(Name,"Reverse Brick Veneer",Length)-SUMIF(Name,"1c Face Brick",Length)-SUMIF(Name,"Common Brick",Length)---SUMIF(Name,"Studwork",Length))*1000</f>
        <v>0</v>
      </c>
      <c r="G4" s="429" t="s">
        <v>434</v>
      </c>
      <c r="H4" s="1188" t="str">
        <f>IFERROR(ROUNDUP(AVERAGEIF(Name,"House Area",Height),0),"")</f>
        <v/>
      </c>
      <c r="I4" s="104">
        <f>IFERROR(IF(ISBLANK($H4),0,VLOOKUP($H4,Std_Brick,4,FALSE)),0)</f>
        <v>0</v>
      </c>
      <c r="J4" s="429" t="s">
        <v>435</v>
      </c>
      <c r="K4" s="105">
        <f>IF(OR($F4=0,$I4=0),0,$D4*($F4/1000)*($I4/1000))</f>
        <v>0</v>
      </c>
      <c r="L4" s="1291" t="s">
        <v>450</v>
      </c>
      <c r="M4" s="431" t="s">
        <v>443</v>
      </c>
      <c r="N4" s="432"/>
      <c r="O4" s="429"/>
      <c r="P4" s="432"/>
      <c r="Q4" s="429"/>
      <c r="R4" s="432"/>
      <c r="S4" s="432"/>
      <c r="T4" s="429"/>
      <c r="U4" s="110">
        <f>SUMIFS(Lintel_Area,Lintel_Floor,"Ground",Lintel_Location,"Internal",Lintel_Brick,"Face")</f>
        <v>0</v>
      </c>
      <c r="W4" s="194"/>
    </row>
    <row r="5" spans="2:31" ht="17.45" customHeight="1" outlineLevel="1" thickBot="1" x14ac:dyDescent="0.25">
      <c r="B5" s="1289"/>
      <c r="C5" s="433" t="s">
        <v>440</v>
      </c>
      <c r="D5" s="1283"/>
      <c r="E5" s="1283"/>
      <c r="F5" s="190">
        <f>SUMIF(Name,"Garage Wall",Length)*1000</f>
        <v>0</v>
      </c>
      <c r="G5" s="1283"/>
      <c r="H5" s="1283"/>
      <c r="I5" s="1283"/>
      <c r="J5" s="434" t="s">
        <v>435</v>
      </c>
      <c r="K5" s="106" cm="1">
        <f t="array" ref="K5">ROUNDUP(SUMPRODUCT(--(Name="Garage Wall"),Length,SUMIF(Lists!$T$2:$T$150,Height,Lists!$W$2:$W$150))/1000,1)</f>
        <v>0</v>
      </c>
      <c r="L5" s="1291"/>
      <c r="M5" s="433" t="s">
        <v>446</v>
      </c>
      <c r="N5" s="190">
        <v>1</v>
      </c>
      <c r="O5" s="434" t="s">
        <v>434</v>
      </c>
      <c r="P5" s="166">
        <f>IF(Brick_type="Standard Face",SUMIFS(Lintel_Opening,Lintel_Brick,"Face",Lintel_Floor,"Ground",Lintel_Location,"Internal")*1000,0)</f>
        <v>0</v>
      </c>
      <c r="Q5" s="434" t="s">
        <v>434</v>
      </c>
      <c r="R5" s="435">
        <v>1</v>
      </c>
      <c r="S5" s="103">
        <f t="shared" ref="S5:S34" si="0">IF(ISBLANK($R5),0,VLOOKUP($R5,Std_Brick,4,FALSE))</f>
        <v>86</v>
      </c>
      <c r="T5" s="434" t="s">
        <v>435</v>
      </c>
      <c r="U5" s="63">
        <f t="shared" ref="U5:U32" si="1">IF(OR($P5=0,$S5=0),0,$N5*($P5/1000)*($S5/1000))</f>
        <v>0</v>
      </c>
      <c r="W5" s="195"/>
    </row>
    <row r="6" spans="2:31" ht="17.45" customHeight="1" outlineLevel="1" thickBot="1" x14ac:dyDescent="0.25">
      <c r="B6" s="1289"/>
      <c r="C6" s="419"/>
      <c r="D6" s="1283"/>
      <c r="E6" s="1283"/>
      <c r="F6" s="1283"/>
      <c r="G6" s="1283"/>
      <c r="H6" s="1283"/>
      <c r="I6" s="1283"/>
      <c r="J6" s="434"/>
      <c r="K6" s="106"/>
      <c r="L6" s="1291"/>
      <c r="M6" s="433" t="s">
        <v>447</v>
      </c>
      <c r="N6" s="190">
        <v>1</v>
      </c>
      <c r="O6" s="434" t="s">
        <v>434</v>
      </c>
      <c r="P6" s="166">
        <f>IF(Brick_type="Standard Face",SUMIFS(Lintel_Opening,Lintel_Brick,"Face",Lintel_Floor,"Ground",Lintel_Location,"External")*1000,0)</f>
        <v>0</v>
      </c>
      <c r="Q6" s="434" t="s">
        <v>434</v>
      </c>
      <c r="R6" s="435">
        <v>1</v>
      </c>
      <c r="S6" s="103">
        <f t="shared" si="0"/>
        <v>86</v>
      </c>
      <c r="T6" s="434" t="s">
        <v>435</v>
      </c>
      <c r="U6" s="63">
        <f t="shared" si="1"/>
        <v>0</v>
      </c>
      <c r="W6" s="195"/>
    </row>
    <row r="7" spans="2:31" ht="17.45" customHeight="1" outlineLevel="1" thickBot="1" x14ac:dyDescent="0.25">
      <c r="B7" s="1289"/>
      <c r="C7" s="433" t="s">
        <v>409</v>
      </c>
      <c r="D7" s="1283"/>
      <c r="E7" s="1283"/>
      <c r="F7" s="1283"/>
      <c r="G7" s="1283"/>
      <c r="H7" s="1283"/>
      <c r="I7" s="1283"/>
      <c r="J7" s="434" t="s">
        <v>435</v>
      </c>
      <c r="K7" s="106" cm="1">
        <f t="array" ref="K7">ROUNDUP(SUMPRODUCT(--(Name="Attached Pier"),Length,SUMIF(Lists!$T$2:$T$150,Height,Lists!$W$2:$W$150))/1000,1)</f>
        <v>0</v>
      </c>
      <c r="L7" s="1291"/>
      <c r="M7" s="201" t="s">
        <v>448</v>
      </c>
      <c r="N7" s="184">
        <v>1</v>
      </c>
      <c r="O7" s="434" t="s">
        <v>434</v>
      </c>
      <c r="P7" s="166" cm="1">
        <f t="array" ref="P7">ROUNDUP(SUMPRODUCT(--(Material="1c Face"),--(ISNUMBER(SEARCH("Single Wall/Planter",Name))),Length),1)*1000</f>
        <v>0</v>
      </c>
      <c r="Q7" s="434" t="s">
        <v>434</v>
      </c>
      <c r="R7" s="185">
        <v>1</v>
      </c>
      <c r="S7" s="103">
        <f t="shared" si="0"/>
        <v>86</v>
      </c>
      <c r="T7" s="434" t="s">
        <v>435</v>
      </c>
      <c r="U7" s="63">
        <f>IF(OR($P7=0,$S7=0),0,$N7*($P7/1000)*($S7/1000))</f>
        <v>0</v>
      </c>
      <c r="W7" s="195"/>
    </row>
    <row r="8" spans="2:31" ht="17.45" customHeight="1" outlineLevel="1" thickBot="1" x14ac:dyDescent="0.25">
      <c r="B8" s="1289"/>
      <c r="C8" s="419" t="s">
        <v>1602</v>
      </c>
      <c r="D8" s="1283"/>
      <c r="E8" s="1283"/>
      <c r="F8" s="1283"/>
      <c r="G8" s="1283"/>
      <c r="H8" s="1283"/>
      <c r="I8" s="1283"/>
      <c r="J8" s="434" t="s">
        <v>435</v>
      </c>
      <c r="K8" s="106" cm="1">
        <f t="array" ref="K8">ROUNDUP(SUMPRODUCT(--(Name="Pad Footing"),Length,SUMIF(Lists!$T$2:$T$150,Height,Lists!$W$2:$W$150))/1000,2)</f>
        <v>0</v>
      </c>
      <c r="L8" s="1291"/>
      <c r="M8" s="419" t="s">
        <v>3105</v>
      </c>
      <c r="N8" s="1283"/>
      <c r="O8" s="1283"/>
      <c r="P8" s="1283"/>
      <c r="Q8" s="1283"/>
      <c r="R8" s="1283"/>
      <c r="S8" s="1283"/>
      <c r="T8" s="434" t="s">
        <v>435</v>
      </c>
      <c r="U8" s="63" cm="1">
        <f t="array" ref="U8">ROUNDUP(SUMPRODUCT(--(Name="1c Face Brick"),Length)*0.086*1000/1000,1)</f>
        <v>0</v>
      </c>
      <c r="W8" s="195"/>
    </row>
    <row r="9" spans="2:31" ht="17.45" customHeight="1" outlineLevel="1" thickBot="1" x14ac:dyDescent="0.25">
      <c r="B9" s="1289"/>
      <c r="C9" s="419" t="s">
        <v>1569</v>
      </c>
      <c r="D9" s="1283"/>
      <c r="E9" s="1283"/>
      <c r="F9" s="1283"/>
      <c r="G9" s="1283"/>
      <c r="H9" s="1283"/>
      <c r="I9" s="1283"/>
      <c r="J9" s="434" t="s">
        <v>435</v>
      </c>
      <c r="K9" s="106" cm="1">
        <f t="array" ref="K9">ROUNDUP(SUMPRODUCT(--(Name="Single WALL/Planter"),Length,SUMIF(Lists!$T$2:$T$150,Height,Lists!$W$2:$W$150))/1000,1)</f>
        <v>0</v>
      </c>
      <c r="L9" s="1291"/>
      <c r="M9" s="183"/>
      <c r="N9" s="184">
        <v>1</v>
      </c>
      <c r="O9" s="434" t="s">
        <v>434</v>
      </c>
      <c r="P9" s="185"/>
      <c r="Q9" s="434" t="s">
        <v>434</v>
      </c>
      <c r="R9" s="185"/>
      <c r="S9" s="103">
        <f t="shared" si="0"/>
        <v>0</v>
      </c>
      <c r="T9" s="434" t="s">
        <v>435</v>
      </c>
      <c r="U9" s="63">
        <f t="shared" si="1"/>
        <v>0</v>
      </c>
      <c r="W9" s="195"/>
    </row>
    <row r="10" spans="2:31" ht="17.45" customHeight="1" outlineLevel="1" thickBot="1" x14ac:dyDescent="0.25">
      <c r="B10" s="1289"/>
      <c r="C10" s="419" t="str">
        <f>IFERROR("Brickwork &gt; "&amp;$H$4-2&amp;"c","")</f>
        <v/>
      </c>
      <c r="D10" s="1283"/>
      <c r="E10" s="1283"/>
      <c r="F10" s="1283"/>
      <c r="G10" s="1283"/>
      <c r="H10" s="1283"/>
      <c r="I10" s="1283"/>
      <c r="J10" s="434" t="s">
        <v>435</v>
      </c>
      <c r="K10" s="106" cm="1">
        <f t="array" ref="K10">ROUNDUP(SUMPRODUCT(--(Name="B/Work &gt; 25c"),Length,SUMIF(Lists!$T$2:$T$150,Height,Lists!$W$2:$W$150))/1000,1)+ROUNDUP(SUMPRODUCT(--(Name="Render Brick"),--(Height&gt;H46),Length,SUMIF(Lists!$T$2:$T$150,Height-H46,Lists!$W$2:$W$150))/1000,1)</f>
        <v>0</v>
      </c>
      <c r="L10" s="1291"/>
      <c r="M10" s="183"/>
      <c r="N10" s="184">
        <v>1</v>
      </c>
      <c r="O10" s="434" t="s">
        <v>434</v>
      </c>
      <c r="P10" s="185"/>
      <c r="Q10" s="434" t="s">
        <v>434</v>
      </c>
      <c r="R10" s="185"/>
      <c r="S10" s="103">
        <f t="shared" si="0"/>
        <v>0</v>
      </c>
      <c r="T10" s="434" t="s">
        <v>435</v>
      </c>
      <c r="U10" s="63">
        <f t="shared" si="1"/>
        <v>0</v>
      </c>
      <c r="W10" s="195"/>
    </row>
    <row r="11" spans="2:31" ht="17.45" customHeight="1" outlineLevel="1" thickBot="1" x14ac:dyDescent="0.25">
      <c r="B11" s="1289"/>
      <c r="C11" s="419" t="s">
        <v>974</v>
      </c>
      <c r="D11" s="1283"/>
      <c r="E11" s="1283"/>
      <c r="F11" s="1283"/>
      <c r="G11" s="1283"/>
      <c r="H11" s="1283"/>
      <c r="I11" s="1283"/>
      <c r="J11" s="434" t="s">
        <v>435</v>
      </c>
      <c r="K11" s="106" cm="1">
        <f t="array" ref="K11">ROUNDUP(SUMPRODUCT(--(ISNUMBER(SEARCH("T-Bar",Name))),Length,Height*0.086),1)</f>
        <v>0</v>
      </c>
      <c r="L11" s="1291"/>
      <c r="M11" s="433" t="s">
        <v>445</v>
      </c>
      <c r="N11" s="184">
        <v>1</v>
      </c>
      <c r="O11" s="434" t="s">
        <v>434</v>
      </c>
      <c r="P11" s="185"/>
      <c r="Q11" s="434" t="s">
        <v>434</v>
      </c>
      <c r="R11" s="185">
        <v>2</v>
      </c>
      <c r="S11" s="103">
        <f t="shared" si="0"/>
        <v>172</v>
      </c>
      <c r="T11" s="434" t="s">
        <v>435</v>
      </c>
      <c r="U11" s="57">
        <f t="shared" si="1"/>
        <v>0</v>
      </c>
      <c r="W11" s="195"/>
    </row>
    <row r="12" spans="2:31" ht="17.45" customHeight="1" outlineLevel="1" thickBot="1" x14ac:dyDescent="0.25">
      <c r="B12" s="1289"/>
      <c r="C12" s="232" t="s">
        <v>1469</v>
      </c>
      <c r="D12" s="378">
        <v>1</v>
      </c>
      <c r="E12" s="434" t="s">
        <v>434</v>
      </c>
      <c r="F12" s="190">
        <f>SUMIF(Name,"Z/Lot Garage Wall",Length)*1000</f>
        <v>0</v>
      </c>
      <c r="G12" s="434" t="s">
        <v>434</v>
      </c>
      <c r="H12" s="190">
        <f>IFERROR(ROUNDUP(AVERAGEIF(Name,"Z/Lot Garage Wall",Height),0),0)</f>
        <v>0</v>
      </c>
      <c r="I12" s="383">
        <f>IFERROR(IF(ISBLANK($H12),0,VLOOKUP($H12,Std_Brick,4,FALSE)),0)</f>
        <v>0</v>
      </c>
      <c r="J12" s="434" t="s">
        <v>435</v>
      </c>
      <c r="K12" s="384">
        <f t="shared" ref="K12:K33" si="2">IF(OR($F12=0,$I12=0),0,$D12*($F12/1000)*($I12/1000))</f>
        <v>0</v>
      </c>
      <c r="L12" s="1291"/>
      <c r="M12" s="433" t="s">
        <v>444</v>
      </c>
      <c r="N12" s="184">
        <v>1</v>
      </c>
      <c r="O12" s="434" t="s">
        <v>434</v>
      </c>
      <c r="P12" s="185"/>
      <c r="Q12" s="434" t="s">
        <v>434</v>
      </c>
      <c r="R12" s="185">
        <v>2</v>
      </c>
      <c r="S12" s="103">
        <f t="shared" si="0"/>
        <v>172</v>
      </c>
      <c r="T12" s="434" t="s">
        <v>435</v>
      </c>
      <c r="U12" s="57">
        <f t="shared" si="1"/>
        <v>0</v>
      </c>
      <c r="W12" s="195"/>
    </row>
    <row r="13" spans="2:31" ht="17.45" customHeight="1" outlineLevel="1" thickBot="1" x14ac:dyDescent="0.25">
      <c r="B13" s="1289"/>
      <c r="C13" s="232"/>
      <c r="D13" s="184"/>
      <c r="E13" s="434" t="s">
        <v>434</v>
      </c>
      <c r="F13" s="185"/>
      <c r="G13" s="434" t="s">
        <v>434</v>
      </c>
      <c r="H13" s="185"/>
      <c r="I13" s="103">
        <f t="shared" ref="I13:I33" si="3">IF(ISBLANK($H13),0,VLOOKUP($H13,Std_Brick,4,FALSE))</f>
        <v>0</v>
      </c>
      <c r="J13" s="434" t="s">
        <v>435</v>
      </c>
      <c r="K13" s="106">
        <f t="shared" si="2"/>
        <v>0</v>
      </c>
      <c r="L13" s="1291"/>
      <c r="M13" s="419" t="s">
        <v>3634</v>
      </c>
      <c r="N13" s="1283"/>
      <c r="O13" s="1283"/>
      <c r="P13" s="1283"/>
      <c r="Q13" s="1283"/>
      <c r="R13" s="1283"/>
      <c r="S13" s="1283"/>
      <c r="T13" s="434" t="s">
        <v>435</v>
      </c>
      <c r="U13" s="106" cm="1">
        <f t="array" ref="U13">ROUNDUP(SUMPRODUCT(--(Material="1c Face"),--(ISNUMBER(SEARCH("Single Wall/Planter",Name))),Length,Height*0.086),1)</f>
        <v>0</v>
      </c>
      <c r="W13" s="195"/>
    </row>
    <row r="14" spans="2:31" ht="17.45" customHeight="1" outlineLevel="1" thickBot="1" x14ac:dyDescent="0.25">
      <c r="B14" s="1289"/>
      <c r="C14" s="232"/>
      <c r="D14" s="184"/>
      <c r="E14" s="434" t="s">
        <v>434</v>
      </c>
      <c r="F14" s="185"/>
      <c r="G14" s="434" t="s">
        <v>434</v>
      </c>
      <c r="H14" s="185"/>
      <c r="I14" s="103">
        <f t="shared" si="3"/>
        <v>0</v>
      </c>
      <c r="J14" s="434" t="s">
        <v>435</v>
      </c>
      <c r="K14" s="106">
        <f t="shared" si="2"/>
        <v>0</v>
      </c>
      <c r="L14" s="1291"/>
      <c r="M14" s="419" t="s">
        <v>3635</v>
      </c>
      <c r="N14" s="1283"/>
      <c r="O14" s="1283"/>
      <c r="P14" s="1283"/>
      <c r="Q14" s="1283"/>
      <c r="R14" s="1283"/>
      <c r="S14" s="1283"/>
      <c r="T14" s="434" t="s">
        <v>435</v>
      </c>
      <c r="U14" s="106" cm="1">
        <f t="array" ref="U14">ROUNDUP(SUMPRODUCT(--(Name="1c Face Brick"),Length,SUMIF(Lists!$T$2:$T$150,Height,Lists!$W$2:$W$150))/1000,1)</f>
        <v>0</v>
      </c>
      <c r="W14" s="195"/>
    </row>
    <row r="15" spans="2:31" ht="17.45" customHeight="1" outlineLevel="1" thickBot="1" x14ac:dyDescent="0.25">
      <c r="B15" s="1289"/>
      <c r="C15" s="232"/>
      <c r="D15" s="184"/>
      <c r="E15" s="434" t="s">
        <v>434</v>
      </c>
      <c r="F15" s="185"/>
      <c r="G15" s="434" t="s">
        <v>434</v>
      </c>
      <c r="H15" s="185"/>
      <c r="I15" s="383">
        <f t="shared" si="3"/>
        <v>0</v>
      </c>
      <c r="J15" s="434" t="s">
        <v>435</v>
      </c>
      <c r="K15" s="384">
        <f t="shared" si="2"/>
        <v>0</v>
      </c>
      <c r="L15" s="1291"/>
      <c r="M15" s="419" t="s">
        <v>3636</v>
      </c>
      <c r="N15" s="1283"/>
      <c r="O15" s="1283"/>
      <c r="P15" s="1283"/>
      <c r="Q15" s="1283"/>
      <c r="R15" s="1283"/>
      <c r="S15" s="1283"/>
      <c r="T15" s="434" t="s">
        <v>435</v>
      </c>
      <c r="U15" s="106" cm="1">
        <f t="array" ref="U15">ROUNDUP(SUMPRODUCT(--(Name="Common Brick"),Length,SUMIF(Lists!$T$2:$T$150,Height,Lists!$W$2:$W$150))/1000,1)</f>
        <v>0</v>
      </c>
      <c r="W15" s="195"/>
      <c r="Y15" s="1284" t="s">
        <v>3371</v>
      </c>
      <c r="Z15" s="1284"/>
      <c r="AA15" s="1284"/>
      <c r="AB15" s="1284"/>
    </row>
    <row r="16" spans="2:31" ht="17.45" customHeight="1" outlineLevel="1" thickBot="1" x14ac:dyDescent="0.25">
      <c r="B16" s="1289"/>
      <c r="C16" s="232"/>
      <c r="D16" s="184"/>
      <c r="E16" s="434" t="s">
        <v>434</v>
      </c>
      <c r="F16" s="185"/>
      <c r="G16" s="434" t="s">
        <v>434</v>
      </c>
      <c r="H16" s="185"/>
      <c r="I16" s="103">
        <f t="shared" si="3"/>
        <v>0</v>
      </c>
      <c r="J16" s="434" t="s">
        <v>435</v>
      </c>
      <c r="K16" s="106">
        <f t="shared" si="2"/>
        <v>0</v>
      </c>
      <c r="L16" s="1291" t="s">
        <v>478</v>
      </c>
      <c r="M16" s="612" t="str">
        <f>IFERROR(IF(P16&gt;0,"1c Cored Face to "&amp;H4&amp;"c "&amp;C4,"1c Cored Face to "&amp;H4&amp;"c "&amp;C4&amp;" Not Required"),0)</f>
        <v>1c Cored Face to c Ground Floor Perimeter Not Required</v>
      </c>
      <c r="N16" s="430">
        <v>1</v>
      </c>
      <c r="O16" s="429" t="s">
        <v>434</v>
      </c>
      <c r="P16" s="165">
        <f>IFERROR(IF(AND(Brick_type="2c Face",ISODD(H4)),F4-SUMIFS('Lintel Sheet'!F:F,'Lintel Sheet'!J:J,"Internal",'Lintel Sheet'!C:C,"Face")+SUMIFS('Lintel Sheet'!F:F,'Lintel Sheet'!J:J,"External",'Lintel Sheet'!C:C,"Face"),0),0)</f>
        <v>0</v>
      </c>
      <c r="Q16" s="429" t="s">
        <v>434</v>
      </c>
      <c r="R16" s="186">
        <v>1</v>
      </c>
      <c r="S16" s="104">
        <f t="shared" ref="S16:S23" si="4">IF(ISBLANK($R16),0,VLOOKUP($R16,Std_Brick,4,FALSE))</f>
        <v>86</v>
      </c>
      <c r="T16" s="429" t="s">
        <v>435</v>
      </c>
      <c r="U16" s="613">
        <f t="shared" si="1"/>
        <v>0</v>
      </c>
      <c r="W16" s="195"/>
      <c r="X16" s="505"/>
      <c r="Y16" s="1114" t="s">
        <v>99</v>
      </c>
      <c r="Z16" s="1114" t="s">
        <v>3372</v>
      </c>
      <c r="AA16" s="1114" t="s">
        <v>3373</v>
      </c>
      <c r="AB16" s="1114" t="s">
        <v>11</v>
      </c>
    </row>
    <row r="17" spans="2:28" ht="17.45" customHeight="1" outlineLevel="1" thickBot="1" x14ac:dyDescent="0.25">
      <c r="B17" s="1289"/>
      <c r="C17" s="232"/>
      <c r="D17" s="378"/>
      <c r="E17" s="434" t="s">
        <v>434</v>
      </c>
      <c r="F17" s="320"/>
      <c r="G17" s="434" t="s">
        <v>434</v>
      </c>
      <c r="H17" s="320"/>
      <c r="I17" s="383">
        <f t="shared" si="3"/>
        <v>0</v>
      </c>
      <c r="J17" s="434" t="s">
        <v>435</v>
      </c>
      <c r="K17" s="384">
        <f t="shared" si="2"/>
        <v>0</v>
      </c>
      <c r="L17" s="1291"/>
      <c r="M17" s="203" t="str">
        <f>"1c Cored Face to to odd course Garage Wall"</f>
        <v>1c Cored Face to to odd course Garage Wall</v>
      </c>
      <c r="N17" s="435">
        <v>1</v>
      </c>
      <c r="O17" s="434" t="s">
        <v>434</v>
      </c>
      <c r="P17" s="435" cm="1">
        <f t="array" ref="P17">IF(Brick_type="2c Face",ROUNDUP(SUMPRODUCT(--(Name="Garage Wall"),Length,--(MOD(Height,2)=1)),2)*1000,0)</f>
        <v>0</v>
      </c>
      <c r="Q17" s="434" t="s">
        <v>434</v>
      </c>
      <c r="R17" s="185">
        <v>1</v>
      </c>
      <c r="S17" s="103">
        <f t="shared" si="4"/>
        <v>86</v>
      </c>
      <c r="T17" s="434" t="s">
        <v>435</v>
      </c>
      <c r="U17" s="59">
        <f>IF(OR($P17=0,$S17=0),0,$N17*($P17/1000)*($S17/1000))</f>
        <v>0</v>
      </c>
      <c r="W17" s="195"/>
      <c r="X17" s="506"/>
      <c r="Y17" s="730">
        <v>0.19</v>
      </c>
      <c r="Z17" s="747">
        <v>2</v>
      </c>
      <c r="AA17" s="747">
        <f>ROUNDDOWN(Y17/0.09,0)</f>
        <v>2</v>
      </c>
      <c r="AB17" s="747">
        <f>AA17*Z17</f>
        <v>4</v>
      </c>
    </row>
    <row r="18" spans="2:28" ht="17.45" customHeight="1" outlineLevel="1" thickBot="1" x14ac:dyDescent="0.25">
      <c r="B18" s="1289"/>
      <c r="C18" s="232"/>
      <c r="D18" s="184"/>
      <c r="E18" s="434" t="s">
        <v>434</v>
      </c>
      <c r="F18" s="185"/>
      <c r="G18" s="434" t="s">
        <v>434</v>
      </c>
      <c r="H18" s="185"/>
      <c r="I18" s="103">
        <f t="shared" si="3"/>
        <v>0</v>
      </c>
      <c r="J18" s="434" t="s">
        <v>435</v>
      </c>
      <c r="K18" s="106">
        <f t="shared" si="2"/>
        <v>0</v>
      </c>
      <c r="L18" s="1291"/>
      <c r="M18" s="203" t="str">
        <f>IF(P18&gt;0,"1c Cored Face to "&amp;IFERROR(VLOOKUP("Common Wall",'CSV GF'!#REF!,5,FALSE),0)&amp;"c "&amp;C6,"1c Cored Face to "&amp;IFERROR(VLOOKUP("Common Wall",'CSV GF'!#REF!,5,FALSE),0)&amp;"c "&amp;C6&amp;" Not Required")</f>
        <v>1c Cored Face to 0c  Not Required</v>
      </c>
      <c r="N18" s="435">
        <v>1</v>
      </c>
      <c r="O18" s="434" t="s">
        <v>434</v>
      </c>
      <c r="P18" s="435">
        <f>IF(Brick_type="2c Face",IF(ISODD(H13),F13,0),0)</f>
        <v>0</v>
      </c>
      <c r="Q18" s="434" t="s">
        <v>434</v>
      </c>
      <c r="R18" s="185">
        <v>1</v>
      </c>
      <c r="S18" s="103">
        <f t="shared" si="4"/>
        <v>86</v>
      </c>
      <c r="T18" s="434" t="s">
        <v>435</v>
      </c>
      <c r="U18" s="59">
        <f t="shared" si="1"/>
        <v>0</v>
      </c>
      <c r="W18" s="195"/>
      <c r="Y18" s="730">
        <v>0.28999999999999998</v>
      </c>
      <c r="Z18" s="747">
        <v>2</v>
      </c>
      <c r="AA18" s="747">
        <f t="shared" ref="AA18:AA20" si="5">ROUNDDOWN(Y18/0.09,0)</f>
        <v>3</v>
      </c>
      <c r="AB18" s="747">
        <f t="shared" ref="AB18:AB20" si="6">AA18*Z18</f>
        <v>6</v>
      </c>
    </row>
    <row r="19" spans="2:28" ht="17.45" customHeight="1" outlineLevel="1" thickBot="1" x14ac:dyDescent="0.25">
      <c r="B19" s="1289"/>
      <c r="C19" s="232"/>
      <c r="D19" s="184"/>
      <c r="E19" s="434" t="s">
        <v>434</v>
      </c>
      <c r="F19" s="185"/>
      <c r="G19" s="434" t="s">
        <v>434</v>
      </c>
      <c r="H19" s="185"/>
      <c r="I19" s="103">
        <f t="shared" si="3"/>
        <v>0</v>
      </c>
      <c r="J19" s="434" t="s">
        <v>435</v>
      </c>
      <c r="K19" s="106">
        <f t="shared" si="2"/>
        <v>0</v>
      </c>
      <c r="L19" s="1291"/>
      <c r="M19" s="203" t="str">
        <f>"1c Cored Face to to odd course Attached Pier"</f>
        <v>1c Cored Face to to odd course Attached Pier</v>
      </c>
      <c r="N19" s="435">
        <v>1</v>
      </c>
      <c r="O19" s="434" t="s">
        <v>434</v>
      </c>
      <c r="P19" s="1172" cm="1">
        <f t="array" ref="P19">IF(Brick_type="2c Face",ROUNDUP(SUMPRODUCT(--(Name="Attached Pier"),Length,--(MOD(Height,2)=1)),2)*1000,0)</f>
        <v>0</v>
      </c>
      <c r="Q19" s="434" t="s">
        <v>434</v>
      </c>
      <c r="R19" s="185">
        <v>1</v>
      </c>
      <c r="S19" s="103">
        <f t="shared" si="4"/>
        <v>86</v>
      </c>
      <c r="T19" s="434" t="s">
        <v>435</v>
      </c>
      <c r="U19" s="59">
        <f t="shared" si="1"/>
        <v>0</v>
      </c>
      <c r="W19" s="195"/>
      <c r="Y19" s="730">
        <v>0.39</v>
      </c>
      <c r="Z19" s="747">
        <v>3</v>
      </c>
      <c r="AA19" s="747">
        <f t="shared" si="5"/>
        <v>4</v>
      </c>
      <c r="AB19" s="747">
        <f t="shared" si="6"/>
        <v>12</v>
      </c>
    </row>
    <row r="20" spans="2:28" ht="17.45" customHeight="1" outlineLevel="1" thickBot="1" x14ac:dyDescent="0.25">
      <c r="B20" s="1289"/>
      <c r="C20" s="232"/>
      <c r="D20" s="184"/>
      <c r="E20" s="434" t="s">
        <v>434</v>
      </c>
      <c r="F20" s="185"/>
      <c r="G20" s="434" t="s">
        <v>434</v>
      </c>
      <c r="H20" s="185"/>
      <c r="I20" s="103">
        <f t="shared" si="3"/>
        <v>0</v>
      </c>
      <c r="J20" s="434" t="s">
        <v>435</v>
      </c>
      <c r="K20" s="106">
        <f t="shared" si="2"/>
        <v>0</v>
      </c>
      <c r="L20" s="1291"/>
      <c r="M20" s="232" t="s">
        <v>1444</v>
      </c>
      <c r="N20" s="184">
        <v>1</v>
      </c>
      <c r="O20" s="434" t="s">
        <v>434</v>
      </c>
      <c r="P20" s="166">
        <f>SUMIFS('Lintel Sheet'!M:M,'Lintel Sheet'!C:C,"Face",'Lintel Sheet'!L:L,TRUE)*1000</f>
        <v>0</v>
      </c>
      <c r="Q20" s="434" t="s">
        <v>434</v>
      </c>
      <c r="R20" s="185">
        <v>1</v>
      </c>
      <c r="S20" s="103">
        <f t="shared" si="4"/>
        <v>86</v>
      </c>
      <c r="T20" s="434" t="s">
        <v>435</v>
      </c>
      <c r="U20" s="59">
        <f t="shared" si="1"/>
        <v>0</v>
      </c>
      <c r="W20" s="195"/>
      <c r="Y20" s="730">
        <v>0.49</v>
      </c>
      <c r="Z20" s="747">
        <v>1</v>
      </c>
      <c r="AA20" s="747">
        <f t="shared" si="5"/>
        <v>5</v>
      </c>
      <c r="AB20" s="747">
        <f t="shared" si="6"/>
        <v>5</v>
      </c>
    </row>
    <row r="21" spans="2:28" ht="17.45" customHeight="1" outlineLevel="1" thickBot="1" x14ac:dyDescent="0.25">
      <c r="B21" s="1289"/>
      <c r="C21" s="183"/>
      <c r="D21" s="184"/>
      <c r="E21" s="434" t="s">
        <v>434</v>
      </c>
      <c r="F21" s="185"/>
      <c r="G21" s="434" t="s">
        <v>434</v>
      </c>
      <c r="H21" s="185"/>
      <c r="I21" s="103">
        <f t="shared" si="3"/>
        <v>0</v>
      </c>
      <c r="J21" s="434" t="s">
        <v>435</v>
      </c>
      <c r="K21" s="106">
        <f t="shared" si="2"/>
        <v>0</v>
      </c>
      <c r="L21" s="1291"/>
      <c r="M21" s="232" t="s">
        <v>1443</v>
      </c>
      <c r="N21" s="184">
        <v>1</v>
      </c>
      <c r="O21" s="434" t="s">
        <v>434</v>
      </c>
      <c r="P21" s="185">
        <f>F12</f>
        <v>0</v>
      </c>
      <c r="Q21" s="434" t="s">
        <v>434</v>
      </c>
      <c r="R21" s="185">
        <v>2</v>
      </c>
      <c r="S21" s="103">
        <f t="shared" si="4"/>
        <v>172</v>
      </c>
      <c r="T21" s="434" t="s">
        <v>435</v>
      </c>
      <c r="U21" s="59">
        <f t="shared" si="1"/>
        <v>0</v>
      </c>
      <c r="W21" s="195"/>
      <c r="Y21" s="730"/>
      <c r="AB21" s="1114">
        <f>SUM(AB17:AB20)</f>
        <v>27</v>
      </c>
    </row>
    <row r="22" spans="2:28" ht="17.45" customHeight="1" outlineLevel="1" thickBot="1" x14ac:dyDescent="0.25">
      <c r="B22" s="1289"/>
      <c r="C22" s="183"/>
      <c r="D22" s="184"/>
      <c r="E22" s="434" t="s">
        <v>434</v>
      </c>
      <c r="F22" s="185"/>
      <c r="G22" s="434" t="s">
        <v>434</v>
      </c>
      <c r="H22" s="185"/>
      <c r="I22" s="103">
        <f t="shared" si="3"/>
        <v>0</v>
      </c>
      <c r="J22" s="434" t="s">
        <v>435</v>
      </c>
      <c r="K22" s="106">
        <f t="shared" si="2"/>
        <v>0</v>
      </c>
      <c r="L22" s="1291"/>
      <c r="M22" s="232" t="s">
        <v>3079</v>
      </c>
      <c r="N22" s="184">
        <v>1</v>
      </c>
      <c r="O22" s="434" t="s">
        <v>434</v>
      </c>
      <c r="P22" s="185"/>
      <c r="Q22" s="434" t="s">
        <v>434</v>
      </c>
      <c r="R22" s="185">
        <v>1</v>
      </c>
      <c r="S22" s="103">
        <f t="shared" si="4"/>
        <v>86</v>
      </c>
      <c r="T22" s="434" t="s">
        <v>435</v>
      </c>
      <c r="U22" s="59">
        <f t="shared" si="1"/>
        <v>0</v>
      </c>
      <c r="W22" s="195"/>
      <c r="Y22" s="730"/>
    </row>
    <row r="23" spans="2:28" ht="17.45" customHeight="1" outlineLevel="1" thickBot="1" x14ac:dyDescent="0.25">
      <c r="B23" s="1289"/>
      <c r="C23" s="183"/>
      <c r="D23" s="184"/>
      <c r="E23" s="434" t="s">
        <v>434</v>
      </c>
      <c r="F23" s="185"/>
      <c r="G23" s="434" t="s">
        <v>434</v>
      </c>
      <c r="H23" s="185"/>
      <c r="I23" s="103">
        <f t="shared" si="3"/>
        <v>0</v>
      </c>
      <c r="J23" s="434" t="s">
        <v>435</v>
      </c>
      <c r="K23" s="106">
        <f t="shared" si="2"/>
        <v>0</v>
      </c>
      <c r="L23" s="1291"/>
      <c r="M23" s="614" t="s">
        <v>3079</v>
      </c>
      <c r="N23" s="188">
        <v>2</v>
      </c>
      <c r="O23" s="436" t="s">
        <v>434</v>
      </c>
      <c r="P23" s="192"/>
      <c r="Q23" s="436" t="s">
        <v>434</v>
      </c>
      <c r="R23" s="192">
        <v>1</v>
      </c>
      <c r="S23" s="108">
        <f t="shared" si="4"/>
        <v>86</v>
      </c>
      <c r="T23" s="436"/>
      <c r="U23" s="615">
        <f t="shared" si="1"/>
        <v>0</v>
      </c>
      <c r="W23" s="195"/>
      <c r="Y23" s="730"/>
    </row>
    <row r="24" spans="2:28" ht="17.45" customHeight="1" outlineLevel="1" thickBot="1" x14ac:dyDescent="0.25">
      <c r="B24" s="1289"/>
      <c r="C24" s="183"/>
      <c r="D24" s="184"/>
      <c r="E24" s="434" t="s">
        <v>434</v>
      </c>
      <c r="F24" s="185"/>
      <c r="G24" s="434" t="s">
        <v>434</v>
      </c>
      <c r="H24" s="185"/>
      <c r="I24" s="103">
        <f t="shared" si="3"/>
        <v>0</v>
      </c>
      <c r="J24" s="434" t="s">
        <v>435</v>
      </c>
      <c r="K24" s="106">
        <f t="shared" si="2"/>
        <v>0</v>
      </c>
      <c r="L24" s="1292"/>
      <c r="M24" s="616" t="s">
        <v>1445</v>
      </c>
      <c r="N24" s="617">
        <v>1</v>
      </c>
      <c r="O24" s="618" t="s">
        <v>434</v>
      </c>
      <c r="P24" s="165">
        <f>SUMIFS('Lintel Sheet'!M:M,'Lintel Sheet'!C:C,"Face",'Lintel Sheet'!K:K,TRUE)*1000</f>
        <v>0</v>
      </c>
      <c r="Q24" s="618" t="s">
        <v>434</v>
      </c>
      <c r="R24" s="617">
        <v>2</v>
      </c>
      <c r="S24" s="619">
        <f>IF(ISBLANK($R24),0,VLOOKUP($R24,Std_Brick,4,FALSE))</f>
        <v>172</v>
      </c>
      <c r="T24" s="620" t="s">
        <v>435</v>
      </c>
      <c r="U24" s="621">
        <f t="shared" si="1"/>
        <v>0</v>
      </c>
      <c r="W24" s="195"/>
      <c r="Y24" s="730"/>
    </row>
    <row r="25" spans="2:28" ht="17.45" customHeight="1" outlineLevel="1" thickBot="1" x14ac:dyDescent="0.25">
      <c r="B25" s="1289"/>
      <c r="C25" s="183"/>
      <c r="D25" s="184"/>
      <c r="E25" s="434" t="s">
        <v>434</v>
      </c>
      <c r="F25" s="185"/>
      <c r="G25" s="434" t="s">
        <v>434</v>
      </c>
      <c r="H25" s="185"/>
      <c r="I25" s="103">
        <f t="shared" si="3"/>
        <v>0</v>
      </c>
      <c r="J25" s="434" t="s">
        <v>435</v>
      </c>
      <c r="K25" s="106">
        <f t="shared" si="2"/>
        <v>0</v>
      </c>
      <c r="L25" s="1292"/>
      <c r="M25" s="622" t="s">
        <v>1442</v>
      </c>
      <c r="N25" s="623">
        <v>1</v>
      </c>
      <c r="O25" s="624" t="s">
        <v>434</v>
      </c>
      <c r="P25" s="625"/>
      <c r="Q25" s="624" t="s">
        <v>434</v>
      </c>
      <c r="R25" s="625">
        <v>2</v>
      </c>
      <c r="S25" s="109">
        <f>IF(ISBLANK($R25),0,VLOOKUP($R25,Std_Brick,4,FALSE))</f>
        <v>172</v>
      </c>
      <c r="T25" s="440" t="s">
        <v>435</v>
      </c>
      <c r="U25" s="626">
        <f t="shared" si="1"/>
        <v>0</v>
      </c>
      <c r="W25" s="195"/>
      <c r="Y25" s="730"/>
    </row>
    <row r="26" spans="2:28" ht="17.45" customHeight="1" outlineLevel="1" thickBot="1" x14ac:dyDescent="0.25">
      <c r="B26" s="1289"/>
      <c r="C26" s="183"/>
      <c r="D26" s="184"/>
      <c r="E26" s="434" t="s">
        <v>434</v>
      </c>
      <c r="F26" s="185"/>
      <c r="G26" s="434" t="s">
        <v>434</v>
      </c>
      <c r="H26" s="185"/>
      <c r="I26" s="103">
        <f t="shared" si="3"/>
        <v>0</v>
      </c>
      <c r="J26" s="434" t="s">
        <v>435</v>
      </c>
      <c r="K26" s="106">
        <f t="shared" si="2"/>
        <v>0</v>
      </c>
      <c r="L26" s="1291"/>
      <c r="M26" s="627" t="s">
        <v>452</v>
      </c>
      <c r="N26" s="628">
        <v>1</v>
      </c>
      <c r="O26" s="629" t="s">
        <v>434</v>
      </c>
      <c r="P26" s="630">
        <f>IF(Brick_type="2c Face",((SUMIFS(Lintel_Opening,Lintel_Brick,"Face",Lintel_Floor,"Ground",Lintel_Location,"Internal")+SUMIF(Name,"*DOOR SHPR*",Length))*1000),0)-P24</f>
        <v>0</v>
      </c>
      <c r="Q26" s="629" t="s">
        <v>434</v>
      </c>
      <c r="R26" s="631">
        <v>1</v>
      </c>
      <c r="S26" s="632">
        <f>IF(ISBLANK($R26),0,VLOOKUP($R26,Std_Brick,4,FALSE))</f>
        <v>86</v>
      </c>
      <c r="T26" s="629" t="s">
        <v>435</v>
      </c>
      <c r="U26" s="633">
        <f t="shared" si="1"/>
        <v>0</v>
      </c>
      <c r="W26" s="195" t="str">
        <f>IF(Brick_type="Brick Veneer","Amend formula to""Brick_type=Brick Veneer"" if 2c brick veneer","")</f>
        <v/>
      </c>
      <c r="Y26" s="730"/>
    </row>
    <row r="27" spans="2:28" ht="17.45" customHeight="1" outlineLevel="1" thickBot="1" x14ac:dyDescent="0.25">
      <c r="B27" s="1289"/>
      <c r="C27" s="183"/>
      <c r="D27" s="184"/>
      <c r="E27" s="434" t="s">
        <v>434</v>
      </c>
      <c r="F27" s="185"/>
      <c r="G27" s="434" t="s">
        <v>434</v>
      </c>
      <c r="H27" s="185"/>
      <c r="I27" s="103">
        <f t="shared" si="3"/>
        <v>0</v>
      </c>
      <c r="J27" s="434" t="s">
        <v>435</v>
      </c>
      <c r="K27" s="106">
        <f t="shared" si="2"/>
        <v>0</v>
      </c>
      <c r="L27" s="1291"/>
      <c r="M27" s="203" t="s">
        <v>874</v>
      </c>
      <c r="N27" s="435">
        <v>1</v>
      </c>
      <c r="O27" s="434" t="s">
        <v>434</v>
      </c>
      <c r="P27" s="166">
        <f>IF(Brick_type="2c Face",SUMIFS(Lintel_Opening,Lintel_Brick,"Face",Lintel_Floor,"Ground",Lintel_Location,"External")*1000,0)</f>
        <v>0</v>
      </c>
      <c r="Q27" s="434" t="s">
        <v>434</v>
      </c>
      <c r="R27" s="185">
        <v>1</v>
      </c>
      <c r="S27" s="103">
        <f>IF(ISBLANK($R27),0,VLOOKUP($R27,Std_Brick,4,FALSE))</f>
        <v>86</v>
      </c>
      <c r="T27" s="434" t="s">
        <v>435</v>
      </c>
      <c r="U27" s="167">
        <f t="shared" si="1"/>
        <v>0</v>
      </c>
      <c r="W27" s="195" t="str">
        <f>IF(Brick_type="Brick Veneer","Amend formula to""Brick_type=Brick Veneer"" if 2c brick veneer","")</f>
        <v/>
      </c>
      <c r="Y27" s="730"/>
    </row>
    <row r="28" spans="2:28" ht="17.45" customHeight="1" outlineLevel="1" thickBot="1" x14ac:dyDescent="0.25">
      <c r="B28" s="1289"/>
      <c r="C28" s="183"/>
      <c r="D28" s="184"/>
      <c r="E28" s="434" t="s">
        <v>434</v>
      </c>
      <c r="F28" s="185"/>
      <c r="G28" s="434" t="s">
        <v>434</v>
      </c>
      <c r="H28" s="185"/>
      <c r="I28" s="103">
        <f t="shared" si="3"/>
        <v>0</v>
      </c>
      <c r="J28" s="434" t="s">
        <v>435</v>
      </c>
      <c r="K28" s="106">
        <f t="shared" si="2"/>
        <v>0</v>
      </c>
      <c r="L28" s="1291"/>
      <c r="M28" s="183" t="s">
        <v>461</v>
      </c>
      <c r="N28" s="184">
        <v>1</v>
      </c>
      <c r="O28" s="434" t="s">
        <v>434</v>
      </c>
      <c r="P28" s="185"/>
      <c r="Q28" s="434" t="s">
        <v>434</v>
      </c>
      <c r="R28" s="185">
        <v>1</v>
      </c>
      <c r="S28" s="103">
        <f>IF(ISBLANK($R28),0,VLOOKUP($R28,Std_Brick,4,FALSE))</f>
        <v>86</v>
      </c>
      <c r="T28" s="434" t="s">
        <v>435</v>
      </c>
      <c r="U28" s="167">
        <f t="shared" si="1"/>
        <v>0</v>
      </c>
      <c r="W28" s="195"/>
      <c r="Y28" s="730"/>
    </row>
    <row r="29" spans="2:28" ht="17.45" customHeight="1" outlineLevel="1" thickBot="1" x14ac:dyDescent="0.25">
      <c r="B29" s="1289"/>
      <c r="C29" s="183"/>
      <c r="D29" s="184"/>
      <c r="E29" s="434" t="s">
        <v>434</v>
      </c>
      <c r="F29" s="185"/>
      <c r="G29" s="434" t="s">
        <v>434</v>
      </c>
      <c r="H29" s="185"/>
      <c r="I29" s="103">
        <f t="shared" si="3"/>
        <v>0</v>
      </c>
      <c r="J29" s="434" t="s">
        <v>435</v>
      </c>
      <c r="K29" s="106">
        <f t="shared" si="2"/>
        <v>0</v>
      </c>
      <c r="L29" s="1291"/>
      <c r="M29" s="232" t="s">
        <v>3658</v>
      </c>
      <c r="N29" s="184">
        <v>1</v>
      </c>
      <c r="O29" s="434" t="s">
        <v>434</v>
      </c>
      <c r="P29" s="435" cm="1">
        <f t="array" ref="P29">ROUNDUP(SUMPRODUCT(--(Name="Single Wall/Planter"),--(Material="Face"),Length,--(MOD(Height,2)=1)),1)*1000</f>
        <v>0</v>
      </c>
      <c r="Q29" s="434" t="s">
        <v>434</v>
      </c>
      <c r="R29" s="185">
        <v>1</v>
      </c>
      <c r="S29" s="103">
        <f t="shared" si="0"/>
        <v>86</v>
      </c>
      <c r="T29" s="434" t="s">
        <v>435</v>
      </c>
      <c r="U29" s="167">
        <f t="shared" si="1"/>
        <v>0</v>
      </c>
      <c r="W29" s="195"/>
    </row>
    <row r="30" spans="2:28" ht="17.45" customHeight="1" outlineLevel="1" thickBot="1" x14ac:dyDescent="0.25">
      <c r="B30" s="1289"/>
      <c r="C30" s="183"/>
      <c r="D30" s="184"/>
      <c r="E30" s="434" t="s">
        <v>434</v>
      </c>
      <c r="F30" s="185"/>
      <c r="G30" s="434" t="s">
        <v>434</v>
      </c>
      <c r="H30" s="185"/>
      <c r="I30" s="103">
        <f t="shared" si="3"/>
        <v>0</v>
      </c>
      <c r="J30" s="434" t="s">
        <v>435</v>
      </c>
      <c r="K30" s="106">
        <f t="shared" si="2"/>
        <v>0</v>
      </c>
      <c r="L30" s="1291"/>
      <c r="M30" s="183"/>
      <c r="N30" s="184">
        <v>1</v>
      </c>
      <c r="O30" s="434" t="s">
        <v>434</v>
      </c>
      <c r="P30" s="185"/>
      <c r="Q30" s="434" t="s">
        <v>434</v>
      </c>
      <c r="R30" s="185"/>
      <c r="S30" s="103">
        <f t="shared" si="0"/>
        <v>0</v>
      </c>
      <c r="T30" s="434" t="s">
        <v>435</v>
      </c>
      <c r="U30" s="167">
        <f t="shared" si="1"/>
        <v>0</v>
      </c>
      <c r="W30" s="195"/>
    </row>
    <row r="31" spans="2:28" ht="17.45" customHeight="1" outlineLevel="1" thickBot="1" x14ac:dyDescent="0.25">
      <c r="B31" s="1289"/>
      <c r="C31" s="183"/>
      <c r="D31" s="184"/>
      <c r="E31" s="434" t="s">
        <v>434</v>
      </c>
      <c r="F31" s="185"/>
      <c r="G31" s="434" t="s">
        <v>434</v>
      </c>
      <c r="H31" s="185"/>
      <c r="I31" s="103">
        <f t="shared" si="3"/>
        <v>0</v>
      </c>
      <c r="J31" s="434" t="s">
        <v>435</v>
      </c>
      <c r="K31" s="106">
        <f t="shared" si="2"/>
        <v>0</v>
      </c>
      <c r="L31" s="1291"/>
      <c r="M31" s="183"/>
      <c r="N31" s="184">
        <v>1</v>
      </c>
      <c r="O31" s="434" t="s">
        <v>434</v>
      </c>
      <c r="P31" s="185"/>
      <c r="Q31" s="434" t="s">
        <v>434</v>
      </c>
      <c r="R31" s="185"/>
      <c r="S31" s="103">
        <f t="shared" si="0"/>
        <v>0</v>
      </c>
      <c r="T31" s="434" t="s">
        <v>435</v>
      </c>
      <c r="U31" s="167">
        <f t="shared" si="1"/>
        <v>0</v>
      </c>
      <c r="W31" s="195"/>
    </row>
    <row r="32" spans="2:28" ht="17.45" customHeight="1" outlineLevel="1" thickBot="1" x14ac:dyDescent="0.25">
      <c r="B32" s="1289"/>
      <c r="C32" s="183"/>
      <c r="D32" s="184"/>
      <c r="E32" s="434" t="s">
        <v>434</v>
      </c>
      <c r="F32" s="185"/>
      <c r="G32" s="434" t="s">
        <v>434</v>
      </c>
      <c r="H32" s="185"/>
      <c r="I32" s="103">
        <f t="shared" si="3"/>
        <v>0</v>
      </c>
      <c r="J32" s="434" t="s">
        <v>435</v>
      </c>
      <c r="K32" s="106">
        <f t="shared" si="2"/>
        <v>0</v>
      </c>
      <c r="L32" s="1291"/>
      <c r="M32" s="187"/>
      <c r="N32" s="191">
        <v>1</v>
      </c>
      <c r="O32" s="440" t="s">
        <v>434</v>
      </c>
      <c r="P32" s="191"/>
      <c r="Q32" s="440" t="s">
        <v>434</v>
      </c>
      <c r="R32" s="191"/>
      <c r="S32" s="109">
        <f t="shared" si="0"/>
        <v>0</v>
      </c>
      <c r="T32" s="440" t="s">
        <v>435</v>
      </c>
      <c r="U32" s="634">
        <f t="shared" si="1"/>
        <v>0</v>
      </c>
      <c r="W32" s="195"/>
    </row>
    <row r="33" spans="2:23" ht="17.45" customHeight="1" outlineLevel="1" thickBot="1" x14ac:dyDescent="0.25">
      <c r="B33" s="1289"/>
      <c r="C33" s="232"/>
      <c r="D33" s="184"/>
      <c r="E33" s="434" t="s">
        <v>434</v>
      </c>
      <c r="F33" s="185"/>
      <c r="G33" s="434" t="s">
        <v>434</v>
      </c>
      <c r="H33" s="185"/>
      <c r="I33" s="103">
        <f t="shared" si="3"/>
        <v>0</v>
      </c>
      <c r="J33" s="434" t="s">
        <v>435</v>
      </c>
      <c r="K33" s="106">
        <f t="shared" si="2"/>
        <v>0</v>
      </c>
      <c r="L33" s="1291"/>
      <c r="M33" s="635" t="s">
        <v>149</v>
      </c>
      <c r="N33" s="189">
        <v>1</v>
      </c>
      <c r="O33" s="429" t="s">
        <v>434</v>
      </c>
      <c r="P33" s="186"/>
      <c r="Q33" s="429" t="s">
        <v>434</v>
      </c>
      <c r="R33" s="186"/>
      <c r="S33" s="104">
        <f t="shared" si="0"/>
        <v>0</v>
      </c>
      <c r="T33" s="429" t="s">
        <v>435</v>
      </c>
      <c r="U33" s="105">
        <f>IF(OR($P33=0,$S33=0),0,$N33*($P33/1000)*($S33/1000))</f>
        <v>0</v>
      </c>
      <c r="W33" s="195"/>
    </row>
    <row r="34" spans="2:23" ht="17.45" customHeight="1" outlineLevel="1" thickBot="1" x14ac:dyDescent="0.25">
      <c r="B34" s="1289"/>
      <c r="C34" s="820" t="s">
        <v>1825</v>
      </c>
      <c r="D34" s="439"/>
      <c r="E34" s="440"/>
      <c r="F34" s="441"/>
      <c r="G34" s="440"/>
      <c r="H34" s="441"/>
      <c r="I34" s="441"/>
      <c r="J34" s="440"/>
      <c r="K34" s="1173">
        <f>IF(Brick_type="Full Render",(-1*K71),((-1*K46)))</f>
        <v>0</v>
      </c>
      <c r="L34" s="1291"/>
      <c r="M34" s="636" t="s">
        <v>149</v>
      </c>
      <c r="N34" s="191">
        <v>1</v>
      </c>
      <c r="O34" s="440" t="s">
        <v>434</v>
      </c>
      <c r="P34" s="193"/>
      <c r="Q34" s="440" t="s">
        <v>434</v>
      </c>
      <c r="R34" s="193"/>
      <c r="S34" s="109">
        <f t="shared" si="0"/>
        <v>0</v>
      </c>
      <c r="T34" s="440" t="s">
        <v>435</v>
      </c>
      <c r="U34" s="107">
        <f>IF(OR($P34=0,$S34=0),0,$N34*($P34/1000)*($S34/1000))</f>
        <v>0</v>
      </c>
      <c r="W34" s="195"/>
    </row>
    <row r="35" spans="2:23" ht="17.45" customHeight="1" outlineLevel="1" thickBot="1" x14ac:dyDescent="0.25">
      <c r="I35" s="1285" t="s">
        <v>458</v>
      </c>
      <c r="J35" s="1285"/>
      <c r="K35" s="125">
        <f>CEILING(SUM($K4:$K34),0.1)</f>
        <v>0</v>
      </c>
      <c r="L35" s="424" t="s">
        <v>442</v>
      </c>
      <c r="S35" s="1285" t="s">
        <v>459</v>
      </c>
      <c r="T35" s="1285"/>
      <c r="U35" s="302">
        <f>FLOOR(SUM($U4:$U34),0.1)-U7-U13</f>
        <v>0</v>
      </c>
      <c r="V35" s="424" t="s">
        <v>442</v>
      </c>
      <c r="W35" s="195"/>
    </row>
    <row r="36" spans="2:23" ht="17.45" customHeight="1" outlineLevel="1" thickBot="1" x14ac:dyDescent="0.25">
      <c r="I36" s="442"/>
      <c r="M36" s="443" t="s">
        <v>460</v>
      </c>
      <c r="N36" s="64">
        <f>K35-U35</f>
        <v>0</v>
      </c>
      <c r="O36" s="444" t="s">
        <v>442</v>
      </c>
      <c r="W36" s="303"/>
    </row>
    <row r="37" spans="2:23" ht="36" outlineLevel="1" x14ac:dyDescent="0.2">
      <c r="C37" s="445" t="s">
        <v>454</v>
      </c>
      <c r="D37" s="445" t="s">
        <v>420</v>
      </c>
      <c r="E37" s="425"/>
      <c r="F37" s="445" t="s">
        <v>463</v>
      </c>
      <c r="G37" s="425"/>
      <c r="H37" s="445" t="s">
        <v>126</v>
      </c>
      <c r="I37" s="446" t="s">
        <v>464</v>
      </c>
      <c r="J37" s="425"/>
      <c r="K37" s="1290" t="s">
        <v>465</v>
      </c>
      <c r="L37" s="1290"/>
      <c r="M37" s="445" t="s">
        <v>454</v>
      </c>
      <c r="N37" s="445" t="s">
        <v>420</v>
      </c>
      <c r="O37" s="445"/>
      <c r="P37" s="692" t="s">
        <v>1538</v>
      </c>
      <c r="Q37" s="445"/>
      <c r="R37" s="445" t="s">
        <v>126</v>
      </c>
      <c r="S37" s="445" t="s">
        <v>464</v>
      </c>
      <c r="T37" s="445"/>
      <c r="U37" s="445" t="s">
        <v>465</v>
      </c>
      <c r="W37" s="195"/>
    </row>
    <row r="38" spans="2:23" ht="17.45" customHeight="1" outlineLevel="1" x14ac:dyDescent="0.2">
      <c r="C38" s="447" t="s">
        <v>404</v>
      </c>
      <c r="D38" s="48">
        <f>IF(Brick_type="Standard Face",N36,0)+U14+U13</f>
        <v>0</v>
      </c>
      <c r="F38" s="49">
        <f>CEILING($D38*50,1)</f>
        <v>0</v>
      </c>
      <c r="H38" s="50">
        <f>CEILING($F38/$K38,0.25)</f>
        <v>0</v>
      </c>
      <c r="I38" s="49">
        <f>CEILING($H38*$K38,$L38)</f>
        <v>0</v>
      </c>
      <c r="K38" s="420">
        <v>264</v>
      </c>
      <c r="L38" s="420">
        <f>K38/4</f>
        <v>66</v>
      </c>
      <c r="M38" s="447" t="s">
        <v>357</v>
      </c>
      <c r="N38" s="48">
        <f>IF(OR(Brick_type="Standard Face",Brick_type="Timber Frame",Brick_type="Reverse Brick Veneer"),0,N36)</f>
        <v>0</v>
      </c>
      <c r="O38" s="422"/>
      <c r="P38" s="49">
        <f>CEILING($N38*20,1)</f>
        <v>0</v>
      </c>
      <c r="Q38" s="422"/>
      <c r="R38" s="50">
        <f>CEILING($P38/$U38,0.3333)</f>
        <v>0</v>
      </c>
      <c r="S38" s="49">
        <f>CEILING($R38*$U38,$V38)</f>
        <v>0</v>
      </c>
      <c r="T38" s="422"/>
      <c r="U38" s="420">
        <v>138</v>
      </c>
      <c r="V38" s="420">
        <f>U38/3</f>
        <v>46</v>
      </c>
      <c r="W38" s="195"/>
    </row>
    <row r="39" spans="2:23" ht="17.45" customHeight="1" outlineLevel="1" x14ac:dyDescent="0.2">
      <c r="C39" s="450" t="s">
        <v>405</v>
      </c>
      <c r="D39" s="48">
        <f>IF($D$38=0,0,CEILING(SUM(U5:U10),0.1))</f>
        <v>0</v>
      </c>
      <c r="F39" s="49">
        <f>CEILING($D39*50,1)</f>
        <v>0</v>
      </c>
      <c r="H39" s="50">
        <f>CEILING($F39/$K39,0.25)</f>
        <v>0</v>
      </c>
      <c r="I39" s="49">
        <f>CEILING($H39*$K39,$L39)</f>
        <v>0</v>
      </c>
      <c r="K39" s="420">
        <v>264</v>
      </c>
      <c r="L39" s="420">
        <f>K39/4</f>
        <v>66</v>
      </c>
      <c r="M39" s="420" t="s">
        <v>504</v>
      </c>
      <c r="N39" s="448" t="s">
        <v>505</v>
      </c>
      <c r="O39" s="422"/>
      <c r="P39" s="175">
        <f>SUM('Lintel Sheet'!P5:P70)+IF(AND(Brick_type="2c Face",F5-F47&gt;0),CEILING('Brickwork GF'!H5,1),0)+IF(Brick_type="2c Face",46,0)</f>
        <v>0</v>
      </c>
      <c r="Q39" s="422"/>
      <c r="R39" s="50">
        <f>CEILING($P39/$U39,0.3333)</f>
        <v>0</v>
      </c>
      <c r="S39" s="49">
        <f>CEILING($R39*$U39,$V39)</f>
        <v>0</v>
      </c>
      <c r="T39" s="422"/>
      <c r="U39" s="420">
        <v>138</v>
      </c>
      <c r="V39" s="420">
        <f>U39/3</f>
        <v>46</v>
      </c>
      <c r="W39" s="195"/>
    </row>
    <row r="40" spans="2:23" ht="17.45" customHeight="1" outlineLevel="1" x14ac:dyDescent="0.2">
      <c r="C40" s="451" t="s">
        <v>457</v>
      </c>
      <c r="D40" s="48">
        <f>CEILING(SUM(U11:U12),0.1)</f>
        <v>0</v>
      </c>
      <c r="F40" s="49">
        <f>CEILING($D40*50,1)</f>
        <v>0</v>
      </c>
      <c r="H40" s="50">
        <f>CEILING($F40/$K40,0.25)</f>
        <v>0</v>
      </c>
      <c r="I40" s="49">
        <f>CEILING($H40*$K40,$L40)</f>
        <v>0</v>
      </c>
      <c r="K40" s="420">
        <v>264</v>
      </c>
      <c r="L40" s="420">
        <f>K40/4</f>
        <v>66</v>
      </c>
      <c r="M40" s="1123" t="s">
        <v>2635</v>
      </c>
      <c r="N40" s="48">
        <f>CEILING(SUM(U16:U23),0.1)</f>
        <v>0</v>
      </c>
      <c r="O40" s="422"/>
      <c r="P40" s="49">
        <f>CEILING($N40*39,1)</f>
        <v>0</v>
      </c>
      <c r="Q40" s="422"/>
      <c r="R40" s="50">
        <f>IF(CEILING($P40/$U40,0.3333)&gt;0,CEILING($P40/$U40,0.3333)+0.3333,0)</f>
        <v>0</v>
      </c>
      <c r="S40" s="49">
        <f>CEILING($R40*$U40,$V40)</f>
        <v>0</v>
      </c>
      <c r="T40" s="422"/>
      <c r="U40" s="420">
        <v>264</v>
      </c>
      <c r="V40" s="420">
        <f>U40/3</f>
        <v>88</v>
      </c>
      <c r="W40" s="195"/>
    </row>
    <row r="41" spans="2:23" ht="17.45" customHeight="1" outlineLevel="1" x14ac:dyDescent="0.2">
      <c r="C41" s="420" t="s">
        <v>6</v>
      </c>
      <c r="D41" s="48">
        <f>CEILING(SUM(U15),0.1)</f>
        <v>0</v>
      </c>
      <c r="F41" s="49">
        <f>CEILING($D41*50,1)</f>
        <v>0</v>
      </c>
      <c r="H41" s="50">
        <f>CEILING($F41/$K41,0.25)</f>
        <v>0</v>
      </c>
      <c r="I41" s="49">
        <f>CEILING($H41*$K41,$L41)</f>
        <v>0</v>
      </c>
      <c r="K41" s="420">
        <v>264</v>
      </c>
      <c r="L41" s="420">
        <v>66</v>
      </c>
      <c r="M41" s="1122" t="s">
        <v>2634</v>
      </c>
      <c r="N41" s="48">
        <f>CEILING(SUM(U26:U32),0.1)</f>
        <v>0</v>
      </c>
      <c r="O41" s="422"/>
      <c r="P41" s="49">
        <f>CEILING($N41*39,1)</f>
        <v>0</v>
      </c>
      <c r="Q41" s="422"/>
      <c r="R41" s="50">
        <f>IF(CEILING($P41/$U41,0.3333)&gt;0,CEILING($P41/$U41,0.3333)+0.3333,0)</f>
        <v>0</v>
      </c>
      <c r="S41" s="49">
        <f>CEILING($R41*$U41,$V41)</f>
        <v>0</v>
      </c>
      <c r="T41" s="422"/>
      <c r="U41" s="420">
        <v>264</v>
      </c>
      <c r="V41" s="420">
        <f>U41/3</f>
        <v>88</v>
      </c>
      <c r="W41" s="195"/>
    </row>
    <row r="42" spans="2:23" ht="17.45" customHeight="1" outlineLevel="1" x14ac:dyDescent="0.2">
      <c r="C42" s="420" t="s">
        <v>507</v>
      </c>
      <c r="D42" s="48"/>
      <c r="F42" s="49"/>
      <c r="H42" s="50">
        <f>CEILING($F42/$K42,0.25)</f>
        <v>0</v>
      </c>
      <c r="I42" s="49">
        <f>CEILING($H42*$K42,$L42)</f>
        <v>0</v>
      </c>
      <c r="K42" s="420">
        <v>264</v>
      </c>
      <c r="L42" s="420">
        <v>66</v>
      </c>
      <c r="M42" s="452" t="s">
        <v>2633</v>
      </c>
      <c r="N42" s="48">
        <f>CEILING(SUM(U24:U25),0.1)</f>
        <v>0</v>
      </c>
      <c r="O42" s="422"/>
      <c r="P42" s="49">
        <f>CEILING($N42*20,1)</f>
        <v>0</v>
      </c>
      <c r="Q42" s="422"/>
      <c r="R42" s="50">
        <f>CEILING($P42/$U42,0.3333)</f>
        <v>0</v>
      </c>
      <c r="S42" s="49">
        <f>CEILING($R42*$U42,$V42)</f>
        <v>0</v>
      </c>
      <c r="T42" s="422"/>
      <c r="U42" s="420">
        <v>138</v>
      </c>
      <c r="V42" s="420">
        <f>U42/3</f>
        <v>46</v>
      </c>
      <c r="W42" s="195"/>
    </row>
    <row r="43" spans="2:23" ht="17.45" customHeight="1" x14ac:dyDescent="0.2">
      <c r="W43" s="195"/>
    </row>
    <row r="44" spans="2:23" ht="17.45" customHeight="1" outlineLevel="1" x14ac:dyDescent="0.2">
      <c r="C44" s="418" t="s">
        <v>453</v>
      </c>
      <c r="D44" s="418"/>
      <c r="E44" s="421"/>
      <c r="F44" s="418"/>
      <c r="G44" s="421"/>
      <c r="H44" s="418"/>
      <c r="I44" s="418"/>
      <c r="J44" s="421"/>
      <c r="K44" s="418"/>
      <c r="L44" s="418"/>
      <c r="M44" s="418" t="s">
        <v>149</v>
      </c>
      <c r="O44" s="422"/>
      <c r="Q44" s="422"/>
      <c r="T44" s="422"/>
      <c r="W44" s="195"/>
    </row>
    <row r="45" spans="2:23" ht="17.45" customHeight="1" outlineLevel="1" thickBot="1" x14ac:dyDescent="0.25">
      <c r="C45" s="424" t="s">
        <v>7</v>
      </c>
      <c r="D45" s="424" t="s">
        <v>388</v>
      </c>
      <c r="E45" s="425"/>
      <c r="F45" s="424" t="s">
        <v>436</v>
      </c>
      <c r="G45" s="425"/>
      <c r="H45" s="424" t="s">
        <v>437</v>
      </c>
      <c r="I45" s="424" t="s">
        <v>438</v>
      </c>
      <c r="J45" s="425"/>
      <c r="K45" s="424" t="s">
        <v>420</v>
      </c>
      <c r="M45" s="424" t="s">
        <v>7</v>
      </c>
      <c r="N45" s="424" t="s">
        <v>388</v>
      </c>
      <c r="O45" s="425"/>
      <c r="P45" s="424" t="s">
        <v>436</v>
      </c>
      <c r="Q45" s="425"/>
      <c r="R45" s="424" t="s">
        <v>437</v>
      </c>
      <c r="S45" s="424" t="s">
        <v>438</v>
      </c>
      <c r="T45" s="425"/>
      <c r="U45" s="424" t="s">
        <v>420</v>
      </c>
      <c r="W45" s="195"/>
    </row>
    <row r="46" spans="2:23" ht="17.45" customHeight="1" outlineLevel="1" x14ac:dyDescent="0.2">
      <c r="B46" s="1289" t="s">
        <v>480</v>
      </c>
      <c r="C46" s="427" t="s">
        <v>565</v>
      </c>
      <c r="D46" s="428">
        <v>1</v>
      </c>
      <c r="E46" s="429" t="s">
        <v>434</v>
      </c>
      <c r="F46" s="165">
        <f>IF(Brick_type="Full Render",H_Perim*1000-SUMIF(Name,"Reverse Brick Veneer",Length)*1000,SUMIF(Name,"render brick",Length)*1000)</f>
        <v>0</v>
      </c>
      <c r="G46" s="429" t="s">
        <v>434</v>
      </c>
      <c r="H46" s="1228" t="str">
        <f>IFERROR(ROUNDUP(AVERAGEIF(Name,"Render Brick",Height),0),"")&amp;IF(Brick_type="Full Render",IFERROR(ROUNDUP(AVERAGEIF(Name,"House Area",Height),0),""),"")</f>
        <v/>
      </c>
      <c r="I46" s="104" t="e">
        <f>ROUNDUP(H46*600/7,0)</f>
        <v>#VALUE!</v>
      </c>
      <c r="J46" s="429" t="s">
        <v>435</v>
      </c>
      <c r="K46" s="105" cm="1">
        <f t="array" ref="K46">ROUNDUP(SUMPRODUCT(--(Name="Render Brick"),Length,SUMIF(Lists!$T$2:$T$150,Height,Lists!$W$2:$W$150))/1000,1)*1+IF(Brick_type="Full Render",'Brickwork GF'!F46*'Brickwork GF'!I46/1000000,0)</f>
        <v>0</v>
      </c>
      <c r="L46" s="453"/>
      <c r="M46" s="431" t="s">
        <v>443</v>
      </c>
      <c r="N46" s="432"/>
      <c r="O46" s="429"/>
      <c r="P46" s="432"/>
      <c r="Q46" s="429"/>
      <c r="R46" s="432"/>
      <c r="S46" s="432"/>
      <c r="T46" s="429"/>
      <c r="U46" s="105">
        <f>SUMIFS(Lintel_Area,Lintel_Floor,"Ground",Lintel_Location,"Internal",Lintel_Brick, "Render")</f>
        <v>0</v>
      </c>
      <c r="W46" s="195"/>
    </row>
    <row r="47" spans="2:23" ht="17.45" customHeight="1" outlineLevel="1" x14ac:dyDescent="0.2">
      <c r="B47" s="1289"/>
      <c r="C47" s="433" t="s">
        <v>440</v>
      </c>
      <c r="D47" s="1283"/>
      <c r="E47" s="1283"/>
      <c r="F47" s="190">
        <f>IF(Brick_type="Full Render",SUMIF(Name,"Garage Wall",Length)*1000,0)</f>
        <v>0</v>
      </c>
      <c r="G47" s="1283"/>
      <c r="H47" s="1283"/>
      <c r="I47" s="1283"/>
      <c r="J47" s="434" t="s">
        <v>435</v>
      </c>
      <c r="K47" s="106" cm="1">
        <f t="array" ref="K47">IF(Brick_type="Full Render",ROUNDUP(SUMPRODUCT(--(Name="Garage Wall"),Length,SUMIF(Lists!$T$2:$T$150,Height,Lists!$W$2:$W$150))/1000,1),0)</f>
        <v>0</v>
      </c>
      <c r="L47" s="453"/>
      <c r="M47" s="433" t="s">
        <v>481</v>
      </c>
      <c r="N47" s="435">
        <v>1</v>
      </c>
      <c r="O47" s="434" t="s">
        <v>434</v>
      </c>
      <c r="P47" s="166">
        <f>SUMIFS(Lintel_Opening,Lintel_Brick,"Render",Lintel_Floor,"Ground",Lintel_Location,"Internal",'Lintel Sheet'!K5:K70,FALSE)*1000</f>
        <v>0</v>
      </c>
      <c r="Q47" s="434" t="s">
        <v>434</v>
      </c>
      <c r="R47" s="454">
        <v>1</v>
      </c>
      <c r="S47" s="103">
        <f t="shared" ref="S47:S70" si="7">IF(ISBLANK($R47),0,VLOOKUP($R47,Std_Brick,4,FALSE))</f>
        <v>86</v>
      </c>
      <c r="T47" s="434" t="s">
        <v>435</v>
      </c>
      <c r="U47" s="61">
        <f>IF(OR($P47=0,$S47=0),0,$N47*($P47/1000)*($S47/1000))</f>
        <v>0</v>
      </c>
      <c r="W47" s="195"/>
    </row>
    <row r="48" spans="2:23" ht="17.45" customHeight="1" outlineLevel="1" x14ac:dyDescent="0.2">
      <c r="B48" s="1289"/>
      <c r="C48" s="419"/>
      <c r="D48" s="1283"/>
      <c r="E48" s="1283"/>
      <c r="F48" s="1283"/>
      <c r="G48" s="1283"/>
      <c r="H48" s="1283"/>
      <c r="I48" s="1283"/>
      <c r="J48" s="434" t="s">
        <v>435</v>
      </c>
      <c r="K48" s="106"/>
      <c r="L48" s="453"/>
      <c r="M48" s="203" t="str">
        <f>"Longreach - to "&amp;H46&amp;"c brickwork"</f>
        <v>Longreach - to c brickwork</v>
      </c>
      <c r="N48" s="435">
        <v>1</v>
      </c>
      <c r="O48" s="434" t="s">
        <v>434</v>
      </c>
      <c r="P48" s="166">
        <f>IFERROR(IF(AND(F46&gt;0,ISODD(H46)),F46-SUMIFS('Lintel Sheet'!F:F,'Lintel Sheet'!J:J,"Internal",'Lintel Sheet'!C:C,"Render")+SUMIFS('Lintel Sheet'!F:F,'Lintel Sheet'!J:J,"External",'Lintel Sheet'!C:C,"Render"),0),0)</f>
        <v>0</v>
      </c>
      <c r="Q48" s="434" t="s">
        <v>434</v>
      </c>
      <c r="R48" s="185">
        <v>1</v>
      </c>
      <c r="S48" s="103">
        <f t="shared" si="7"/>
        <v>86</v>
      </c>
      <c r="T48" s="434" t="s">
        <v>435</v>
      </c>
      <c r="U48" s="61">
        <f>IF(OR($P48=0,$S48=0),0,$N48*($P48/1000)*($S48/1000))</f>
        <v>0</v>
      </c>
      <c r="W48" s="195"/>
    </row>
    <row r="49" spans="2:23" ht="17.45" customHeight="1" outlineLevel="1" x14ac:dyDescent="0.2">
      <c r="B49" s="1289"/>
      <c r="C49" s="433" t="s">
        <v>409</v>
      </c>
      <c r="D49" s="1283"/>
      <c r="E49" s="1283"/>
      <c r="F49" s="1283"/>
      <c r="G49" s="1283"/>
      <c r="H49" s="1283"/>
      <c r="I49" s="1283"/>
      <c r="J49" s="434" t="s">
        <v>435</v>
      </c>
      <c r="K49" s="106" cm="1">
        <f t="array" ref="K49">IF(Brick_type="Full Render",ROUNDUP(SUMPRODUCT(--(Name="Attached Pier"),Length,SUMIF(Lists!$T$2:$T$150,Height,Lists!$W$2:$W$150))/1000,1),0)</f>
        <v>0</v>
      </c>
      <c r="L49" s="453"/>
      <c r="M49" s="203" t="s">
        <v>589</v>
      </c>
      <c r="N49" s="435">
        <v>1</v>
      </c>
      <c r="O49" s="434" t="s">
        <v>434</v>
      </c>
      <c r="P49" s="166">
        <f>SUMIFS('Lintel Sheet'!M:M,'Lintel Sheet'!C:C,"Render",'Lintel Sheet'!L:L,TRUE)*1000</f>
        <v>0</v>
      </c>
      <c r="Q49" s="434" t="s">
        <v>434</v>
      </c>
      <c r="R49" s="185">
        <v>2</v>
      </c>
      <c r="S49" s="103">
        <f t="shared" si="7"/>
        <v>172</v>
      </c>
      <c r="T49" s="434" t="s">
        <v>435</v>
      </c>
      <c r="U49" s="61">
        <f t="shared" ref="U49:U69" si="8">IF(OR($P49=0,$S49=0),0,$N49*($P49/1000)*($S49/1000))</f>
        <v>0</v>
      </c>
      <c r="W49" s="195"/>
    </row>
    <row r="50" spans="2:23" ht="17.45" customHeight="1" outlineLevel="1" x14ac:dyDescent="0.2">
      <c r="B50" s="1289"/>
      <c r="C50" s="419" t="s">
        <v>1602</v>
      </c>
      <c r="D50" s="1283"/>
      <c r="E50" s="1283"/>
      <c r="F50" s="1283"/>
      <c r="G50" s="1283"/>
      <c r="H50" s="1283"/>
      <c r="I50" s="1283"/>
      <c r="J50" s="434" t="s">
        <v>435</v>
      </c>
      <c r="K50" s="106" cm="1">
        <f t="array" ref="K50">IF(Brick_type="Full Render",ROUNDUP(SUMPRODUCT(--(Name="Pad Footing"),Length,SUMIF(Lists!$T$2:$T$150,Height,Lists!$W$2:$W$150))/1000,2),0)+ROUNDUP(SUMPRODUCT(--(Name="Pad Footing"),--(Material="Render"),Length,SUMIF(Lists!$T$2:$T$150,Height,Lists!$W$2:$W$150))/1000,2)</f>
        <v>0</v>
      </c>
      <c r="L50" s="453"/>
      <c r="M50" s="419" t="s">
        <v>1194</v>
      </c>
      <c r="N50" s="185">
        <v>1</v>
      </c>
      <c r="O50" s="434" t="s">
        <v>434</v>
      </c>
      <c r="P50" s="185"/>
      <c r="Q50" s="434" t="s">
        <v>434</v>
      </c>
      <c r="R50" s="185">
        <v>2</v>
      </c>
      <c r="S50" s="103">
        <f t="shared" si="7"/>
        <v>172</v>
      </c>
      <c r="T50" s="434" t="s">
        <v>435</v>
      </c>
      <c r="U50" s="61">
        <f t="shared" si="8"/>
        <v>0</v>
      </c>
      <c r="W50" s="195"/>
    </row>
    <row r="51" spans="2:23" ht="17.45" customHeight="1" outlineLevel="1" x14ac:dyDescent="0.2">
      <c r="B51" s="1289"/>
      <c r="C51" s="419" t="s">
        <v>1569</v>
      </c>
      <c r="D51" s="1283"/>
      <c r="E51" s="1283"/>
      <c r="F51" s="1283"/>
      <c r="G51" s="1283"/>
      <c r="H51" s="1283"/>
      <c r="I51" s="1283"/>
      <c r="J51" s="434" t="s">
        <v>435</v>
      </c>
      <c r="K51" s="106" cm="1">
        <f t="array" ref="K51">ROUNDUP(SUMPRODUCT(--(Name="Single WALL/Planter"),--(Material="Render"),Length,SUMIF(Lists!$T$2:$T$150,Height,Lists!$W$2:$W$150))/1000,1)</f>
        <v>0</v>
      </c>
      <c r="L51" s="453"/>
      <c r="M51" s="232" t="s">
        <v>974</v>
      </c>
      <c r="N51" s="185">
        <v>2</v>
      </c>
      <c r="O51" s="434" t="s">
        <v>434</v>
      </c>
      <c r="P51" s="1171" cm="1">
        <f t="array" ref="P51">ROUNDUP(SUMPRODUCT(--(ISNUMBER(SEARCH("T-Bar",Name))),--(Material="Render"),Length,--(MOD(Height,2)=1)),2)*1000</f>
        <v>0</v>
      </c>
      <c r="Q51" s="434" t="s">
        <v>434</v>
      </c>
      <c r="R51" s="185">
        <v>1</v>
      </c>
      <c r="S51" s="103">
        <f t="shared" si="7"/>
        <v>86</v>
      </c>
      <c r="T51" s="434" t="s">
        <v>435</v>
      </c>
      <c r="U51" s="61">
        <f t="shared" si="8"/>
        <v>0</v>
      </c>
      <c r="W51" s="195"/>
    </row>
    <row r="52" spans="2:23" ht="17.45" customHeight="1" outlineLevel="1" x14ac:dyDescent="0.2">
      <c r="B52" s="1289"/>
      <c r="C52" s="419" t="e">
        <f>"Brickwork &gt; "&amp;H46-2&amp;"c"</f>
        <v>#VALUE!</v>
      </c>
      <c r="D52" s="1283"/>
      <c r="E52" s="1283"/>
      <c r="F52" s="1283"/>
      <c r="G52" s="1283"/>
      <c r="H52" s="1283"/>
      <c r="I52" s="1283"/>
      <c r="J52" s="434" t="s">
        <v>435</v>
      </c>
      <c r="K52" s="106" cm="1">
        <f t="array" ref="K52">ROUNDUP(SUMPRODUCT(--(Name="B/Work &gt; 25c"),--(Material="Render"),Length,SUMIF(Lists!$T$2:$T$150,Height,Lists!$W$2:$W$150))/1000,1)+ROUNDUP(SUMPRODUCT(--(Name="Render Brick"),--(Height&gt;H46),Length,SUMIF(Lists!$T$2:$T$150,Height-H46,Lists!$W$2:$W$150))/1000,1)</f>
        <v>0</v>
      </c>
      <c r="L52" s="453"/>
      <c r="M52" s="203" t="s">
        <v>1083</v>
      </c>
      <c r="N52" s="435">
        <v>1</v>
      </c>
      <c r="O52" s="434" t="s">
        <v>434</v>
      </c>
      <c r="P52" s="166">
        <f>SUMIFS(Lintel_Opening,Lintel_Brick,"Render",Lintel_Floor,"Ground",Lintel_Location,"External")*1000</f>
        <v>0</v>
      </c>
      <c r="Q52" s="434" t="s">
        <v>434</v>
      </c>
      <c r="R52" s="185">
        <v>1</v>
      </c>
      <c r="S52" s="103">
        <f t="shared" si="7"/>
        <v>86</v>
      </c>
      <c r="T52" s="434" t="s">
        <v>435</v>
      </c>
      <c r="U52" s="61">
        <f t="shared" si="8"/>
        <v>0</v>
      </c>
      <c r="W52" s="195"/>
    </row>
    <row r="53" spans="2:23" ht="17.45" customHeight="1" outlineLevel="1" x14ac:dyDescent="0.2">
      <c r="B53" s="1289"/>
      <c r="C53" s="419" t="s">
        <v>974</v>
      </c>
      <c r="D53" s="1283"/>
      <c r="E53" s="1283"/>
      <c r="F53" s="1283"/>
      <c r="G53" s="1283"/>
      <c r="H53" s="1283"/>
      <c r="I53" s="1283"/>
      <c r="J53" s="434" t="s">
        <v>435</v>
      </c>
      <c r="K53" s="106" cm="1">
        <f t="array" ref="K53">ROUNDUP(SUMPRODUCT(--(Material="Render"),--(ISNUMBER(SEARCH("T-Bar",Name))),Length,Height*0.086),1)</f>
        <v>0</v>
      </c>
      <c r="L53" s="453"/>
      <c r="M53" s="232"/>
      <c r="N53" s="185"/>
      <c r="O53" s="434" t="s">
        <v>434</v>
      </c>
      <c r="P53" s="185"/>
      <c r="Q53" s="434" t="s">
        <v>434</v>
      </c>
      <c r="R53" s="185"/>
      <c r="S53" s="103">
        <f t="shared" si="7"/>
        <v>0</v>
      </c>
      <c r="T53" s="434" t="s">
        <v>435</v>
      </c>
      <c r="U53" s="61">
        <f t="shared" si="8"/>
        <v>0</v>
      </c>
      <c r="W53" s="195"/>
    </row>
    <row r="54" spans="2:23" ht="17.45" customHeight="1" outlineLevel="1" x14ac:dyDescent="0.2">
      <c r="B54" s="1289"/>
      <c r="C54" s="232" t="s">
        <v>1469</v>
      </c>
      <c r="D54" s="378">
        <v>1</v>
      </c>
      <c r="E54" s="434" t="s">
        <v>434</v>
      </c>
      <c r="F54" s="190">
        <f>IF(Brick_type="Full Render",SUMIF(Name,"Z/Lot Garage Wall",Length)*1000,0)</f>
        <v>0</v>
      </c>
      <c r="G54" s="434" t="s">
        <v>434</v>
      </c>
      <c r="H54" s="190">
        <f>IFERROR(ROUNDUP(AVERAGEIF(Name,"Z/Lot Garage Wall",Height),0),0)</f>
        <v>0</v>
      </c>
      <c r="I54" s="103">
        <f>IFERROR(IF(ISBLANK($H54),0,VLOOKUP($H54,Std_Brick,4,FALSE)),0)</f>
        <v>0</v>
      </c>
      <c r="J54" s="434" t="s">
        <v>435</v>
      </c>
      <c r="K54" s="384">
        <f t="shared" ref="K54" si="9">IF(OR($F54=0,$I54=0),0,$D54*($F54/1000)*($I54/1000))</f>
        <v>0</v>
      </c>
      <c r="L54" s="453"/>
      <c r="M54" s="203" t="s">
        <v>441</v>
      </c>
      <c r="N54" s="435">
        <v>1</v>
      </c>
      <c r="O54" s="434" t="s">
        <v>434</v>
      </c>
      <c r="P54" s="166">
        <f>IF(AND(ISODD(H47),(ISODD(H49))),0,F49)</f>
        <v>0</v>
      </c>
      <c r="Q54" s="434" t="s">
        <v>434</v>
      </c>
      <c r="R54" s="185"/>
      <c r="S54" s="103">
        <f t="shared" si="7"/>
        <v>0</v>
      </c>
      <c r="T54" s="434" t="s">
        <v>435</v>
      </c>
      <c r="U54" s="61">
        <f t="shared" si="8"/>
        <v>0</v>
      </c>
      <c r="W54" s="195"/>
    </row>
    <row r="55" spans="2:23" ht="17.45" customHeight="1" outlineLevel="1" x14ac:dyDescent="0.2">
      <c r="B55" s="1289"/>
      <c r="C55" s="232"/>
      <c r="D55" s="184"/>
      <c r="E55" s="434" t="s">
        <v>434</v>
      </c>
      <c r="F55" s="185"/>
      <c r="G55" s="434" t="s">
        <v>434</v>
      </c>
      <c r="H55" s="185"/>
      <c r="I55" s="103">
        <f t="shared" ref="I55:I70" si="10">IF(ISBLANK($H55),0,VLOOKUP($H55,Std_Brick,4,FALSE))</f>
        <v>0</v>
      </c>
      <c r="J55" s="434" t="s">
        <v>435</v>
      </c>
      <c r="K55" s="106">
        <f t="shared" ref="K55:K70" si="11">IF(OR($F55=0,$I55=0),0,$D55*($F55/1000)*($I55/1000))</f>
        <v>0</v>
      </c>
      <c r="L55" s="453"/>
      <c r="M55" s="203" t="s">
        <v>440</v>
      </c>
      <c r="N55" s="435">
        <v>1</v>
      </c>
      <c r="O55" s="434" t="s">
        <v>434</v>
      </c>
      <c r="P55" s="166">
        <f>IF(ISODD(H47),F47,0)</f>
        <v>0</v>
      </c>
      <c r="Q55" s="434" t="s">
        <v>434</v>
      </c>
      <c r="R55" s="185">
        <v>1</v>
      </c>
      <c r="S55" s="103">
        <f t="shared" si="7"/>
        <v>86</v>
      </c>
      <c r="T55" s="434" t="s">
        <v>435</v>
      </c>
      <c r="U55" s="61">
        <f t="shared" si="8"/>
        <v>0</v>
      </c>
      <c r="W55" s="195"/>
    </row>
    <row r="56" spans="2:23" ht="17.45" customHeight="1" outlineLevel="1" x14ac:dyDescent="0.2">
      <c r="B56" s="1289"/>
      <c r="C56" s="232"/>
      <c r="D56" s="184"/>
      <c r="E56" s="434" t="s">
        <v>434</v>
      </c>
      <c r="F56" s="185"/>
      <c r="G56" s="434" t="s">
        <v>434</v>
      </c>
      <c r="H56" s="185"/>
      <c r="I56" s="103">
        <f t="shared" si="10"/>
        <v>0</v>
      </c>
      <c r="J56" s="434" t="s">
        <v>435</v>
      </c>
      <c r="K56" s="106">
        <f t="shared" si="11"/>
        <v>0</v>
      </c>
      <c r="L56" s="453"/>
      <c r="M56" s="183"/>
      <c r="N56" s="185"/>
      <c r="O56" s="434" t="s">
        <v>434</v>
      </c>
      <c r="P56" s="185"/>
      <c r="Q56" s="434" t="s">
        <v>434</v>
      </c>
      <c r="R56" s="185"/>
      <c r="S56" s="103">
        <f t="shared" si="7"/>
        <v>0</v>
      </c>
      <c r="T56" s="434" t="s">
        <v>435</v>
      </c>
      <c r="U56" s="61">
        <f t="shared" si="8"/>
        <v>0</v>
      </c>
      <c r="W56" s="195"/>
    </row>
    <row r="57" spans="2:23" ht="17.45" customHeight="1" outlineLevel="1" x14ac:dyDescent="0.2">
      <c r="B57" s="1289"/>
      <c r="C57" s="232"/>
      <c r="D57" s="184"/>
      <c r="E57" s="434" t="s">
        <v>434</v>
      </c>
      <c r="F57" s="185"/>
      <c r="G57" s="434" t="s">
        <v>434</v>
      </c>
      <c r="H57" s="185"/>
      <c r="I57" s="103">
        <f t="shared" si="10"/>
        <v>0</v>
      </c>
      <c r="J57" s="434" t="s">
        <v>435</v>
      </c>
      <c r="K57" s="106">
        <f t="shared" si="11"/>
        <v>0</v>
      </c>
      <c r="L57" s="453"/>
      <c r="M57" s="232" t="s">
        <v>3379</v>
      </c>
      <c r="N57" s="185">
        <v>1</v>
      </c>
      <c r="O57" s="434" t="s">
        <v>434</v>
      </c>
      <c r="P57" s="1171" cm="1">
        <f t="array" ref="P57">ROUNDUP(SUMPRODUCT(--(Name="Render Brick"),Length,--(MOD(Height,2)=1)),2)*1000</f>
        <v>0</v>
      </c>
      <c r="Q57" s="434" t="s">
        <v>434</v>
      </c>
      <c r="R57" s="185"/>
      <c r="S57" s="103">
        <f t="shared" si="7"/>
        <v>0</v>
      </c>
      <c r="T57" s="434" t="s">
        <v>435</v>
      </c>
      <c r="U57" s="61">
        <f t="shared" si="8"/>
        <v>0</v>
      </c>
      <c r="W57" s="195"/>
    </row>
    <row r="58" spans="2:23" ht="17.45" customHeight="1" outlineLevel="1" x14ac:dyDescent="0.2">
      <c r="B58" s="1289"/>
      <c r="C58" s="232"/>
      <c r="D58" s="184"/>
      <c r="E58" s="434" t="s">
        <v>434</v>
      </c>
      <c r="F58" s="185"/>
      <c r="G58" s="434" t="s">
        <v>434</v>
      </c>
      <c r="H58" s="185"/>
      <c r="I58" s="103">
        <f t="shared" si="10"/>
        <v>0</v>
      </c>
      <c r="J58" s="434" t="s">
        <v>435</v>
      </c>
      <c r="K58" s="106">
        <f t="shared" si="11"/>
        <v>0</v>
      </c>
      <c r="L58" s="453"/>
      <c r="M58" s="183"/>
      <c r="N58" s="185"/>
      <c r="O58" s="434" t="s">
        <v>434</v>
      </c>
      <c r="P58" s="185"/>
      <c r="Q58" s="434" t="s">
        <v>434</v>
      </c>
      <c r="R58" s="185"/>
      <c r="S58" s="103">
        <f t="shared" si="7"/>
        <v>0</v>
      </c>
      <c r="T58" s="434" t="s">
        <v>435</v>
      </c>
      <c r="U58" s="61">
        <f t="shared" si="8"/>
        <v>0</v>
      </c>
      <c r="W58" s="195"/>
    </row>
    <row r="59" spans="2:23" ht="17.45" customHeight="1" outlineLevel="1" x14ac:dyDescent="0.2">
      <c r="B59" s="1289"/>
      <c r="C59" s="232"/>
      <c r="D59" s="378"/>
      <c r="E59" s="434" t="s">
        <v>434</v>
      </c>
      <c r="F59" s="320"/>
      <c r="G59" s="434" t="s">
        <v>434</v>
      </c>
      <c r="H59" s="320"/>
      <c r="I59" s="383">
        <f t="shared" si="10"/>
        <v>0</v>
      </c>
      <c r="J59" s="434" t="s">
        <v>435</v>
      </c>
      <c r="K59" s="106">
        <f t="shared" si="11"/>
        <v>0</v>
      </c>
      <c r="L59" s="453"/>
      <c r="M59" s="183"/>
      <c r="N59" s="185"/>
      <c r="O59" s="434" t="s">
        <v>434</v>
      </c>
      <c r="P59" s="185"/>
      <c r="Q59" s="434" t="s">
        <v>434</v>
      </c>
      <c r="R59" s="185"/>
      <c r="S59" s="103">
        <f t="shared" si="7"/>
        <v>0</v>
      </c>
      <c r="T59" s="434" t="s">
        <v>435</v>
      </c>
      <c r="U59" s="61">
        <f t="shared" si="8"/>
        <v>0</v>
      </c>
      <c r="W59" s="195"/>
    </row>
    <row r="60" spans="2:23" ht="17.45" customHeight="1" outlineLevel="1" x14ac:dyDescent="0.2">
      <c r="B60" s="1289"/>
      <c r="C60" s="232"/>
      <c r="D60" s="378"/>
      <c r="E60" s="434" t="s">
        <v>434</v>
      </c>
      <c r="F60" s="320"/>
      <c r="G60" s="434" t="s">
        <v>434</v>
      </c>
      <c r="H60" s="320"/>
      <c r="I60" s="383">
        <f t="shared" si="10"/>
        <v>0</v>
      </c>
      <c r="J60" s="434" t="s">
        <v>435</v>
      </c>
      <c r="K60" s="106">
        <f t="shared" si="11"/>
        <v>0</v>
      </c>
      <c r="L60" s="453"/>
      <c r="M60" s="183"/>
      <c r="N60" s="185"/>
      <c r="O60" s="434" t="s">
        <v>434</v>
      </c>
      <c r="P60" s="185"/>
      <c r="Q60" s="434" t="s">
        <v>434</v>
      </c>
      <c r="R60" s="185"/>
      <c r="S60" s="103">
        <f t="shared" si="7"/>
        <v>0</v>
      </c>
      <c r="T60" s="434" t="s">
        <v>435</v>
      </c>
      <c r="U60" s="61">
        <f t="shared" si="8"/>
        <v>0</v>
      </c>
      <c r="W60" s="195"/>
    </row>
    <row r="61" spans="2:23" ht="17.45" customHeight="1" outlineLevel="1" x14ac:dyDescent="0.2">
      <c r="B61" s="1289"/>
      <c r="C61" s="183"/>
      <c r="D61" s="184"/>
      <c r="E61" s="434" t="s">
        <v>434</v>
      </c>
      <c r="F61" s="185"/>
      <c r="G61" s="434" t="s">
        <v>434</v>
      </c>
      <c r="H61" s="185"/>
      <c r="I61" s="103">
        <f t="shared" si="10"/>
        <v>0</v>
      </c>
      <c r="J61" s="434" t="s">
        <v>435</v>
      </c>
      <c r="K61" s="106">
        <f t="shared" si="11"/>
        <v>0</v>
      </c>
      <c r="L61" s="453"/>
      <c r="M61" s="183"/>
      <c r="N61" s="185"/>
      <c r="O61" s="434" t="s">
        <v>434</v>
      </c>
      <c r="P61" s="185"/>
      <c r="Q61" s="434" t="s">
        <v>434</v>
      </c>
      <c r="R61" s="185"/>
      <c r="S61" s="103">
        <f t="shared" si="7"/>
        <v>0</v>
      </c>
      <c r="T61" s="434" t="s">
        <v>435</v>
      </c>
      <c r="U61" s="61">
        <f t="shared" si="8"/>
        <v>0</v>
      </c>
      <c r="W61" s="195"/>
    </row>
    <row r="62" spans="2:23" ht="17.45" customHeight="1" outlineLevel="1" x14ac:dyDescent="0.2">
      <c r="B62" s="1289"/>
      <c r="C62" s="183"/>
      <c r="D62" s="184"/>
      <c r="E62" s="434" t="s">
        <v>434</v>
      </c>
      <c r="F62" s="185"/>
      <c r="G62" s="434" t="s">
        <v>434</v>
      </c>
      <c r="H62" s="185"/>
      <c r="I62" s="103">
        <f t="shared" si="10"/>
        <v>0</v>
      </c>
      <c r="J62" s="434" t="s">
        <v>435</v>
      </c>
      <c r="K62" s="106">
        <f t="shared" si="11"/>
        <v>0</v>
      </c>
      <c r="L62" s="453"/>
      <c r="M62" s="183"/>
      <c r="N62" s="185"/>
      <c r="O62" s="434" t="s">
        <v>434</v>
      </c>
      <c r="P62" s="185"/>
      <c r="Q62" s="434" t="s">
        <v>434</v>
      </c>
      <c r="R62" s="185"/>
      <c r="S62" s="103">
        <f t="shared" si="7"/>
        <v>0</v>
      </c>
      <c r="T62" s="434" t="s">
        <v>435</v>
      </c>
      <c r="U62" s="61">
        <f t="shared" si="8"/>
        <v>0</v>
      </c>
      <c r="W62" s="195"/>
    </row>
    <row r="63" spans="2:23" ht="17.45" customHeight="1" outlineLevel="1" x14ac:dyDescent="0.2">
      <c r="B63" s="1289"/>
      <c r="C63" s="232"/>
      <c r="D63" s="184"/>
      <c r="E63" s="434" t="s">
        <v>434</v>
      </c>
      <c r="F63" s="185"/>
      <c r="G63" s="434" t="s">
        <v>434</v>
      </c>
      <c r="H63" s="185"/>
      <c r="I63" s="103">
        <f t="shared" si="10"/>
        <v>0</v>
      </c>
      <c r="J63" s="434" t="s">
        <v>435</v>
      </c>
      <c r="K63" s="106">
        <f t="shared" si="11"/>
        <v>0</v>
      </c>
      <c r="L63" s="453"/>
      <c r="M63" s="183"/>
      <c r="N63" s="185"/>
      <c r="O63" s="434" t="s">
        <v>434</v>
      </c>
      <c r="P63" s="185"/>
      <c r="Q63" s="434" t="s">
        <v>434</v>
      </c>
      <c r="R63" s="185"/>
      <c r="S63" s="103">
        <f t="shared" si="7"/>
        <v>0</v>
      </c>
      <c r="T63" s="434" t="s">
        <v>435</v>
      </c>
      <c r="U63" s="61">
        <f t="shared" si="8"/>
        <v>0</v>
      </c>
      <c r="W63" s="195"/>
    </row>
    <row r="64" spans="2:23" ht="17.45" customHeight="1" outlineLevel="1" x14ac:dyDescent="0.2">
      <c r="B64" s="1289"/>
      <c r="C64" s="183"/>
      <c r="D64" s="184"/>
      <c r="E64" s="434" t="s">
        <v>434</v>
      </c>
      <c r="F64" s="185"/>
      <c r="G64" s="434" t="s">
        <v>434</v>
      </c>
      <c r="H64" s="185"/>
      <c r="I64" s="103">
        <f t="shared" si="10"/>
        <v>0</v>
      </c>
      <c r="J64" s="434" t="s">
        <v>435</v>
      </c>
      <c r="K64" s="106">
        <f t="shared" si="11"/>
        <v>0</v>
      </c>
      <c r="L64" s="453"/>
      <c r="M64" s="183"/>
      <c r="N64" s="185"/>
      <c r="O64" s="434" t="s">
        <v>434</v>
      </c>
      <c r="P64" s="185"/>
      <c r="Q64" s="434" t="s">
        <v>434</v>
      </c>
      <c r="R64" s="185"/>
      <c r="S64" s="103">
        <f t="shared" si="7"/>
        <v>0</v>
      </c>
      <c r="T64" s="434" t="s">
        <v>435</v>
      </c>
      <c r="U64" s="61">
        <f t="shared" si="8"/>
        <v>0</v>
      </c>
      <c r="W64" s="195"/>
    </row>
    <row r="65" spans="2:31" ht="17.45" customHeight="1" outlineLevel="1" x14ac:dyDescent="0.2">
      <c r="B65" s="1289"/>
      <c r="C65" s="183"/>
      <c r="D65" s="184"/>
      <c r="E65" s="434" t="s">
        <v>434</v>
      </c>
      <c r="F65" s="185"/>
      <c r="G65" s="434" t="s">
        <v>434</v>
      </c>
      <c r="H65" s="185"/>
      <c r="I65" s="103">
        <f t="shared" si="10"/>
        <v>0</v>
      </c>
      <c r="J65" s="434" t="s">
        <v>435</v>
      </c>
      <c r="K65" s="106">
        <f t="shared" si="11"/>
        <v>0</v>
      </c>
      <c r="L65" s="453"/>
      <c r="M65" s="183"/>
      <c r="N65" s="185"/>
      <c r="O65" s="434" t="s">
        <v>434</v>
      </c>
      <c r="P65" s="185"/>
      <c r="Q65" s="434" t="s">
        <v>434</v>
      </c>
      <c r="R65" s="185"/>
      <c r="S65" s="103">
        <f t="shared" si="7"/>
        <v>0</v>
      </c>
      <c r="T65" s="434" t="s">
        <v>435</v>
      </c>
      <c r="U65" s="61">
        <f t="shared" si="8"/>
        <v>0</v>
      </c>
      <c r="W65" s="195"/>
    </row>
    <row r="66" spans="2:31" ht="17.45" customHeight="1" outlineLevel="1" x14ac:dyDescent="0.2">
      <c r="B66" s="1289"/>
      <c r="C66" s="183"/>
      <c r="D66" s="184"/>
      <c r="E66" s="434" t="s">
        <v>434</v>
      </c>
      <c r="F66" s="185"/>
      <c r="G66" s="434" t="s">
        <v>434</v>
      </c>
      <c r="H66" s="185"/>
      <c r="I66" s="103">
        <f t="shared" si="10"/>
        <v>0</v>
      </c>
      <c r="J66" s="434" t="s">
        <v>435</v>
      </c>
      <c r="K66" s="106">
        <f t="shared" si="11"/>
        <v>0</v>
      </c>
      <c r="L66" s="453"/>
      <c r="M66" s="203" t="s">
        <v>582</v>
      </c>
      <c r="N66" s="185">
        <v>1</v>
      </c>
      <c r="O66" s="434" t="s">
        <v>434</v>
      </c>
      <c r="P66" s="166">
        <f>IF(Brick_type="Standard Face",F47,0)</f>
        <v>0</v>
      </c>
      <c r="Q66" s="434" t="s">
        <v>434</v>
      </c>
      <c r="R66" s="435"/>
      <c r="S66" s="103">
        <f t="shared" si="7"/>
        <v>0</v>
      </c>
      <c r="T66" s="434" t="s">
        <v>435</v>
      </c>
      <c r="U66" s="68">
        <f t="shared" si="8"/>
        <v>0</v>
      </c>
      <c r="W66" s="195">
        <f>IF(Brick_type="Standard Face",'Brickwork GF'!F47,0)</f>
        <v>0</v>
      </c>
    </row>
    <row r="67" spans="2:31" ht="17.45" customHeight="1" outlineLevel="1" x14ac:dyDescent="0.2">
      <c r="B67" s="1289"/>
      <c r="C67" s="183"/>
      <c r="D67" s="184"/>
      <c r="E67" s="434" t="s">
        <v>434</v>
      </c>
      <c r="F67" s="185"/>
      <c r="G67" s="434" t="s">
        <v>434</v>
      </c>
      <c r="H67" s="185"/>
      <c r="I67" s="103">
        <f t="shared" si="10"/>
        <v>0</v>
      </c>
      <c r="J67" s="434" t="s">
        <v>435</v>
      </c>
      <c r="K67" s="106">
        <f t="shared" si="11"/>
        <v>0</v>
      </c>
      <c r="L67" s="453"/>
      <c r="M67" s="203" t="s">
        <v>967</v>
      </c>
      <c r="N67" s="1283"/>
      <c r="O67" s="1283"/>
      <c r="P67" s="1283"/>
      <c r="Q67" s="1283"/>
      <c r="R67" s="1283"/>
      <c r="S67" s="1283"/>
      <c r="T67" s="434" t="s">
        <v>435</v>
      </c>
      <c r="U67" s="68" cm="1">
        <f t="array" ref="U67">ROUNDUP(SUMPRODUCT(--(Name="Projected Band"),--(Material="Render"),Length,SUMIF(Lists!$T$2:$T$150,Height,Lists!$W$2:$W$150))/1000,1)</f>
        <v>0</v>
      </c>
      <c r="W67" s="195"/>
    </row>
    <row r="68" spans="2:31" ht="17.45" customHeight="1" outlineLevel="1" x14ac:dyDescent="0.2">
      <c r="B68" s="1289"/>
      <c r="C68" s="183"/>
      <c r="D68" s="184"/>
      <c r="E68" s="434" t="s">
        <v>434</v>
      </c>
      <c r="F68" s="185"/>
      <c r="G68" s="434" t="s">
        <v>434</v>
      </c>
      <c r="H68" s="185"/>
      <c r="I68" s="103">
        <f t="shared" si="10"/>
        <v>0</v>
      </c>
      <c r="J68" s="434" t="s">
        <v>435</v>
      </c>
      <c r="K68" s="106">
        <f t="shared" si="11"/>
        <v>0</v>
      </c>
      <c r="L68" s="453"/>
      <c r="M68" s="203" t="s">
        <v>1620</v>
      </c>
      <c r="N68" s="185">
        <v>1</v>
      </c>
      <c r="O68" s="434" t="s">
        <v>434</v>
      </c>
      <c r="P68" s="166">
        <f>SUMIF(Name,"Base Projection",Length)*1000</f>
        <v>0</v>
      </c>
      <c r="Q68" s="434" t="s">
        <v>434</v>
      </c>
      <c r="R68" s="166">
        <f>IFERROR(VLOOKUP("Base Projection",'CSV GF'!#REF!,5,FALSE),0)</f>
        <v>0</v>
      </c>
      <c r="S68" s="103">
        <f>IFERROR(IF(ISBLANK($R68),0,VLOOKUP($R68,Std_Brick,4,FALSE)),0)</f>
        <v>0</v>
      </c>
      <c r="T68" s="434" t="s">
        <v>435</v>
      </c>
      <c r="U68" s="68">
        <f t="shared" si="8"/>
        <v>0</v>
      </c>
      <c r="W68" s="195"/>
    </row>
    <row r="69" spans="2:31" ht="17.45" customHeight="1" outlineLevel="1" x14ac:dyDescent="0.2">
      <c r="B69" s="1289"/>
      <c r="C69" s="183"/>
      <c r="D69" s="184"/>
      <c r="E69" s="434" t="s">
        <v>434</v>
      </c>
      <c r="F69" s="185"/>
      <c r="G69" s="434" t="s">
        <v>434</v>
      </c>
      <c r="H69" s="185"/>
      <c r="I69" s="103">
        <f t="shared" si="10"/>
        <v>0</v>
      </c>
      <c r="J69" s="434" t="s">
        <v>435</v>
      </c>
      <c r="K69" s="106">
        <f t="shared" si="11"/>
        <v>0</v>
      </c>
      <c r="L69" s="453"/>
      <c r="M69" s="201" t="s">
        <v>6</v>
      </c>
      <c r="N69" s="185"/>
      <c r="O69" s="434" t="s">
        <v>434</v>
      </c>
      <c r="P69" s="185"/>
      <c r="Q69" s="434" t="s">
        <v>434</v>
      </c>
      <c r="R69" s="185"/>
      <c r="S69" s="103">
        <f t="shared" si="7"/>
        <v>0</v>
      </c>
      <c r="T69" s="434" t="s">
        <v>435</v>
      </c>
      <c r="U69" s="68">
        <f t="shared" si="8"/>
        <v>0</v>
      </c>
      <c r="W69" s="195"/>
    </row>
    <row r="70" spans="2:31" ht="17.45" customHeight="1" outlineLevel="1" thickBot="1" x14ac:dyDescent="0.25">
      <c r="B70" s="1289"/>
      <c r="C70" s="187"/>
      <c r="D70" s="191"/>
      <c r="E70" s="440" t="s">
        <v>434</v>
      </c>
      <c r="F70" s="193"/>
      <c r="G70" s="440" t="s">
        <v>434</v>
      </c>
      <c r="H70" s="193"/>
      <c r="I70" s="109">
        <f t="shared" si="10"/>
        <v>0</v>
      </c>
      <c r="J70" s="440" t="s">
        <v>435</v>
      </c>
      <c r="K70" s="107">
        <f t="shared" si="11"/>
        <v>0</v>
      </c>
      <c r="L70" s="453"/>
      <c r="M70" s="202" t="s">
        <v>6</v>
      </c>
      <c r="N70" s="193"/>
      <c r="O70" s="440" t="s">
        <v>434</v>
      </c>
      <c r="P70" s="193"/>
      <c r="Q70" s="440" t="s">
        <v>434</v>
      </c>
      <c r="R70" s="193"/>
      <c r="S70" s="109">
        <f t="shared" si="7"/>
        <v>0</v>
      </c>
      <c r="T70" s="440" t="s">
        <v>435</v>
      </c>
      <c r="U70" s="69">
        <f>IF(OR($P70=0,$S70=0),0,$N70*($P70/1000)*($S70/1000))</f>
        <v>0</v>
      </c>
      <c r="W70" s="195"/>
    </row>
    <row r="71" spans="2:31" ht="17.45" customHeight="1" outlineLevel="1" thickBot="1" x14ac:dyDescent="0.25">
      <c r="B71" s="455"/>
      <c r="F71" s="437"/>
      <c r="H71" s="437"/>
      <c r="I71" s="1285" t="s">
        <v>474</v>
      </c>
      <c r="J71" s="1285"/>
      <c r="K71" s="125">
        <f>CEILING(SUM($K46:$K70),0.1)</f>
        <v>0</v>
      </c>
      <c r="L71" s="424" t="s">
        <v>442</v>
      </c>
      <c r="S71" s="1285" t="s">
        <v>475</v>
      </c>
      <c r="T71" s="1285"/>
      <c r="U71" s="125">
        <f>FLOOR(SUM($U46:$U70),0.1)</f>
        <v>0</v>
      </c>
      <c r="V71" s="424" t="s">
        <v>442</v>
      </c>
      <c r="W71" s="195"/>
    </row>
    <row r="72" spans="2:31" ht="17.45" customHeight="1" outlineLevel="1" thickBot="1" x14ac:dyDescent="0.25">
      <c r="B72" s="455"/>
      <c r="F72" s="437"/>
      <c r="H72" s="437"/>
      <c r="I72" s="442"/>
      <c r="M72" s="443" t="s">
        <v>476</v>
      </c>
      <c r="N72" s="64">
        <f>IF(K71&gt;U71,K71-U71,0)</f>
        <v>0</v>
      </c>
      <c r="O72" s="444" t="s">
        <v>442</v>
      </c>
      <c r="W72" s="195"/>
    </row>
    <row r="73" spans="2:31" ht="17.45" customHeight="1" outlineLevel="1" x14ac:dyDescent="0.2">
      <c r="B73" s="455"/>
      <c r="C73" s="445" t="s">
        <v>454</v>
      </c>
      <c r="D73" s="445" t="s">
        <v>420</v>
      </c>
      <c r="E73" s="425"/>
      <c r="F73" s="445" t="s">
        <v>463</v>
      </c>
      <c r="G73" s="425"/>
      <c r="H73" s="445" t="s">
        <v>126</v>
      </c>
      <c r="I73" s="446" t="s">
        <v>464</v>
      </c>
      <c r="J73" s="425"/>
      <c r="K73" s="1290" t="s">
        <v>465</v>
      </c>
      <c r="L73" s="1290"/>
      <c r="O73" s="422"/>
      <c r="P73" s="437"/>
      <c r="Q73" s="422"/>
      <c r="R73" s="437"/>
      <c r="S73" s="437"/>
      <c r="T73" s="422"/>
      <c r="U73" s="456"/>
      <c r="W73" s="195"/>
    </row>
    <row r="74" spans="2:31" ht="17.45" customHeight="1" outlineLevel="1" x14ac:dyDescent="0.2">
      <c r="B74" s="455"/>
      <c r="C74" s="1124" t="s">
        <v>2636</v>
      </c>
      <c r="D74" s="48">
        <f>IF(FF_Area&lt;=0,N72,0)</f>
        <v>0</v>
      </c>
      <c r="F74" s="49">
        <f>CEILING($D74*20,1)</f>
        <v>0</v>
      </c>
      <c r="H74" s="50">
        <f>ROUNDUP(CEILING($F74/$K74,0.3333),0)</f>
        <v>0</v>
      </c>
      <c r="I74" s="49">
        <f>CEILING($H74*$K74,$L74)</f>
        <v>0</v>
      </c>
      <c r="K74" s="420">
        <v>138</v>
      </c>
      <c r="L74" s="420">
        <f>K74/3</f>
        <v>46</v>
      </c>
      <c r="O74" s="422"/>
      <c r="P74" s="437"/>
      <c r="Q74" s="422"/>
      <c r="R74" s="437"/>
      <c r="S74" s="437"/>
      <c r="T74" s="422"/>
      <c r="U74" s="456"/>
      <c r="W74" s="195"/>
    </row>
    <row r="75" spans="2:31" ht="17.45" customHeight="1" outlineLevel="1" x14ac:dyDescent="0.2">
      <c r="B75" s="455"/>
      <c r="C75" s="457" t="s">
        <v>308</v>
      </c>
      <c r="D75" s="48">
        <f>CEILING(SUM(U47:U65),0.1)</f>
        <v>0</v>
      </c>
      <c r="F75" s="49">
        <f>CEILING($D75*39,1)</f>
        <v>0</v>
      </c>
      <c r="H75" s="50">
        <f>ROUNDUP(CEILING($F75/$K75,0.3333),0)</f>
        <v>0</v>
      </c>
      <c r="I75" s="49">
        <f>CEILING($H75*$K75,$L75)</f>
        <v>0</v>
      </c>
      <c r="K75" s="420">
        <v>252</v>
      </c>
      <c r="L75" s="420">
        <f>K75/3</f>
        <v>84</v>
      </c>
      <c r="O75" s="422"/>
      <c r="P75" s="437"/>
      <c r="Q75" s="422"/>
      <c r="R75" s="437"/>
      <c r="S75" s="437"/>
      <c r="T75" s="422"/>
      <c r="U75" s="456"/>
      <c r="W75" s="195"/>
    </row>
    <row r="76" spans="2:31" ht="17.45" customHeight="1" outlineLevel="1" x14ac:dyDescent="0.2">
      <c r="B76" s="455"/>
      <c r="C76" s="458" t="s">
        <v>6</v>
      </c>
      <c r="D76" s="48">
        <f>CEILING(SUM(U66:U70),0.1)</f>
        <v>0</v>
      </c>
      <c r="F76" s="49">
        <f>CEILING($D76*50,1)</f>
        <v>0</v>
      </c>
      <c r="H76" s="50">
        <f>ROUNDUP(CEILING($F76/$K76,0.25),0)</f>
        <v>0</v>
      </c>
      <c r="I76" s="49">
        <f>CEILING($H76*$K76,$L76)</f>
        <v>0</v>
      </c>
      <c r="K76" s="420">
        <v>264</v>
      </c>
      <c r="L76" s="420">
        <f>K76/4</f>
        <v>66</v>
      </c>
      <c r="O76" s="422"/>
      <c r="P76" s="437"/>
      <c r="Q76" s="422"/>
      <c r="R76" s="437"/>
      <c r="S76" s="437"/>
      <c r="T76" s="422"/>
      <c r="U76" s="456"/>
      <c r="W76" s="195"/>
    </row>
    <row r="77" spans="2:31" ht="17.45" customHeight="1" x14ac:dyDescent="0.2">
      <c r="W77" s="195"/>
    </row>
    <row r="78" spans="2:31" s="418" customFormat="1" ht="27.6" customHeight="1" x14ac:dyDescent="0.2">
      <c r="C78" s="418" t="s">
        <v>453</v>
      </c>
      <c r="E78" s="421"/>
      <c r="G78" s="421"/>
      <c r="J78" s="421"/>
      <c r="M78" s="418" t="s">
        <v>149</v>
      </c>
      <c r="N78" s="420"/>
      <c r="O78" s="422"/>
      <c r="P78" s="420"/>
      <c r="Q78" s="422"/>
      <c r="R78" s="420"/>
      <c r="S78" s="420"/>
      <c r="T78" s="422"/>
      <c r="U78" s="420"/>
      <c r="W78" s="196"/>
      <c r="Y78" s="747"/>
      <c r="Z78" s="747"/>
      <c r="AA78" s="747"/>
      <c r="AB78" s="747"/>
      <c r="AC78" s="423" t="s">
        <v>433</v>
      </c>
      <c r="AD78" s="423" t="s">
        <v>434</v>
      </c>
      <c r="AE78" s="423" t="s">
        <v>435</v>
      </c>
    </row>
    <row r="79" spans="2:31" ht="17.45" customHeight="1" thickBot="1" x14ac:dyDescent="0.25">
      <c r="C79" s="424" t="s">
        <v>7</v>
      </c>
      <c r="D79" s="424" t="s">
        <v>388</v>
      </c>
      <c r="E79" s="425"/>
      <c r="F79" s="424" t="s">
        <v>436</v>
      </c>
      <c r="G79" s="425"/>
      <c r="H79" s="424" t="s">
        <v>437</v>
      </c>
      <c r="I79" s="424" t="s">
        <v>438</v>
      </c>
      <c r="J79" s="425"/>
      <c r="K79" s="424" t="s">
        <v>420</v>
      </c>
      <c r="M79" s="424" t="s">
        <v>7</v>
      </c>
      <c r="N79" s="424" t="s">
        <v>388</v>
      </c>
      <c r="O79" s="425"/>
      <c r="P79" s="424" t="s">
        <v>436</v>
      </c>
      <c r="Q79" s="425"/>
      <c r="R79" s="424" t="s">
        <v>437</v>
      </c>
      <c r="S79" s="424" t="s">
        <v>438</v>
      </c>
      <c r="T79" s="425"/>
      <c r="U79" s="424" t="s">
        <v>420</v>
      </c>
      <c r="W79" s="195"/>
      <c r="Y79" s="1168"/>
      <c r="Z79" s="1168"/>
      <c r="AA79" s="1168"/>
      <c r="AB79" s="1168"/>
    </row>
    <row r="80" spans="2:31" ht="17.45" customHeight="1" x14ac:dyDescent="0.2">
      <c r="B80" s="1289" t="s">
        <v>432</v>
      </c>
      <c r="C80" s="431" t="s">
        <v>466</v>
      </c>
      <c r="D80" s="430">
        <v>1</v>
      </c>
      <c r="E80" s="429" t="s">
        <v>434</v>
      </c>
      <c r="F80" s="165">
        <f>IF(H_Perim&gt;0,ROUND(H_Perim*0.97*1000,1),0)</f>
        <v>0</v>
      </c>
      <c r="G80" s="429" t="s">
        <v>434</v>
      </c>
      <c r="H80" s="165" cm="1">
        <f t="array" ref="H80">IFERROR(MODE(IF(Name = "Wall 90 Int", Height)),0)</f>
        <v>0</v>
      </c>
      <c r="I80" s="104">
        <f>IFERROR(IF(ISBLANK($H80),0,VLOOKUP($H80,Std_Brick,4,FALSE)),0)</f>
        <v>0</v>
      </c>
      <c r="J80" s="429" t="s">
        <v>435</v>
      </c>
      <c r="K80" s="105">
        <f>IF(OR($F80=0,$I80=0),0,$D80*($F80/1000)*($I80/1000))</f>
        <v>0</v>
      </c>
      <c r="M80" s="431" t="s">
        <v>443</v>
      </c>
      <c r="N80" s="432"/>
      <c r="O80" s="429"/>
      <c r="P80" s="459"/>
      <c r="Q80" s="429"/>
      <c r="R80" s="459"/>
      <c r="S80" s="459"/>
      <c r="T80" s="429"/>
      <c r="U80" s="105">
        <f>SUMIFS(Lintel_Area,Lintel_Floor,"Ground",Lintel_Location,"Internal")</f>
        <v>0</v>
      </c>
      <c r="W80" s="382"/>
    </row>
    <row r="81" spans="2:23" ht="17.45" customHeight="1" x14ac:dyDescent="0.2">
      <c r="B81" s="1289"/>
      <c r="C81" s="433" t="s">
        <v>59</v>
      </c>
      <c r="D81" s="435">
        <v>1</v>
      </c>
      <c r="E81" s="434" t="s">
        <v>434</v>
      </c>
      <c r="F81" s="190">
        <f>SUMIFS(Length,Name,"Wall 90 Int")*1000+SUMIFS(Length,Name,"Wall Stud Int")*1000</f>
        <v>0</v>
      </c>
      <c r="G81" s="1283"/>
      <c r="H81" s="1283"/>
      <c r="I81" s="1283"/>
      <c r="J81" s="434" t="s">
        <v>435</v>
      </c>
      <c r="K81" s="106" cm="1">
        <f t="array" ref="K81">ROUNDUP(SUMPRODUCT(--(Name="Wall 90 Int"),Length,SUMIF(Lists!$T$2:$T$150,Height,Lists!$W$2:$W$150))/1000,1)</f>
        <v>0</v>
      </c>
      <c r="M81" s="433" t="s">
        <v>467</v>
      </c>
      <c r="N81" s="460"/>
      <c r="O81" s="434"/>
      <c r="P81" s="454"/>
      <c r="Q81" s="434"/>
      <c r="R81" s="454"/>
      <c r="S81" s="454"/>
      <c r="T81" s="434"/>
      <c r="U81" s="106">
        <f ca="1">CEILING(SUMIFS(Length,Name,"DOOR*",Name,"&lt;&gt;*SHPR*")*2.04+SUMIFS(Length,Name,"DOOR DBL")*2.04,0.01)</f>
        <v>0</v>
      </c>
      <c r="W81" s="195"/>
    </row>
    <row r="82" spans="2:23" ht="17.45" customHeight="1" x14ac:dyDescent="0.2">
      <c r="B82" s="1289"/>
      <c r="C82" s="419" t="s">
        <v>1015</v>
      </c>
      <c r="D82" s="1283"/>
      <c r="E82" s="1283"/>
      <c r="F82" s="1283"/>
      <c r="G82" s="1283"/>
      <c r="H82" s="1283"/>
      <c r="I82" s="1283"/>
      <c r="J82" s="434" t="s">
        <v>435</v>
      </c>
      <c r="K82" s="106" cm="1">
        <f t="array" ref="K82">ROUNDUP(SUMPRODUCT(--(Name="Brick Lintel"),Length,SUMIF(Lists!$T$2:$T$150,Height-2,Lists!$W$2:$W$150))/1000,1)</f>
        <v>0</v>
      </c>
      <c r="M82" s="419" t="s">
        <v>3044</v>
      </c>
      <c r="N82" s="190">
        <f>IF(Rods_Required="Yes",1,0)</f>
        <v>0</v>
      </c>
      <c r="O82" s="434" t="s">
        <v>434</v>
      </c>
      <c r="P82" s="166">
        <f>SUMIFS(Length,Name,"Wall 90 Int")*1000+IF(H_Perim&gt;0,ROUND(H_Perim*0.97*1000,1),0)</f>
        <v>0</v>
      </c>
      <c r="Q82" s="434" t="s">
        <v>434</v>
      </c>
      <c r="R82" s="435">
        <v>2</v>
      </c>
      <c r="S82" s="103">
        <f t="shared" ref="S82:S93" si="12">IF(ISBLANK($R82),0,VLOOKUP($R82,Std_Brick,4,FALSE))</f>
        <v>172</v>
      </c>
      <c r="T82" s="434" t="s">
        <v>435</v>
      </c>
      <c r="U82" s="57">
        <f>IF(OR($P82=0,$S82=0),0,$N82*($P82/1000)*($S82/1000))</f>
        <v>0</v>
      </c>
      <c r="W82" s="195"/>
    </row>
    <row r="83" spans="2:23" ht="17.45" customHeight="1" x14ac:dyDescent="0.2">
      <c r="B83" s="1289"/>
      <c r="C83" s="419"/>
      <c r="D83" s="435"/>
      <c r="E83" s="434" t="s">
        <v>434</v>
      </c>
      <c r="F83" s="190"/>
      <c r="G83" s="434" t="s">
        <v>434</v>
      </c>
      <c r="H83" s="380"/>
      <c r="I83" s="103">
        <f t="shared" ref="I83:I95" si="13">IF(ISBLANK($H83),0,VLOOKUP($H83,Std_Brick,4,FALSE))</f>
        <v>0</v>
      </c>
      <c r="J83" s="434" t="s">
        <v>435</v>
      </c>
      <c r="K83" s="106">
        <f t="shared" ref="K83:K95" si="14">IF(OR($F83=0,$I83=0),0,$D83*($F83/1000)*($I83/1000))</f>
        <v>0</v>
      </c>
      <c r="M83" s="433" t="s">
        <v>1033</v>
      </c>
      <c r="N83" s="190">
        <f>IF(Rods_Required="Yes",1,2)</f>
        <v>2</v>
      </c>
      <c r="O83" s="434" t="s">
        <v>434</v>
      </c>
      <c r="P83" s="435">
        <f>SUMIF('Lintel Sheet'!J:J,"Internal",'Lintel Sheet'!F:F)+COUNTIF('Lintel Sheet'!J:J,"internal")*1200</f>
        <v>0</v>
      </c>
      <c r="Q83" s="434" t="s">
        <v>434</v>
      </c>
      <c r="R83" s="435">
        <v>2</v>
      </c>
      <c r="S83" s="103">
        <f t="shared" si="12"/>
        <v>172</v>
      </c>
      <c r="T83" s="434" t="s">
        <v>435</v>
      </c>
      <c r="U83" s="57">
        <f t="shared" ref="U83:U95" si="15">IF(OR($P83=0,$S83=0),0,$N83*($P83/1000)*($S83/1000))</f>
        <v>0</v>
      </c>
      <c r="W83" s="195"/>
    </row>
    <row r="84" spans="2:23" ht="17.45" customHeight="1" x14ac:dyDescent="0.2">
      <c r="B84" s="1289"/>
      <c r="C84" s="232"/>
      <c r="D84" s="184"/>
      <c r="E84" s="434" t="s">
        <v>434</v>
      </c>
      <c r="F84" s="185"/>
      <c r="G84" s="434" t="s">
        <v>434</v>
      </c>
      <c r="H84" s="380"/>
      <c r="I84" s="103">
        <f t="shared" si="13"/>
        <v>0</v>
      </c>
      <c r="J84" s="434" t="s">
        <v>435</v>
      </c>
      <c r="K84" s="106">
        <f t="shared" si="14"/>
        <v>0</v>
      </c>
      <c r="M84" s="433" t="s">
        <v>470</v>
      </c>
      <c r="N84" s="190">
        <v>1</v>
      </c>
      <c r="O84" s="434" t="s">
        <v>434</v>
      </c>
      <c r="P84" s="435" cm="1">
        <f t="array" ref="P84">ROUNDUP(SUMPRODUCT(--(Name="Wall 90 Int"),Length,--(MOD(Height,2)=1)),1)*1000+IF(ISODD(H83),F83,0)</f>
        <v>0</v>
      </c>
      <c r="Q84" s="434" t="s">
        <v>434</v>
      </c>
      <c r="R84" s="435">
        <v>1</v>
      </c>
      <c r="S84" s="103">
        <f t="shared" si="12"/>
        <v>86</v>
      </c>
      <c r="T84" s="434" t="s">
        <v>435</v>
      </c>
      <c r="U84" s="57">
        <f t="shared" si="15"/>
        <v>0</v>
      </c>
      <c r="W84" s="382"/>
    </row>
    <row r="85" spans="2:23" ht="17.45" customHeight="1" x14ac:dyDescent="0.2">
      <c r="B85" s="1289"/>
      <c r="C85" s="232"/>
      <c r="D85" s="184"/>
      <c r="E85" s="434" t="s">
        <v>434</v>
      </c>
      <c r="F85" s="185"/>
      <c r="G85" s="434" t="s">
        <v>434</v>
      </c>
      <c r="H85" s="380"/>
      <c r="I85" s="103">
        <f t="shared" si="13"/>
        <v>0</v>
      </c>
      <c r="J85" s="434" t="s">
        <v>435</v>
      </c>
      <c r="K85" s="106">
        <f t="shared" si="14"/>
        <v>0</v>
      </c>
      <c r="M85" s="433" t="s">
        <v>471</v>
      </c>
      <c r="N85" s="190">
        <v>1</v>
      </c>
      <c r="O85" s="434" t="s">
        <v>434</v>
      </c>
      <c r="P85" s="435">
        <f>SUMIF(Name,"Raking Bulkheads",Length)*1000</f>
        <v>0</v>
      </c>
      <c r="Q85" s="434" t="s">
        <v>434</v>
      </c>
      <c r="R85" s="435">
        <v>2</v>
      </c>
      <c r="S85" s="103">
        <f t="shared" si="12"/>
        <v>172</v>
      </c>
      <c r="T85" s="434" t="s">
        <v>435</v>
      </c>
      <c r="U85" s="57">
        <f t="shared" si="15"/>
        <v>0</v>
      </c>
      <c r="W85" s="195"/>
    </row>
    <row r="86" spans="2:23" ht="17.45" customHeight="1" x14ac:dyDescent="0.2">
      <c r="B86" s="1289"/>
      <c r="C86" s="232"/>
      <c r="D86" s="184"/>
      <c r="E86" s="434" t="s">
        <v>434</v>
      </c>
      <c r="F86" s="185"/>
      <c r="G86" s="434" t="s">
        <v>434</v>
      </c>
      <c r="H86" s="380"/>
      <c r="I86" s="103">
        <f t="shared" si="13"/>
        <v>0</v>
      </c>
      <c r="J86" s="434" t="s">
        <v>435</v>
      </c>
      <c r="K86" s="106">
        <f t="shared" si="14"/>
        <v>0</v>
      </c>
      <c r="M86" s="433" t="s">
        <v>472</v>
      </c>
      <c r="N86" s="190">
        <v>1</v>
      </c>
      <c r="O86" s="434" t="s">
        <v>434</v>
      </c>
      <c r="P86" s="435">
        <f>SUMIF(Name,"Square Bulkheads",Length)*1000</f>
        <v>0</v>
      </c>
      <c r="Q86" s="434" t="s">
        <v>434</v>
      </c>
      <c r="R86" s="435">
        <v>4</v>
      </c>
      <c r="S86" s="103">
        <f t="shared" si="12"/>
        <v>343</v>
      </c>
      <c r="T86" s="434" t="s">
        <v>435</v>
      </c>
      <c r="U86" s="57">
        <f t="shared" si="15"/>
        <v>0</v>
      </c>
      <c r="W86" s="195"/>
    </row>
    <row r="87" spans="2:23" ht="17.45" customHeight="1" x14ac:dyDescent="0.2">
      <c r="B87" s="1289"/>
      <c r="C87" s="232"/>
      <c r="D87" s="184"/>
      <c r="E87" s="434" t="s">
        <v>434</v>
      </c>
      <c r="F87" s="185"/>
      <c r="G87" s="434" t="s">
        <v>434</v>
      </c>
      <c r="H87" s="380"/>
      <c r="I87" s="103">
        <f t="shared" si="13"/>
        <v>0</v>
      </c>
      <c r="J87" s="434" t="s">
        <v>435</v>
      </c>
      <c r="K87" s="106">
        <f t="shared" si="14"/>
        <v>0</v>
      </c>
      <c r="M87" s="201" t="s">
        <v>473</v>
      </c>
      <c r="N87" s="184"/>
      <c r="O87" s="434" t="s">
        <v>434</v>
      </c>
      <c r="P87" s="185"/>
      <c r="Q87" s="434" t="s">
        <v>434</v>
      </c>
      <c r="R87" s="185"/>
      <c r="S87" s="103">
        <f t="shared" si="12"/>
        <v>0</v>
      </c>
      <c r="T87" s="434" t="s">
        <v>435</v>
      </c>
      <c r="U87" s="57">
        <f t="shared" si="15"/>
        <v>0</v>
      </c>
      <c r="W87" s="195"/>
    </row>
    <row r="88" spans="2:23" ht="17.45" customHeight="1" x14ac:dyDescent="0.2">
      <c r="B88" s="1289"/>
      <c r="C88" s="232"/>
      <c r="D88" s="184"/>
      <c r="E88" s="434" t="s">
        <v>434</v>
      </c>
      <c r="F88" s="185"/>
      <c r="G88" s="434" t="s">
        <v>434</v>
      </c>
      <c r="H88" s="380"/>
      <c r="I88" s="103">
        <f t="shared" si="13"/>
        <v>0</v>
      </c>
      <c r="J88" s="434" t="s">
        <v>435</v>
      </c>
      <c r="K88" s="106">
        <f t="shared" si="14"/>
        <v>0</v>
      </c>
      <c r="M88" s="201" t="s">
        <v>473</v>
      </c>
      <c r="N88" s="184"/>
      <c r="O88" s="434" t="s">
        <v>434</v>
      </c>
      <c r="P88" s="185"/>
      <c r="Q88" s="434" t="s">
        <v>434</v>
      </c>
      <c r="R88" s="185"/>
      <c r="S88" s="103">
        <f t="shared" si="12"/>
        <v>0</v>
      </c>
      <c r="T88" s="434" t="s">
        <v>435</v>
      </c>
      <c r="U88" s="57">
        <f t="shared" si="15"/>
        <v>0</v>
      </c>
      <c r="W88" s="195"/>
    </row>
    <row r="89" spans="2:23" ht="17.45" customHeight="1" x14ac:dyDescent="0.2">
      <c r="B89" s="1289"/>
      <c r="C89" s="183"/>
      <c r="D89" s="184"/>
      <c r="E89" s="434" t="s">
        <v>434</v>
      </c>
      <c r="F89" s="185"/>
      <c r="G89" s="434" t="s">
        <v>434</v>
      </c>
      <c r="H89" s="380"/>
      <c r="I89" s="103">
        <f t="shared" si="13"/>
        <v>0</v>
      </c>
      <c r="J89" s="434" t="s">
        <v>435</v>
      </c>
      <c r="K89" s="106">
        <f t="shared" si="14"/>
        <v>0</v>
      </c>
      <c r="M89" s="201" t="s">
        <v>473</v>
      </c>
      <c r="N89" s="184"/>
      <c r="O89" s="434" t="s">
        <v>434</v>
      </c>
      <c r="P89" s="185"/>
      <c r="Q89" s="434" t="s">
        <v>434</v>
      </c>
      <c r="R89" s="185"/>
      <c r="S89" s="103">
        <f t="shared" si="12"/>
        <v>0</v>
      </c>
      <c r="T89" s="434" t="s">
        <v>435</v>
      </c>
      <c r="U89" s="57">
        <f t="shared" si="15"/>
        <v>0</v>
      </c>
      <c r="W89" s="195"/>
    </row>
    <row r="90" spans="2:23" ht="17.45" customHeight="1" x14ac:dyDescent="0.2">
      <c r="B90" s="1289"/>
      <c r="C90" s="183"/>
      <c r="D90" s="184"/>
      <c r="E90" s="434" t="s">
        <v>434</v>
      </c>
      <c r="F90" s="185"/>
      <c r="G90" s="434" t="s">
        <v>434</v>
      </c>
      <c r="H90" s="380"/>
      <c r="I90" s="103">
        <f t="shared" si="13"/>
        <v>0</v>
      </c>
      <c r="J90" s="434" t="s">
        <v>435</v>
      </c>
      <c r="K90" s="106">
        <f t="shared" si="14"/>
        <v>0</v>
      </c>
      <c r="M90" s="201" t="s">
        <v>473</v>
      </c>
      <c r="N90" s="184"/>
      <c r="O90" s="434" t="s">
        <v>434</v>
      </c>
      <c r="P90" s="185"/>
      <c r="Q90" s="434" t="s">
        <v>434</v>
      </c>
      <c r="R90" s="185"/>
      <c r="S90" s="103">
        <f t="shared" si="12"/>
        <v>0</v>
      </c>
      <c r="T90" s="434" t="s">
        <v>435</v>
      </c>
      <c r="U90" s="57">
        <f t="shared" si="15"/>
        <v>0</v>
      </c>
      <c r="W90" s="195"/>
    </row>
    <row r="91" spans="2:23" ht="17.45" customHeight="1" x14ac:dyDescent="0.2">
      <c r="B91" s="1289"/>
      <c r="C91" s="183"/>
      <c r="D91" s="184"/>
      <c r="E91" s="434" t="s">
        <v>434</v>
      </c>
      <c r="F91" s="185"/>
      <c r="G91" s="434" t="s">
        <v>434</v>
      </c>
      <c r="H91" s="380"/>
      <c r="I91" s="103">
        <f t="shared" si="13"/>
        <v>0</v>
      </c>
      <c r="J91" s="434" t="s">
        <v>435</v>
      </c>
      <c r="K91" s="106">
        <f t="shared" si="14"/>
        <v>0</v>
      </c>
      <c r="M91" s="201" t="s">
        <v>473</v>
      </c>
      <c r="N91" s="184"/>
      <c r="O91" s="434" t="s">
        <v>434</v>
      </c>
      <c r="P91" s="185"/>
      <c r="Q91" s="434" t="s">
        <v>434</v>
      </c>
      <c r="R91" s="185"/>
      <c r="S91" s="103">
        <f t="shared" si="12"/>
        <v>0</v>
      </c>
      <c r="T91" s="434" t="s">
        <v>435</v>
      </c>
      <c r="U91" s="57">
        <f t="shared" si="15"/>
        <v>0</v>
      </c>
      <c r="W91" s="195"/>
    </row>
    <row r="92" spans="2:23" ht="17.45" customHeight="1" x14ac:dyDescent="0.2">
      <c r="B92" s="1289"/>
      <c r="C92" s="183"/>
      <c r="D92" s="184"/>
      <c r="E92" s="434" t="s">
        <v>434</v>
      </c>
      <c r="F92" s="185"/>
      <c r="G92" s="434" t="s">
        <v>434</v>
      </c>
      <c r="H92" s="380"/>
      <c r="I92" s="103">
        <f t="shared" si="13"/>
        <v>0</v>
      </c>
      <c r="J92" s="434" t="s">
        <v>435</v>
      </c>
      <c r="K92" s="106">
        <f t="shared" si="14"/>
        <v>0</v>
      </c>
      <c r="M92" s="201" t="s">
        <v>473</v>
      </c>
      <c r="N92" s="184"/>
      <c r="O92" s="434" t="s">
        <v>434</v>
      </c>
      <c r="P92" s="185"/>
      <c r="Q92" s="434" t="s">
        <v>434</v>
      </c>
      <c r="R92" s="185"/>
      <c r="S92" s="103">
        <f t="shared" si="12"/>
        <v>0</v>
      </c>
      <c r="T92" s="434" t="s">
        <v>435</v>
      </c>
      <c r="U92" s="57">
        <f t="shared" si="15"/>
        <v>0</v>
      </c>
      <c r="W92" s="195"/>
    </row>
    <row r="93" spans="2:23" ht="17.45" customHeight="1" x14ac:dyDescent="0.2">
      <c r="B93" s="1289"/>
      <c r="C93" s="183"/>
      <c r="D93" s="184"/>
      <c r="E93" s="434" t="s">
        <v>434</v>
      </c>
      <c r="F93" s="185"/>
      <c r="G93" s="434" t="s">
        <v>434</v>
      </c>
      <c r="H93" s="380"/>
      <c r="I93" s="103">
        <f t="shared" si="13"/>
        <v>0</v>
      </c>
      <c r="J93" s="434" t="s">
        <v>435</v>
      </c>
      <c r="K93" s="106">
        <f t="shared" si="14"/>
        <v>0</v>
      </c>
      <c r="M93" s="232" t="s">
        <v>1439</v>
      </c>
      <c r="N93" s="184"/>
      <c r="O93" s="434" t="s">
        <v>434</v>
      </c>
      <c r="P93" s="185"/>
      <c r="Q93" s="434" t="s">
        <v>434</v>
      </c>
      <c r="R93" s="185"/>
      <c r="S93" s="103">
        <f t="shared" si="12"/>
        <v>0</v>
      </c>
      <c r="T93" s="434" t="s">
        <v>435</v>
      </c>
      <c r="U93" s="106">
        <f t="shared" si="15"/>
        <v>0</v>
      </c>
      <c r="W93" s="195"/>
    </row>
    <row r="94" spans="2:23" ht="17.45" customHeight="1" x14ac:dyDescent="0.2">
      <c r="B94" s="1289"/>
      <c r="C94" s="183"/>
      <c r="D94" s="184"/>
      <c r="E94" s="434" t="s">
        <v>434</v>
      </c>
      <c r="F94" s="185"/>
      <c r="G94" s="434" t="s">
        <v>434</v>
      </c>
      <c r="H94" s="380"/>
      <c r="I94" s="103">
        <f t="shared" si="13"/>
        <v>0</v>
      </c>
      <c r="J94" s="434" t="s">
        <v>435</v>
      </c>
      <c r="K94" s="106">
        <f t="shared" si="14"/>
        <v>0</v>
      </c>
      <c r="M94" s="232" t="s">
        <v>1439</v>
      </c>
      <c r="N94" s="184"/>
      <c r="O94" s="434" t="s">
        <v>434</v>
      </c>
      <c r="P94" s="185"/>
      <c r="Q94" s="434" t="s">
        <v>434</v>
      </c>
      <c r="R94" s="185"/>
      <c r="S94" s="103">
        <f>IF($P94=0,0,VLOOKUP($R94,Std_Brick,4,FALSE))</f>
        <v>0</v>
      </c>
      <c r="T94" s="434" t="s">
        <v>435</v>
      </c>
      <c r="U94" s="106">
        <f t="shared" si="15"/>
        <v>0</v>
      </c>
      <c r="W94" s="195"/>
    </row>
    <row r="95" spans="2:23" ht="17.45" customHeight="1" thickBot="1" x14ac:dyDescent="0.25">
      <c r="B95" s="1289"/>
      <c r="C95" s="187"/>
      <c r="D95" s="191"/>
      <c r="E95" s="440" t="s">
        <v>434</v>
      </c>
      <c r="F95" s="193"/>
      <c r="G95" s="440" t="s">
        <v>434</v>
      </c>
      <c r="H95" s="381"/>
      <c r="I95" s="109">
        <f t="shared" si="13"/>
        <v>0</v>
      </c>
      <c r="J95" s="440" t="s">
        <v>435</v>
      </c>
      <c r="K95" s="107">
        <f t="shared" si="14"/>
        <v>0</v>
      </c>
      <c r="M95" s="438" t="s">
        <v>510</v>
      </c>
      <c r="N95" s="439">
        <v>1</v>
      </c>
      <c r="O95" s="440" t="s">
        <v>434</v>
      </c>
      <c r="P95" s="119">
        <f>Com_Wall*1000</f>
        <v>0</v>
      </c>
      <c r="Q95" s="440" t="s">
        <v>434</v>
      </c>
      <c r="R95" s="441">
        <f>IF(ISBLANK(H80),0,H80)</f>
        <v>0</v>
      </c>
      <c r="S95" s="109">
        <f>IF($P95=0,0,VLOOKUP($R95,Std_Brick,4,FALSE))</f>
        <v>0</v>
      </c>
      <c r="T95" s="440" t="s">
        <v>435</v>
      </c>
      <c r="U95" s="107">
        <f t="shared" si="15"/>
        <v>0</v>
      </c>
      <c r="W95" s="195"/>
    </row>
    <row r="96" spans="2:23" ht="15" customHeight="1" thickBot="1" x14ac:dyDescent="0.25">
      <c r="I96" s="1285" t="s">
        <v>482</v>
      </c>
      <c r="J96" s="1285"/>
      <c r="K96" s="125">
        <f>CEILING(SUM($K80:$K95),0.1)</f>
        <v>0</v>
      </c>
      <c r="L96" s="424" t="s">
        <v>442</v>
      </c>
      <c r="S96" s="1286" t="s">
        <v>483</v>
      </c>
      <c r="T96" s="1286"/>
      <c r="U96" s="125">
        <f ca="1">FLOOR(SUM($U80:$U95),0.1)</f>
        <v>0</v>
      </c>
      <c r="V96" s="424" t="s">
        <v>442</v>
      </c>
      <c r="W96" s="195"/>
    </row>
    <row r="97" spans="3:23" ht="15" customHeight="1" thickBot="1" x14ac:dyDescent="0.25">
      <c r="I97" s="442"/>
      <c r="M97" s="443" t="s">
        <v>484</v>
      </c>
      <c r="N97" s="64">
        <f ca="1">IF(K96&gt;U96,K96-U96,0)</f>
        <v>0</v>
      </c>
      <c r="O97" s="444" t="s">
        <v>442</v>
      </c>
      <c r="W97" s="195"/>
    </row>
    <row r="98" spans="3:23" ht="15" customHeight="1" x14ac:dyDescent="0.2">
      <c r="W98" s="195"/>
    </row>
    <row r="99" spans="3:23" ht="15" customHeight="1" x14ac:dyDescent="0.2">
      <c r="C99" s="445" t="s">
        <v>454</v>
      </c>
      <c r="D99" s="445" t="s">
        <v>420</v>
      </c>
      <c r="E99" s="425"/>
      <c r="F99" s="445" t="s">
        <v>463</v>
      </c>
      <c r="G99" s="425"/>
      <c r="H99" s="445" t="s">
        <v>126</v>
      </c>
      <c r="I99" s="446" t="s">
        <v>464</v>
      </c>
      <c r="J99" s="425"/>
      <c r="K99" s="1290" t="s">
        <v>465</v>
      </c>
      <c r="L99" s="1290"/>
      <c r="P99" s="437"/>
      <c r="W99" s="195"/>
    </row>
    <row r="100" spans="3:23" ht="15" customHeight="1" x14ac:dyDescent="0.2">
      <c r="C100" s="447" t="s">
        <v>477</v>
      </c>
      <c r="D100" s="48">
        <f ca="1">IF(FF_Area&lt;=0,IF(AND(Brick_type&lt;&gt;"Timber Frame",Brick_type&lt;&gt;"Brick Veneer"),N97,0),0)</f>
        <v>0</v>
      </c>
      <c r="F100" s="49">
        <f ca="1">CEILING($D100*20,1)</f>
        <v>0</v>
      </c>
      <c r="H100" s="50">
        <f ca="1">ROUNDUP(CEILING($F100/$K100,0.3333),0)</f>
        <v>0</v>
      </c>
      <c r="I100" s="49">
        <f ca="1">CEILING($H100*$K100,$L100)</f>
        <v>0</v>
      </c>
      <c r="K100" s="420">
        <v>138</v>
      </c>
      <c r="L100" s="420">
        <f>K100/3</f>
        <v>46</v>
      </c>
      <c r="P100" s="437"/>
      <c r="W100" s="195"/>
    </row>
    <row r="101" spans="3:23" ht="15" customHeight="1" x14ac:dyDescent="0.2">
      <c r="C101" s="420" t="s">
        <v>406</v>
      </c>
      <c r="D101" s="48">
        <f>IF(FF_Area&gt;0,IF(AND(Brick_type&lt;&gt;"Timber Frame",Brick_type&lt;&gt;"Brick Veneer"),N97,0)+N72,0)</f>
        <v>0</v>
      </c>
      <c r="F101" s="49">
        <f>CEILING($D101*20,1)</f>
        <v>0</v>
      </c>
      <c r="H101" s="50">
        <f>ROUNDUP(CEILING($F101/$K101,0.3333),0)</f>
        <v>0</v>
      </c>
      <c r="I101" s="49">
        <f>CEILING($H101*$K101,$L101)</f>
        <v>0</v>
      </c>
      <c r="K101" s="420">
        <v>138</v>
      </c>
      <c r="L101" s="420">
        <f>K101/3</f>
        <v>46</v>
      </c>
      <c r="P101" s="437"/>
      <c r="W101" s="195"/>
    </row>
    <row r="102" spans="3:23" ht="15" customHeight="1" x14ac:dyDescent="0.2">
      <c r="C102" s="451" t="s">
        <v>5</v>
      </c>
      <c r="D102" s="48">
        <f>IF(AND(Brick_type&lt;&gt;"Timber Frame",Brick_type&lt;&gt;"Brick Veneer"),CEILING(SUM(U82:U92),0.1),0)</f>
        <v>0</v>
      </c>
      <c r="F102" s="49">
        <f>CEILING($D102*39,1)</f>
        <v>0</v>
      </c>
      <c r="H102" s="50">
        <f>ROUNDUP(CEILING($F102/$K102,0.3333),0)</f>
        <v>0</v>
      </c>
      <c r="I102" s="49">
        <f>CEILING($H102*$K102,$L102)</f>
        <v>0</v>
      </c>
      <c r="K102" s="420">
        <v>252</v>
      </c>
      <c r="L102" s="420">
        <f>K102/3</f>
        <v>84</v>
      </c>
      <c r="P102" s="437"/>
      <c r="W102" s="195"/>
    </row>
    <row r="103" spans="3:23" ht="15" customHeight="1" x14ac:dyDescent="0.2">
      <c r="D103" s="448"/>
      <c r="F103" s="437"/>
      <c r="H103" s="449"/>
      <c r="I103" s="437"/>
      <c r="P103" s="437"/>
      <c r="W103" s="195"/>
    </row>
    <row r="104" spans="3:23" ht="15" customHeight="1" x14ac:dyDescent="0.2">
      <c r="D104" s="448"/>
      <c r="F104" s="437"/>
      <c r="H104" s="449"/>
      <c r="I104" s="437"/>
      <c r="P104" s="437"/>
      <c r="W104" s="195"/>
    </row>
    <row r="105" spans="3:23" ht="15" customHeight="1" x14ac:dyDescent="0.2">
      <c r="D105" s="448"/>
      <c r="F105" s="437"/>
      <c r="H105" s="449"/>
      <c r="I105" s="437"/>
      <c r="P105" s="448"/>
      <c r="W105" s="195"/>
    </row>
    <row r="106" spans="3:23" ht="15" customHeight="1" x14ac:dyDescent="0.2">
      <c r="C106" s="424" t="s">
        <v>558</v>
      </c>
      <c r="D106" s="448"/>
      <c r="F106" s="437"/>
      <c r="H106" s="449"/>
      <c r="I106" s="437"/>
      <c r="M106" s="424" t="s">
        <v>560</v>
      </c>
      <c r="Q106" s="1113"/>
      <c r="R106" s="1287" t="s">
        <v>2554</v>
      </c>
      <c r="S106" s="1287"/>
      <c r="W106" s="197"/>
    </row>
    <row r="107" spans="3:23" ht="14.25" x14ac:dyDescent="0.2">
      <c r="C107" s="749" t="s">
        <v>575</v>
      </c>
      <c r="D107" s="720" t="str">
        <f>IFERROR(VLOOKUP(Eng_Footing,Footing_Type,15,FALSE),"")</f>
        <v/>
      </c>
      <c r="F107" s="741"/>
      <c r="H107" s="449"/>
      <c r="M107" s="198"/>
      <c r="N107" s="206"/>
      <c r="O107" s="461" t="s">
        <v>497</v>
      </c>
      <c r="R107" s="720">
        <f ca="1">CEILING((SUM(F100:F102,F74:F76,F38:F41,P38:P42)/1000*1.035),10)</f>
        <v>0</v>
      </c>
      <c r="S107" s="745" t="s">
        <v>109</v>
      </c>
    </row>
    <row r="108" spans="3:23" ht="15" customHeight="1" x14ac:dyDescent="0.2">
      <c r="C108" s="750" t="s">
        <v>7</v>
      </c>
      <c r="D108" s="742" t="s">
        <v>34</v>
      </c>
      <c r="E108" s="743"/>
      <c r="F108" s="744" t="s">
        <v>1104</v>
      </c>
      <c r="H108" s="449"/>
      <c r="M108" s="199"/>
      <c r="N108" s="184"/>
      <c r="O108" s="462" t="s">
        <v>497</v>
      </c>
    </row>
    <row r="109" spans="3:23" ht="15" customHeight="1" x14ac:dyDescent="0.2">
      <c r="C109" s="751" t="s">
        <v>496</v>
      </c>
      <c r="D109" s="720">
        <f>IF(OR(Brick_type="Brick Veneer",Brick_type="Timber Frame"),0,InternalPerimeterLengthGround)</f>
        <v>0</v>
      </c>
      <c r="E109" s="745" t="s">
        <v>497</v>
      </c>
      <c r="F109" s="746">
        <v>1</v>
      </c>
      <c r="H109" s="449"/>
      <c r="M109" s="199"/>
      <c r="N109" s="184"/>
      <c r="O109" s="462" t="s">
        <v>497</v>
      </c>
    </row>
    <row r="110" spans="3:23" ht="15" customHeight="1" x14ac:dyDescent="0.2">
      <c r="C110" s="751" t="s">
        <v>59</v>
      </c>
      <c r="D110" s="720">
        <f>IF(OR(Brick_type="Brick Veneer",Brick_type="Timber Frame"),0,SUMIFS(Length,Name,"Wall 90 Int")*1000)</f>
        <v>0</v>
      </c>
      <c r="E110" s="745" t="s">
        <v>497</v>
      </c>
      <c r="F110" s="746">
        <v>1</v>
      </c>
      <c r="H110" s="449"/>
      <c r="M110" s="199"/>
      <c r="N110" s="184"/>
      <c r="O110" s="462" t="s">
        <v>497</v>
      </c>
    </row>
    <row r="111" spans="3:23" ht="15" customHeight="1" x14ac:dyDescent="0.2">
      <c r="C111" s="751" t="s">
        <v>559</v>
      </c>
      <c r="D111" s="720">
        <f>IF(OR(Brick_type="Reverse Brick Veneer",Brick_type="Timber Frame"),0,SUMIF(Lintel_Location,"External",Lintel_Opening)*1000)</f>
        <v>0</v>
      </c>
      <c r="E111" s="745" t="s">
        <v>497</v>
      </c>
      <c r="F111" s="746">
        <v>1</v>
      </c>
      <c r="H111" s="449"/>
      <c r="M111" s="199"/>
      <c r="N111" s="184"/>
      <c r="O111" s="462" t="s">
        <v>497</v>
      </c>
    </row>
    <row r="112" spans="3:23" ht="15" customHeight="1" x14ac:dyDescent="0.2">
      <c r="C112" s="751" t="s">
        <v>560</v>
      </c>
      <c r="D112" s="720">
        <f>SUM(N107:N117)</f>
        <v>0</v>
      </c>
      <c r="E112" s="745" t="s">
        <v>497</v>
      </c>
      <c r="F112" s="746">
        <v>1</v>
      </c>
      <c r="H112" s="449"/>
      <c r="M112" s="199"/>
      <c r="N112" s="184"/>
      <c r="O112" s="462" t="s">
        <v>497</v>
      </c>
    </row>
    <row r="113" spans="3:15" ht="15" customHeight="1" x14ac:dyDescent="0.2">
      <c r="C113" s="751" t="s">
        <v>561</v>
      </c>
      <c r="D113" s="720">
        <f>IF(Brick_type="Timber Frame",0,SUMIFS(Lintel_Opening,Lintel_Floor,"Ground")*1000)</f>
        <v>0</v>
      </c>
      <c r="E113" s="745" t="s">
        <v>497</v>
      </c>
      <c r="F113" s="720">
        <f>IF(OR(Brick_type="Reverse Brick Veneer",Brick_type="Brick Veneer"),1,IF(OR(Brick_type="Standard Face",Brick_type="2c Face",Brick_type="Full Render"),2,0))</f>
        <v>0</v>
      </c>
      <c r="H113" s="449"/>
      <c r="M113" s="199"/>
      <c r="N113" s="184"/>
      <c r="O113" s="462" t="s">
        <v>497</v>
      </c>
    </row>
    <row r="114" spans="3:15" ht="15" customHeight="1" x14ac:dyDescent="0.2">
      <c r="C114" s="751" t="s">
        <v>562</v>
      </c>
      <c r="D114" s="720">
        <f>IF(OR(Brick_type="Brick Veneer",Brick_type="Timber Frame"),0,Longreach_Square_Bulkhead*2)</f>
        <v>0</v>
      </c>
      <c r="E114" s="745" t="s">
        <v>497</v>
      </c>
      <c r="F114" s="746">
        <v>1</v>
      </c>
      <c r="H114" s="449"/>
      <c r="M114" s="199"/>
      <c r="N114" s="184"/>
      <c r="O114" s="462" t="s">
        <v>497</v>
      </c>
    </row>
    <row r="115" spans="3:15" ht="15" customHeight="1" x14ac:dyDescent="0.2">
      <c r="C115" s="752" t="s">
        <v>1583</v>
      </c>
      <c r="D115" s="720">
        <f>SUMPRODUCT(D109:D114,F109:F114)*1.1</f>
        <v>0</v>
      </c>
      <c r="E115" s="745" t="s">
        <v>497</v>
      </c>
      <c r="F115" s="747"/>
      <c r="H115" s="449"/>
      <c r="M115" s="199"/>
      <c r="N115" s="184"/>
      <c r="O115" s="462" t="s">
        <v>497</v>
      </c>
    </row>
    <row r="116" spans="3:15" ht="15" customHeight="1" x14ac:dyDescent="0.2">
      <c r="C116" s="752" t="s">
        <v>1584</v>
      </c>
      <c r="D116" s="720">
        <f>D115*2</f>
        <v>0</v>
      </c>
      <c r="E116" s="745" t="s">
        <v>497</v>
      </c>
      <c r="F116" s="747"/>
      <c r="H116" s="449"/>
      <c r="M116" s="199"/>
      <c r="N116" s="184"/>
      <c r="O116" s="462" t="s">
        <v>497</v>
      </c>
    </row>
    <row r="117" spans="3:15" ht="15" customHeight="1" x14ac:dyDescent="0.2">
      <c r="C117" s="752" t="s">
        <v>1585</v>
      </c>
      <c r="D117" s="720">
        <f>IF(Rods_Required="Yes",CEILING((D116)/5500,1),0)</f>
        <v>0</v>
      </c>
      <c r="F117" s="747"/>
      <c r="M117" s="200"/>
      <c r="N117" s="207"/>
      <c r="O117" s="463" t="s">
        <v>497</v>
      </c>
    </row>
  </sheetData>
  <sheetProtection selectLockedCells="1"/>
  <mergeCells count="40">
    <mergeCell ref="N8:S8"/>
    <mergeCell ref="N14:S14"/>
    <mergeCell ref="N15:S15"/>
    <mergeCell ref="D5:E5"/>
    <mergeCell ref="G5:I5"/>
    <mergeCell ref="D10:I10"/>
    <mergeCell ref="D8:I8"/>
    <mergeCell ref="D9:I9"/>
    <mergeCell ref="N13:S13"/>
    <mergeCell ref="R106:S106"/>
    <mergeCell ref="C1:V1"/>
    <mergeCell ref="B4:B34"/>
    <mergeCell ref="K37:L37"/>
    <mergeCell ref="I35:J35"/>
    <mergeCell ref="L4:L15"/>
    <mergeCell ref="L16:L34"/>
    <mergeCell ref="D11:I11"/>
    <mergeCell ref="K99:L99"/>
    <mergeCell ref="B46:B70"/>
    <mergeCell ref="K73:L73"/>
    <mergeCell ref="I71:J71"/>
    <mergeCell ref="D7:I7"/>
    <mergeCell ref="D6:I6"/>
    <mergeCell ref="S35:T35"/>
    <mergeCell ref="B80:B95"/>
    <mergeCell ref="D50:I50"/>
    <mergeCell ref="D51:I51"/>
    <mergeCell ref="Y15:AB15"/>
    <mergeCell ref="I96:J96"/>
    <mergeCell ref="S96:T96"/>
    <mergeCell ref="S71:T71"/>
    <mergeCell ref="D53:I53"/>
    <mergeCell ref="D82:I82"/>
    <mergeCell ref="G81:I81"/>
    <mergeCell ref="N67:S67"/>
    <mergeCell ref="D52:I52"/>
    <mergeCell ref="D49:I49"/>
    <mergeCell ref="D48:I48"/>
    <mergeCell ref="D47:E47"/>
    <mergeCell ref="G47:I47"/>
  </mergeCells>
  <phoneticPr fontId="12" type="noConversion"/>
  <printOptions horizontalCentered="1"/>
  <pageMargins left="0.39370078740157483" right="0.39370078740157483" top="0.59055118110236227" bottom="0.59055118110236227" header="0.51181102362204722" footer="0.31496062992125984"/>
  <pageSetup paperSize="9" scale="53" fitToHeight="3" orientation="landscape" r:id="rId1"/>
  <headerFooter alignWithMargins="0"/>
  <rowBreaks count="2" manualBreakCount="2">
    <brk id="43" max="21" man="1"/>
    <brk id="77" max="21" man="1"/>
  </rowBreaks>
  <colBreaks count="1" manualBreakCount="1">
    <brk id="22" max="1048575" man="1"/>
  </colBreaks>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3"/>
  <dimension ref="B1:AE107"/>
  <sheetViews>
    <sheetView workbookViewId="0"/>
  </sheetViews>
  <sheetFormatPr defaultColWidth="9.140625" defaultRowHeight="15" customHeight="1" outlineLevelRow="1" x14ac:dyDescent="0.2"/>
  <cols>
    <col min="1" max="1" width="9.140625" style="41"/>
    <col min="2" max="2" width="3.7109375" style="41" customWidth="1"/>
    <col min="3" max="3" width="35.140625" style="41" bestFit="1" customWidth="1"/>
    <col min="4" max="4" width="12.7109375" style="41" customWidth="1"/>
    <col min="5" max="5" width="3.7109375" style="42" customWidth="1"/>
    <col min="6" max="6" width="12.7109375" style="41" customWidth="1"/>
    <col min="7" max="7" width="3.7109375" style="42" customWidth="1"/>
    <col min="8" max="9" width="12.7109375" style="41" customWidth="1"/>
    <col min="10" max="10" width="3.7109375" style="42" customWidth="1"/>
    <col min="11" max="11" width="12.7109375" style="41" customWidth="1"/>
    <col min="12" max="12" width="4.7109375" style="41" customWidth="1"/>
    <col min="13" max="13" width="28" style="41" bestFit="1" customWidth="1"/>
    <col min="14" max="14" width="12.7109375" style="41" customWidth="1"/>
    <col min="15" max="15" width="3.7109375" style="41" customWidth="1"/>
    <col min="16" max="16" width="12.7109375" style="41" customWidth="1"/>
    <col min="17" max="17" width="3.7109375" style="41" customWidth="1"/>
    <col min="18" max="19" width="12.7109375" style="41" customWidth="1"/>
    <col min="20" max="20" width="3.7109375" style="41" customWidth="1"/>
    <col min="21" max="21" width="12.7109375" style="41" customWidth="1"/>
    <col min="22" max="22" width="4.7109375" style="41" customWidth="1"/>
    <col min="23" max="23" width="40.7109375" style="41" customWidth="1"/>
    <col min="24" max="16384" width="9.140625" style="41"/>
  </cols>
  <sheetData>
    <row r="1" spans="2:31" ht="39.950000000000003" customHeight="1" x14ac:dyDescent="0.2">
      <c r="C1" s="1295" t="s">
        <v>564</v>
      </c>
      <c r="D1" s="1295"/>
      <c r="E1" s="1295"/>
      <c r="F1" s="1295"/>
      <c r="G1" s="1295"/>
      <c r="H1" s="1295"/>
      <c r="I1" s="1295"/>
      <c r="J1" s="1295"/>
      <c r="K1" s="1295"/>
      <c r="L1" s="1295"/>
      <c r="M1" s="1295"/>
      <c r="N1" s="1295"/>
      <c r="O1" s="1295"/>
      <c r="P1" s="1295"/>
      <c r="Q1" s="1295"/>
      <c r="R1" s="1295"/>
      <c r="S1" s="1295"/>
      <c r="T1" s="1295"/>
      <c r="U1" s="1295"/>
      <c r="V1" s="1295"/>
    </row>
    <row r="2" spans="2:31" s="39" customFormat="1" ht="27.6" customHeight="1" outlineLevel="1" x14ac:dyDescent="0.2">
      <c r="C2" s="39" t="s">
        <v>453</v>
      </c>
      <c r="E2" s="40"/>
      <c r="G2" s="40"/>
      <c r="J2" s="40"/>
      <c r="M2" s="39" t="s">
        <v>149</v>
      </c>
      <c r="N2" s="41"/>
      <c r="O2" s="42"/>
      <c r="P2" s="41"/>
      <c r="Q2" s="42"/>
      <c r="R2" s="41"/>
      <c r="S2" s="41"/>
      <c r="T2" s="42"/>
      <c r="U2" s="41"/>
      <c r="AC2" s="43" t="s">
        <v>433</v>
      </c>
      <c r="AD2" s="43" t="s">
        <v>434</v>
      </c>
      <c r="AE2" s="43" t="s">
        <v>435</v>
      </c>
    </row>
    <row r="3" spans="2:31" ht="17.45" customHeight="1" outlineLevel="1" thickBot="1" x14ac:dyDescent="0.25">
      <c r="C3" s="44" t="s">
        <v>7</v>
      </c>
      <c r="D3" s="44" t="s">
        <v>388</v>
      </c>
      <c r="E3" s="45"/>
      <c r="F3" s="44" t="s">
        <v>436</v>
      </c>
      <c r="G3" s="45"/>
      <c r="H3" s="44" t="s">
        <v>437</v>
      </c>
      <c r="I3" s="44" t="s">
        <v>438</v>
      </c>
      <c r="J3" s="45"/>
      <c r="K3" s="44" t="s">
        <v>420</v>
      </c>
      <c r="M3" s="44" t="s">
        <v>7</v>
      </c>
      <c r="N3" s="44" t="s">
        <v>388</v>
      </c>
      <c r="O3" s="45"/>
      <c r="P3" s="44" t="s">
        <v>436</v>
      </c>
      <c r="Q3" s="45"/>
      <c r="R3" s="44" t="s">
        <v>437</v>
      </c>
      <c r="S3" s="44" t="s">
        <v>438</v>
      </c>
      <c r="T3" s="45"/>
      <c r="U3" s="44" t="s">
        <v>420</v>
      </c>
      <c r="W3" s="122" t="s">
        <v>344</v>
      </c>
    </row>
    <row r="4" spans="2:31" ht="17.45" customHeight="1" outlineLevel="1" thickBot="1" x14ac:dyDescent="0.25">
      <c r="B4" s="1296" t="s">
        <v>479</v>
      </c>
      <c r="C4" s="131" t="s">
        <v>566</v>
      </c>
      <c r="D4" s="189">
        <v>1</v>
      </c>
      <c r="E4" s="114" t="s">
        <v>434</v>
      </c>
      <c r="F4" s="165">
        <f>FF_Perim*1000</f>
        <v>0</v>
      </c>
      <c r="G4" s="114" t="s">
        <v>434</v>
      </c>
      <c r="H4" s="186">
        <v>25</v>
      </c>
      <c r="I4" s="104">
        <f t="shared" ref="I4:I26" si="0">IF(ISBLANK($H4),0,VLOOKUP($H4,Std_Brick,4,FALSE))</f>
        <v>2143</v>
      </c>
      <c r="J4" s="114" t="s">
        <v>435</v>
      </c>
      <c r="K4" s="105">
        <f>IF(OR($F4=0,$I4=0),0,$D4*($F4/1000)*($I4/1000))</f>
        <v>0</v>
      </c>
      <c r="L4" s="1297" t="s">
        <v>450</v>
      </c>
      <c r="M4" s="112" t="s">
        <v>443</v>
      </c>
      <c r="N4" s="120"/>
      <c r="O4" s="114"/>
      <c r="P4" s="120"/>
      <c r="Q4" s="114"/>
      <c r="R4" s="120"/>
      <c r="S4" s="120"/>
      <c r="T4" s="114"/>
      <c r="U4" s="110">
        <f>SUMIFS(Lintel_Area,Lintel_Floor,"First",Lintel_Location,"Internal",Lintel_Brick,"Face")</f>
        <v>0</v>
      </c>
      <c r="W4" s="194"/>
    </row>
    <row r="5" spans="2:31" ht="17.45" customHeight="1" outlineLevel="1" thickBot="1" x14ac:dyDescent="0.25">
      <c r="B5" s="1296"/>
      <c r="C5" s="124" t="s">
        <v>567</v>
      </c>
      <c r="D5" s="184">
        <v>1</v>
      </c>
      <c r="E5" s="115" t="s">
        <v>434</v>
      </c>
      <c r="F5" s="166">
        <f>F4</f>
        <v>0</v>
      </c>
      <c r="G5" s="115" t="s">
        <v>434</v>
      </c>
      <c r="H5" s="185">
        <v>4</v>
      </c>
      <c r="I5" s="103">
        <f t="shared" si="0"/>
        <v>343</v>
      </c>
      <c r="J5" s="115" t="s">
        <v>435</v>
      </c>
      <c r="K5" s="106">
        <f>IF(OR($F5=0,$I5=0),0,$D5*($F5/1000)*($I5/1000))</f>
        <v>0</v>
      </c>
      <c r="L5" s="1297"/>
      <c r="M5" s="113" t="s">
        <v>446</v>
      </c>
      <c r="N5" s="164">
        <v>1</v>
      </c>
      <c r="O5" s="115" t="s">
        <v>434</v>
      </c>
      <c r="P5" s="103">
        <f>IF(Brick_type="Standard Face",SUMIFS(Lintel_Opening,Lintel_Brick,"Face",Lintel_Floor,"First")*1000,0)</f>
        <v>0</v>
      </c>
      <c r="Q5" s="115" t="s">
        <v>434</v>
      </c>
      <c r="R5" s="166">
        <v>1</v>
      </c>
      <c r="S5" s="103">
        <f t="shared" ref="S5:S27" si="1">IF(ISBLANK($R5),0,VLOOKUP($R5,Std_Brick,4,FALSE))</f>
        <v>86</v>
      </c>
      <c r="T5" s="115" t="s">
        <v>435</v>
      </c>
      <c r="U5" s="63">
        <f t="shared" ref="U5:U25" si="2">IF(OR($P5=0,$S5=0),0,$N5*($P5/1000)*($S5/1000))</f>
        <v>0</v>
      </c>
      <c r="W5" s="195"/>
    </row>
    <row r="6" spans="2:31" ht="17.45" customHeight="1" outlineLevel="1" thickBot="1" x14ac:dyDescent="0.25">
      <c r="B6" s="1296"/>
      <c r="C6" s="232"/>
      <c r="D6" s="184"/>
      <c r="E6" s="434" t="s">
        <v>434</v>
      </c>
      <c r="F6" s="185"/>
      <c r="G6" s="434" t="s">
        <v>434</v>
      </c>
      <c r="H6" s="185"/>
      <c r="I6" s="103">
        <f t="shared" si="0"/>
        <v>0</v>
      </c>
      <c r="J6" s="115" t="s">
        <v>435</v>
      </c>
      <c r="K6" s="106">
        <f>IF(OR($F6=0,$I6=0),0,$D6*($F6/1000)*($I6/1000))</f>
        <v>0</v>
      </c>
      <c r="L6" s="1297"/>
      <c r="M6" s="113" t="s">
        <v>447</v>
      </c>
      <c r="N6" s="164">
        <v>1</v>
      </c>
      <c r="O6" s="115" t="s">
        <v>434</v>
      </c>
      <c r="P6" s="103">
        <f>IF(Brick_type="Standard Face",SUMIFS(Lintel_Opening,Lintel_Brick,"Face",Lintel_Floor,"First",Lintel_Location,"External")*1000,0)</f>
        <v>0</v>
      </c>
      <c r="Q6" s="115" t="s">
        <v>434</v>
      </c>
      <c r="R6" s="166">
        <v>1</v>
      </c>
      <c r="S6" s="103">
        <f t="shared" si="1"/>
        <v>86</v>
      </c>
      <c r="T6" s="115" t="s">
        <v>435</v>
      </c>
      <c r="U6" s="63">
        <f t="shared" si="2"/>
        <v>0</v>
      </c>
      <c r="W6" s="195"/>
    </row>
    <row r="7" spans="2:31" ht="17.45" customHeight="1" outlineLevel="1" thickBot="1" x14ac:dyDescent="0.25">
      <c r="B7" s="1296"/>
      <c r="C7" s="232"/>
      <c r="D7" s="184"/>
      <c r="E7" s="434" t="s">
        <v>434</v>
      </c>
      <c r="F7" s="185"/>
      <c r="G7" s="434" t="s">
        <v>434</v>
      </c>
      <c r="H7" s="185"/>
      <c r="I7" s="103">
        <f t="shared" si="0"/>
        <v>0</v>
      </c>
      <c r="J7" s="115" t="s">
        <v>435</v>
      </c>
      <c r="K7" s="106">
        <f t="shared" ref="K7:K26" si="3">IF(OR($F7=0,$I7=0),0,$D7*($F7/1000)*($I7/1000))</f>
        <v>0</v>
      </c>
      <c r="L7" s="1297"/>
      <c r="M7" s="201" t="s">
        <v>448</v>
      </c>
      <c r="N7" s="184"/>
      <c r="O7" s="115" t="s">
        <v>434</v>
      </c>
      <c r="P7" s="185"/>
      <c r="Q7" s="115" t="s">
        <v>434</v>
      </c>
      <c r="R7" s="185"/>
      <c r="S7" s="103">
        <f t="shared" si="1"/>
        <v>0</v>
      </c>
      <c r="T7" s="115" t="s">
        <v>435</v>
      </c>
      <c r="U7" s="63">
        <f>IF(OR($P7=0,$S7=0),0,$N7*($P7/1000)*($S7/1000))</f>
        <v>0</v>
      </c>
      <c r="W7" s="195"/>
    </row>
    <row r="8" spans="2:31" ht="17.45" customHeight="1" outlineLevel="1" thickBot="1" x14ac:dyDescent="0.25">
      <c r="B8" s="1296"/>
      <c r="C8" s="232"/>
      <c r="D8" s="184"/>
      <c r="E8" s="434" t="s">
        <v>434</v>
      </c>
      <c r="F8" s="185"/>
      <c r="G8" s="434" t="s">
        <v>434</v>
      </c>
      <c r="H8" s="185"/>
      <c r="I8" s="103">
        <f t="shared" si="0"/>
        <v>0</v>
      </c>
      <c r="J8" s="115" t="s">
        <v>435</v>
      </c>
      <c r="K8" s="106">
        <f t="shared" si="3"/>
        <v>0</v>
      </c>
      <c r="L8" s="1297"/>
      <c r="M8" s="183"/>
      <c r="N8" s="184"/>
      <c r="O8" s="115" t="s">
        <v>434</v>
      </c>
      <c r="P8" s="185"/>
      <c r="Q8" s="115" t="s">
        <v>434</v>
      </c>
      <c r="R8" s="185"/>
      <c r="S8" s="103">
        <f t="shared" si="1"/>
        <v>0</v>
      </c>
      <c r="T8" s="115" t="s">
        <v>435</v>
      </c>
      <c r="U8" s="62">
        <f t="shared" si="2"/>
        <v>0</v>
      </c>
      <c r="W8" s="195"/>
    </row>
    <row r="9" spans="2:31" ht="17.45" customHeight="1" outlineLevel="1" thickBot="1" x14ac:dyDescent="0.25">
      <c r="B9" s="1296"/>
      <c r="C9" s="232"/>
      <c r="D9" s="184"/>
      <c r="E9" s="115" t="s">
        <v>434</v>
      </c>
      <c r="F9" s="185"/>
      <c r="G9" s="115" t="s">
        <v>434</v>
      </c>
      <c r="H9" s="185"/>
      <c r="I9" s="103">
        <f t="shared" si="0"/>
        <v>0</v>
      </c>
      <c r="J9" s="115" t="s">
        <v>435</v>
      </c>
      <c r="K9" s="106">
        <f t="shared" si="3"/>
        <v>0</v>
      </c>
      <c r="L9" s="1297"/>
      <c r="M9" s="183"/>
      <c r="N9" s="184"/>
      <c r="O9" s="115" t="s">
        <v>434</v>
      </c>
      <c r="P9" s="185"/>
      <c r="Q9" s="115" t="s">
        <v>434</v>
      </c>
      <c r="R9" s="185"/>
      <c r="S9" s="103">
        <f t="shared" si="1"/>
        <v>0</v>
      </c>
      <c r="T9" s="115" t="s">
        <v>435</v>
      </c>
      <c r="U9" s="63">
        <f t="shared" si="2"/>
        <v>0</v>
      </c>
      <c r="W9" s="195"/>
    </row>
    <row r="10" spans="2:31" ht="17.45" customHeight="1" outlineLevel="1" thickBot="1" x14ac:dyDescent="0.25">
      <c r="B10" s="1296"/>
      <c r="C10" s="232"/>
      <c r="D10" s="184"/>
      <c r="E10" s="115" t="s">
        <v>434</v>
      </c>
      <c r="F10" s="185"/>
      <c r="G10" s="115" t="s">
        <v>434</v>
      </c>
      <c r="H10" s="185"/>
      <c r="I10" s="103">
        <f t="shared" si="0"/>
        <v>0</v>
      </c>
      <c r="J10" s="115" t="s">
        <v>435</v>
      </c>
      <c r="K10" s="106">
        <f t="shared" si="3"/>
        <v>0</v>
      </c>
      <c r="L10" s="1297"/>
      <c r="M10" s="183"/>
      <c r="N10" s="184"/>
      <c r="O10" s="115" t="s">
        <v>434</v>
      </c>
      <c r="P10" s="185"/>
      <c r="Q10" s="115" t="s">
        <v>434</v>
      </c>
      <c r="R10" s="185"/>
      <c r="S10" s="103">
        <f t="shared" si="1"/>
        <v>0</v>
      </c>
      <c r="T10" s="115" t="s">
        <v>435</v>
      </c>
      <c r="U10" s="63">
        <f t="shared" si="2"/>
        <v>0</v>
      </c>
      <c r="W10" s="195"/>
    </row>
    <row r="11" spans="2:31" ht="17.45" customHeight="1" outlineLevel="1" thickBot="1" x14ac:dyDescent="0.25">
      <c r="B11" s="1296"/>
      <c r="C11" s="232"/>
      <c r="D11" s="184"/>
      <c r="E11" s="115" t="s">
        <v>434</v>
      </c>
      <c r="F11" s="185"/>
      <c r="G11" s="115" t="s">
        <v>434</v>
      </c>
      <c r="H11" s="185"/>
      <c r="I11" s="103">
        <f t="shared" si="0"/>
        <v>0</v>
      </c>
      <c r="J11" s="115" t="s">
        <v>435</v>
      </c>
      <c r="K11" s="106">
        <f t="shared" si="3"/>
        <v>0</v>
      </c>
      <c r="L11" s="1297"/>
      <c r="M11" s="113" t="s">
        <v>445</v>
      </c>
      <c r="N11" s="184"/>
      <c r="O11" s="115" t="s">
        <v>434</v>
      </c>
      <c r="P11" s="185"/>
      <c r="Q11" s="115" t="s">
        <v>434</v>
      </c>
      <c r="R11" s="185"/>
      <c r="S11" s="103">
        <f t="shared" si="1"/>
        <v>0</v>
      </c>
      <c r="T11" s="115" t="s">
        <v>435</v>
      </c>
      <c r="U11" s="57">
        <f t="shared" si="2"/>
        <v>0</v>
      </c>
      <c r="W11" s="195"/>
    </row>
    <row r="12" spans="2:31" ht="17.45" customHeight="1" outlineLevel="1" thickBot="1" x14ac:dyDescent="0.25">
      <c r="B12" s="1296"/>
      <c r="C12" s="232"/>
      <c r="D12" s="184"/>
      <c r="E12" s="434" t="s">
        <v>434</v>
      </c>
      <c r="F12" s="185"/>
      <c r="G12" s="434" t="s">
        <v>434</v>
      </c>
      <c r="H12" s="185"/>
      <c r="I12" s="103">
        <f t="shared" si="0"/>
        <v>0</v>
      </c>
      <c r="J12" s="115" t="s">
        <v>435</v>
      </c>
      <c r="K12" s="106">
        <f t="shared" si="3"/>
        <v>0</v>
      </c>
      <c r="L12" s="1297"/>
      <c r="M12" s="113" t="s">
        <v>444</v>
      </c>
      <c r="N12" s="184"/>
      <c r="O12" s="115" t="s">
        <v>434</v>
      </c>
      <c r="P12" s="185"/>
      <c r="Q12" s="115" t="s">
        <v>434</v>
      </c>
      <c r="R12" s="185"/>
      <c r="S12" s="103">
        <f t="shared" si="1"/>
        <v>0</v>
      </c>
      <c r="T12" s="115" t="s">
        <v>435</v>
      </c>
      <c r="U12" s="57">
        <f t="shared" si="2"/>
        <v>0</v>
      </c>
      <c r="W12" s="195"/>
    </row>
    <row r="13" spans="2:31" ht="17.45" customHeight="1" outlineLevel="1" thickBot="1" x14ac:dyDescent="0.25">
      <c r="B13" s="1296"/>
      <c r="C13" s="232"/>
      <c r="D13" s="184"/>
      <c r="E13" s="115" t="s">
        <v>434</v>
      </c>
      <c r="F13" s="185"/>
      <c r="G13" s="115" t="s">
        <v>434</v>
      </c>
      <c r="H13" s="185"/>
      <c r="I13" s="103">
        <f t="shared" si="0"/>
        <v>0</v>
      </c>
      <c r="J13" s="115" t="s">
        <v>435</v>
      </c>
      <c r="K13" s="106">
        <f t="shared" si="3"/>
        <v>0</v>
      </c>
      <c r="L13" s="1297"/>
      <c r="M13" s="183"/>
      <c r="N13" s="184"/>
      <c r="O13" s="115" t="s">
        <v>434</v>
      </c>
      <c r="P13" s="185"/>
      <c r="Q13" s="115" t="s">
        <v>434</v>
      </c>
      <c r="R13" s="185"/>
      <c r="S13" s="103">
        <f t="shared" si="1"/>
        <v>0</v>
      </c>
      <c r="T13" s="115" t="s">
        <v>435</v>
      </c>
      <c r="U13" s="106">
        <f t="shared" si="2"/>
        <v>0</v>
      </c>
      <c r="W13" s="195"/>
    </row>
    <row r="14" spans="2:31" ht="17.45" customHeight="1" outlineLevel="1" thickBot="1" x14ac:dyDescent="0.25">
      <c r="B14" s="1296"/>
      <c r="C14" s="183"/>
      <c r="D14" s="184"/>
      <c r="E14" s="115" t="s">
        <v>434</v>
      </c>
      <c r="F14" s="185"/>
      <c r="G14" s="115" t="s">
        <v>434</v>
      </c>
      <c r="H14" s="185"/>
      <c r="I14" s="103">
        <f t="shared" si="0"/>
        <v>0</v>
      </c>
      <c r="J14" s="115" t="s">
        <v>435</v>
      </c>
      <c r="K14" s="106">
        <f t="shared" si="3"/>
        <v>0</v>
      </c>
      <c r="L14" s="1297"/>
      <c r="M14" s="201" t="s">
        <v>6</v>
      </c>
      <c r="N14" s="184"/>
      <c r="O14" s="115" t="s">
        <v>434</v>
      </c>
      <c r="P14" s="185"/>
      <c r="Q14" s="115" t="s">
        <v>434</v>
      </c>
      <c r="R14" s="185"/>
      <c r="S14" s="103">
        <f t="shared" si="1"/>
        <v>0</v>
      </c>
      <c r="T14" s="115" t="s">
        <v>435</v>
      </c>
      <c r="U14" s="106">
        <f t="shared" si="2"/>
        <v>0</v>
      </c>
      <c r="W14" s="195"/>
    </row>
    <row r="15" spans="2:31" ht="17.45" customHeight="1" outlineLevel="1" thickBot="1" x14ac:dyDescent="0.25">
      <c r="B15" s="1296"/>
      <c r="C15" s="183"/>
      <c r="D15" s="184"/>
      <c r="E15" s="115" t="s">
        <v>434</v>
      </c>
      <c r="F15" s="185"/>
      <c r="G15" s="115" t="s">
        <v>434</v>
      </c>
      <c r="H15" s="185"/>
      <c r="I15" s="103">
        <f t="shared" si="0"/>
        <v>0</v>
      </c>
      <c r="J15" s="115" t="s">
        <v>435</v>
      </c>
      <c r="K15" s="106">
        <f t="shared" si="3"/>
        <v>0</v>
      </c>
      <c r="L15" s="1297"/>
      <c r="M15" s="204" t="s">
        <v>6</v>
      </c>
      <c r="N15" s="188"/>
      <c r="O15" s="121" t="s">
        <v>434</v>
      </c>
      <c r="P15" s="192"/>
      <c r="Q15" s="121" t="s">
        <v>434</v>
      </c>
      <c r="R15" s="192"/>
      <c r="S15" s="108">
        <f t="shared" si="1"/>
        <v>0</v>
      </c>
      <c r="T15" s="121" t="s">
        <v>435</v>
      </c>
      <c r="U15" s="111">
        <f t="shared" si="2"/>
        <v>0</v>
      </c>
      <c r="W15" s="195"/>
    </row>
    <row r="16" spans="2:31" ht="17.45" customHeight="1" outlineLevel="1" thickBot="1" x14ac:dyDescent="0.25">
      <c r="B16" s="1296"/>
      <c r="C16" s="183"/>
      <c r="D16" s="184"/>
      <c r="E16" s="115" t="s">
        <v>434</v>
      </c>
      <c r="F16" s="185"/>
      <c r="G16" s="115" t="s">
        <v>434</v>
      </c>
      <c r="H16" s="185"/>
      <c r="I16" s="103">
        <f t="shared" si="0"/>
        <v>0</v>
      </c>
      <c r="J16" s="115" t="s">
        <v>435</v>
      </c>
      <c r="K16" s="106">
        <f t="shared" si="3"/>
        <v>0</v>
      </c>
      <c r="L16" s="1297" t="s">
        <v>478</v>
      </c>
      <c r="M16" s="112" t="s">
        <v>449</v>
      </c>
      <c r="N16" s="189">
        <v>1</v>
      </c>
      <c r="O16" s="114" t="s">
        <v>434</v>
      </c>
      <c r="P16" s="186"/>
      <c r="Q16" s="114" t="s">
        <v>434</v>
      </c>
      <c r="R16" s="186">
        <v>2</v>
      </c>
      <c r="S16" s="104">
        <f t="shared" si="1"/>
        <v>172</v>
      </c>
      <c r="T16" s="114" t="s">
        <v>435</v>
      </c>
      <c r="U16" s="71">
        <f t="shared" si="2"/>
        <v>0</v>
      </c>
      <c r="W16" s="195"/>
    </row>
    <row r="17" spans="2:23" ht="17.45" customHeight="1" outlineLevel="1" thickBot="1" x14ac:dyDescent="0.25">
      <c r="B17" s="1296"/>
      <c r="C17" s="183"/>
      <c r="D17" s="184"/>
      <c r="E17" s="115" t="s">
        <v>434</v>
      </c>
      <c r="F17" s="185"/>
      <c r="G17" s="115" t="s">
        <v>434</v>
      </c>
      <c r="H17" s="185"/>
      <c r="I17" s="103">
        <f t="shared" si="0"/>
        <v>0</v>
      </c>
      <c r="J17" s="115" t="s">
        <v>435</v>
      </c>
      <c r="K17" s="106">
        <f t="shared" si="3"/>
        <v>0</v>
      </c>
      <c r="L17" s="1297"/>
      <c r="M17" s="113" t="s">
        <v>451</v>
      </c>
      <c r="N17" s="184">
        <v>1</v>
      </c>
      <c r="O17" s="115" t="s">
        <v>434</v>
      </c>
      <c r="P17" s="185"/>
      <c r="Q17" s="115" t="s">
        <v>434</v>
      </c>
      <c r="R17" s="185">
        <v>1</v>
      </c>
      <c r="S17" s="103">
        <f t="shared" si="1"/>
        <v>86</v>
      </c>
      <c r="T17" s="115" t="s">
        <v>435</v>
      </c>
      <c r="U17" s="59">
        <f t="shared" si="2"/>
        <v>0</v>
      </c>
      <c r="W17" s="195"/>
    </row>
    <row r="18" spans="2:23" ht="17.45" customHeight="1" outlineLevel="1" thickBot="1" x14ac:dyDescent="0.25">
      <c r="B18" s="1296"/>
      <c r="C18" s="183"/>
      <c r="D18" s="184"/>
      <c r="E18" s="115" t="s">
        <v>434</v>
      </c>
      <c r="F18" s="185"/>
      <c r="G18" s="115" t="s">
        <v>434</v>
      </c>
      <c r="H18" s="185"/>
      <c r="I18" s="103">
        <f t="shared" si="0"/>
        <v>0</v>
      </c>
      <c r="J18" s="115" t="s">
        <v>435</v>
      </c>
      <c r="K18" s="106">
        <f t="shared" si="3"/>
        <v>0</v>
      </c>
      <c r="L18" s="1297"/>
      <c r="M18" s="201" t="s">
        <v>462</v>
      </c>
      <c r="N18" s="184"/>
      <c r="O18" s="115" t="s">
        <v>434</v>
      </c>
      <c r="P18" s="185"/>
      <c r="Q18" s="115" t="s">
        <v>434</v>
      </c>
      <c r="R18" s="185"/>
      <c r="S18" s="103">
        <f t="shared" si="1"/>
        <v>0</v>
      </c>
      <c r="T18" s="115" t="s">
        <v>435</v>
      </c>
      <c r="U18" s="59">
        <f t="shared" si="2"/>
        <v>0</v>
      </c>
      <c r="W18" s="195"/>
    </row>
    <row r="19" spans="2:23" ht="17.45" customHeight="1" outlineLevel="1" thickBot="1" x14ac:dyDescent="0.25">
      <c r="B19" s="1296"/>
      <c r="C19" s="183"/>
      <c r="D19" s="184"/>
      <c r="E19" s="115" t="s">
        <v>434</v>
      </c>
      <c r="F19" s="185"/>
      <c r="G19" s="115" t="s">
        <v>434</v>
      </c>
      <c r="H19" s="185"/>
      <c r="I19" s="103">
        <f t="shared" si="0"/>
        <v>0</v>
      </c>
      <c r="J19" s="115" t="s">
        <v>435</v>
      </c>
      <c r="K19" s="106">
        <f t="shared" si="3"/>
        <v>0</v>
      </c>
      <c r="L19" s="1297"/>
      <c r="M19" s="201" t="s">
        <v>462</v>
      </c>
      <c r="N19" s="184"/>
      <c r="O19" s="115" t="s">
        <v>434</v>
      </c>
      <c r="P19" s="185"/>
      <c r="Q19" s="115" t="s">
        <v>434</v>
      </c>
      <c r="R19" s="185"/>
      <c r="S19" s="103">
        <f t="shared" si="1"/>
        <v>0</v>
      </c>
      <c r="T19" s="115" t="s">
        <v>435</v>
      </c>
      <c r="U19" s="59">
        <f t="shared" si="2"/>
        <v>0</v>
      </c>
      <c r="W19" s="195"/>
    </row>
    <row r="20" spans="2:23" ht="17.45" customHeight="1" outlineLevel="1" thickBot="1" x14ac:dyDescent="0.25">
      <c r="B20" s="1296"/>
      <c r="C20" s="183"/>
      <c r="D20" s="184"/>
      <c r="E20" s="115" t="s">
        <v>434</v>
      </c>
      <c r="F20" s="185"/>
      <c r="G20" s="115" t="s">
        <v>434</v>
      </c>
      <c r="H20" s="185"/>
      <c r="I20" s="103">
        <f t="shared" si="0"/>
        <v>0</v>
      </c>
      <c r="J20" s="115" t="s">
        <v>435</v>
      </c>
      <c r="K20" s="106">
        <f t="shared" si="3"/>
        <v>0</v>
      </c>
      <c r="L20" s="1297"/>
      <c r="M20" s="183"/>
      <c r="N20" s="184"/>
      <c r="O20" s="115" t="s">
        <v>434</v>
      </c>
      <c r="P20" s="185"/>
      <c r="Q20" s="115" t="s">
        <v>434</v>
      </c>
      <c r="R20" s="185"/>
      <c r="S20" s="103">
        <f t="shared" si="1"/>
        <v>0</v>
      </c>
      <c r="T20" s="115" t="s">
        <v>435</v>
      </c>
      <c r="U20" s="59">
        <f t="shared" si="2"/>
        <v>0</v>
      </c>
      <c r="W20" s="195"/>
    </row>
    <row r="21" spans="2:23" ht="17.45" customHeight="1" outlineLevel="1" thickBot="1" x14ac:dyDescent="0.25">
      <c r="B21" s="1296"/>
      <c r="C21" s="183"/>
      <c r="D21" s="184"/>
      <c r="E21" s="115" t="s">
        <v>434</v>
      </c>
      <c r="F21" s="185"/>
      <c r="G21" s="115" t="s">
        <v>434</v>
      </c>
      <c r="H21" s="185"/>
      <c r="I21" s="103">
        <f t="shared" si="0"/>
        <v>0</v>
      </c>
      <c r="J21" s="115" t="s">
        <v>435</v>
      </c>
      <c r="K21" s="106">
        <f t="shared" si="3"/>
        <v>0</v>
      </c>
      <c r="L21" s="1297"/>
      <c r="M21" s="183"/>
      <c r="N21" s="184"/>
      <c r="O21" s="115" t="s">
        <v>434</v>
      </c>
      <c r="P21" s="185"/>
      <c r="Q21" s="115" t="s">
        <v>434</v>
      </c>
      <c r="R21" s="185"/>
      <c r="S21" s="103">
        <f t="shared" si="1"/>
        <v>0</v>
      </c>
      <c r="T21" s="115" t="s">
        <v>435</v>
      </c>
      <c r="U21" s="59">
        <f t="shared" si="2"/>
        <v>0</v>
      </c>
      <c r="W21" s="195"/>
    </row>
    <row r="22" spans="2:23" ht="17.45" customHeight="1" outlineLevel="1" thickBot="1" x14ac:dyDescent="0.25">
      <c r="B22" s="1296"/>
      <c r="C22" s="183"/>
      <c r="D22" s="184"/>
      <c r="E22" s="115" t="s">
        <v>434</v>
      </c>
      <c r="F22" s="185"/>
      <c r="G22" s="115" t="s">
        <v>434</v>
      </c>
      <c r="H22" s="185"/>
      <c r="I22" s="103">
        <f t="shared" si="0"/>
        <v>0</v>
      </c>
      <c r="J22" s="115" t="s">
        <v>435</v>
      </c>
      <c r="K22" s="106">
        <f t="shared" si="3"/>
        <v>0</v>
      </c>
      <c r="L22" s="1297"/>
      <c r="M22" s="203" t="s">
        <v>452</v>
      </c>
      <c r="N22" s="435">
        <v>1</v>
      </c>
      <c r="O22" s="115" t="s">
        <v>434</v>
      </c>
      <c r="P22" s="166">
        <f>IF(Brick_typeFF="2c Face",SUMIFS(Lintel_Opening,Lintel_Brick,"Face",Lintel_Floor,"First")*1000,0)-P16</f>
        <v>0</v>
      </c>
      <c r="Q22" s="115" t="s">
        <v>434</v>
      </c>
      <c r="R22" s="185">
        <v>1</v>
      </c>
      <c r="S22" s="103">
        <f t="shared" si="1"/>
        <v>86</v>
      </c>
      <c r="T22" s="115" t="s">
        <v>435</v>
      </c>
      <c r="U22" s="167">
        <f t="shared" si="2"/>
        <v>0</v>
      </c>
      <c r="W22" s="195"/>
    </row>
    <row r="23" spans="2:23" ht="17.45" customHeight="1" outlineLevel="1" thickBot="1" x14ac:dyDescent="0.25">
      <c r="B23" s="1296"/>
      <c r="C23" s="183"/>
      <c r="D23" s="184"/>
      <c r="E23" s="115" t="s">
        <v>434</v>
      </c>
      <c r="F23" s="185"/>
      <c r="G23" s="115" t="s">
        <v>434</v>
      </c>
      <c r="H23" s="185"/>
      <c r="I23" s="103">
        <f t="shared" si="0"/>
        <v>0</v>
      </c>
      <c r="J23" s="115" t="s">
        <v>435</v>
      </c>
      <c r="K23" s="106">
        <f t="shared" si="3"/>
        <v>0</v>
      </c>
      <c r="L23" s="1297"/>
      <c r="M23" s="203" t="s">
        <v>874</v>
      </c>
      <c r="N23" s="435">
        <v>1</v>
      </c>
      <c r="O23" s="434" t="s">
        <v>434</v>
      </c>
      <c r="P23" s="166">
        <f>IF(Brick_typeFF="2c Face",SUMIFS(Lintel_Opening,Lintel_Brick,"Face",Lintel_Floor,"First",Lintel_Location,"External")*1000,0)</f>
        <v>0</v>
      </c>
      <c r="Q23" s="434" t="s">
        <v>434</v>
      </c>
      <c r="R23" s="185">
        <v>1</v>
      </c>
      <c r="S23" s="103">
        <f>IF(ISBLANK($R23),0,VLOOKUP($R23,Std_Brick,4,FALSE))</f>
        <v>86</v>
      </c>
      <c r="T23" s="434" t="s">
        <v>435</v>
      </c>
      <c r="U23" s="167">
        <f t="shared" si="2"/>
        <v>0</v>
      </c>
      <c r="W23" s="195"/>
    </row>
    <row r="24" spans="2:23" ht="17.45" customHeight="1" outlineLevel="1" thickBot="1" x14ac:dyDescent="0.25">
      <c r="B24" s="1296"/>
      <c r="C24" s="183"/>
      <c r="D24" s="184"/>
      <c r="E24" s="115" t="s">
        <v>434</v>
      </c>
      <c r="F24" s="185"/>
      <c r="G24" s="115" t="s">
        <v>434</v>
      </c>
      <c r="H24" s="185"/>
      <c r="I24" s="103">
        <f t="shared" si="0"/>
        <v>0</v>
      </c>
      <c r="J24" s="115" t="s">
        <v>435</v>
      </c>
      <c r="K24" s="106">
        <f t="shared" si="3"/>
        <v>0</v>
      </c>
      <c r="L24" s="1297"/>
      <c r="M24" s="201" t="s">
        <v>461</v>
      </c>
      <c r="N24" s="184"/>
      <c r="O24" s="115" t="s">
        <v>434</v>
      </c>
      <c r="P24" s="185"/>
      <c r="Q24" s="115" t="s">
        <v>434</v>
      </c>
      <c r="R24" s="185"/>
      <c r="S24" s="103">
        <f t="shared" si="1"/>
        <v>0</v>
      </c>
      <c r="T24" s="115" t="s">
        <v>435</v>
      </c>
      <c r="U24" s="167">
        <f t="shared" si="2"/>
        <v>0</v>
      </c>
      <c r="W24" s="195"/>
    </row>
    <row r="25" spans="2:23" ht="17.45" customHeight="1" outlineLevel="1" thickBot="1" x14ac:dyDescent="0.25">
      <c r="B25" s="1296"/>
      <c r="C25" s="183"/>
      <c r="D25" s="184"/>
      <c r="E25" s="115" t="s">
        <v>434</v>
      </c>
      <c r="F25" s="185"/>
      <c r="G25" s="115" t="s">
        <v>434</v>
      </c>
      <c r="H25" s="185"/>
      <c r="I25" s="103">
        <f t="shared" si="0"/>
        <v>0</v>
      </c>
      <c r="J25" s="115" t="s">
        <v>435</v>
      </c>
      <c r="K25" s="106">
        <f t="shared" si="3"/>
        <v>0</v>
      </c>
      <c r="L25" s="1297"/>
      <c r="M25" s="183"/>
      <c r="N25" s="184"/>
      <c r="O25" s="115" t="s">
        <v>434</v>
      </c>
      <c r="P25" s="185"/>
      <c r="Q25" s="115" t="s">
        <v>434</v>
      </c>
      <c r="R25" s="185"/>
      <c r="S25" s="103">
        <f t="shared" si="1"/>
        <v>0</v>
      </c>
      <c r="T25" s="115" t="s">
        <v>435</v>
      </c>
      <c r="U25" s="167">
        <f t="shared" si="2"/>
        <v>0</v>
      </c>
      <c r="W25" s="195"/>
    </row>
    <row r="26" spans="2:23" ht="17.45" customHeight="1" outlineLevel="1" thickBot="1" x14ac:dyDescent="0.25">
      <c r="B26" s="1296"/>
      <c r="C26" s="183"/>
      <c r="D26" s="184"/>
      <c r="E26" s="115" t="s">
        <v>434</v>
      </c>
      <c r="F26" s="185"/>
      <c r="G26" s="115" t="s">
        <v>434</v>
      </c>
      <c r="H26" s="185"/>
      <c r="I26" s="103">
        <f t="shared" si="0"/>
        <v>0</v>
      </c>
      <c r="J26" s="115" t="s">
        <v>435</v>
      </c>
      <c r="K26" s="106">
        <f t="shared" si="3"/>
        <v>0</v>
      </c>
      <c r="L26" s="1297"/>
      <c r="M26" s="183"/>
      <c r="N26" s="184"/>
      <c r="O26" s="115" t="s">
        <v>434</v>
      </c>
      <c r="P26" s="185"/>
      <c r="Q26" s="115" t="s">
        <v>434</v>
      </c>
      <c r="R26" s="185"/>
      <c r="S26" s="103">
        <f t="shared" si="1"/>
        <v>0</v>
      </c>
      <c r="T26" s="115" t="s">
        <v>435</v>
      </c>
      <c r="U26" s="106">
        <f>IF(OR($P26=0,$S26=0),0,$N26*($P26/1000)*($S26/1000))</f>
        <v>0</v>
      </c>
      <c r="W26" s="195"/>
    </row>
    <row r="27" spans="2:23" ht="17.45" customHeight="1" outlineLevel="1" thickBot="1" x14ac:dyDescent="0.25">
      <c r="B27" s="1296"/>
      <c r="C27" s="821" t="s">
        <v>1825</v>
      </c>
      <c r="D27" s="117"/>
      <c r="E27" s="118"/>
      <c r="F27" s="119"/>
      <c r="G27" s="118"/>
      <c r="H27" s="119"/>
      <c r="I27" s="119"/>
      <c r="J27" s="118"/>
      <c r="K27" s="107">
        <f>IF(Brick_type="Full Render",0,(-1*K59))</f>
        <v>0</v>
      </c>
      <c r="L27" s="1297"/>
      <c r="M27" s="187"/>
      <c r="N27" s="191"/>
      <c r="O27" s="118" t="s">
        <v>434</v>
      </c>
      <c r="P27" s="193"/>
      <c r="Q27" s="118" t="s">
        <v>434</v>
      </c>
      <c r="R27" s="193"/>
      <c r="S27" s="109">
        <f t="shared" si="1"/>
        <v>0</v>
      </c>
      <c r="T27" s="118" t="s">
        <v>435</v>
      </c>
      <c r="U27" s="107">
        <f>IF(OR($P27=0,$S27=0),0,$N27*($P27/1000)*($S27/1000))</f>
        <v>0</v>
      </c>
      <c r="W27" s="195"/>
    </row>
    <row r="28" spans="2:23" ht="17.45" customHeight="1" outlineLevel="1" thickBot="1" x14ac:dyDescent="0.25">
      <c r="I28" s="1294" t="s">
        <v>458</v>
      </c>
      <c r="J28" s="1294"/>
      <c r="K28" s="125">
        <f>CEILING(SUM($K4:$K27),0.1)</f>
        <v>0</v>
      </c>
      <c r="L28" s="46" t="s">
        <v>442</v>
      </c>
      <c r="S28" s="1294" t="s">
        <v>459</v>
      </c>
      <c r="T28" s="1294"/>
      <c r="U28" s="125">
        <f>FLOOR(SUM($U4:$U27),0.1)</f>
        <v>0</v>
      </c>
      <c r="V28" s="46" t="s">
        <v>442</v>
      </c>
      <c r="W28" s="195"/>
    </row>
    <row r="29" spans="2:23" ht="17.45" customHeight="1" outlineLevel="1" thickBot="1" x14ac:dyDescent="0.25">
      <c r="I29" s="47"/>
      <c r="M29" s="126" t="s">
        <v>460</v>
      </c>
      <c r="N29" s="64">
        <f>K28-U28</f>
        <v>0</v>
      </c>
      <c r="O29" s="127" t="s">
        <v>442</v>
      </c>
      <c r="W29" s="195"/>
    </row>
    <row r="30" spans="2:23" ht="17.45" customHeight="1" outlineLevel="1" x14ac:dyDescent="0.2">
      <c r="C30" s="173" t="s">
        <v>454</v>
      </c>
      <c r="D30" s="173" t="s">
        <v>420</v>
      </c>
      <c r="E30" s="45"/>
      <c r="F30" s="173" t="s">
        <v>463</v>
      </c>
      <c r="G30" s="45"/>
      <c r="H30" s="173" t="s">
        <v>126</v>
      </c>
      <c r="I30" s="174" t="s">
        <v>464</v>
      </c>
      <c r="J30" s="45"/>
      <c r="K30" s="1293" t="s">
        <v>465</v>
      </c>
      <c r="L30" s="1293"/>
      <c r="M30" s="173" t="s">
        <v>454</v>
      </c>
      <c r="N30" s="173" t="s">
        <v>420</v>
      </c>
      <c r="O30" s="45"/>
      <c r="P30" s="173" t="s">
        <v>463</v>
      </c>
      <c r="Q30" s="45"/>
      <c r="R30" s="173" t="s">
        <v>126</v>
      </c>
      <c r="S30" s="174" t="s">
        <v>464</v>
      </c>
      <c r="T30" s="45"/>
      <c r="U30" s="1293" t="s">
        <v>465</v>
      </c>
      <c r="V30" s="1293"/>
      <c r="W30" s="195"/>
    </row>
    <row r="31" spans="2:23" ht="17.45" customHeight="1" outlineLevel="1" x14ac:dyDescent="0.2">
      <c r="C31" s="65" t="s">
        <v>404</v>
      </c>
      <c r="D31" s="48">
        <f>IF(Brick_typeFF="Standard Face",N29,0)</f>
        <v>0</v>
      </c>
      <c r="F31" s="49">
        <f>CEILING($D31*50,1)</f>
        <v>0</v>
      </c>
      <c r="H31" s="50">
        <f>CEILING($F31/$K31,0.25)</f>
        <v>0</v>
      </c>
      <c r="I31" s="49">
        <f>CEILING($H31*$K31,$L31)</f>
        <v>0</v>
      </c>
      <c r="K31" s="41">
        <v>264</v>
      </c>
      <c r="L31" s="41">
        <f>K31/4</f>
        <v>66</v>
      </c>
      <c r="M31" s="65" t="s">
        <v>357</v>
      </c>
      <c r="N31" s="48">
        <f>IF(Brick_typeFF="2c Face",N29,0)</f>
        <v>0</v>
      </c>
      <c r="O31" s="42"/>
      <c r="P31" s="49">
        <f>CEILING($N31*20,1)</f>
        <v>0</v>
      </c>
      <c r="Q31" s="42"/>
      <c r="R31" s="50">
        <f>CEILING($P31/$U31,0.3333)</f>
        <v>0</v>
      </c>
      <c r="S31" s="49">
        <f>CEILING($R31*$U31,$V31)</f>
        <v>0</v>
      </c>
      <c r="T31" s="42"/>
      <c r="U31" s="41">
        <v>138</v>
      </c>
      <c r="V31" s="41">
        <f>U31/3</f>
        <v>46</v>
      </c>
      <c r="W31" s="195"/>
    </row>
    <row r="32" spans="2:23" ht="17.45" customHeight="1" outlineLevel="1" x14ac:dyDescent="0.2">
      <c r="C32" s="56" t="s">
        <v>405</v>
      </c>
      <c r="D32" s="48">
        <f>IF($D$31=0,0,CEILING(SUM(U5:U10),0.1))</f>
        <v>0</v>
      </c>
      <c r="F32" s="49">
        <f>CEILING($D32*50,1)</f>
        <v>0</v>
      </c>
      <c r="H32" s="50">
        <f>CEILING($F32/$K32,0.25)</f>
        <v>0</v>
      </c>
      <c r="I32" s="49">
        <f>CEILING($H32*$K32,$L32)</f>
        <v>0</v>
      </c>
      <c r="K32" s="41">
        <v>264</v>
      </c>
      <c r="L32" s="41">
        <f>K32/4</f>
        <v>66</v>
      </c>
      <c r="M32" s="41" t="s">
        <v>504</v>
      </c>
      <c r="N32" s="48" t="s">
        <v>505</v>
      </c>
      <c r="O32" s="42"/>
      <c r="P32" s="49">
        <f>SUMIF(Lintel_Floor,"First",'Lintel Sheet'!P5:P70)</f>
        <v>0</v>
      </c>
      <c r="Q32" s="42"/>
      <c r="R32" s="50">
        <f>CEILING($P32/$U32,0.3333)</f>
        <v>0</v>
      </c>
      <c r="S32" s="49">
        <f>CEILING($R32*$U32,$V32)</f>
        <v>0</v>
      </c>
      <c r="T32" s="42"/>
      <c r="U32" s="41">
        <v>138</v>
      </c>
      <c r="V32" s="41">
        <f>U32/3</f>
        <v>46</v>
      </c>
      <c r="W32" s="195"/>
    </row>
    <row r="33" spans="2:23" ht="17.45" customHeight="1" outlineLevel="1" x14ac:dyDescent="0.2">
      <c r="C33" s="58" t="s">
        <v>457</v>
      </c>
      <c r="D33" s="48">
        <f>CEILING(SUM(U11:U12),0.1)</f>
        <v>0</v>
      </c>
      <c r="F33" s="49">
        <f>CEILING($D33*50,1)</f>
        <v>0</v>
      </c>
      <c r="H33" s="50">
        <f>CEILING($F33/$K33,0.25)</f>
        <v>0</v>
      </c>
      <c r="I33" s="49">
        <f>CEILING($H33*$K33,$L33)</f>
        <v>0</v>
      </c>
      <c r="K33" s="41">
        <v>264</v>
      </c>
      <c r="L33" s="41">
        <f>K33/4</f>
        <v>66</v>
      </c>
      <c r="M33" s="60" t="s">
        <v>455</v>
      </c>
      <c r="N33" s="48">
        <f>CEILING(SUM(U17:U21),0.1)</f>
        <v>0</v>
      </c>
      <c r="O33" s="42"/>
      <c r="P33" s="49">
        <f>CEILING($N33*39,1)</f>
        <v>0</v>
      </c>
      <c r="Q33" s="42"/>
      <c r="R33" s="50">
        <f>CEILING($P33/$U33,0.3333)</f>
        <v>0</v>
      </c>
      <c r="S33" s="49">
        <f>CEILING($R33*$U33,$V33)</f>
        <v>0</v>
      </c>
      <c r="T33" s="42"/>
      <c r="U33" s="41">
        <v>252</v>
      </c>
      <c r="V33" s="41">
        <f>U33/3</f>
        <v>84</v>
      </c>
      <c r="W33" s="195"/>
    </row>
    <row r="34" spans="2:23" ht="17.45" customHeight="1" outlineLevel="1" x14ac:dyDescent="0.2">
      <c r="C34" s="41" t="s">
        <v>6</v>
      </c>
      <c r="D34" s="48">
        <f>CEILING(SUM(U14:U15),0.1)</f>
        <v>0</v>
      </c>
      <c r="F34" s="49">
        <f>CEILING($D34*50,1)</f>
        <v>0</v>
      </c>
      <c r="H34" s="50">
        <f>CEILING($F34/$K34,0.25)</f>
        <v>0</v>
      </c>
      <c r="I34" s="49">
        <f>CEILING($H34*$K34,$L34)</f>
        <v>0</v>
      </c>
      <c r="K34" s="41">
        <v>264</v>
      </c>
      <c r="L34" s="41">
        <v>66</v>
      </c>
      <c r="M34" s="168" t="s">
        <v>456</v>
      </c>
      <c r="N34" s="48">
        <f>CEILING(SUM(U22:U25),0.1)</f>
        <v>0</v>
      </c>
      <c r="O34" s="42"/>
      <c r="P34" s="49">
        <f>CEILING($N34*39,1)</f>
        <v>0</v>
      </c>
      <c r="Q34" s="42"/>
      <c r="R34" s="50">
        <f>CEILING($P34/$U34,0.3333)</f>
        <v>0</v>
      </c>
      <c r="S34" s="49">
        <f>CEILING($R34*$U34,$V34)</f>
        <v>0</v>
      </c>
      <c r="T34" s="42"/>
      <c r="U34" s="41">
        <v>252</v>
      </c>
      <c r="V34" s="41">
        <f>U34/3</f>
        <v>84</v>
      </c>
      <c r="W34" s="195"/>
    </row>
    <row r="35" spans="2:23" ht="17.45" customHeight="1" outlineLevel="1" x14ac:dyDescent="0.2">
      <c r="C35" s="41" t="s">
        <v>507</v>
      </c>
      <c r="D35" s="48"/>
      <c r="F35" s="49"/>
      <c r="H35" s="50">
        <f>CEILING($F35/$K35,0.25)</f>
        <v>0</v>
      </c>
      <c r="I35" s="49">
        <f>CEILING($H35*$K35,$L35)</f>
        <v>0</v>
      </c>
      <c r="K35" s="41">
        <v>264</v>
      </c>
      <c r="L35" s="41">
        <v>66</v>
      </c>
      <c r="M35" s="72" t="s">
        <v>58</v>
      </c>
      <c r="N35" s="48">
        <f>CEILING(SUM(U16),0.1)</f>
        <v>0</v>
      </c>
      <c r="O35" s="42"/>
      <c r="P35" s="49">
        <f>CEILING($N35*20,1)</f>
        <v>0</v>
      </c>
      <c r="Q35" s="42"/>
      <c r="R35" s="50">
        <f>CEILING($P35/$U35,0.3333)</f>
        <v>0</v>
      </c>
      <c r="S35" s="49">
        <f>CEILING($R35*$U35,$V35)</f>
        <v>0</v>
      </c>
      <c r="T35" s="42"/>
      <c r="U35" s="41">
        <v>138</v>
      </c>
      <c r="V35" s="41">
        <f>U35/3</f>
        <v>46</v>
      </c>
      <c r="W35" s="195"/>
    </row>
    <row r="36" spans="2:23" ht="17.45" customHeight="1" x14ac:dyDescent="0.2">
      <c r="C36" s="102"/>
      <c r="D36" s="48"/>
      <c r="F36" s="49"/>
      <c r="H36" s="50"/>
      <c r="I36" s="49"/>
      <c r="W36" s="195"/>
    </row>
    <row r="37" spans="2:23" ht="17.45" customHeight="1" outlineLevel="1" x14ac:dyDescent="0.2">
      <c r="C37" s="39" t="s">
        <v>453</v>
      </c>
      <c r="D37" s="39"/>
      <c r="E37" s="40"/>
      <c r="F37" s="39"/>
      <c r="G37" s="40"/>
      <c r="H37" s="39"/>
      <c r="I37" s="39"/>
      <c r="J37" s="40"/>
      <c r="K37" s="39"/>
      <c r="L37" s="39"/>
      <c r="M37" s="39" t="s">
        <v>149</v>
      </c>
      <c r="O37" s="42"/>
      <c r="Q37" s="42"/>
      <c r="T37" s="42"/>
      <c r="W37" s="195"/>
    </row>
    <row r="38" spans="2:23" ht="17.45" customHeight="1" outlineLevel="1" thickBot="1" x14ac:dyDescent="0.25">
      <c r="C38" s="44" t="s">
        <v>7</v>
      </c>
      <c r="D38" s="44" t="s">
        <v>388</v>
      </c>
      <c r="E38" s="45"/>
      <c r="F38" s="44" t="s">
        <v>436</v>
      </c>
      <c r="G38" s="45"/>
      <c r="H38" s="44" t="s">
        <v>437</v>
      </c>
      <c r="I38" s="44" t="s">
        <v>438</v>
      </c>
      <c r="J38" s="45"/>
      <c r="K38" s="44" t="s">
        <v>420</v>
      </c>
      <c r="M38" s="44" t="s">
        <v>7</v>
      </c>
      <c r="N38" s="44" t="s">
        <v>388</v>
      </c>
      <c r="O38" s="45"/>
      <c r="P38" s="44" t="s">
        <v>436</v>
      </c>
      <c r="Q38" s="45"/>
      <c r="R38" s="44" t="s">
        <v>437</v>
      </c>
      <c r="S38" s="44" t="s">
        <v>438</v>
      </c>
      <c r="T38" s="45"/>
      <c r="U38" s="44" t="s">
        <v>420</v>
      </c>
      <c r="W38" s="195"/>
    </row>
    <row r="39" spans="2:23" ht="17.45" customHeight="1" outlineLevel="1" x14ac:dyDescent="0.2">
      <c r="B39" s="1296" t="s">
        <v>480</v>
      </c>
      <c r="C39" s="131" t="s">
        <v>566</v>
      </c>
      <c r="D39" s="189">
        <v>1</v>
      </c>
      <c r="E39" s="114" t="s">
        <v>434</v>
      </c>
      <c r="F39" s="165">
        <f>IF(Brick_typeFF="Full Render",FF_Perim*1000,SUMIF('CSV FF'!A:A,"Render Brick",'CSV FF'!C:C)*1000)</f>
        <v>0</v>
      </c>
      <c r="G39" s="114" t="s">
        <v>434</v>
      </c>
      <c r="H39" s="186">
        <v>25</v>
      </c>
      <c r="I39" s="104">
        <f t="shared" ref="I39:I58" si="4">IF(ISBLANK($H39),0,VLOOKUP($H39,Std_Brick,4,FALSE))</f>
        <v>2143</v>
      </c>
      <c r="J39" s="114" t="s">
        <v>435</v>
      </c>
      <c r="K39" s="105">
        <f>IF(OR($F39=0,$I39=0),0,$D39*($F39/1000)*($I39/1000))</f>
        <v>0</v>
      </c>
      <c r="L39" s="51"/>
      <c r="M39" s="112" t="s">
        <v>443</v>
      </c>
      <c r="N39" s="120"/>
      <c r="O39" s="114"/>
      <c r="P39" s="120"/>
      <c r="Q39" s="114"/>
      <c r="R39" s="120"/>
      <c r="S39" s="120"/>
      <c r="T39" s="114"/>
      <c r="U39" s="105">
        <f>SUMIFS(Lintel_Area,Lintel_Floor,"First",Lintel_Location,"Internal",Lintel_Brick, "Render")</f>
        <v>0</v>
      </c>
      <c r="W39" s="195"/>
    </row>
    <row r="40" spans="2:23" ht="17.45" customHeight="1" outlineLevel="1" x14ac:dyDescent="0.2">
      <c r="B40" s="1296"/>
      <c r="C40" s="124" t="s">
        <v>567</v>
      </c>
      <c r="D40" s="184">
        <v>1</v>
      </c>
      <c r="E40" s="115" t="s">
        <v>434</v>
      </c>
      <c r="F40" s="166">
        <f>F39</f>
        <v>0</v>
      </c>
      <c r="G40" s="115" t="s">
        <v>434</v>
      </c>
      <c r="H40" s="185">
        <v>4</v>
      </c>
      <c r="I40" s="103">
        <f t="shared" si="4"/>
        <v>343</v>
      </c>
      <c r="J40" s="115" t="s">
        <v>435</v>
      </c>
      <c r="K40" s="106">
        <f t="shared" ref="K40:K58" si="5">IF(OR($F40=0,$I40=0),0,$D40*($F40/1000)*($I40/1000))</f>
        <v>0</v>
      </c>
      <c r="L40" s="51"/>
      <c r="M40" s="113" t="s">
        <v>481</v>
      </c>
      <c r="N40" s="123">
        <v>1</v>
      </c>
      <c r="O40" s="115" t="s">
        <v>434</v>
      </c>
      <c r="P40" s="103">
        <f>SUMIFS(Lintel_Opening,Lintel_Brick,"Render",Lintel_Floor,"First",Lintel_Location,"Internal",'Lintel Sheet'!K5:K70,TRUE)*1000</f>
        <v>0</v>
      </c>
      <c r="Q40" s="115" t="s">
        <v>434</v>
      </c>
      <c r="R40" s="123">
        <v>1</v>
      </c>
      <c r="S40" s="103">
        <f t="shared" ref="S40:S58" si="6">IF(ISBLANK($R40),0,VLOOKUP($R40,Std_Brick,4,FALSE))</f>
        <v>86</v>
      </c>
      <c r="T40" s="115" t="s">
        <v>435</v>
      </c>
      <c r="U40" s="61">
        <f>IF(OR($P40=0,$S40=0),0,$N40*($P40/1000)*($S40/1000))</f>
        <v>0</v>
      </c>
      <c r="W40" s="195"/>
    </row>
    <row r="41" spans="2:23" ht="17.45" customHeight="1" outlineLevel="1" x14ac:dyDescent="0.2">
      <c r="B41" s="1296"/>
      <c r="C41" s="232"/>
      <c r="D41" s="184"/>
      <c r="E41" s="434" t="s">
        <v>434</v>
      </c>
      <c r="F41" s="185"/>
      <c r="G41" s="434" t="s">
        <v>434</v>
      </c>
      <c r="H41" s="185"/>
      <c r="I41" s="103">
        <f t="shared" si="4"/>
        <v>0</v>
      </c>
      <c r="J41" s="115" t="s">
        <v>435</v>
      </c>
      <c r="K41" s="106">
        <f t="shared" si="5"/>
        <v>0</v>
      </c>
      <c r="L41" s="51"/>
      <c r="M41" s="124" t="s">
        <v>568</v>
      </c>
      <c r="N41" s="185">
        <v>1</v>
      </c>
      <c r="O41" s="115" t="s">
        <v>434</v>
      </c>
      <c r="P41" s="185"/>
      <c r="Q41" s="115" t="s">
        <v>434</v>
      </c>
      <c r="R41" s="185">
        <v>1</v>
      </c>
      <c r="S41" s="103">
        <f t="shared" si="6"/>
        <v>86</v>
      </c>
      <c r="T41" s="115" t="s">
        <v>435</v>
      </c>
      <c r="U41" s="61">
        <f>IF(OR($P41=0,$S41=0),0,$N41*($P41/1000)*($S41/1000))</f>
        <v>0</v>
      </c>
      <c r="W41" s="195"/>
    </row>
    <row r="42" spans="2:23" ht="17.45" customHeight="1" outlineLevel="1" x14ac:dyDescent="0.2">
      <c r="B42" s="1296"/>
      <c r="C42" s="232"/>
      <c r="D42" s="184"/>
      <c r="E42" s="434" t="s">
        <v>434</v>
      </c>
      <c r="F42" s="185"/>
      <c r="G42" s="434" t="s">
        <v>434</v>
      </c>
      <c r="H42" s="185"/>
      <c r="I42" s="103">
        <f t="shared" si="4"/>
        <v>0</v>
      </c>
      <c r="J42" s="115" t="s">
        <v>435</v>
      </c>
      <c r="K42" s="106">
        <f t="shared" si="5"/>
        <v>0</v>
      </c>
      <c r="L42" s="51"/>
      <c r="M42" s="201" t="s">
        <v>5</v>
      </c>
      <c r="N42" s="185">
        <v>1</v>
      </c>
      <c r="O42" s="115" t="s">
        <v>434</v>
      </c>
      <c r="P42" s="185">
        <f>F46+F42</f>
        <v>0</v>
      </c>
      <c r="Q42" s="115" t="s">
        <v>434</v>
      </c>
      <c r="R42" s="185">
        <v>1</v>
      </c>
      <c r="S42" s="103">
        <f t="shared" si="6"/>
        <v>86</v>
      </c>
      <c r="T42" s="115" t="s">
        <v>435</v>
      </c>
      <c r="U42" s="61">
        <f t="shared" ref="U42:U57" si="7">IF(OR($P42=0,$S42=0),0,$N42*($P42/1000)*($S42/1000))</f>
        <v>0</v>
      </c>
      <c r="W42" s="195"/>
    </row>
    <row r="43" spans="2:23" ht="17.45" customHeight="1" outlineLevel="1" x14ac:dyDescent="0.2">
      <c r="B43" s="1296"/>
      <c r="C43" s="232"/>
      <c r="D43" s="184"/>
      <c r="E43" s="434" t="s">
        <v>434</v>
      </c>
      <c r="F43" s="185"/>
      <c r="G43" s="434" t="s">
        <v>434</v>
      </c>
      <c r="H43" s="185"/>
      <c r="I43" s="103">
        <f t="shared" si="4"/>
        <v>0</v>
      </c>
      <c r="J43" s="115" t="s">
        <v>435</v>
      </c>
      <c r="K43" s="106">
        <f t="shared" si="5"/>
        <v>0</v>
      </c>
      <c r="L43" s="51"/>
      <c r="M43" s="203" t="s">
        <v>1380</v>
      </c>
      <c r="N43" s="185">
        <v>2</v>
      </c>
      <c r="O43" s="115" t="s">
        <v>434</v>
      </c>
      <c r="P43" s="185">
        <f>F43+F47</f>
        <v>0</v>
      </c>
      <c r="Q43" s="115" t="s">
        <v>434</v>
      </c>
      <c r="R43" s="185">
        <v>3</v>
      </c>
      <c r="S43" s="103">
        <f t="shared" si="6"/>
        <v>257</v>
      </c>
      <c r="T43" s="115" t="s">
        <v>435</v>
      </c>
      <c r="U43" s="61">
        <f t="shared" si="7"/>
        <v>0</v>
      </c>
      <c r="W43" s="195"/>
    </row>
    <row r="44" spans="2:23" ht="17.45" customHeight="1" outlineLevel="1" x14ac:dyDescent="0.2">
      <c r="B44" s="1296"/>
      <c r="C44" s="232"/>
      <c r="D44" s="184"/>
      <c r="E44" s="115" t="s">
        <v>434</v>
      </c>
      <c r="F44" s="185"/>
      <c r="G44" s="115" t="s">
        <v>434</v>
      </c>
      <c r="H44" s="185"/>
      <c r="I44" s="103">
        <f t="shared" si="4"/>
        <v>0</v>
      </c>
      <c r="J44" s="115" t="s">
        <v>435</v>
      </c>
      <c r="K44" s="106">
        <f t="shared" si="5"/>
        <v>0</v>
      </c>
      <c r="L44" s="51"/>
      <c r="M44" s="183"/>
      <c r="N44" s="185"/>
      <c r="O44" s="115" t="s">
        <v>434</v>
      </c>
      <c r="P44" s="185"/>
      <c r="Q44" s="115" t="s">
        <v>434</v>
      </c>
      <c r="R44" s="185"/>
      <c r="S44" s="103">
        <f t="shared" si="6"/>
        <v>0</v>
      </c>
      <c r="T44" s="115" t="s">
        <v>435</v>
      </c>
      <c r="U44" s="61">
        <f t="shared" si="7"/>
        <v>0</v>
      </c>
      <c r="W44" s="195"/>
    </row>
    <row r="45" spans="2:23" ht="17.45" customHeight="1" outlineLevel="1" x14ac:dyDescent="0.2">
      <c r="B45" s="1296"/>
      <c r="C45" s="232"/>
      <c r="D45" s="184"/>
      <c r="E45" s="115" t="s">
        <v>434</v>
      </c>
      <c r="F45" s="185"/>
      <c r="G45" s="115" t="s">
        <v>434</v>
      </c>
      <c r="H45" s="185"/>
      <c r="I45" s="103">
        <f t="shared" si="4"/>
        <v>0</v>
      </c>
      <c r="J45" s="115" t="s">
        <v>435</v>
      </c>
      <c r="K45" s="106">
        <f t="shared" si="5"/>
        <v>0</v>
      </c>
      <c r="L45" s="51"/>
      <c r="M45" s="183"/>
      <c r="N45" s="185"/>
      <c r="O45" s="115" t="s">
        <v>434</v>
      </c>
      <c r="P45" s="185"/>
      <c r="Q45" s="115" t="s">
        <v>434</v>
      </c>
      <c r="R45" s="185"/>
      <c r="S45" s="103">
        <f t="shared" si="6"/>
        <v>0</v>
      </c>
      <c r="T45" s="115" t="s">
        <v>435</v>
      </c>
      <c r="U45" s="61">
        <f t="shared" si="7"/>
        <v>0</v>
      </c>
      <c r="W45" s="195"/>
    </row>
    <row r="46" spans="2:23" ht="17.45" customHeight="1" outlineLevel="1" x14ac:dyDescent="0.2">
      <c r="B46" s="1296"/>
      <c r="C46" s="232"/>
      <c r="D46" s="184"/>
      <c r="E46" s="115" t="s">
        <v>434</v>
      </c>
      <c r="F46" s="185"/>
      <c r="G46" s="115" t="s">
        <v>434</v>
      </c>
      <c r="H46" s="185"/>
      <c r="I46" s="103">
        <f t="shared" si="4"/>
        <v>0</v>
      </c>
      <c r="J46" s="115" t="s">
        <v>435</v>
      </c>
      <c r="K46" s="106">
        <f t="shared" si="5"/>
        <v>0</v>
      </c>
      <c r="L46" s="51"/>
      <c r="M46" s="183"/>
      <c r="N46" s="185"/>
      <c r="O46" s="115" t="s">
        <v>434</v>
      </c>
      <c r="P46" s="185"/>
      <c r="Q46" s="115" t="s">
        <v>434</v>
      </c>
      <c r="R46" s="185"/>
      <c r="S46" s="103">
        <f t="shared" si="6"/>
        <v>0</v>
      </c>
      <c r="T46" s="115" t="s">
        <v>435</v>
      </c>
      <c r="U46" s="61">
        <f t="shared" si="7"/>
        <v>0</v>
      </c>
      <c r="W46" s="195"/>
    </row>
    <row r="47" spans="2:23" ht="17.45" customHeight="1" outlineLevel="1" x14ac:dyDescent="0.2">
      <c r="B47" s="1296"/>
      <c r="C47" s="232"/>
      <c r="D47" s="184"/>
      <c r="E47" s="434" t="s">
        <v>434</v>
      </c>
      <c r="F47" s="185"/>
      <c r="G47" s="434" t="s">
        <v>434</v>
      </c>
      <c r="H47" s="185"/>
      <c r="I47" s="103">
        <f t="shared" si="4"/>
        <v>0</v>
      </c>
      <c r="J47" s="115" t="s">
        <v>435</v>
      </c>
      <c r="K47" s="106">
        <f t="shared" si="5"/>
        <v>0</v>
      </c>
      <c r="L47" s="51"/>
      <c r="M47" s="183"/>
      <c r="N47" s="185"/>
      <c r="O47" s="115" t="s">
        <v>434</v>
      </c>
      <c r="P47" s="185"/>
      <c r="Q47" s="115" t="s">
        <v>434</v>
      </c>
      <c r="R47" s="185"/>
      <c r="S47" s="103">
        <f t="shared" si="6"/>
        <v>0</v>
      </c>
      <c r="T47" s="115" t="s">
        <v>435</v>
      </c>
      <c r="U47" s="61">
        <f t="shared" si="7"/>
        <v>0</v>
      </c>
      <c r="W47" s="195"/>
    </row>
    <row r="48" spans="2:23" ht="17.45" customHeight="1" outlineLevel="1" x14ac:dyDescent="0.2">
      <c r="B48" s="1296"/>
      <c r="C48" s="232"/>
      <c r="D48" s="184"/>
      <c r="E48" s="115" t="s">
        <v>434</v>
      </c>
      <c r="F48" s="185"/>
      <c r="G48" s="115" t="s">
        <v>434</v>
      </c>
      <c r="H48" s="185"/>
      <c r="I48" s="103">
        <f t="shared" si="4"/>
        <v>0</v>
      </c>
      <c r="J48" s="115" t="s">
        <v>435</v>
      </c>
      <c r="K48" s="106">
        <f t="shared" si="5"/>
        <v>0</v>
      </c>
      <c r="L48" s="51"/>
      <c r="M48" s="183"/>
      <c r="N48" s="185"/>
      <c r="O48" s="115" t="s">
        <v>434</v>
      </c>
      <c r="P48" s="185"/>
      <c r="Q48" s="115" t="s">
        <v>434</v>
      </c>
      <c r="R48" s="185"/>
      <c r="S48" s="103">
        <f t="shared" si="6"/>
        <v>0</v>
      </c>
      <c r="T48" s="115" t="s">
        <v>435</v>
      </c>
      <c r="U48" s="61">
        <f t="shared" si="7"/>
        <v>0</v>
      </c>
      <c r="W48" s="195"/>
    </row>
    <row r="49" spans="2:23" ht="17.45" customHeight="1" outlineLevel="1" x14ac:dyDescent="0.2">
      <c r="B49" s="1296"/>
      <c r="C49" s="183"/>
      <c r="D49" s="184"/>
      <c r="E49" s="115" t="s">
        <v>434</v>
      </c>
      <c r="F49" s="185"/>
      <c r="G49" s="115" t="s">
        <v>434</v>
      </c>
      <c r="H49" s="185"/>
      <c r="I49" s="103">
        <f t="shared" si="4"/>
        <v>0</v>
      </c>
      <c r="J49" s="115" t="s">
        <v>435</v>
      </c>
      <c r="K49" s="106">
        <f t="shared" si="5"/>
        <v>0</v>
      </c>
      <c r="L49" s="51"/>
      <c r="M49" s="183"/>
      <c r="N49" s="185"/>
      <c r="O49" s="115" t="s">
        <v>434</v>
      </c>
      <c r="P49" s="185"/>
      <c r="Q49" s="115" t="s">
        <v>434</v>
      </c>
      <c r="R49" s="185"/>
      <c r="S49" s="103">
        <f t="shared" si="6"/>
        <v>0</v>
      </c>
      <c r="T49" s="115" t="s">
        <v>435</v>
      </c>
      <c r="U49" s="61">
        <f t="shared" si="7"/>
        <v>0</v>
      </c>
      <c r="W49" s="195"/>
    </row>
    <row r="50" spans="2:23" ht="17.45" customHeight="1" outlineLevel="1" x14ac:dyDescent="0.2">
      <c r="B50" s="1296"/>
      <c r="C50" s="183"/>
      <c r="D50" s="184"/>
      <c r="E50" s="115" t="s">
        <v>434</v>
      </c>
      <c r="F50" s="185"/>
      <c r="G50" s="115" t="s">
        <v>434</v>
      </c>
      <c r="H50" s="185"/>
      <c r="I50" s="103">
        <f t="shared" si="4"/>
        <v>0</v>
      </c>
      <c r="J50" s="115" t="s">
        <v>435</v>
      </c>
      <c r="K50" s="106">
        <f t="shared" si="5"/>
        <v>0</v>
      </c>
      <c r="L50" s="51"/>
      <c r="M50" s="183"/>
      <c r="N50" s="185"/>
      <c r="O50" s="115" t="s">
        <v>434</v>
      </c>
      <c r="P50" s="185"/>
      <c r="Q50" s="115" t="s">
        <v>434</v>
      </c>
      <c r="R50" s="185"/>
      <c r="S50" s="103">
        <f t="shared" si="6"/>
        <v>0</v>
      </c>
      <c r="T50" s="115" t="s">
        <v>435</v>
      </c>
      <c r="U50" s="61">
        <f t="shared" si="7"/>
        <v>0</v>
      </c>
      <c r="W50" s="195"/>
    </row>
    <row r="51" spans="2:23" ht="17.45" customHeight="1" outlineLevel="1" x14ac:dyDescent="0.2">
      <c r="B51" s="1296"/>
      <c r="C51" s="183"/>
      <c r="D51" s="184"/>
      <c r="E51" s="115" t="s">
        <v>434</v>
      </c>
      <c r="F51" s="185"/>
      <c r="G51" s="115" t="s">
        <v>434</v>
      </c>
      <c r="H51" s="185"/>
      <c r="I51" s="103">
        <f t="shared" si="4"/>
        <v>0</v>
      </c>
      <c r="J51" s="115" t="s">
        <v>435</v>
      </c>
      <c r="K51" s="106">
        <f t="shared" si="5"/>
        <v>0</v>
      </c>
      <c r="L51" s="51"/>
      <c r="M51" s="183"/>
      <c r="N51" s="185"/>
      <c r="O51" s="115" t="s">
        <v>434</v>
      </c>
      <c r="P51" s="185"/>
      <c r="Q51" s="115" t="s">
        <v>434</v>
      </c>
      <c r="R51" s="185"/>
      <c r="S51" s="103">
        <f t="shared" si="6"/>
        <v>0</v>
      </c>
      <c r="T51" s="115" t="s">
        <v>435</v>
      </c>
      <c r="U51" s="61">
        <f t="shared" si="7"/>
        <v>0</v>
      </c>
      <c r="W51" s="195"/>
    </row>
    <row r="52" spans="2:23" ht="17.45" customHeight="1" outlineLevel="1" x14ac:dyDescent="0.2">
      <c r="B52" s="1296"/>
      <c r="C52" s="183"/>
      <c r="D52" s="184"/>
      <c r="E52" s="115" t="s">
        <v>434</v>
      </c>
      <c r="F52" s="185"/>
      <c r="G52" s="115" t="s">
        <v>434</v>
      </c>
      <c r="H52" s="185"/>
      <c r="I52" s="103">
        <f t="shared" si="4"/>
        <v>0</v>
      </c>
      <c r="J52" s="115" t="s">
        <v>435</v>
      </c>
      <c r="K52" s="106">
        <f t="shared" si="5"/>
        <v>0</v>
      </c>
      <c r="L52" s="51"/>
      <c r="M52" s="183"/>
      <c r="N52" s="185"/>
      <c r="O52" s="115" t="s">
        <v>434</v>
      </c>
      <c r="P52" s="185"/>
      <c r="Q52" s="115" t="s">
        <v>434</v>
      </c>
      <c r="R52" s="185"/>
      <c r="S52" s="103">
        <f t="shared" si="6"/>
        <v>0</v>
      </c>
      <c r="T52" s="115" t="s">
        <v>435</v>
      </c>
      <c r="U52" s="61">
        <f t="shared" si="7"/>
        <v>0</v>
      </c>
      <c r="W52" s="195"/>
    </row>
    <row r="53" spans="2:23" ht="17.45" customHeight="1" outlineLevel="1" x14ac:dyDescent="0.2">
      <c r="B53" s="1296"/>
      <c r="C53" s="183"/>
      <c r="D53" s="184"/>
      <c r="E53" s="115" t="s">
        <v>434</v>
      </c>
      <c r="F53" s="185"/>
      <c r="G53" s="115" t="s">
        <v>434</v>
      </c>
      <c r="H53" s="185"/>
      <c r="I53" s="103">
        <f t="shared" si="4"/>
        <v>0</v>
      </c>
      <c r="J53" s="115" t="s">
        <v>435</v>
      </c>
      <c r="K53" s="106">
        <f t="shared" si="5"/>
        <v>0</v>
      </c>
      <c r="L53" s="51"/>
      <c r="M53" s="183"/>
      <c r="N53" s="185"/>
      <c r="O53" s="115" t="s">
        <v>434</v>
      </c>
      <c r="P53" s="185"/>
      <c r="Q53" s="115" t="s">
        <v>434</v>
      </c>
      <c r="R53" s="185"/>
      <c r="S53" s="103">
        <f t="shared" si="6"/>
        <v>0</v>
      </c>
      <c r="T53" s="115" t="s">
        <v>435</v>
      </c>
      <c r="U53" s="61">
        <f t="shared" si="7"/>
        <v>0</v>
      </c>
      <c r="W53" s="195"/>
    </row>
    <row r="54" spans="2:23" ht="17.45" customHeight="1" outlineLevel="1" x14ac:dyDescent="0.2">
      <c r="B54" s="1296"/>
      <c r="C54" s="183"/>
      <c r="D54" s="184"/>
      <c r="E54" s="115" t="s">
        <v>434</v>
      </c>
      <c r="F54" s="185"/>
      <c r="G54" s="115" t="s">
        <v>434</v>
      </c>
      <c r="H54" s="185"/>
      <c r="I54" s="103">
        <f t="shared" si="4"/>
        <v>0</v>
      </c>
      <c r="J54" s="115" t="s">
        <v>435</v>
      </c>
      <c r="K54" s="106">
        <f t="shared" si="5"/>
        <v>0</v>
      </c>
      <c r="L54" s="51"/>
      <c r="M54" s="201" t="s">
        <v>6</v>
      </c>
      <c r="N54" s="185"/>
      <c r="O54" s="115" t="s">
        <v>434</v>
      </c>
      <c r="P54" s="185"/>
      <c r="Q54" s="115" t="s">
        <v>434</v>
      </c>
      <c r="R54" s="185"/>
      <c r="S54" s="103">
        <f t="shared" si="6"/>
        <v>0</v>
      </c>
      <c r="T54" s="115" t="s">
        <v>435</v>
      </c>
      <c r="U54" s="68">
        <f t="shared" si="7"/>
        <v>0</v>
      </c>
      <c r="W54" s="195"/>
    </row>
    <row r="55" spans="2:23" ht="17.45" customHeight="1" outlineLevel="1" x14ac:dyDescent="0.2">
      <c r="B55" s="1296"/>
      <c r="C55" s="183"/>
      <c r="D55" s="184"/>
      <c r="E55" s="115" t="s">
        <v>434</v>
      </c>
      <c r="F55" s="185"/>
      <c r="G55" s="115" t="s">
        <v>434</v>
      </c>
      <c r="H55" s="185"/>
      <c r="I55" s="103">
        <f t="shared" si="4"/>
        <v>0</v>
      </c>
      <c r="J55" s="115" t="s">
        <v>435</v>
      </c>
      <c r="K55" s="106">
        <f t="shared" si="5"/>
        <v>0</v>
      </c>
      <c r="L55" s="51"/>
      <c r="M55" s="201" t="s">
        <v>6</v>
      </c>
      <c r="N55" s="185"/>
      <c r="O55" s="115" t="s">
        <v>434</v>
      </c>
      <c r="P55" s="185"/>
      <c r="Q55" s="115" t="s">
        <v>434</v>
      </c>
      <c r="R55" s="185"/>
      <c r="S55" s="103">
        <f t="shared" si="6"/>
        <v>0</v>
      </c>
      <c r="T55" s="115" t="s">
        <v>435</v>
      </c>
      <c r="U55" s="68">
        <f t="shared" si="7"/>
        <v>0</v>
      </c>
      <c r="W55" s="195"/>
    </row>
    <row r="56" spans="2:23" ht="17.45" customHeight="1" outlineLevel="1" x14ac:dyDescent="0.2">
      <c r="B56" s="1296"/>
      <c r="C56" s="183"/>
      <c r="D56" s="184"/>
      <c r="E56" s="115" t="s">
        <v>434</v>
      </c>
      <c r="F56" s="185"/>
      <c r="G56" s="115" t="s">
        <v>434</v>
      </c>
      <c r="H56" s="185"/>
      <c r="I56" s="103">
        <f t="shared" si="4"/>
        <v>0</v>
      </c>
      <c r="J56" s="115" t="s">
        <v>435</v>
      </c>
      <c r="K56" s="106">
        <f t="shared" si="5"/>
        <v>0</v>
      </c>
      <c r="L56" s="51"/>
      <c r="M56" s="201" t="s">
        <v>6</v>
      </c>
      <c r="N56" s="185"/>
      <c r="O56" s="115" t="s">
        <v>434</v>
      </c>
      <c r="P56" s="185"/>
      <c r="Q56" s="115" t="s">
        <v>434</v>
      </c>
      <c r="R56" s="185"/>
      <c r="S56" s="103">
        <f t="shared" si="6"/>
        <v>0</v>
      </c>
      <c r="T56" s="115" t="s">
        <v>435</v>
      </c>
      <c r="U56" s="68">
        <f t="shared" si="7"/>
        <v>0</v>
      </c>
      <c r="W56" s="195"/>
    </row>
    <row r="57" spans="2:23" ht="17.45" customHeight="1" outlineLevel="1" x14ac:dyDescent="0.2">
      <c r="B57" s="1296"/>
      <c r="C57" s="183"/>
      <c r="D57" s="184"/>
      <c r="E57" s="115" t="s">
        <v>434</v>
      </c>
      <c r="F57" s="185"/>
      <c r="G57" s="115" t="s">
        <v>434</v>
      </c>
      <c r="H57" s="185"/>
      <c r="I57" s="103">
        <f t="shared" si="4"/>
        <v>0</v>
      </c>
      <c r="J57" s="115" t="s">
        <v>435</v>
      </c>
      <c r="K57" s="106">
        <f t="shared" si="5"/>
        <v>0</v>
      </c>
      <c r="L57" s="51"/>
      <c r="M57" s="201" t="s">
        <v>6</v>
      </c>
      <c r="N57" s="185"/>
      <c r="O57" s="115" t="s">
        <v>434</v>
      </c>
      <c r="P57" s="185"/>
      <c r="Q57" s="115" t="s">
        <v>434</v>
      </c>
      <c r="R57" s="185"/>
      <c r="S57" s="103">
        <f t="shared" si="6"/>
        <v>0</v>
      </c>
      <c r="T57" s="115" t="s">
        <v>435</v>
      </c>
      <c r="U57" s="68">
        <f t="shared" si="7"/>
        <v>0</v>
      </c>
      <c r="W57" s="195"/>
    </row>
    <row r="58" spans="2:23" ht="17.45" customHeight="1" outlineLevel="1" thickBot="1" x14ac:dyDescent="0.25">
      <c r="B58" s="1296"/>
      <c r="C58" s="187"/>
      <c r="D58" s="191"/>
      <c r="E58" s="118" t="s">
        <v>434</v>
      </c>
      <c r="F58" s="193"/>
      <c r="G58" s="118" t="s">
        <v>434</v>
      </c>
      <c r="H58" s="193"/>
      <c r="I58" s="109">
        <f t="shared" si="4"/>
        <v>0</v>
      </c>
      <c r="J58" s="118" t="s">
        <v>435</v>
      </c>
      <c r="K58" s="107">
        <f t="shared" si="5"/>
        <v>0</v>
      </c>
      <c r="L58" s="51"/>
      <c r="M58" s="202" t="s">
        <v>6</v>
      </c>
      <c r="N58" s="193"/>
      <c r="O58" s="118" t="s">
        <v>434</v>
      </c>
      <c r="P58" s="193"/>
      <c r="Q58" s="118" t="s">
        <v>434</v>
      </c>
      <c r="R58" s="193"/>
      <c r="S58" s="109">
        <f t="shared" si="6"/>
        <v>0</v>
      </c>
      <c r="T58" s="118" t="s">
        <v>435</v>
      </c>
      <c r="U58" s="69">
        <f>IF(OR($P58=0,$S58=0),0,$N58*($P58/1000)*($S58/1000))</f>
        <v>0</v>
      </c>
      <c r="W58" s="195"/>
    </row>
    <row r="59" spans="2:23" ht="17.45" customHeight="1" outlineLevel="1" thickBot="1" x14ac:dyDescent="0.25">
      <c r="B59" s="52"/>
      <c r="F59" s="49"/>
      <c r="H59" s="49"/>
      <c r="I59" s="1294" t="s">
        <v>474</v>
      </c>
      <c r="J59" s="1294"/>
      <c r="K59" s="125">
        <f>CEILING(SUM($K39:$K58),0.1)</f>
        <v>0</v>
      </c>
      <c r="L59" s="46" t="s">
        <v>442</v>
      </c>
      <c r="S59" s="1294" t="s">
        <v>475</v>
      </c>
      <c r="T59" s="1294"/>
      <c r="U59" s="125">
        <f>FLOOR(SUM($U39:$U58),0.1)</f>
        <v>0</v>
      </c>
      <c r="V59" s="46" t="s">
        <v>442</v>
      </c>
      <c r="W59" s="195"/>
    </row>
    <row r="60" spans="2:23" ht="17.45" customHeight="1" outlineLevel="1" thickBot="1" x14ac:dyDescent="0.25">
      <c r="B60" s="52"/>
      <c r="F60" s="49"/>
      <c r="H60" s="49"/>
      <c r="I60" s="47"/>
      <c r="M60" s="126" t="s">
        <v>476</v>
      </c>
      <c r="N60" s="64">
        <f>K59-U59</f>
        <v>0</v>
      </c>
      <c r="O60" s="127" t="s">
        <v>442</v>
      </c>
      <c r="W60" s="195"/>
    </row>
    <row r="61" spans="2:23" ht="17.45" customHeight="1" outlineLevel="1" x14ac:dyDescent="0.2">
      <c r="B61" s="52"/>
      <c r="C61" s="173" t="s">
        <v>454</v>
      </c>
      <c r="D61" s="173" t="s">
        <v>420</v>
      </c>
      <c r="E61" s="45"/>
      <c r="F61" s="173" t="s">
        <v>463</v>
      </c>
      <c r="G61" s="45"/>
      <c r="H61" s="173" t="s">
        <v>126</v>
      </c>
      <c r="I61" s="174" t="s">
        <v>464</v>
      </c>
      <c r="J61" s="45"/>
      <c r="K61" s="1293" t="s">
        <v>465</v>
      </c>
      <c r="L61" s="1293"/>
      <c r="O61" s="42"/>
      <c r="P61" s="49"/>
      <c r="Q61" s="42"/>
      <c r="R61" s="49"/>
      <c r="S61" s="49"/>
      <c r="T61" s="42"/>
      <c r="U61" s="53"/>
      <c r="W61" s="195"/>
    </row>
    <row r="62" spans="2:23" ht="17.45" customHeight="1" outlineLevel="1" x14ac:dyDescent="0.2">
      <c r="B62" s="52"/>
      <c r="C62" s="65" t="s">
        <v>485</v>
      </c>
      <c r="D62" s="48">
        <f>N60</f>
        <v>0</v>
      </c>
      <c r="F62" s="49">
        <f>CEILING($D62*19,1)</f>
        <v>0</v>
      </c>
      <c r="H62" s="50">
        <f>CEILING($F62/$K62,0.3333)</f>
        <v>0</v>
      </c>
      <c r="I62" s="49">
        <f>CEILING($H62*$K62,$L62)</f>
        <v>0</v>
      </c>
      <c r="K62" s="41">
        <v>138</v>
      </c>
      <c r="L62" s="41">
        <f>K62/3</f>
        <v>46</v>
      </c>
      <c r="O62" s="42"/>
      <c r="P62" s="49"/>
      <c r="Q62" s="42"/>
      <c r="R62" s="49"/>
      <c r="S62" s="49"/>
      <c r="T62" s="42"/>
      <c r="U62" s="53"/>
      <c r="W62" s="195"/>
    </row>
    <row r="63" spans="2:23" ht="17.45" customHeight="1" outlineLevel="1" x14ac:dyDescent="0.2">
      <c r="B63" s="52"/>
      <c r="C63" s="66" t="s">
        <v>308</v>
      </c>
      <c r="D63" s="48">
        <f>CEILING(SUM(U40:U53),0.1)</f>
        <v>0</v>
      </c>
      <c r="F63" s="49">
        <f>CEILING($D63*39,1)</f>
        <v>0</v>
      </c>
      <c r="H63" s="50">
        <f>CEILING($F63/$K63,0.3333)</f>
        <v>0</v>
      </c>
      <c r="I63" s="49">
        <f>CEILING($H63*$K63,$L63)</f>
        <v>0</v>
      </c>
      <c r="K63" s="41">
        <v>264</v>
      </c>
      <c r="L63" s="41">
        <f>K63/3</f>
        <v>88</v>
      </c>
      <c r="O63" s="42"/>
      <c r="P63" s="49"/>
      <c r="Q63" s="42"/>
      <c r="R63" s="49"/>
      <c r="S63" s="49"/>
      <c r="T63" s="42"/>
      <c r="U63" s="53"/>
      <c r="W63" s="195"/>
    </row>
    <row r="64" spans="2:23" ht="17.45" customHeight="1" outlineLevel="1" x14ac:dyDescent="0.2">
      <c r="B64" s="52"/>
      <c r="C64" s="67" t="s">
        <v>6</v>
      </c>
      <c r="D64" s="48">
        <f>CEILING(SUM(U54:U58),0.1)</f>
        <v>0</v>
      </c>
      <c r="F64" s="49">
        <f>CEILING($D64*50,1)</f>
        <v>0</v>
      </c>
      <c r="H64" s="50">
        <f>CEILING($F64/$K64,0.25)</f>
        <v>0</v>
      </c>
      <c r="I64" s="49">
        <f>CEILING($H64*$K64,$L64)</f>
        <v>0</v>
      </c>
      <c r="K64" s="41">
        <v>264</v>
      </c>
      <c r="L64" s="41">
        <f>K64/4</f>
        <v>66</v>
      </c>
      <c r="O64" s="42"/>
      <c r="P64" s="49"/>
      <c r="Q64" s="42"/>
      <c r="R64" s="49"/>
      <c r="S64" s="49"/>
      <c r="T64" s="42"/>
      <c r="U64" s="53"/>
      <c r="W64" s="195"/>
    </row>
    <row r="65" spans="2:31" ht="17.45" customHeight="1" x14ac:dyDescent="0.2">
      <c r="W65" s="195"/>
    </row>
    <row r="66" spans="2:31" s="39" customFormat="1" ht="27.6" customHeight="1" outlineLevel="1" x14ac:dyDescent="0.2">
      <c r="C66" s="39" t="s">
        <v>453</v>
      </c>
      <c r="E66" s="40"/>
      <c r="G66" s="40"/>
      <c r="J66" s="40"/>
      <c r="M66" s="39" t="s">
        <v>149</v>
      </c>
      <c r="N66" s="41"/>
      <c r="O66" s="42"/>
      <c r="P66" s="41"/>
      <c r="Q66" s="42"/>
      <c r="R66" s="41"/>
      <c r="S66" s="41"/>
      <c r="T66" s="42"/>
      <c r="U66" s="41"/>
      <c r="W66" s="196"/>
      <c r="AC66" s="43" t="s">
        <v>433</v>
      </c>
      <c r="AD66" s="43" t="s">
        <v>434</v>
      </c>
      <c r="AE66" s="43" t="s">
        <v>435</v>
      </c>
    </row>
    <row r="67" spans="2:31" ht="17.45" customHeight="1" outlineLevel="1" thickBot="1" x14ac:dyDescent="0.25">
      <c r="C67" s="44" t="s">
        <v>7</v>
      </c>
      <c r="D67" s="44" t="s">
        <v>388</v>
      </c>
      <c r="E67" s="45"/>
      <c r="F67" s="44" t="s">
        <v>436</v>
      </c>
      <c r="G67" s="45"/>
      <c r="H67" s="44" t="s">
        <v>437</v>
      </c>
      <c r="I67" s="44" t="s">
        <v>438</v>
      </c>
      <c r="J67" s="45"/>
      <c r="K67" s="44" t="s">
        <v>420</v>
      </c>
      <c r="M67" s="44" t="s">
        <v>7</v>
      </c>
      <c r="N67" s="44" t="s">
        <v>388</v>
      </c>
      <c r="O67" s="45"/>
      <c r="P67" s="44" t="s">
        <v>436</v>
      </c>
      <c r="Q67" s="45"/>
      <c r="R67" s="44" t="s">
        <v>437</v>
      </c>
      <c r="S67" s="44" t="s">
        <v>438</v>
      </c>
      <c r="T67" s="45"/>
      <c r="U67" s="44" t="s">
        <v>420</v>
      </c>
      <c r="W67" s="195"/>
    </row>
    <row r="68" spans="2:31" ht="17.45" customHeight="1" outlineLevel="1" x14ac:dyDescent="0.2">
      <c r="B68" s="1296" t="s">
        <v>432</v>
      </c>
      <c r="C68" s="112" t="s">
        <v>466</v>
      </c>
      <c r="D68" s="189">
        <v>1</v>
      </c>
      <c r="E68" s="114" t="s">
        <v>434</v>
      </c>
      <c r="F68" s="165">
        <f>IF(FF_Perim&gt;0,ROUND(FF_Perim*0.97,1)*1000,0)</f>
        <v>0</v>
      </c>
      <c r="G68" s="114" t="s">
        <v>434</v>
      </c>
      <c r="H68" s="186">
        <v>28</v>
      </c>
      <c r="I68" s="104">
        <f t="shared" ref="I68:I83" si="8">IF(ISBLANK($H68),0,VLOOKUP($H68,Std_Brick,4,FALSE))</f>
        <v>2400</v>
      </c>
      <c r="J68" s="114" t="s">
        <v>435</v>
      </c>
      <c r="K68" s="105">
        <f t="shared" ref="K68:K83" si="9">IF(OR($F68=0,$I68=0),0,$D68*($F68/1000)*($I68/1000))</f>
        <v>0</v>
      </c>
      <c r="M68" s="112" t="s">
        <v>443</v>
      </c>
      <c r="N68" s="120"/>
      <c r="O68" s="114"/>
      <c r="P68" s="128"/>
      <c r="Q68" s="114"/>
      <c r="R68" s="128"/>
      <c r="S68" s="128"/>
      <c r="T68" s="114"/>
      <c r="U68" s="105">
        <f>SUMIFS(Lintel_Area,Lintel_Floor,"First",Lintel_Location,"Internal")</f>
        <v>0</v>
      </c>
      <c r="W68" s="195"/>
    </row>
    <row r="69" spans="2:31" ht="17.45" customHeight="1" outlineLevel="1" x14ac:dyDescent="0.2">
      <c r="B69" s="1296"/>
      <c r="C69" s="113" t="s">
        <v>59</v>
      </c>
      <c r="D69" s="184">
        <v>1</v>
      </c>
      <c r="E69" s="115" t="s">
        <v>434</v>
      </c>
      <c r="F69" s="166">
        <f>SUMIF('CSV FF'!A:A,"Wall 90 Int",'CSV FF'!C:C)*1000</f>
        <v>0</v>
      </c>
      <c r="G69" s="115" t="s">
        <v>434</v>
      </c>
      <c r="H69" s="185">
        <v>28</v>
      </c>
      <c r="I69" s="103">
        <f t="shared" si="8"/>
        <v>2400</v>
      </c>
      <c r="J69" s="115" t="s">
        <v>435</v>
      </c>
      <c r="K69" s="106">
        <f t="shared" si="9"/>
        <v>0</v>
      </c>
      <c r="M69" s="113" t="s">
        <v>467</v>
      </c>
      <c r="N69" s="129"/>
      <c r="O69" s="115"/>
      <c r="P69" s="123"/>
      <c r="Q69" s="115"/>
      <c r="R69" s="123"/>
      <c r="S69" s="123"/>
      <c r="T69" s="115"/>
      <c r="U69" s="106">
        <f>CEILING(SUMIFS('CSV FF'!C:C,'CSV FF'!A:A,"DOOR*",'CSV FF'!A:A,"&lt;&gt;*SHPR*")*2.04+SUMIFS('CSV FF'!C:C,'CSV FF'!A:A,"DOOR DBL")*2.04,0.01)</f>
        <v>0</v>
      </c>
      <c r="W69" s="195"/>
    </row>
    <row r="70" spans="2:31" ht="17.45" customHeight="1" outlineLevel="1" x14ac:dyDescent="0.2">
      <c r="B70" s="1296"/>
      <c r="C70" s="419" t="str">
        <f>"EO "&amp;H68&amp;"c to "&amp;H68+H70&amp;"c"</f>
        <v>EO 28c to 31c</v>
      </c>
      <c r="D70" s="435">
        <v>1</v>
      </c>
      <c r="E70" s="434" t="s">
        <v>434</v>
      </c>
      <c r="F70" s="435">
        <f>SUMIF('CSV FF'!A:A,"Wall Int 31c",'CSV FF'!C:C)*1000</f>
        <v>0</v>
      </c>
      <c r="G70" s="434" t="s">
        <v>434</v>
      </c>
      <c r="H70" s="380">
        <v>3</v>
      </c>
      <c r="I70" s="103">
        <f>IF(ISBLANK($H70),0,VLOOKUP($H70,Std_Brick,4,FALSE))</f>
        <v>257</v>
      </c>
      <c r="J70" s="434" t="s">
        <v>435</v>
      </c>
      <c r="K70" s="106">
        <f>IF(OR($F70=0,$I70=0),0,$D70*($F70/1000)*($I70/1000))</f>
        <v>0</v>
      </c>
      <c r="M70" s="113" t="s">
        <v>469</v>
      </c>
      <c r="N70" s="184"/>
      <c r="O70" s="115" t="s">
        <v>434</v>
      </c>
      <c r="P70" s="166">
        <f>SUM(F68:F69)</f>
        <v>0</v>
      </c>
      <c r="Q70" s="115" t="s">
        <v>434</v>
      </c>
      <c r="R70" s="166">
        <v>2</v>
      </c>
      <c r="S70" s="103">
        <f t="shared" ref="S70:S83" si="10">IF(ISBLANK($R70),0,VLOOKUP($R70,Std_Brick,4,FALSE))</f>
        <v>172</v>
      </c>
      <c r="T70" s="115" t="s">
        <v>435</v>
      </c>
      <c r="U70" s="57">
        <f>IF(OR($P70=0,$S70=0),0,$N70*($P70/1000)*($S70/1000))</f>
        <v>0</v>
      </c>
      <c r="W70" s="195"/>
    </row>
    <row r="71" spans="2:31" ht="17.45" customHeight="1" outlineLevel="1" x14ac:dyDescent="0.2">
      <c r="B71" s="1296"/>
      <c r="C71" s="232"/>
      <c r="D71" s="184"/>
      <c r="E71" s="115" t="s">
        <v>434</v>
      </c>
      <c r="F71" s="185"/>
      <c r="G71" s="115" t="s">
        <v>434</v>
      </c>
      <c r="H71" s="185"/>
      <c r="I71" s="103">
        <f t="shared" si="8"/>
        <v>0</v>
      </c>
      <c r="J71" s="115" t="s">
        <v>435</v>
      </c>
      <c r="K71" s="106">
        <f t="shared" si="9"/>
        <v>0</v>
      </c>
      <c r="M71" s="113" t="s">
        <v>468</v>
      </c>
      <c r="N71" s="184">
        <v>1</v>
      </c>
      <c r="O71" s="115" t="s">
        <v>434</v>
      </c>
      <c r="P71" s="166">
        <f>SUMIFS('Lintel Sheet'!F:F,'Lintel Sheet'!J:J,"Internal",'Lintel Sheet'!B:B,"First")+(COUNTIFS('Lintel Sheet'!J:J,"Internal",'Lintel Sheet'!B:B,"First")*1200)</f>
        <v>0</v>
      </c>
      <c r="Q71" s="115" t="s">
        <v>434</v>
      </c>
      <c r="R71" s="166">
        <v>2</v>
      </c>
      <c r="S71" s="103">
        <f t="shared" si="10"/>
        <v>172</v>
      </c>
      <c r="T71" s="115" t="s">
        <v>435</v>
      </c>
      <c r="U71" s="57">
        <f t="shared" ref="U71:U83" si="11">IF(OR($P71=0,$S71=0),0,$N71*($P71/1000)*($S71/1000))</f>
        <v>0</v>
      </c>
      <c r="W71" s="195"/>
    </row>
    <row r="72" spans="2:31" ht="17.45" customHeight="1" outlineLevel="1" x14ac:dyDescent="0.2">
      <c r="B72" s="1296"/>
      <c r="C72" s="232"/>
      <c r="D72" s="184"/>
      <c r="E72" s="115" t="s">
        <v>434</v>
      </c>
      <c r="F72" s="185"/>
      <c r="G72" s="115" t="s">
        <v>434</v>
      </c>
      <c r="H72" s="185"/>
      <c r="I72" s="103">
        <f t="shared" si="8"/>
        <v>0</v>
      </c>
      <c r="J72" s="115" t="s">
        <v>435</v>
      </c>
      <c r="K72" s="106">
        <f t="shared" si="9"/>
        <v>0</v>
      </c>
      <c r="M72" s="113" t="s">
        <v>470</v>
      </c>
      <c r="N72" s="164">
        <v>1</v>
      </c>
      <c r="O72" s="115" t="s">
        <v>434</v>
      </c>
      <c r="P72" s="185">
        <f>F70+F71+F73</f>
        <v>0</v>
      </c>
      <c r="Q72" s="115" t="s">
        <v>434</v>
      </c>
      <c r="R72" s="166">
        <v>1</v>
      </c>
      <c r="S72" s="103">
        <f t="shared" si="10"/>
        <v>86</v>
      </c>
      <c r="T72" s="115" t="s">
        <v>435</v>
      </c>
      <c r="U72" s="57">
        <f t="shared" si="11"/>
        <v>0</v>
      </c>
      <c r="W72" s="195"/>
    </row>
    <row r="73" spans="2:31" ht="17.45" customHeight="1" outlineLevel="1" x14ac:dyDescent="0.2">
      <c r="B73" s="1296"/>
      <c r="C73" s="232"/>
      <c r="D73" s="184"/>
      <c r="E73" s="115" t="s">
        <v>434</v>
      </c>
      <c r="F73" s="185"/>
      <c r="G73" s="115" t="s">
        <v>434</v>
      </c>
      <c r="H73" s="185"/>
      <c r="I73" s="103">
        <f t="shared" si="8"/>
        <v>0</v>
      </c>
      <c r="J73" s="115" t="s">
        <v>435</v>
      </c>
      <c r="K73" s="106">
        <f t="shared" si="9"/>
        <v>0</v>
      </c>
      <c r="M73" s="113" t="s">
        <v>471</v>
      </c>
      <c r="N73" s="164">
        <v>1</v>
      </c>
      <c r="O73" s="115" t="s">
        <v>434</v>
      </c>
      <c r="P73" s="185"/>
      <c r="Q73" s="115" t="s">
        <v>434</v>
      </c>
      <c r="R73" s="166">
        <v>2</v>
      </c>
      <c r="S73" s="103">
        <f t="shared" si="10"/>
        <v>172</v>
      </c>
      <c r="T73" s="115" t="s">
        <v>435</v>
      </c>
      <c r="U73" s="57">
        <f t="shared" si="11"/>
        <v>0</v>
      </c>
      <c r="W73" s="195"/>
    </row>
    <row r="74" spans="2:31" ht="17.45" customHeight="1" outlineLevel="1" x14ac:dyDescent="0.2">
      <c r="B74" s="1296"/>
      <c r="C74" s="232"/>
      <c r="D74" s="378"/>
      <c r="E74" s="115" t="s">
        <v>434</v>
      </c>
      <c r="F74" s="185"/>
      <c r="G74" s="115" t="s">
        <v>434</v>
      </c>
      <c r="H74" s="185"/>
      <c r="I74" s="103">
        <f t="shared" si="8"/>
        <v>0</v>
      </c>
      <c r="J74" s="115" t="s">
        <v>435</v>
      </c>
      <c r="K74" s="106">
        <f t="shared" si="9"/>
        <v>0</v>
      </c>
      <c r="M74" s="113" t="s">
        <v>472</v>
      </c>
      <c r="N74" s="164">
        <v>1</v>
      </c>
      <c r="O74" s="115" t="s">
        <v>434</v>
      </c>
      <c r="P74" s="185"/>
      <c r="Q74" s="115" t="s">
        <v>434</v>
      </c>
      <c r="R74" s="166">
        <v>4</v>
      </c>
      <c r="S74" s="103">
        <f t="shared" si="10"/>
        <v>343</v>
      </c>
      <c r="T74" s="115" t="s">
        <v>435</v>
      </c>
      <c r="U74" s="57">
        <f t="shared" si="11"/>
        <v>0</v>
      </c>
      <c r="W74" s="195"/>
    </row>
    <row r="75" spans="2:31" ht="17.45" customHeight="1" outlineLevel="1" x14ac:dyDescent="0.2">
      <c r="B75" s="1296"/>
      <c r="C75" s="183"/>
      <c r="D75" s="184"/>
      <c r="E75" s="115" t="s">
        <v>434</v>
      </c>
      <c r="F75" s="185"/>
      <c r="G75" s="115" t="s">
        <v>434</v>
      </c>
      <c r="H75" s="185"/>
      <c r="I75" s="103">
        <f t="shared" si="8"/>
        <v>0</v>
      </c>
      <c r="J75" s="115" t="s">
        <v>435</v>
      </c>
      <c r="K75" s="106">
        <f t="shared" si="9"/>
        <v>0</v>
      </c>
      <c r="M75" s="201" t="s">
        <v>473</v>
      </c>
      <c r="N75" s="184"/>
      <c r="O75" s="115" t="s">
        <v>434</v>
      </c>
      <c r="P75" s="185"/>
      <c r="Q75" s="115" t="s">
        <v>434</v>
      </c>
      <c r="R75" s="185"/>
      <c r="S75" s="103">
        <f t="shared" si="10"/>
        <v>0</v>
      </c>
      <c r="T75" s="115" t="s">
        <v>435</v>
      </c>
      <c r="U75" s="57">
        <f t="shared" si="11"/>
        <v>0</v>
      </c>
      <c r="W75" s="195"/>
    </row>
    <row r="76" spans="2:31" ht="17.45" customHeight="1" outlineLevel="1" x14ac:dyDescent="0.2">
      <c r="B76" s="1296"/>
      <c r="C76" s="183"/>
      <c r="D76" s="184"/>
      <c r="E76" s="115" t="s">
        <v>434</v>
      </c>
      <c r="F76" s="185"/>
      <c r="G76" s="115" t="s">
        <v>434</v>
      </c>
      <c r="H76" s="185"/>
      <c r="I76" s="103">
        <f t="shared" si="8"/>
        <v>0</v>
      </c>
      <c r="J76" s="115" t="s">
        <v>435</v>
      </c>
      <c r="K76" s="106">
        <f t="shared" si="9"/>
        <v>0</v>
      </c>
      <c r="M76" s="201" t="s">
        <v>473</v>
      </c>
      <c r="N76" s="184"/>
      <c r="O76" s="115" t="s">
        <v>434</v>
      </c>
      <c r="P76" s="185"/>
      <c r="Q76" s="115" t="s">
        <v>434</v>
      </c>
      <c r="R76" s="185"/>
      <c r="S76" s="103">
        <f t="shared" si="10"/>
        <v>0</v>
      </c>
      <c r="T76" s="115" t="s">
        <v>435</v>
      </c>
      <c r="U76" s="57">
        <f t="shared" si="11"/>
        <v>0</v>
      </c>
      <c r="W76" s="195"/>
    </row>
    <row r="77" spans="2:31" ht="17.45" customHeight="1" outlineLevel="1" x14ac:dyDescent="0.2">
      <c r="B77" s="1296"/>
      <c r="C77" s="183"/>
      <c r="D77" s="184"/>
      <c r="E77" s="115" t="s">
        <v>434</v>
      </c>
      <c r="F77" s="185"/>
      <c r="G77" s="115" t="s">
        <v>434</v>
      </c>
      <c r="H77" s="185"/>
      <c r="I77" s="103">
        <f t="shared" si="8"/>
        <v>0</v>
      </c>
      <c r="J77" s="115" t="s">
        <v>435</v>
      </c>
      <c r="K77" s="106">
        <f t="shared" si="9"/>
        <v>0</v>
      </c>
      <c r="M77" s="183"/>
      <c r="N77" s="184"/>
      <c r="O77" s="115" t="s">
        <v>434</v>
      </c>
      <c r="P77" s="185"/>
      <c r="Q77" s="115" t="s">
        <v>434</v>
      </c>
      <c r="R77" s="185"/>
      <c r="S77" s="103">
        <f t="shared" si="10"/>
        <v>0</v>
      </c>
      <c r="T77" s="115" t="s">
        <v>435</v>
      </c>
      <c r="U77" s="57">
        <f t="shared" si="11"/>
        <v>0</v>
      </c>
      <c r="W77" s="195"/>
    </row>
    <row r="78" spans="2:31" ht="17.45" customHeight="1" outlineLevel="1" x14ac:dyDescent="0.2">
      <c r="B78" s="1296"/>
      <c r="C78" s="183"/>
      <c r="D78" s="184"/>
      <c r="E78" s="115" t="s">
        <v>434</v>
      </c>
      <c r="F78" s="185"/>
      <c r="G78" s="115" t="s">
        <v>434</v>
      </c>
      <c r="H78" s="185"/>
      <c r="I78" s="103">
        <f t="shared" si="8"/>
        <v>0</v>
      </c>
      <c r="J78" s="115" t="s">
        <v>435</v>
      </c>
      <c r="K78" s="106">
        <f t="shared" si="9"/>
        <v>0</v>
      </c>
      <c r="M78" s="183"/>
      <c r="N78" s="184"/>
      <c r="O78" s="115" t="s">
        <v>434</v>
      </c>
      <c r="P78" s="185"/>
      <c r="Q78" s="115" t="s">
        <v>434</v>
      </c>
      <c r="R78" s="185"/>
      <c r="S78" s="103">
        <f t="shared" si="10"/>
        <v>0</v>
      </c>
      <c r="T78" s="115" t="s">
        <v>435</v>
      </c>
      <c r="U78" s="57">
        <f t="shared" si="11"/>
        <v>0</v>
      </c>
      <c r="W78" s="195"/>
    </row>
    <row r="79" spans="2:31" ht="17.45" customHeight="1" outlineLevel="1" x14ac:dyDescent="0.2">
      <c r="B79" s="1296"/>
      <c r="C79" s="183"/>
      <c r="D79" s="184"/>
      <c r="E79" s="115" t="s">
        <v>434</v>
      </c>
      <c r="F79" s="185"/>
      <c r="G79" s="115" t="s">
        <v>434</v>
      </c>
      <c r="H79" s="185"/>
      <c r="I79" s="103">
        <f t="shared" si="8"/>
        <v>0</v>
      </c>
      <c r="J79" s="115" t="s">
        <v>435</v>
      </c>
      <c r="K79" s="106">
        <f t="shared" si="9"/>
        <v>0</v>
      </c>
      <c r="M79" s="183"/>
      <c r="N79" s="184"/>
      <c r="O79" s="115" t="s">
        <v>434</v>
      </c>
      <c r="P79" s="185"/>
      <c r="Q79" s="115" t="s">
        <v>434</v>
      </c>
      <c r="R79" s="185"/>
      <c r="S79" s="103">
        <f t="shared" si="10"/>
        <v>0</v>
      </c>
      <c r="T79" s="115" t="s">
        <v>435</v>
      </c>
      <c r="U79" s="57">
        <f t="shared" si="11"/>
        <v>0</v>
      </c>
      <c r="W79" s="195"/>
    </row>
    <row r="80" spans="2:31" ht="17.45" customHeight="1" outlineLevel="1" x14ac:dyDescent="0.2">
      <c r="B80" s="1296"/>
      <c r="C80" s="183"/>
      <c r="D80" s="184"/>
      <c r="E80" s="115" t="s">
        <v>434</v>
      </c>
      <c r="F80" s="185"/>
      <c r="G80" s="115" t="s">
        <v>434</v>
      </c>
      <c r="H80" s="185"/>
      <c r="I80" s="103">
        <f t="shared" si="8"/>
        <v>0</v>
      </c>
      <c r="J80" s="115" t="s">
        <v>435</v>
      </c>
      <c r="K80" s="106">
        <f t="shared" si="9"/>
        <v>0</v>
      </c>
      <c r="M80" s="183"/>
      <c r="N80" s="184"/>
      <c r="O80" s="115" t="s">
        <v>434</v>
      </c>
      <c r="P80" s="185"/>
      <c r="Q80" s="115" t="s">
        <v>434</v>
      </c>
      <c r="R80" s="185"/>
      <c r="S80" s="103">
        <f t="shared" si="10"/>
        <v>0</v>
      </c>
      <c r="T80" s="115" t="s">
        <v>435</v>
      </c>
      <c r="U80" s="57">
        <f t="shared" si="11"/>
        <v>0</v>
      </c>
      <c r="W80" s="195"/>
    </row>
    <row r="81" spans="2:31" ht="17.45" customHeight="1" outlineLevel="1" x14ac:dyDescent="0.2">
      <c r="B81" s="1296"/>
      <c r="C81" s="183"/>
      <c r="D81" s="184"/>
      <c r="E81" s="115" t="s">
        <v>434</v>
      </c>
      <c r="F81" s="185"/>
      <c r="G81" s="115" t="s">
        <v>434</v>
      </c>
      <c r="H81" s="185"/>
      <c r="I81" s="103">
        <f t="shared" si="8"/>
        <v>0</v>
      </c>
      <c r="J81" s="115" t="s">
        <v>435</v>
      </c>
      <c r="K81" s="106">
        <f t="shared" si="9"/>
        <v>0</v>
      </c>
      <c r="M81" s="183"/>
      <c r="N81" s="184"/>
      <c r="O81" s="115" t="s">
        <v>434</v>
      </c>
      <c r="P81" s="185"/>
      <c r="Q81" s="115" t="s">
        <v>434</v>
      </c>
      <c r="R81" s="185"/>
      <c r="S81" s="103">
        <f t="shared" si="10"/>
        <v>0</v>
      </c>
      <c r="T81" s="115" t="s">
        <v>435</v>
      </c>
      <c r="U81" s="106">
        <f t="shared" si="11"/>
        <v>0</v>
      </c>
      <c r="W81" s="195"/>
    </row>
    <row r="82" spans="2:31" ht="17.45" customHeight="1" outlineLevel="1" x14ac:dyDescent="0.2">
      <c r="B82" s="1296"/>
      <c r="C82" s="183"/>
      <c r="D82" s="184"/>
      <c r="E82" s="115" t="s">
        <v>434</v>
      </c>
      <c r="F82" s="185"/>
      <c r="G82" s="115" t="s">
        <v>434</v>
      </c>
      <c r="H82" s="185"/>
      <c r="I82" s="103">
        <f t="shared" si="8"/>
        <v>0</v>
      </c>
      <c r="J82" s="115" t="s">
        <v>435</v>
      </c>
      <c r="K82" s="106">
        <f t="shared" si="9"/>
        <v>0</v>
      </c>
      <c r="M82" s="183"/>
      <c r="N82" s="184"/>
      <c r="O82" s="115" t="s">
        <v>434</v>
      </c>
      <c r="P82" s="185"/>
      <c r="Q82" s="115" t="s">
        <v>434</v>
      </c>
      <c r="R82" s="185"/>
      <c r="S82" s="103">
        <f>IF($P82=0,0,VLOOKUP($R82,Std_Brick,4,FALSE))</f>
        <v>0</v>
      </c>
      <c r="T82" s="115" t="s">
        <v>435</v>
      </c>
      <c r="U82" s="106">
        <f t="shared" si="11"/>
        <v>0</v>
      </c>
      <c r="W82" s="195"/>
    </row>
    <row r="83" spans="2:31" ht="17.45" customHeight="1" outlineLevel="1" thickBot="1" x14ac:dyDescent="0.25">
      <c r="B83" s="1296"/>
      <c r="C83" s="187"/>
      <c r="D83" s="191"/>
      <c r="E83" s="118" t="s">
        <v>434</v>
      </c>
      <c r="F83" s="193"/>
      <c r="G83" s="118" t="s">
        <v>434</v>
      </c>
      <c r="H83" s="193"/>
      <c r="I83" s="109">
        <f t="shared" si="8"/>
        <v>0</v>
      </c>
      <c r="J83" s="118" t="s">
        <v>435</v>
      </c>
      <c r="K83" s="107">
        <f t="shared" si="9"/>
        <v>0</v>
      </c>
      <c r="M83" s="116" t="s">
        <v>486</v>
      </c>
      <c r="N83" s="130" t="str">
        <f>IF(ISBLANK(P73),"",1)</f>
        <v/>
      </c>
      <c r="O83" s="118" t="s">
        <v>434</v>
      </c>
      <c r="P83" s="169">
        <f>P73</f>
        <v>0</v>
      </c>
      <c r="Q83" s="118" t="s">
        <v>434</v>
      </c>
      <c r="R83" s="169">
        <v>2</v>
      </c>
      <c r="S83" s="109">
        <f t="shared" si="10"/>
        <v>172</v>
      </c>
      <c r="T83" s="118" t="s">
        <v>435</v>
      </c>
      <c r="U83" s="107">
        <f t="shared" si="11"/>
        <v>0</v>
      </c>
      <c r="W83" s="195"/>
    </row>
    <row r="84" spans="2:31" ht="15" customHeight="1" outlineLevel="1" thickBot="1" x14ac:dyDescent="0.25">
      <c r="I84" s="1294" t="s">
        <v>482</v>
      </c>
      <c r="J84" s="1294"/>
      <c r="K84" s="125">
        <f>CEILING(SUM($K68:$K83),0.1)</f>
        <v>0</v>
      </c>
      <c r="L84" s="46" t="s">
        <v>442</v>
      </c>
      <c r="S84" s="1294" t="s">
        <v>483</v>
      </c>
      <c r="T84" s="1294"/>
      <c r="U84" s="125">
        <f>FLOOR(SUM($U68:$U83),0.1)</f>
        <v>0</v>
      </c>
      <c r="V84" s="46" t="s">
        <v>442</v>
      </c>
      <c r="W84" s="195"/>
    </row>
    <row r="85" spans="2:31" ht="15" customHeight="1" outlineLevel="1" thickBot="1" x14ac:dyDescent="0.25">
      <c r="I85" s="47"/>
      <c r="M85" s="126" t="s">
        <v>484</v>
      </c>
      <c r="N85" s="64">
        <f>K84-U84</f>
        <v>0</v>
      </c>
      <c r="O85" s="127" t="s">
        <v>442</v>
      </c>
      <c r="W85" s="195"/>
    </row>
    <row r="86" spans="2:31" ht="15" customHeight="1" outlineLevel="1" x14ac:dyDescent="0.2">
      <c r="W86" s="195"/>
    </row>
    <row r="87" spans="2:31" ht="15" customHeight="1" outlineLevel="1" x14ac:dyDescent="0.2">
      <c r="C87" s="173" t="s">
        <v>454</v>
      </c>
      <c r="D87" s="173" t="s">
        <v>420</v>
      </c>
      <c r="E87" s="45"/>
      <c r="F87" s="173" t="s">
        <v>463</v>
      </c>
      <c r="G87" s="45"/>
      <c r="H87" s="173" t="s">
        <v>126</v>
      </c>
      <c r="I87" s="174" t="s">
        <v>464</v>
      </c>
      <c r="J87" s="45"/>
      <c r="K87" s="1293" t="s">
        <v>465</v>
      </c>
      <c r="L87" s="1293"/>
      <c r="P87" s="49"/>
      <c r="W87" s="195"/>
    </row>
    <row r="88" spans="2:31" ht="15" customHeight="1" outlineLevel="1" x14ac:dyDescent="0.2">
      <c r="C88" s="65" t="s">
        <v>477</v>
      </c>
      <c r="D88" s="48">
        <f>IF(AND(Brick_typeFF&lt;&gt;"Timber Frame",Brick_typeFF&lt;&gt;"Brick Veneer"),N85,0)</f>
        <v>0</v>
      </c>
      <c r="F88" s="49">
        <f>CEILING($D88*19,1)</f>
        <v>0</v>
      </c>
      <c r="H88" s="50">
        <f>CEILING($F88/$K88,0.3333)</f>
        <v>0</v>
      </c>
      <c r="I88" s="49">
        <f>CEILING($H88*$K88,$L88)</f>
        <v>0</v>
      </c>
      <c r="K88" s="41">
        <v>138</v>
      </c>
      <c r="L88" s="41">
        <f>K88/3</f>
        <v>46</v>
      </c>
      <c r="P88" s="49"/>
      <c r="W88" s="195"/>
    </row>
    <row r="89" spans="2:31" ht="15" customHeight="1" outlineLevel="1" x14ac:dyDescent="0.2">
      <c r="C89" s="41" t="s">
        <v>406</v>
      </c>
      <c r="D89" s="48"/>
      <c r="F89" s="49">
        <f>CEILING($D89*19,1)</f>
        <v>0</v>
      </c>
      <c r="H89" s="50">
        <f>CEILING($F89/$K89,0.3333)</f>
        <v>0</v>
      </c>
      <c r="I89" s="49">
        <f>CEILING($H89*$K89,$L89)</f>
        <v>0</v>
      </c>
      <c r="K89" s="41">
        <v>138</v>
      </c>
      <c r="L89" s="41">
        <f>K89/3</f>
        <v>46</v>
      </c>
      <c r="P89" s="49"/>
      <c r="W89" s="195"/>
    </row>
    <row r="90" spans="2:31" ht="15" customHeight="1" outlineLevel="1" x14ac:dyDescent="0.2">
      <c r="C90" s="58" t="s">
        <v>5</v>
      </c>
      <c r="D90" s="48">
        <f>IF(AND(Brick_typeFF&lt;&gt;"Timber Frame",Brick_typeFF&lt;&gt;"Brick Veneer"),CEILING(SUM(U70:U80),0.1),0)</f>
        <v>0</v>
      </c>
      <c r="F90" s="49">
        <f>CEILING($D90*39,1)</f>
        <v>0</v>
      </c>
      <c r="H90" s="50">
        <f>CEILING($F90/$K90,0.3333)</f>
        <v>0</v>
      </c>
      <c r="I90" s="49">
        <f>CEILING($H90*$K90,$L90)</f>
        <v>0</v>
      </c>
      <c r="K90" s="41">
        <v>264</v>
      </c>
      <c r="L90" s="41">
        <f>K90/3</f>
        <v>88</v>
      </c>
      <c r="P90" s="49"/>
      <c r="W90" s="195"/>
    </row>
    <row r="91" spans="2:31" ht="15" customHeight="1" x14ac:dyDescent="0.2">
      <c r="D91" s="48"/>
      <c r="F91" s="49"/>
      <c r="H91" s="50"/>
      <c r="I91" s="49"/>
      <c r="P91" s="49"/>
      <c r="W91" s="195"/>
    </row>
    <row r="92" spans="2:31" ht="15" customHeight="1" x14ac:dyDescent="0.2">
      <c r="D92" s="48"/>
      <c r="F92" s="49"/>
      <c r="H92" s="50"/>
      <c r="I92" s="49"/>
      <c r="P92" s="49"/>
      <c r="W92" s="195"/>
    </row>
    <row r="93" spans="2:31" ht="15" customHeight="1" x14ac:dyDescent="0.2">
      <c r="D93" s="48"/>
      <c r="F93" s="49"/>
      <c r="H93" s="50"/>
      <c r="I93" s="49"/>
      <c r="P93" s="48"/>
      <c r="W93" s="195"/>
    </row>
    <row r="94" spans="2:31" ht="15" customHeight="1" x14ac:dyDescent="0.2">
      <c r="C94" s="39"/>
      <c r="D94" s="39"/>
      <c r="E94" s="39"/>
      <c r="F94" s="39"/>
      <c r="G94" s="39"/>
      <c r="H94" s="39"/>
      <c r="I94" s="39"/>
      <c r="J94" s="39"/>
      <c r="W94" s="197"/>
    </row>
    <row r="95" spans="2:31" ht="27.6" customHeight="1" x14ac:dyDescent="0.2">
      <c r="C95" s="39"/>
      <c r="D95" s="39"/>
      <c r="E95" s="39"/>
      <c r="F95" s="39"/>
      <c r="G95" s="39"/>
      <c r="H95" s="39"/>
      <c r="I95" s="39"/>
      <c r="J95" s="39"/>
    </row>
    <row r="96" spans="2:31" s="42" customFormat="1" ht="15" customHeight="1" x14ac:dyDescent="0.2">
      <c r="B96" s="41"/>
      <c r="C96" s="748" t="s">
        <v>558</v>
      </c>
      <c r="D96" s="448"/>
      <c r="E96" s="422"/>
      <c r="F96" s="437"/>
      <c r="G96" s="39"/>
      <c r="H96" s="39"/>
      <c r="I96" s="39"/>
      <c r="J96" s="39"/>
      <c r="K96" s="41"/>
      <c r="L96" s="41"/>
      <c r="M96" s="46" t="s">
        <v>560</v>
      </c>
      <c r="N96" s="41"/>
      <c r="O96" s="41"/>
      <c r="P96" s="41"/>
      <c r="Q96" s="41"/>
      <c r="R96" s="1114" t="s">
        <v>2528</v>
      </c>
      <c r="S96" s="41"/>
      <c r="T96" s="41"/>
      <c r="U96" s="41"/>
      <c r="V96" s="41"/>
      <c r="W96" s="41"/>
      <c r="X96" s="41"/>
      <c r="Y96" s="41"/>
      <c r="Z96" s="41"/>
      <c r="AA96" s="41"/>
      <c r="AB96" s="41"/>
      <c r="AC96" s="41"/>
      <c r="AD96" s="41"/>
      <c r="AE96" s="41"/>
    </row>
    <row r="97" spans="2:31" s="42" customFormat="1" ht="15" customHeight="1" x14ac:dyDescent="0.2">
      <c r="B97" s="41"/>
      <c r="C97" s="749" t="s">
        <v>575</v>
      </c>
      <c r="D97" s="720" t="str">
        <f>IFERROR(VLOOKUP(Eng_Footing,Footing_Type,15,FALSE),"")</f>
        <v/>
      </c>
      <c r="E97" s="422"/>
      <c r="F97" s="741"/>
      <c r="G97" s="39"/>
      <c r="H97" s="39"/>
      <c r="I97" s="39"/>
      <c r="J97" s="39"/>
      <c r="K97" s="41"/>
      <c r="L97" s="41"/>
      <c r="M97" s="198"/>
      <c r="N97" s="206"/>
      <c r="O97" s="132" t="s">
        <v>497</v>
      </c>
      <c r="P97" s="41"/>
      <c r="Q97" s="41"/>
      <c r="R97" s="720">
        <f>CEILING((SUM(F88:F90,F62:F64,F31:F34,P31:P35)/1000*1.035),10)</f>
        <v>0</v>
      </c>
      <c r="S97" s="41"/>
      <c r="T97" s="41"/>
      <c r="U97" s="41"/>
      <c r="V97" s="41"/>
      <c r="W97" s="41"/>
      <c r="X97" s="41"/>
      <c r="Y97" s="41"/>
      <c r="Z97" s="41"/>
      <c r="AA97" s="41"/>
      <c r="AB97" s="41"/>
      <c r="AC97" s="41"/>
      <c r="AD97" s="41"/>
      <c r="AE97" s="41"/>
    </row>
    <row r="98" spans="2:31" s="42" customFormat="1" ht="15" customHeight="1" x14ac:dyDescent="0.2">
      <c r="B98" s="41"/>
      <c r="C98" s="750" t="s">
        <v>7</v>
      </c>
      <c r="D98" s="742" t="s">
        <v>34</v>
      </c>
      <c r="E98" s="743"/>
      <c r="F98" s="744" t="s">
        <v>1104</v>
      </c>
      <c r="G98" s="39"/>
      <c r="H98" s="39"/>
      <c r="I98" s="39"/>
      <c r="J98" s="39"/>
      <c r="K98" s="41"/>
      <c r="L98" s="41"/>
      <c r="M98" s="199"/>
      <c r="N98" s="184"/>
      <c r="O98" s="133" t="s">
        <v>497</v>
      </c>
      <c r="P98" s="41"/>
      <c r="Q98" s="41"/>
      <c r="R98" s="41"/>
      <c r="S98" s="41"/>
      <c r="T98" s="41"/>
      <c r="U98" s="41"/>
      <c r="V98" s="41"/>
      <c r="W98" s="41"/>
      <c r="X98" s="41"/>
      <c r="Y98" s="41"/>
      <c r="Z98" s="41"/>
      <c r="AA98" s="41"/>
      <c r="AB98" s="41"/>
      <c r="AC98" s="41"/>
      <c r="AD98" s="41"/>
      <c r="AE98" s="41"/>
    </row>
    <row r="99" spans="2:31" s="42" customFormat="1" ht="15" customHeight="1" x14ac:dyDescent="0.2">
      <c r="B99" s="41"/>
      <c r="C99" s="751" t="s">
        <v>496</v>
      </c>
      <c r="D99" s="720">
        <f>IF(OR(Brick_typeFF="Brick Veneer",Brick_typeFF="Timber Frame"),0,'Brickwork FF'!F68)</f>
        <v>0</v>
      </c>
      <c r="E99" s="745" t="s">
        <v>497</v>
      </c>
      <c r="F99" s="746">
        <v>1</v>
      </c>
      <c r="G99" s="39"/>
      <c r="H99" s="39"/>
      <c r="I99" s="39"/>
      <c r="J99" s="39"/>
      <c r="K99" s="41"/>
      <c r="L99" s="41"/>
      <c r="M99" s="199"/>
      <c r="N99" s="184"/>
      <c r="O99" s="133" t="s">
        <v>497</v>
      </c>
      <c r="P99" s="41"/>
      <c r="Q99" s="41"/>
      <c r="R99" s="41"/>
      <c r="S99" s="41"/>
      <c r="T99" s="41"/>
      <c r="U99" s="41"/>
      <c r="V99" s="41"/>
      <c r="W99" s="41"/>
      <c r="X99" s="41"/>
      <c r="Y99" s="41"/>
      <c r="Z99" s="41"/>
      <c r="AA99" s="41"/>
      <c r="AB99" s="41"/>
      <c r="AC99" s="41"/>
      <c r="AD99" s="41"/>
      <c r="AE99" s="41"/>
    </row>
    <row r="100" spans="2:31" s="42" customFormat="1" ht="15" customHeight="1" x14ac:dyDescent="0.2">
      <c r="B100" s="41"/>
      <c r="C100" s="751" t="s">
        <v>59</v>
      </c>
      <c r="D100" s="720">
        <f>IF(OR(Brick_typeFF="Brick Veneer",Brick_typeFF="Timber Frame"),0,F69)</f>
        <v>0</v>
      </c>
      <c r="E100" s="745" t="s">
        <v>497</v>
      </c>
      <c r="F100" s="746">
        <v>1</v>
      </c>
      <c r="G100" s="39"/>
      <c r="H100" s="39"/>
      <c r="I100" s="39"/>
      <c r="J100" s="39"/>
      <c r="K100" s="41"/>
      <c r="L100" s="41"/>
      <c r="M100" s="199"/>
      <c r="N100" s="184"/>
      <c r="O100" s="133" t="s">
        <v>497</v>
      </c>
      <c r="P100" s="41"/>
      <c r="Q100" s="41"/>
      <c r="R100" s="41"/>
      <c r="S100" s="41"/>
      <c r="T100" s="41"/>
      <c r="U100" s="41"/>
      <c r="V100" s="41"/>
      <c r="W100" s="41"/>
      <c r="X100" s="41"/>
      <c r="Y100" s="41"/>
      <c r="Z100" s="41"/>
      <c r="AA100" s="41"/>
      <c r="AB100" s="41"/>
      <c r="AC100" s="41"/>
      <c r="AD100" s="41"/>
      <c r="AE100" s="41"/>
    </row>
    <row r="101" spans="2:31" s="42" customFormat="1" ht="15" customHeight="1" x14ac:dyDescent="0.2">
      <c r="B101" s="41"/>
      <c r="C101" s="751" t="s">
        <v>559</v>
      </c>
      <c r="D101" s="720">
        <f>IF(OR(Brick_typeFF="Reverse Brick Veneer",Brick_typeFF="Timber Frame"),0,SUMIF('CSV FF'!A:A,"B/Work &gt; 25c",'CSV FF'!C:C)*1000)</f>
        <v>0</v>
      </c>
      <c r="E101" s="745" t="s">
        <v>497</v>
      </c>
      <c r="F101" s="746">
        <v>1</v>
      </c>
      <c r="G101" s="39"/>
      <c r="H101" s="39"/>
      <c r="I101" s="39"/>
      <c r="J101" s="39"/>
      <c r="K101" s="41"/>
      <c r="L101" s="41"/>
      <c r="M101" s="199"/>
      <c r="N101" s="184"/>
      <c r="O101" s="133" t="s">
        <v>497</v>
      </c>
      <c r="P101" s="41"/>
      <c r="Q101" s="41"/>
      <c r="R101" s="41"/>
      <c r="S101" s="41"/>
      <c r="T101" s="41"/>
      <c r="U101" s="41"/>
      <c r="V101" s="41"/>
      <c r="W101" s="41"/>
      <c r="X101" s="41"/>
      <c r="Y101" s="41"/>
      <c r="Z101" s="41"/>
      <c r="AA101" s="41"/>
      <c r="AB101" s="41"/>
      <c r="AC101" s="41"/>
      <c r="AD101" s="41"/>
      <c r="AE101" s="41"/>
    </row>
    <row r="102" spans="2:31" s="42" customFormat="1" ht="15" customHeight="1" x14ac:dyDescent="0.2">
      <c r="B102" s="41"/>
      <c r="C102" s="751" t="s">
        <v>560</v>
      </c>
      <c r="D102" s="720">
        <f>SUM(N97:N107)</f>
        <v>0</v>
      </c>
      <c r="E102" s="745" t="s">
        <v>497</v>
      </c>
      <c r="F102" s="746">
        <v>1</v>
      </c>
      <c r="G102" s="39"/>
      <c r="H102" s="39"/>
      <c r="I102" s="39"/>
      <c r="J102" s="39"/>
      <c r="K102" s="41"/>
      <c r="L102" s="41"/>
      <c r="M102" s="199"/>
      <c r="N102" s="184"/>
      <c r="O102" s="133" t="s">
        <v>497</v>
      </c>
      <c r="P102" s="41"/>
      <c r="Q102" s="41"/>
      <c r="R102" s="41"/>
      <c r="S102" s="41"/>
      <c r="T102" s="41"/>
      <c r="U102" s="41"/>
      <c r="V102" s="41"/>
      <c r="W102" s="41"/>
      <c r="X102" s="41"/>
      <c r="Y102" s="41"/>
      <c r="Z102" s="41"/>
      <c r="AA102" s="41"/>
      <c r="AB102" s="41"/>
      <c r="AC102" s="41"/>
      <c r="AD102" s="41"/>
      <c r="AE102" s="41"/>
    </row>
    <row r="103" spans="2:31" s="42" customFormat="1" ht="15" customHeight="1" x14ac:dyDescent="0.2">
      <c r="B103" s="41"/>
      <c r="C103" s="751" t="s">
        <v>561</v>
      </c>
      <c r="D103" s="720">
        <f>IF(Brick_typeFF="Timber Frame",0,SUMIFS(Lintel_Opening,Lintel_Floor,"First",'Lintel Sheet'!$E$5:$E$70,"&lt;25")*1000)</f>
        <v>0</v>
      </c>
      <c r="E103" s="745" t="s">
        <v>497</v>
      </c>
      <c r="F103" s="720">
        <f>IF(OR(Brick_type="Reverse Brick Veneer",Brick_type="Brick Veneer"),1,IF(OR(Brick_type="Standard Face",Brick_type="2c Face",Brick_type="Full Render"),2,0))</f>
        <v>0</v>
      </c>
      <c r="G103" s="39"/>
      <c r="H103" s="39"/>
      <c r="I103" s="39"/>
      <c r="J103" s="39"/>
      <c r="K103" s="41"/>
      <c r="L103" s="41"/>
      <c r="M103" s="199"/>
      <c r="N103" s="184"/>
      <c r="O103" s="133" t="s">
        <v>497</v>
      </c>
      <c r="P103" s="41"/>
      <c r="Q103" s="41"/>
      <c r="R103" s="41"/>
      <c r="S103" s="41"/>
      <c r="T103" s="41"/>
      <c r="U103" s="41"/>
      <c r="V103" s="41"/>
      <c r="W103" s="41"/>
      <c r="X103" s="41"/>
      <c r="Y103" s="41"/>
      <c r="Z103" s="41"/>
      <c r="AA103" s="41"/>
      <c r="AB103" s="41"/>
      <c r="AC103" s="41"/>
      <c r="AD103" s="41"/>
      <c r="AE103" s="41"/>
    </row>
    <row r="104" spans="2:31" ht="15" customHeight="1" x14ac:dyDescent="0.2">
      <c r="C104" s="751" t="s">
        <v>562</v>
      </c>
      <c r="D104" s="720">
        <f>IF(OR(Brick_typeFF="Brick Veneer",Brick_typeFF="Timber Frame"),0,P74*2)</f>
        <v>0</v>
      </c>
      <c r="E104" s="745" t="s">
        <v>497</v>
      </c>
      <c r="F104" s="746">
        <v>1</v>
      </c>
      <c r="G104" s="39"/>
      <c r="H104" s="39"/>
      <c r="I104" s="39"/>
      <c r="J104" s="39"/>
      <c r="M104" s="199"/>
      <c r="N104" s="184"/>
      <c r="O104" s="133" t="s">
        <v>497</v>
      </c>
    </row>
    <row r="105" spans="2:31" ht="15" customHeight="1" x14ac:dyDescent="0.2">
      <c r="C105" s="752" t="s">
        <v>1583</v>
      </c>
      <c r="D105" s="720">
        <f>SUMPRODUCT(D99:D104,F99:F104)*1.1</f>
        <v>0</v>
      </c>
      <c r="E105" s="745" t="s">
        <v>497</v>
      </c>
      <c r="F105" s="747"/>
      <c r="M105" s="199"/>
      <c r="N105" s="184"/>
      <c r="O105" s="133" t="s">
        <v>497</v>
      </c>
    </row>
    <row r="106" spans="2:31" ht="15" customHeight="1" x14ac:dyDescent="0.2">
      <c r="C106" s="752" t="s">
        <v>1584</v>
      </c>
      <c r="D106" s="720">
        <f>D105*2</f>
        <v>0</v>
      </c>
      <c r="E106" s="745" t="s">
        <v>497</v>
      </c>
      <c r="F106" s="747"/>
      <c r="M106" s="199"/>
      <c r="N106" s="184"/>
      <c r="O106" s="133" t="s">
        <v>497</v>
      </c>
    </row>
    <row r="107" spans="2:31" ht="15" customHeight="1" x14ac:dyDescent="0.2">
      <c r="C107" s="752" t="s">
        <v>1585</v>
      </c>
      <c r="D107" s="720">
        <f>IF(Rods_Required="Yes",CEILING((D106)/5500,1),0)</f>
        <v>0</v>
      </c>
      <c r="E107" s="422"/>
      <c r="F107" s="747"/>
      <c r="M107" s="200"/>
      <c r="N107" s="207"/>
      <c r="O107" s="134" t="s">
        <v>497</v>
      </c>
    </row>
  </sheetData>
  <sheetProtection selectLockedCells="1"/>
  <mergeCells count="16">
    <mergeCell ref="K87:L87"/>
    <mergeCell ref="K30:L30"/>
    <mergeCell ref="B39:B58"/>
    <mergeCell ref="I59:J59"/>
    <mergeCell ref="S59:T59"/>
    <mergeCell ref="K61:L61"/>
    <mergeCell ref="B68:B83"/>
    <mergeCell ref="U30:V30"/>
    <mergeCell ref="I84:J84"/>
    <mergeCell ref="S84:T84"/>
    <mergeCell ref="C1:V1"/>
    <mergeCell ref="B4:B27"/>
    <mergeCell ref="L4:L15"/>
    <mergeCell ref="L16:L27"/>
    <mergeCell ref="I28:J28"/>
    <mergeCell ref="S28:T28"/>
  </mergeCells>
  <pageMargins left="0.39370078740157483" right="0.39370078740157483" top="0.78740157480314965" bottom="0.59055118110236227" header="0.51181102362204722" footer="0.31496062992125984"/>
  <pageSetup paperSize="9" scale="60" fitToHeight="3" orientation="landscape" r:id="rId1"/>
  <headerFooter alignWithMargins="0"/>
  <rowBreaks count="2" manualBreakCount="2">
    <brk id="36" min="1" max="21" man="1"/>
    <brk id="65" min="1" max="21" man="1"/>
  </rowBreaks>
  <legacy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9">
    <tabColor rgb="FFFFC000" tint="1"/>
    <pageSetUpPr fitToPage="1"/>
  </sheetPr>
  <dimension ref="A1:Q76"/>
  <sheetViews>
    <sheetView workbookViewId="0"/>
  </sheetViews>
  <sheetFormatPr defaultColWidth="9.140625" defaultRowHeight="12.75" x14ac:dyDescent="0.2"/>
  <cols>
    <col min="1" max="1" width="18.7109375" style="241" customWidth="1"/>
    <col min="2" max="2" width="10.7109375" style="241" customWidth="1"/>
    <col min="3" max="3" width="10.7109375" style="282" customWidth="1"/>
    <col min="4" max="4" width="10.7109375" style="241" customWidth="1"/>
    <col min="5" max="5" width="10.7109375" style="282" customWidth="1"/>
    <col min="6" max="8" width="10.7109375" style="241" customWidth="1"/>
    <col min="9" max="10" width="10.7109375" style="282" customWidth="1"/>
    <col min="11" max="12" width="10.7109375" style="241" customWidth="1"/>
    <col min="13" max="13" width="29.7109375" style="241" customWidth="1"/>
    <col min="14" max="14" width="15.85546875" style="241" customWidth="1"/>
    <col min="15" max="15" width="19.85546875" style="241" customWidth="1"/>
    <col min="16" max="16384" width="9.140625" style="241"/>
  </cols>
  <sheetData>
    <row r="1" spans="1:17" ht="23.25" x14ac:dyDescent="0.35">
      <c r="A1" s="233" t="s">
        <v>590</v>
      </c>
      <c r="B1" s="234"/>
      <c r="C1" s="235"/>
      <c r="D1" s="236"/>
      <c r="E1" s="235"/>
      <c r="F1" s="236"/>
      <c r="G1" s="236"/>
      <c r="H1" s="236"/>
      <c r="I1" s="235"/>
      <c r="J1" s="235"/>
      <c r="K1" s="236"/>
      <c r="L1" s="236"/>
      <c r="M1" s="237" t="s">
        <v>344</v>
      </c>
      <c r="N1" s="237" t="s">
        <v>373</v>
      </c>
      <c r="O1" s="238" t="s">
        <v>345</v>
      </c>
      <c r="P1" s="239"/>
      <c r="Q1" s="240"/>
    </row>
    <row r="2" spans="1:17" ht="39" thickBot="1" x14ac:dyDescent="0.25">
      <c r="A2" s="242" t="s">
        <v>7</v>
      </c>
      <c r="B2" s="242" t="s">
        <v>591</v>
      </c>
      <c r="C2" s="242" t="s">
        <v>437</v>
      </c>
      <c r="D2" s="242" t="s">
        <v>563</v>
      </c>
      <c r="E2" s="242" t="s">
        <v>592</v>
      </c>
      <c r="F2" s="242" t="s">
        <v>593</v>
      </c>
      <c r="G2" s="242" t="s">
        <v>594</v>
      </c>
      <c r="H2" s="242" t="s">
        <v>595</v>
      </c>
      <c r="I2" s="242" t="s">
        <v>596</v>
      </c>
      <c r="J2" s="242" t="s">
        <v>597</v>
      </c>
      <c r="K2" s="242" t="s">
        <v>598</v>
      </c>
      <c r="L2" s="242" t="s">
        <v>57</v>
      </c>
      <c r="M2" s="243"/>
      <c r="N2" s="244"/>
      <c r="O2" s="245"/>
      <c r="P2" s="245"/>
      <c r="Q2" s="245"/>
    </row>
    <row r="3" spans="1:17" ht="15" x14ac:dyDescent="0.2">
      <c r="A3" s="246" t="s">
        <v>16</v>
      </c>
      <c r="B3" s="247"/>
      <c r="C3" s="248"/>
      <c r="D3" s="249">
        <f>IF(ISBLANK($C3),0,IF($C3=15,1,IF($C3=28,2,IF($C3=31,2,2.5))))</f>
        <v>0</v>
      </c>
      <c r="E3" s="249">
        <f>IF(OR($C3=15,$C3=28),CEILING($B3/6000,0.5)*$D3,IF($C3=35,CEILING($B3/6000,0.5),0))</f>
        <v>0</v>
      </c>
      <c r="F3" s="249">
        <f>IF($C3=31,CEILING($B3/6000,0.5)*$D3,0)</f>
        <v>0</v>
      </c>
      <c r="G3" s="249">
        <f>IF($C3=35,CEILING($B3/6000,0.5)*($D3-1),0)</f>
        <v>0</v>
      </c>
      <c r="H3" s="248"/>
      <c r="I3" s="248"/>
      <c r="J3" s="248"/>
      <c r="K3" s="248"/>
      <c r="L3" s="250">
        <f t="shared" ref="L3:L35" si="0">IF(ISBLANK($C3),0,($B3/1000)*((VLOOKUP($C3,Std_Brick,4,FALSE)/1000)))</f>
        <v>0</v>
      </c>
      <c r="M3" s="251"/>
      <c r="N3" s="252"/>
      <c r="O3" s="245"/>
      <c r="P3" s="245"/>
      <c r="Q3" s="245"/>
    </row>
    <row r="4" spans="1:17" x14ac:dyDescent="0.2">
      <c r="A4" s="253" t="s">
        <v>15</v>
      </c>
      <c r="B4" s="254"/>
      <c r="C4" s="255"/>
      <c r="D4" s="256">
        <f t="shared" ref="D4:D35" si="1">IF(ISBLANK($C4),0,IF($C4=15,1,IF($C4=28,2,IF($C4=31,2,2.5))))</f>
        <v>0</v>
      </c>
      <c r="E4" s="256">
        <f t="shared" ref="E4:E35" si="2">IF(OR($C4=15,$C4=28),CEILING($B4/6000,0.5)*$D4,IF($C4=35,CEILING($B4/6000,0.5),0))</f>
        <v>0</v>
      </c>
      <c r="F4" s="256">
        <f t="shared" ref="F4:F35" si="3">IF($C4=31,CEILING($B4/6000,0.5)*$D4,0)</f>
        <v>0</v>
      </c>
      <c r="G4" s="256">
        <f t="shared" ref="G4:G35" si="4">IF($C4=35,CEILING($B4/6000,0.5)*($D4-1),0)</f>
        <v>0</v>
      </c>
      <c r="H4" s="255"/>
      <c r="I4" s="255"/>
      <c r="J4" s="255"/>
      <c r="K4" s="255"/>
      <c r="L4" s="257">
        <f t="shared" si="0"/>
        <v>0</v>
      </c>
      <c r="M4" s="258"/>
      <c r="N4" s="244"/>
      <c r="O4" s="245"/>
      <c r="P4" s="245"/>
      <c r="Q4" s="245"/>
    </row>
    <row r="5" spans="1:17" x14ac:dyDescent="0.2">
      <c r="A5" s="253" t="s">
        <v>25</v>
      </c>
      <c r="B5" s="254"/>
      <c r="C5" s="255"/>
      <c r="D5" s="256">
        <f t="shared" si="1"/>
        <v>0</v>
      </c>
      <c r="E5" s="256">
        <f t="shared" si="2"/>
        <v>0</v>
      </c>
      <c r="F5" s="256">
        <f t="shared" si="3"/>
        <v>0</v>
      </c>
      <c r="G5" s="256">
        <f t="shared" si="4"/>
        <v>0</v>
      </c>
      <c r="H5" s="259"/>
      <c r="I5" s="255"/>
      <c r="J5" s="255"/>
      <c r="K5" s="260"/>
      <c r="L5" s="257">
        <f t="shared" si="0"/>
        <v>0</v>
      </c>
      <c r="M5" s="258"/>
      <c r="N5" s="244"/>
      <c r="O5" s="245"/>
      <c r="P5" s="245"/>
      <c r="Q5" s="245"/>
    </row>
    <row r="6" spans="1:17" x14ac:dyDescent="0.2">
      <c r="A6" s="253" t="s">
        <v>26</v>
      </c>
      <c r="B6" s="254"/>
      <c r="C6" s="255"/>
      <c r="D6" s="256">
        <f t="shared" si="1"/>
        <v>0</v>
      </c>
      <c r="E6" s="256">
        <f t="shared" si="2"/>
        <v>0</v>
      </c>
      <c r="F6" s="256">
        <f t="shared" si="3"/>
        <v>0</v>
      </c>
      <c r="G6" s="256">
        <f t="shared" si="4"/>
        <v>0</v>
      </c>
      <c r="H6" s="259"/>
      <c r="I6" s="255"/>
      <c r="J6" s="255"/>
      <c r="K6" s="260"/>
      <c r="L6" s="257">
        <f t="shared" si="0"/>
        <v>0</v>
      </c>
      <c r="M6" s="258"/>
      <c r="N6" s="244"/>
      <c r="O6" s="245"/>
      <c r="P6" s="245"/>
      <c r="Q6" s="245"/>
    </row>
    <row r="7" spans="1:17" x14ac:dyDescent="0.2">
      <c r="A7" s="253" t="s">
        <v>978</v>
      </c>
      <c r="B7" s="254"/>
      <c r="C7" s="255"/>
      <c r="D7" s="256">
        <f t="shared" si="1"/>
        <v>0</v>
      </c>
      <c r="E7" s="256">
        <f t="shared" si="2"/>
        <v>0</v>
      </c>
      <c r="F7" s="256">
        <f t="shared" si="3"/>
        <v>0</v>
      </c>
      <c r="G7" s="256">
        <f t="shared" si="4"/>
        <v>0</v>
      </c>
      <c r="H7" s="259"/>
      <c r="I7" s="255"/>
      <c r="J7" s="255"/>
      <c r="K7" s="260"/>
      <c r="L7" s="257">
        <f t="shared" si="0"/>
        <v>0</v>
      </c>
      <c r="M7" s="258"/>
      <c r="N7" s="244"/>
      <c r="O7" s="245"/>
      <c r="P7" s="245"/>
      <c r="Q7" s="245"/>
    </row>
    <row r="8" spans="1:17" x14ac:dyDescent="0.2">
      <c r="A8" s="253" t="s">
        <v>151</v>
      </c>
      <c r="B8" s="254"/>
      <c r="C8" s="255"/>
      <c r="D8" s="256">
        <f t="shared" si="1"/>
        <v>0</v>
      </c>
      <c r="E8" s="256">
        <f t="shared" si="2"/>
        <v>0</v>
      </c>
      <c r="F8" s="256">
        <f t="shared" si="3"/>
        <v>0</v>
      </c>
      <c r="G8" s="256">
        <f t="shared" si="4"/>
        <v>0</v>
      </c>
      <c r="H8" s="259"/>
      <c r="I8" s="255"/>
      <c r="J8" s="255"/>
      <c r="K8" s="260"/>
      <c r="L8" s="257">
        <f t="shared" si="0"/>
        <v>0</v>
      </c>
      <c r="M8" s="258"/>
      <c r="N8" s="244"/>
      <c r="O8" s="245"/>
      <c r="P8" s="245"/>
      <c r="Q8" s="245"/>
    </row>
    <row r="9" spans="1:17" x14ac:dyDescent="0.2">
      <c r="A9" s="253" t="s">
        <v>332</v>
      </c>
      <c r="B9" s="254"/>
      <c r="C9" s="255"/>
      <c r="D9" s="256">
        <f t="shared" si="1"/>
        <v>0</v>
      </c>
      <c r="E9" s="256">
        <f t="shared" si="2"/>
        <v>0</v>
      </c>
      <c r="F9" s="256">
        <f t="shared" si="3"/>
        <v>0</v>
      </c>
      <c r="G9" s="256">
        <f t="shared" si="4"/>
        <v>0</v>
      </c>
      <c r="H9" s="259"/>
      <c r="I9" s="255"/>
      <c r="J9" s="255"/>
      <c r="K9" s="260"/>
      <c r="L9" s="257">
        <f t="shared" si="0"/>
        <v>0</v>
      </c>
      <c r="M9" s="258"/>
      <c r="N9" s="244"/>
      <c r="O9" s="245"/>
      <c r="P9" s="245"/>
      <c r="Q9" s="245"/>
    </row>
    <row r="10" spans="1:17" x14ac:dyDescent="0.2">
      <c r="A10" s="253" t="s">
        <v>979</v>
      </c>
      <c r="B10" s="254"/>
      <c r="C10" s="255"/>
      <c r="D10" s="256">
        <f t="shared" si="1"/>
        <v>0</v>
      </c>
      <c r="E10" s="256">
        <f t="shared" si="2"/>
        <v>0</v>
      </c>
      <c r="F10" s="256">
        <f t="shared" si="3"/>
        <v>0</v>
      </c>
      <c r="G10" s="256">
        <f t="shared" si="4"/>
        <v>0</v>
      </c>
      <c r="H10" s="259"/>
      <c r="I10" s="255"/>
      <c r="J10" s="255"/>
      <c r="K10" s="260"/>
      <c r="L10" s="257">
        <f t="shared" si="0"/>
        <v>0</v>
      </c>
      <c r="M10" s="258"/>
      <c r="N10" s="244"/>
      <c r="O10" s="245"/>
      <c r="P10" s="245"/>
      <c r="Q10" s="245"/>
    </row>
    <row r="11" spans="1:17" x14ac:dyDescent="0.2">
      <c r="A11" s="253"/>
      <c r="B11" s="254"/>
      <c r="C11" s="255"/>
      <c r="D11" s="256">
        <f t="shared" si="1"/>
        <v>0</v>
      </c>
      <c r="E11" s="256">
        <f t="shared" si="2"/>
        <v>0</v>
      </c>
      <c r="F11" s="256">
        <f t="shared" si="3"/>
        <v>0</v>
      </c>
      <c r="G11" s="256">
        <f t="shared" si="4"/>
        <v>0</v>
      </c>
      <c r="H11" s="259"/>
      <c r="I11" s="255"/>
      <c r="J11" s="255"/>
      <c r="K11" s="260"/>
      <c r="L11" s="257">
        <f t="shared" si="0"/>
        <v>0</v>
      </c>
      <c r="M11" s="258"/>
      <c r="N11" s="244"/>
      <c r="O11" s="245"/>
      <c r="P11" s="245"/>
      <c r="Q11" s="245"/>
    </row>
    <row r="12" spans="1:17" x14ac:dyDescent="0.2">
      <c r="A12" s="253"/>
      <c r="B12" s="254"/>
      <c r="C12" s="255"/>
      <c r="D12" s="256">
        <f t="shared" si="1"/>
        <v>0</v>
      </c>
      <c r="E12" s="256">
        <f t="shared" si="2"/>
        <v>0</v>
      </c>
      <c r="F12" s="256">
        <f t="shared" si="3"/>
        <v>0</v>
      </c>
      <c r="G12" s="256">
        <f t="shared" si="4"/>
        <v>0</v>
      </c>
      <c r="H12" s="259"/>
      <c r="I12" s="255"/>
      <c r="J12" s="255"/>
      <c r="K12" s="260"/>
      <c r="L12" s="257">
        <f t="shared" si="0"/>
        <v>0</v>
      </c>
      <c r="M12" s="258"/>
      <c r="N12" s="244"/>
      <c r="O12" s="245"/>
      <c r="P12" s="245"/>
      <c r="Q12" s="245"/>
    </row>
    <row r="13" spans="1:17" x14ac:dyDescent="0.2">
      <c r="A13" s="253"/>
      <c r="B13" s="254"/>
      <c r="C13" s="255"/>
      <c r="D13" s="256">
        <f t="shared" si="1"/>
        <v>0</v>
      </c>
      <c r="E13" s="256">
        <f t="shared" si="2"/>
        <v>0</v>
      </c>
      <c r="F13" s="256">
        <f t="shared" si="3"/>
        <v>0</v>
      </c>
      <c r="G13" s="256">
        <f t="shared" si="4"/>
        <v>0</v>
      </c>
      <c r="H13" s="259"/>
      <c r="I13" s="255"/>
      <c r="J13" s="255"/>
      <c r="K13" s="260"/>
      <c r="L13" s="257">
        <f t="shared" si="0"/>
        <v>0</v>
      </c>
      <c r="M13" s="258"/>
      <c r="N13" s="244"/>
      <c r="O13" s="245"/>
      <c r="P13" s="245"/>
      <c r="Q13" s="245"/>
    </row>
    <row r="14" spans="1:17" x14ac:dyDescent="0.2">
      <c r="A14" s="253"/>
      <c r="B14" s="254"/>
      <c r="C14" s="255"/>
      <c r="D14" s="256">
        <f t="shared" si="1"/>
        <v>0</v>
      </c>
      <c r="E14" s="256">
        <f t="shared" si="2"/>
        <v>0</v>
      </c>
      <c r="F14" s="256">
        <f t="shared" si="3"/>
        <v>0</v>
      </c>
      <c r="G14" s="256">
        <f t="shared" si="4"/>
        <v>0</v>
      </c>
      <c r="H14" s="259"/>
      <c r="I14" s="255"/>
      <c r="J14" s="255"/>
      <c r="K14" s="260"/>
      <c r="L14" s="257">
        <f t="shared" si="0"/>
        <v>0</v>
      </c>
      <c r="M14" s="258"/>
      <c r="N14" s="244"/>
      <c r="O14" s="245"/>
      <c r="P14" s="245"/>
      <c r="Q14" s="245"/>
    </row>
    <row r="15" spans="1:17" x14ac:dyDescent="0.2">
      <c r="A15" s="253"/>
      <c r="B15" s="254"/>
      <c r="C15" s="255"/>
      <c r="D15" s="256">
        <f t="shared" si="1"/>
        <v>0</v>
      </c>
      <c r="E15" s="256">
        <f t="shared" si="2"/>
        <v>0</v>
      </c>
      <c r="F15" s="256">
        <f t="shared" si="3"/>
        <v>0</v>
      </c>
      <c r="G15" s="256">
        <f t="shared" si="4"/>
        <v>0</v>
      </c>
      <c r="H15" s="259"/>
      <c r="I15" s="255"/>
      <c r="J15" s="255"/>
      <c r="K15" s="260"/>
      <c r="L15" s="257">
        <f t="shared" si="0"/>
        <v>0</v>
      </c>
      <c r="M15" s="258"/>
      <c r="N15" s="244"/>
      <c r="O15" s="245"/>
      <c r="P15" s="245"/>
      <c r="Q15" s="245"/>
    </row>
    <row r="16" spans="1:17" x14ac:dyDescent="0.2">
      <c r="A16" s="253"/>
      <c r="B16" s="254"/>
      <c r="C16" s="255"/>
      <c r="D16" s="256">
        <f t="shared" si="1"/>
        <v>0</v>
      </c>
      <c r="E16" s="256">
        <f t="shared" si="2"/>
        <v>0</v>
      </c>
      <c r="F16" s="256">
        <f t="shared" si="3"/>
        <v>0</v>
      </c>
      <c r="G16" s="256">
        <f t="shared" si="4"/>
        <v>0</v>
      </c>
      <c r="H16" s="259"/>
      <c r="I16" s="255"/>
      <c r="J16" s="255"/>
      <c r="K16" s="260"/>
      <c r="L16" s="257">
        <f t="shared" si="0"/>
        <v>0</v>
      </c>
      <c r="M16" s="258"/>
      <c r="N16" s="244"/>
      <c r="O16" s="245"/>
      <c r="P16" s="245"/>
      <c r="Q16" s="245"/>
    </row>
    <row r="17" spans="1:17" x14ac:dyDescent="0.2">
      <c r="A17" s="253"/>
      <c r="B17" s="254"/>
      <c r="C17" s="255"/>
      <c r="D17" s="256">
        <f t="shared" si="1"/>
        <v>0</v>
      </c>
      <c r="E17" s="256">
        <f t="shared" si="2"/>
        <v>0</v>
      </c>
      <c r="F17" s="256">
        <f t="shared" si="3"/>
        <v>0</v>
      </c>
      <c r="G17" s="256">
        <f t="shared" si="4"/>
        <v>0</v>
      </c>
      <c r="H17" s="259"/>
      <c r="I17" s="255"/>
      <c r="J17" s="255"/>
      <c r="K17" s="260"/>
      <c r="L17" s="257">
        <f t="shared" si="0"/>
        <v>0</v>
      </c>
      <c r="M17" s="258"/>
      <c r="N17" s="244"/>
      <c r="O17" s="245"/>
      <c r="P17" s="245"/>
      <c r="Q17" s="245"/>
    </row>
    <row r="18" spans="1:17" x14ac:dyDescent="0.2">
      <c r="A18" s="253"/>
      <c r="B18" s="254"/>
      <c r="C18" s="255"/>
      <c r="D18" s="256">
        <f t="shared" si="1"/>
        <v>0</v>
      </c>
      <c r="E18" s="256">
        <f t="shared" si="2"/>
        <v>0</v>
      </c>
      <c r="F18" s="256">
        <f t="shared" si="3"/>
        <v>0</v>
      </c>
      <c r="G18" s="256">
        <f t="shared" si="4"/>
        <v>0</v>
      </c>
      <c r="H18" s="259"/>
      <c r="I18" s="255"/>
      <c r="J18" s="255"/>
      <c r="K18" s="260"/>
      <c r="L18" s="257">
        <f t="shared" si="0"/>
        <v>0</v>
      </c>
      <c r="M18" s="258"/>
      <c r="N18" s="244"/>
      <c r="O18" s="245"/>
      <c r="P18" s="245"/>
      <c r="Q18" s="245"/>
    </row>
    <row r="19" spans="1:17" x14ac:dyDescent="0.2">
      <c r="A19" s="253"/>
      <c r="B19" s="254"/>
      <c r="C19" s="255"/>
      <c r="D19" s="256">
        <f t="shared" si="1"/>
        <v>0</v>
      </c>
      <c r="E19" s="256">
        <f t="shared" si="2"/>
        <v>0</v>
      </c>
      <c r="F19" s="256">
        <f t="shared" si="3"/>
        <v>0</v>
      </c>
      <c r="G19" s="256">
        <f t="shared" si="4"/>
        <v>0</v>
      </c>
      <c r="H19" s="259"/>
      <c r="I19" s="255"/>
      <c r="J19" s="255"/>
      <c r="K19" s="260"/>
      <c r="L19" s="257">
        <f t="shared" si="0"/>
        <v>0</v>
      </c>
      <c r="M19" s="258"/>
      <c r="N19" s="244"/>
      <c r="O19" s="245"/>
      <c r="P19" s="245"/>
      <c r="Q19" s="245"/>
    </row>
    <row r="20" spans="1:17" x14ac:dyDescent="0.2">
      <c r="A20" s="253"/>
      <c r="B20" s="254"/>
      <c r="C20" s="255"/>
      <c r="D20" s="256">
        <f t="shared" si="1"/>
        <v>0</v>
      </c>
      <c r="E20" s="256">
        <f t="shared" si="2"/>
        <v>0</v>
      </c>
      <c r="F20" s="256">
        <f t="shared" si="3"/>
        <v>0</v>
      </c>
      <c r="G20" s="256">
        <f t="shared" si="4"/>
        <v>0</v>
      </c>
      <c r="H20" s="259"/>
      <c r="I20" s="255"/>
      <c r="J20" s="255"/>
      <c r="K20" s="260"/>
      <c r="L20" s="257">
        <f t="shared" si="0"/>
        <v>0</v>
      </c>
      <c r="M20" s="258"/>
      <c r="N20" s="244"/>
      <c r="O20" s="245"/>
      <c r="P20" s="245"/>
      <c r="Q20" s="245"/>
    </row>
    <row r="21" spans="1:17" x14ac:dyDescent="0.2">
      <c r="A21" s="253"/>
      <c r="B21" s="254"/>
      <c r="C21" s="255"/>
      <c r="D21" s="256">
        <f t="shared" si="1"/>
        <v>0</v>
      </c>
      <c r="E21" s="256">
        <f t="shared" si="2"/>
        <v>0</v>
      </c>
      <c r="F21" s="256">
        <f t="shared" si="3"/>
        <v>0</v>
      </c>
      <c r="G21" s="256">
        <f t="shared" si="4"/>
        <v>0</v>
      </c>
      <c r="H21" s="259"/>
      <c r="I21" s="255"/>
      <c r="J21" s="255"/>
      <c r="K21" s="260"/>
      <c r="L21" s="257">
        <f t="shared" si="0"/>
        <v>0</v>
      </c>
      <c r="M21" s="258"/>
      <c r="N21" s="244"/>
      <c r="O21" s="245"/>
      <c r="P21" s="245"/>
      <c r="Q21" s="245"/>
    </row>
    <row r="22" spans="1:17" x14ac:dyDescent="0.2">
      <c r="A22" s="253"/>
      <c r="B22" s="254"/>
      <c r="C22" s="255"/>
      <c r="D22" s="256">
        <f t="shared" si="1"/>
        <v>0</v>
      </c>
      <c r="E22" s="256">
        <f t="shared" si="2"/>
        <v>0</v>
      </c>
      <c r="F22" s="256">
        <f t="shared" si="3"/>
        <v>0</v>
      </c>
      <c r="G22" s="256">
        <f t="shared" si="4"/>
        <v>0</v>
      </c>
      <c r="H22" s="259"/>
      <c r="I22" s="255"/>
      <c r="J22" s="255"/>
      <c r="K22" s="260"/>
      <c r="L22" s="257">
        <f t="shared" si="0"/>
        <v>0</v>
      </c>
      <c r="M22" s="258"/>
      <c r="N22" s="244"/>
      <c r="O22" s="245"/>
      <c r="P22" s="245"/>
      <c r="Q22" s="245"/>
    </row>
    <row r="23" spans="1:17" x14ac:dyDescent="0.2">
      <c r="A23" s="253"/>
      <c r="B23" s="254"/>
      <c r="C23" s="255"/>
      <c r="D23" s="256">
        <f t="shared" si="1"/>
        <v>0</v>
      </c>
      <c r="E23" s="256">
        <f t="shared" si="2"/>
        <v>0</v>
      </c>
      <c r="F23" s="256">
        <f t="shared" si="3"/>
        <v>0</v>
      </c>
      <c r="G23" s="256">
        <f t="shared" si="4"/>
        <v>0</v>
      </c>
      <c r="H23" s="259"/>
      <c r="I23" s="255"/>
      <c r="J23" s="255"/>
      <c r="K23" s="260"/>
      <c r="L23" s="257">
        <f t="shared" si="0"/>
        <v>0</v>
      </c>
      <c r="M23" s="258"/>
      <c r="N23" s="244"/>
      <c r="O23" s="245"/>
      <c r="P23" s="245"/>
      <c r="Q23" s="245"/>
    </row>
    <row r="24" spans="1:17" x14ac:dyDescent="0.2">
      <c r="A24" s="253"/>
      <c r="B24" s="254"/>
      <c r="C24" s="255"/>
      <c r="D24" s="256">
        <f t="shared" si="1"/>
        <v>0</v>
      </c>
      <c r="E24" s="256">
        <f t="shared" si="2"/>
        <v>0</v>
      </c>
      <c r="F24" s="256">
        <f t="shared" si="3"/>
        <v>0</v>
      </c>
      <c r="G24" s="256">
        <f t="shared" si="4"/>
        <v>0</v>
      </c>
      <c r="H24" s="259"/>
      <c r="I24" s="255"/>
      <c r="J24" s="255"/>
      <c r="K24" s="260"/>
      <c r="L24" s="257">
        <f t="shared" si="0"/>
        <v>0</v>
      </c>
      <c r="M24" s="258"/>
      <c r="N24" s="244"/>
      <c r="O24" s="245"/>
      <c r="P24" s="245"/>
      <c r="Q24" s="245"/>
    </row>
    <row r="25" spans="1:17" x14ac:dyDescent="0.2">
      <c r="A25" s="253"/>
      <c r="B25" s="254"/>
      <c r="C25" s="255"/>
      <c r="D25" s="256">
        <f t="shared" si="1"/>
        <v>0</v>
      </c>
      <c r="E25" s="256">
        <f t="shared" si="2"/>
        <v>0</v>
      </c>
      <c r="F25" s="256">
        <f t="shared" si="3"/>
        <v>0</v>
      </c>
      <c r="G25" s="256">
        <f t="shared" si="4"/>
        <v>0</v>
      </c>
      <c r="H25" s="259"/>
      <c r="I25" s="255"/>
      <c r="J25" s="255"/>
      <c r="K25" s="260"/>
      <c r="L25" s="257">
        <f t="shared" si="0"/>
        <v>0</v>
      </c>
      <c r="M25" s="258"/>
      <c r="N25" s="244"/>
      <c r="O25" s="245"/>
      <c r="P25" s="245"/>
      <c r="Q25" s="245"/>
    </row>
    <row r="26" spans="1:17" x14ac:dyDescent="0.2">
      <c r="A26" s="253"/>
      <c r="B26" s="254"/>
      <c r="C26" s="255"/>
      <c r="D26" s="256">
        <f t="shared" si="1"/>
        <v>0</v>
      </c>
      <c r="E26" s="256">
        <f t="shared" si="2"/>
        <v>0</v>
      </c>
      <c r="F26" s="256">
        <f t="shared" si="3"/>
        <v>0</v>
      </c>
      <c r="G26" s="256">
        <f t="shared" si="4"/>
        <v>0</v>
      </c>
      <c r="H26" s="259"/>
      <c r="I26" s="255"/>
      <c r="J26" s="255"/>
      <c r="K26" s="260"/>
      <c r="L26" s="257">
        <f t="shared" si="0"/>
        <v>0</v>
      </c>
      <c r="M26" s="258"/>
      <c r="N26" s="244"/>
      <c r="O26" s="245"/>
      <c r="P26" s="245"/>
      <c r="Q26" s="245"/>
    </row>
    <row r="27" spans="1:17" x14ac:dyDescent="0.2">
      <c r="A27" s="253"/>
      <c r="B27" s="254"/>
      <c r="C27" s="255"/>
      <c r="D27" s="256">
        <f t="shared" si="1"/>
        <v>0</v>
      </c>
      <c r="E27" s="256">
        <f t="shared" si="2"/>
        <v>0</v>
      </c>
      <c r="F27" s="256">
        <f t="shared" si="3"/>
        <v>0</v>
      </c>
      <c r="G27" s="256">
        <f t="shared" si="4"/>
        <v>0</v>
      </c>
      <c r="H27" s="259"/>
      <c r="I27" s="255"/>
      <c r="J27" s="255"/>
      <c r="K27" s="260"/>
      <c r="L27" s="257">
        <f t="shared" si="0"/>
        <v>0</v>
      </c>
      <c r="M27" s="258"/>
      <c r="N27" s="244"/>
      <c r="O27" s="245"/>
      <c r="P27" s="245"/>
      <c r="Q27" s="245"/>
    </row>
    <row r="28" spans="1:17" x14ac:dyDescent="0.2">
      <c r="A28" s="253"/>
      <c r="B28" s="254"/>
      <c r="C28" s="255"/>
      <c r="D28" s="256">
        <f t="shared" si="1"/>
        <v>0</v>
      </c>
      <c r="E28" s="256">
        <f t="shared" si="2"/>
        <v>0</v>
      </c>
      <c r="F28" s="256">
        <f t="shared" si="3"/>
        <v>0</v>
      </c>
      <c r="G28" s="256">
        <f t="shared" si="4"/>
        <v>0</v>
      </c>
      <c r="H28" s="259"/>
      <c r="I28" s="255"/>
      <c r="J28" s="255"/>
      <c r="K28" s="260"/>
      <c r="L28" s="257">
        <f t="shared" si="0"/>
        <v>0</v>
      </c>
      <c r="M28" s="258"/>
      <c r="N28" s="244"/>
      <c r="O28" s="245"/>
      <c r="P28" s="245"/>
      <c r="Q28" s="245"/>
    </row>
    <row r="29" spans="1:17" x14ac:dyDescent="0.2">
      <c r="A29" s="253"/>
      <c r="B29" s="254"/>
      <c r="C29" s="255"/>
      <c r="D29" s="256">
        <f t="shared" si="1"/>
        <v>0</v>
      </c>
      <c r="E29" s="256">
        <f t="shared" si="2"/>
        <v>0</v>
      </c>
      <c r="F29" s="256">
        <f t="shared" si="3"/>
        <v>0</v>
      </c>
      <c r="G29" s="256">
        <f t="shared" si="4"/>
        <v>0</v>
      </c>
      <c r="H29" s="260"/>
      <c r="I29" s="255"/>
      <c r="J29" s="255"/>
      <c r="K29" s="260"/>
      <c r="L29" s="257">
        <f t="shared" si="0"/>
        <v>0</v>
      </c>
      <c r="M29" s="258"/>
      <c r="N29" s="244"/>
      <c r="O29" s="245"/>
      <c r="P29" s="245"/>
      <c r="Q29" s="245"/>
    </row>
    <row r="30" spans="1:17" x14ac:dyDescent="0.2">
      <c r="A30" s="253"/>
      <c r="B30" s="254"/>
      <c r="C30" s="255"/>
      <c r="D30" s="256">
        <f t="shared" si="1"/>
        <v>0</v>
      </c>
      <c r="E30" s="256">
        <f t="shared" si="2"/>
        <v>0</v>
      </c>
      <c r="F30" s="256">
        <f t="shared" si="3"/>
        <v>0</v>
      </c>
      <c r="G30" s="256">
        <f t="shared" si="4"/>
        <v>0</v>
      </c>
      <c r="H30" s="261"/>
      <c r="I30" s="261"/>
      <c r="J30" s="261"/>
      <c r="K30" s="259"/>
      <c r="L30" s="257">
        <f t="shared" si="0"/>
        <v>0</v>
      </c>
      <c r="M30" s="258"/>
      <c r="N30" s="244"/>
      <c r="O30" s="245"/>
      <c r="P30" s="245"/>
      <c r="Q30" s="245"/>
    </row>
    <row r="31" spans="1:17" x14ac:dyDescent="0.2">
      <c r="A31" s="253"/>
      <c r="B31" s="254"/>
      <c r="C31" s="255"/>
      <c r="D31" s="256">
        <f t="shared" si="1"/>
        <v>0</v>
      </c>
      <c r="E31" s="256">
        <f t="shared" si="2"/>
        <v>0</v>
      </c>
      <c r="F31" s="256">
        <f t="shared" si="3"/>
        <v>0</v>
      </c>
      <c r="G31" s="256">
        <f t="shared" si="4"/>
        <v>0</v>
      </c>
      <c r="H31" s="261"/>
      <c r="I31" s="261"/>
      <c r="J31" s="261"/>
      <c r="K31" s="259"/>
      <c r="L31" s="257">
        <f t="shared" si="0"/>
        <v>0</v>
      </c>
      <c r="M31" s="258"/>
      <c r="N31" s="244"/>
      <c r="O31" s="245"/>
      <c r="P31" s="245"/>
      <c r="Q31" s="245"/>
    </row>
    <row r="32" spans="1:17" x14ac:dyDescent="0.2">
      <c r="A32" s="253"/>
      <c r="B32" s="254"/>
      <c r="C32" s="255"/>
      <c r="D32" s="256">
        <f t="shared" si="1"/>
        <v>0</v>
      </c>
      <c r="E32" s="256">
        <f t="shared" si="2"/>
        <v>0</v>
      </c>
      <c r="F32" s="256">
        <f t="shared" si="3"/>
        <v>0</v>
      </c>
      <c r="G32" s="256">
        <f t="shared" si="4"/>
        <v>0</v>
      </c>
      <c r="H32" s="261"/>
      <c r="I32" s="261"/>
      <c r="J32" s="261"/>
      <c r="K32" s="255"/>
      <c r="L32" s="257">
        <f t="shared" si="0"/>
        <v>0</v>
      </c>
      <c r="M32" s="258"/>
      <c r="N32" s="244"/>
      <c r="O32" s="245"/>
      <c r="P32" s="245"/>
      <c r="Q32" s="245"/>
    </row>
    <row r="33" spans="1:17" x14ac:dyDescent="0.2">
      <c r="A33" s="253"/>
      <c r="B33" s="254"/>
      <c r="C33" s="255"/>
      <c r="D33" s="256">
        <f t="shared" si="1"/>
        <v>0</v>
      </c>
      <c r="E33" s="256">
        <f t="shared" si="2"/>
        <v>0</v>
      </c>
      <c r="F33" s="256">
        <f t="shared" si="3"/>
        <v>0</v>
      </c>
      <c r="G33" s="256">
        <f t="shared" si="4"/>
        <v>0</v>
      </c>
      <c r="H33" s="255"/>
      <c r="I33" s="255"/>
      <c r="J33" s="255"/>
      <c r="K33" s="255"/>
      <c r="L33" s="257">
        <f t="shared" si="0"/>
        <v>0</v>
      </c>
      <c r="M33" s="258"/>
      <c r="N33" s="244"/>
      <c r="O33" s="245"/>
      <c r="P33" s="245"/>
      <c r="Q33" s="245"/>
    </row>
    <row r="34" spans="1:17" x14ac:dyDescent="0.2">
      <c r="A34" s="253"/>
      <c r="B34" s="254"/>
      <c r="C34" s="255"/>
      <c r="D34" s="256">
        <f t="shared" si="1"/>
        <v>0</v>
      </c>
      <c r="E34" s="256">
        <f t="shared" si="2"/>
        <v>0</v>
      </c>
      <c r="F34" s="256">
        <f t="shared" si="3"/>
        <v>0</v>
      </c>
      <c r="G34" s="256">
        <f t="shared" si="4"/>
        <v>0</v>
      </c>
      <c r="H34" s="255"/>
      <c r="I34" s="255"/>
      <c r="J34" s="255"/>
      <c r="K34" s="255"/>
      <c r="L34" s="257">
        <f t="shared" si="0"/>
        <v>0</v>
      </c>
      <c r="M34" s="258"/>
      <c r="N34" s="244"/>
      <c r="O34" s="245"/>
      <c r="P34" s="245"/>
      <c r="Q34" s="245"/>
    </row>
    <row r="35" spans="1:17" ht="13.5" thickBot="1" x14ac:dyDescent="0.25">
      <c r="A35" s="262"/>
      <c r="B35" s="263"/>
      <c r="C35" s="264"/>
      <c r="D35" s="265">
        <f t="shared" si="1"/>
        <v>0</v>
      </c>
      <c r="E35" s="265">
        <f t="shared" si="2"/>
        <v>0</v>
      </c>
      <c r="F35" s="265">
        <f t="shared" si="3"/>
        <v>0</v>
      </c>
      <c r="G35" s="265">
        <f t="shared" si="4"/>
        <v>0</v>
      </c>
      <c r="H35" s="266"/>
      <c r="I35" s="264"/>
      <c r="J35" s="264"/>
      <c r="K35" s="267"/>
      <c r="L35" s="268">
        <f t="shared" si="0"/>
        <v>0</v>
      </c>
      <c r="M35" s="258"/>
      <c r="N35" s="244"/>
      <c r="O35" s="245"/>
      <c r="P35" s="245"/>
      <c r="Q35" s="245"/>
    </row>
    <row r="36" spans="1:17" x14ac:dyDescent="0.2">
      <c r="A36" s="236"/>
      <c r="B36" s="236"/>
      <c r="C36" s="235"/>
      <c r="D36" s="235"/>
      <c r="E36" s="235"/>
      <c r="F36" s="235"/>
      <c r="G36" s="235"/>
      <c r="H36" s="269"/>
      <c r="I36" s="270"/>
      <c r="J36" s="270"/>
      <c r="K36" s="271"/>
      <c r="L36" s="236"/>
      <c r="M36" s="243"/>
      <c r="N36" s="244"/>
      <c r="O36" s="245"/>
      <c r="P36" s="245"/>
      <c r="Q36" s="245"/>
    </row>
    <row r="37" spans="1:17" ht="39" thickBot="1" x14ac:dyDescent="0.25">
      <c r="A37" s="242" t="s">
        <v>7</v>
      </c>
      <c r="B37" s="242" t="s">
        <v>591</v>
      </c>
      <c r="C37" s="242" t="s">
        <v>437</v>
      </c>
      <c r="D37" s="242" t="s">
        <v>563</v>
      </c>
      <c r="E37" s="242" t="s">
        <v>599</v>
      </c>
      <c r="F37" s="242" t="s">
        <v>600</v>
      </c>
      <c r="G37" s="242" t="s">
        <v>601</v>
      </c>
      <c r="H37" s="242" t="s">
        <v>595</v>
      </c>
      <c r="I37" s="242" t="s">
        <v>596</v>
      </c>
      <c r="J37" s="242" t="s">
        <v>597</v>
      </c>
      <c r="K37" s="242" t="s">
        <v>598</v>
      </c>
      <c r="L37" s="242" t="s">
        <v>57</v>
      </c>
      <c r="M37" s="243"/>
      <c r="N37" s="244"/>
      <c r="O37" s="245"/>
      <c r="P37" s="245"/>
      <c r="Q37" s="245"/>
    </row>
    <row r="38" spans="1:17" x14ac:dyDescent="0.2">
      <c r="A38" s="246" t="s">
        <v>28</v>
      </c>
      <c r="B38" s="272"/>
      <c r="C38" s="273"/>
      <c r="D38" s="274">
        <f>IF(ISBLANK($C38),0,IF($C38=15,1,IF($C38=28,2,IF($C38=31,2,2.5))))</f>
        <v>0</v>
      </c>
      <c r="E38" s="274">
        <f>IF(OR($C38=15,$C38=28),CEILING($B38/4200,0.5)*$D38,IF($C38=35,CEILING($B38/4200,0.5),0))</f>
        <v>0</v>
      </c>
      <c r="F38" s="274">
        <f>IF($C38=31,CEILING($B38/3600,0.5)*$D38,0)</f>
        <v>0</v>
      </c>
      <c r="G38" s="274">
        <f>IF($C38=35,CEILING($B38/4200,0.5)*($D38-1),0)</f>
        <v>0</v>
      </c>
      <c r="H38" s="273"/>
      <c r="I38" s="273"/>
      <c r="J38" s="273"/>
      <c r="K38" s="273"/>
      <c r="L38" s="250">
        <f t="shared" ref="L38:L48" si="5">IF(ISBLANK($C38),0,($B38/1000)*((VLOOKUP($C38,Std_Brick,4,FALSE)/1000)))</f>
        <v>0</v>
      </c>
      <c r="M38" s="243"/>
      <c r="N38" s="244"/>
      <c r="O38" s="245"/>
      <c r="P38" s="245"/>
      <c r="Q38" s="245"/>
    </row>
    <row r="39" spans="1:17" x14ac:dyDescent="0.2">
      <c r="A39" s="253" t="s">
        <v>29</v>
      </c>
      <c r="B39" s="254"/>
      <c r="C39" s="255"/>
      <c r="D39" s="256">
        <f t="shared" ref="D39:D48" si="6">IF(ISBLANK($C39),0,IF($C39=15,1,IF($C39=28,2,IF($C39=31,2,2.5))))</f>
        <v>0</v>
      </c>
      <c r="E39" s="256">
        <f t="shared" ref="E39:E48" si="7">IF(OR($C39=15,$C39=28),CEILING($B39/4200,0.5)*$D39,IF($C39=35,CEILING($B39/4200,0.5),0))</f>
        <v>0</v>
      </c>
      <c r="F39" s="256">
        <f t="shared" ref="F39:F48" si="8">IF($C39=31,CEILING($B39/3600,0.5)*$D39,0)</f>
        <v>0</v>
      </c>
      <c r="G39" s="256">
        <f t="shared" ref="G39:G48" si="9">IF($C39=35,CEILING($B39/4200,0.5)*($D39-1),0)</f>
        <v>0</v>
      </c>
      <c r="H39" s="255"/>
      <c r="I39" s="255"/>
      <c r="J39" s="255"/>
      <c r="K39" s="255"/>
      <c r="L39" s="257">
        <f t="shared" si="5"/>
        <v>0</v>
      </c>
      <c r="M39" s="243"/>
      <c r="N39" s="244"/>
      <c r="O39" s="245"/>
      <c r="P39" s="245"/>
      <c r="Q39" s="245"/>
    </row>
    <row r="40" spans="1:17" x14ac:dyDescent="0.2">
      <c r="A40" s="253" t="s">
        <v>17</v>
      </c>
      <c r="B40" s="254"/>
      <c r="C40" s="255"/>
      <c r="D40" s="256">
        <f t="shared" si="6"/>
        <v>0</v>
      </c>
      <c r="E40" s="256">
        <f t="shared" si="7"/>
        <v>0</v>
      </c>
      <c r="F40" s="256">
        <f t="shared" si="8"/>
        <v>0</v>
      </c>
      <c r="G40" s="256">
        <f t="shared" si="9"/>
        <v>0</v>
      </c>
      <c r="H40" s="255"/>
      <c r="I40" s="255"/>
      <c r="J40" s="255"/>
      <c r="K40" s="255"/>
      <c r="L40" s="257">
        <f t="shared" si="5"/>
        <v>0</v>
      </c>
      <c r="M40" s="243"/>
      <c r="N40" s="244"/>
      <c r="O40" s="245"/>
      <c r="P40" s="245"/>
      <c r="Q40" s="245"/>
    </row>
    <row r="41" spans="1:17" x14ac:dyDescent="0.2">
      <c r="A41" s="253" t="s">
        <v>30</v>
      </c>
      <c r="B41" s="254"/>
      <c r="C41" s="255"/>
      <c r="D41" s="256">
        <f t="shared" si="6"/>
        <v>0</v>
      </c>
      <c r="E41" s="256">
        <f t="shared" si="7"/>
        <v>0</v>
      </c>
      <c r="F41" s="256">
        <f t="shared" si="8"/>
        <v>0</v>
      </c>
      <c r="G41" s="256">
        <f t="shared" si="9"/>
        <v>0</v>
      </c>
      <c r="H41" s="255"/>
      <c r="I41" s="255"/>
      <c r="J41" s="255"/>
      <c r="K41" s="255"/>
      <c r="L41" s="257">
        <f t="shared" si="5"/>
        <v>0</v>
      </c>
      <c r="M41" s="243"/>
      <c r="N41" s="244"/>
      <c r="O41" s="245"/>
      <c r="P41" s="245"/>
      <c r="Q41" s="245"/>
    </row>
    <row r="42" spans="1:17" x14ac:dyDescent="0.2">
      <c r="A42" s="253"/>
      <c r="B42" s="254"/>
      <c r="C42" s="255"/>
      <c r="D42" s="256">
        <f t="shared" si="6"/>
        <v>0</v>
      </c>
      <c r="E42" s="256">
        <f t="shared" si="7"/>
        <v>0</v>
      </c>
      <c r="F42" s="256">
        <f t="shared" si="8"/>
        <v>0</v>
      </c>
      <c r="G42" s="256">
        <f t="shared" si="9"/>
        <v>0</v>
      </c>
      <c r="H42" s="255"/>
      <c r="I42" s="255"/>
      <c r="J42" s="255"/>
      <c r="K42" s="255"/>
      <c r="L42" s="257">
        <f t="shared" si="5"/>
        <v>0</v>
      </c>
      <c r="M42" s="243"/>
      <c r="N42" s="244"/>
      <c r="O42" s="245"/>
      <c r="P42" s="245"/>
      <c r="Q42" s="245"/>
    </row>
    <row r="43" spans="1:17" x14ac:dyDescent="0.2">
      <c r="A43" s="253"/>
      <c r="B43" s="254"/>
      <c r="C43" s="255"/>
      <c r="D43" s="256">
        <f t="shared" si="6"/>
        <v>0</v>
      </c>
      <c r="E43" s="256">
        <f t="shared" si="7"/>
        <v>0</v>
      </c>
      <c r="F43" s="256">
        <f t="shared" si="8"/>
        <v>0</v>
      </c>
      <c r="G43" s="256">
        <f t="shared" si="9"/>
        <v>0</v>
      </c>
      <c r="H43" s="255"/>
      <c r="I43" s="255"/>
      <c r="J43" s="255"/>
      <c r="K43" s="255"/>
      <c r="L43" s="257">
        <f t="shared" si="5"/>
        <v>0</v>
      </c>
      <c r="M43" s="243"/>
      <c r="N43" s="244"/>
      <c r="O43" s="245"/>
      <c r="P43" s="245"/>
      <c r="Q43" s="245"/>
    </row>
    <row r="44" spans="1:17" x14ac:dyDescent="0.2">
      <c r="A44" s="253"/>
      <c r="B44" s="254"/>
      <c r="C44" s="255"/>
      <c r="D44" s="256">
        <f t="shared" si="6"/>
        <v>0</v>
      </c>
      <c r="E44" s="256">
        <f t="shared" si="7"/>
        <v>0</v>
      </c>
      <c r="F44" s="256">
        <f t="shared" si="8"/>
        <v>0</v>
      </c>
      <c r="G44" s="256">
        <f t="shared" si="9"/>
        <v>0</v>
      </c>
      <c r="H44" s="255"/>
      <c r="I44" s="255"/>
      <c r="J44" s="255"/>
      <c r="K44" s="255"/>
      <c r="L44" s="257">
        <f t="shared" si="5"/>
        <v>0</v>
      </c>
      <c r="M44" s="243"/>
      <c r="N44" s="244"/>
      <c r="O44" s="245"/>
      <c r="P44" s="245"/>
      <c r="Q44" s="245"/>
    </row>
    <row r="45" spans="1:17" x14ac:dyDescent="0.2">
      <c r="A45" s="253"/>
      <c r="B45" s="254"/>
      <c r="C45" s="255"/>
      <c r="D45" s="256">
        <f t="shared" si="6"/>
        <v>0</v>
      </c>
      <c r="E45" s="256">
        <f t="shared" si="7"/>
        <v>0</v>
      </c>
      <c r="F45" s="256">
        <f t="shared" si="8"/>
        <v>0</v>
      </c>
      <c r="G45" s="256">
        <f t="shared" si="9"/>
        <v>0</v>
      </c>
      <c r="H45" s="255"/>
      <c r="I45" s="255"/>
      <c r="J45" s="255"/>
      <c r="K45" s="255"/>
      <c r="L45" s="257">
        <f t="shared" si="5"/>
        <v>0</v>
      </c>
      <c r="M45" s="243"/>
      <c r="N45" s="244"/>
      <c r="O45" s="245"/>
      <c r="P45" s="245"/>
      <c r="Q45" s="245"/>
    </row>
    <row r="46" spans="1:17" x14ac:dyDescent="0.2">
      <c r="A46" s="253"/>
      <c r="B46" s="254"/>
      <c r="C46" s="255"/>
      <c r="D46" s="256">
        <f t="shared" si="6"/>
        <v>0</v>
      </c>
      <c r="E46" s="256">
        <f t="shared" si="7"/>
        <v>0</v>
      </c>
      <c r="F46" s="256">
        <f t="shared" si="8"/>
        <v>0</v>
      </c>
      <c r="G46" s="256">
        <f t="shared" si="9"/>
        <v>0</v>
      </c>
      <c r="H46" s="255"/>
      <c r="I46" s="255"/>
      <c r="J46" s="255"/>
      <c r="K46" s="255"/>
      <c r="L46" s="257">
        <f t="shared" si="5"/>
        <v>0</v>
      </c>
      <c r="M46" s="243"/>
      <c r="N46" s="244"/>
      <c r="O46" s="245"/>
      <c r="P46" s="245"/>
      <c r="Q46" s="245"/>
    </row>
    <row r="47" spans="1:17" x14ac:dyDescent="0.2">
      <c r="A47" s="253"/>
      <c r="B47" s="275"/>
      <c r="C47" s="276"/>
      <c r="D47" s="277">
        <f t="shared" si="6"/>
        <v>0</v>
      </c>
      <c r="E47" s="277">
        <f t="shared" si="7"/>
        <v>0</v>
      </c>
      <c r="F47" s="277">
        <f t="shared" si="8"/>
        <v>0</v>
      </c>
      <c r="G47" s="277">
        <f t="shared" si="9"/>
        <v>0</v>
      </c>
      <c r="H47" s="276"/>
      <c r="I47" s="276"/>
      <c r="J47" s="276"/>
      <c r="K47" s="276"/>
      <c r="L47" s="257">
        <f t="shared" si="5"/>
        <v>0</v>
      </c>
      <c r="M47" s="243"/>
      <c r="N47" s="244"/>
      <c r="O47" s="245"/>
      <c r="P47" s="245"/>
      <c r="Q47" s="245"/>
    </row>
    <row r="48" spans="1:17" ht="13.5" thickBot="1" x14ac:dyDescent="0.25">
      <c r="A48" s="262"/>
      <c r="B48" s="263"/>
      <c r="C48" s="264"/>
      <c r="D48" s="265">
        <f t="shared" si="6"/>
        <v>0</v>
      </c>
      <c r="E48" s="265">
        <f t="shared" si="7"/>
        <v>0</v>
      </c>
      <c r="F48" s="265">
        <f t="shared" si="8"/>
        <v>0</v>
      </c>
      <c r="G48" s="265">
        <f t="shared" si="9"/>
        <v>0</v>
      </c>
      <c r="H48" s="264"/>
      <c r="I48" s="264"/>
      <c r="J48" s="264"/>
      <c r="K48" s="264"/>
      <c r="L48" s="268">
        <f t="shared" si="5"/>
        <v>0</v>
      </c>
      <c r="M48" s="243"/>
      <c r="N48" s="244"/>
      <c r="O48" s="245"/>
      <c r="P48" s="245"/>
      <c r="Q48" s="245"/>
    </row>
    <row r="49" spans="1:17" x14ac:dyDescent="0.2">
      <c r="A49" s="236"/>
      <c r="B49" s="236"/>
      <c r="C49" s="235"/>
      <c r="D49" s="235"/>
      <c r="E49" s="235"/>
      <c r="F49" s="235"/>
      <c r="G49" s="235"/>
      <c r="H49" s="269"/>
      <c r="I49" s="270"/>
      <c r="J49" s="270"/>
      <c r="K49" s="271"/>
      <c r="L49" s="236"/>
      <c r="M49" s="243"/>
      <c r="N49" s="244"/>
      <c r="O49" s="245"/>
      <c r="P49" s="245"/>
      <c r="Q49" s="245"/>
    </row>
    <row r="50" spans="1:17" x14ac:dyDescent="0.2">
      <c r="A50" s="236"/>
      <c r="B50" s="236"/>
      <c r="C50" s="235"/>
      <c r="D50" s="235"/>
      <c r="E50" s="235"/>
      <c r="F50" s="235"/>
      <c r="G50" s="235"/>
      <c r="H50" s="269"/>
      <c r="I50" s="270"/>
      <c r="J50" s="270"/>
      <c r="K50" s="271"/>
      <c r="L50" s="236"/>
      <c r="M50" s="243"/>
      <c r="N50" s="244"/>
      <c r="O50" s="245"/>
      <c r="P50" s="245"/>
      <c r="Q50" s="245"/>
    </row>
    <row r="51" spans="1:17" ht="18.600000000000001" customHeight="1" x14ac:dyDescent="0.25">
      <c r="A51" s="278" t="s">
        <v>11</v>
      </c>
      <c r="B51" s="236"/>
      <c r="C51" s="235" t="s">
        <v>602</v>
      </c>
      <c r="D51" s="235"/>
      <c r="E51" s="235" t="s">
        <v>602</v>
      </c>
      <c r="F51" s="235"/>
      <c r="G51" s="235"/>
      <c r="H51" s="269"/>
      <c r="I51" s="270"/>
      <c r="J51" s="270"/>
      <c r="K51" s="271"/>
      <c r="L51" s="236"/>
      <c r="M51" s="243"/>
      <c r="N51" s="244"/>
      <c r="O51" s="245"/>
      <c r="P51" s="245"/>
      <c r="Q51" s="245"/>
    </row>
    <row r="52" spans="1:17" x14ac:dyDescent="0.2">
      <c r="A52" s="236" t="s">
        <v>603</v>
      </c>
      <c r="B52" s="279">
        <f>SUM(E3:E35)</f>
        <v>0</v>
      </c>
      <c r="C52" s="280" t="s">
        <v>604</v>
      </c>
      <c r="D52" s="280"/>
      <c r="E52" s="280"/>
      <c r="F52" s="1298" t="s">
        <v>605</v>
      </c>
      <c r="G52" s="1298"/>
      <c r="H52" s="281">
        <f>CEILING(SUM(L3:L35)+SUM(L38:L48),1)</f>
        <v>0</v>
      </c>
      <c r="I52" s="235"/>
      <c r="J52" s="269"/>
      <c r="K52" s="270"/>
      <c r="L52" s="270"/>
      <c r="M52" s="243"/>
      <c r="N52" s="244"/>
      <c r="O52" s="245"/>
      <c r="P52" s="245"/>
      <c r="Q52" s="245"/>
    </row>
    <row r="53" spans="1:17" x14ac:dyDescent="0.2">
      <c r="A53" s="236" t="s">
        <v>606</v>
      </c>
      <c r="B53" s="279">
        <f>SUM(F3:F35)</f>
        <v>0</v>
      </c>
      <c r="C53" s="280" t="s">
        <v>607</v>
      </c>
      <c r="D53" s="280"/>
      <c r="E53" s="280"/>
      <c r="F53" s="1298"/>
      <c r="G53" s="1298"/>
      <c r="H53" s="235"/>
      <c r="I53" s="235"/>
      <c r="J53" s="269"/>
      <c r="K53" s="270"/>
      <c r="L53" s="270"/>
      <c r="M53" s="243"/>
      <c r="N53" s="244"/>
      <c r="O53" s="245"/>
      <c r="P53" s="245"/>
      <c r="Q53" s="245"/>
    </row>
    <row r="54" spans="1:17" x14ac:dyDescent="0.2">
      <c r="A54" s="236" t="s">
        <v>594</v>
      </c>
      <c r="B54" s="279">
        <f>SUM(G3:G35)</f>
        <v>0</v>
      </c>
      <c r="C54" s="280" t="s">
        <v>608</v>
      </c>
      <c r="D54" s="280"/>
      <c r="E54" s="280" t="s">
        <v>609</v>
      </c>
      <c r="F54" s="1298" t="s">
        <v>614</v>
      </c>
      <c r="G54" s="1298"/>
      <c r="H54" s="281">
        <f>CEILING(H52/25,1)</f>
        <v>0</v>
      </c>
      <c r="I54" s="235"/>
      <c r="J54" s="269"/>
      <c r="K54" s="270"/>
      <c r="L54" s="270"/>
      <c r="M54" s="243"/>
      <c r="N54" s="244"/>
      <c r="O54" s="245"/>
      <c r="P54" s="245"/>
      <c r="Q54" s="245"/>
    </row>
    <row r="55" spans="1:17" x14ac:dyDescent="0.2">
      <c r="A55" s="236" t="s">
        <v>611</v>
      </c>
      <c r="B55" s="279">
        <f>SUM(E38:E48)</f>
        <v>0</v>
      </c>
      <c r="C55" s="280" t="s">
        <v>612</v>
      </c>
      <c r="D55" s="280"/>
      <c r="E55" s="280" t="s">
        <v>613</v>
      </c>
      <c r="F55" s="1298" t="s">
        <v>610</v>
      </c>
      <c r="G55" s="1298"/>
      <c r="H55" s="281">
        <f>CEILING(H52/120,1)</f>
        <v>0</v>
      </c>
      <c r="I55" s="235"/>
      <c r="J55" s="269"/>
      <c r="K55" s="270"/>
      <c r="L55" s="270"/>
      <c r="M55" s="243"/>
      <c r="N55" s="244"/>
      <c r="O55" s="245"/>
      <c r="P55" s="245"/>
      <c r="Q55" s="245"/>
    </row>
    <row r="56" spans="1:17" x14ac:dyDescent="0.2">
      <c r="A56" s="236" t="s">
        <v>615</v>
      </c>
      <c r="B56" s="279">
        <f>SUM(F38:F48)</f>
        <v>0</v>
      </c>
      <c r="C56" s="280" t="s">
        <v>616</v>
      </c>
      <c r="D56" s="280"/>
      <c r="E56" s="280" t="s">
        <v>617</v>
      </c>
      <c r="F56" s="1298" t="s">
        <v>618</v>
      </c>
      <c r="G56" s="1298"/>
      <c r="H56" s="281">
        <f>CEILING(H52/100,1)</f>
        <v>0</v>
      </c>
      <c r="I56" s="270"/>
      <c r="J56" s="270"/>
      <c r="K56" s="271"/>
      <c r="L56" s="236"/>
      <c r="M56" s="243"/>
      <c r="N56" s="244"/>
      <c r="O56" s="245"/>
      <c r="P56" s="245"/>
      <c r="Q56" s="245"/>
    </row>
    <row r="57" spans="1:17" x14ac:dyDescent="0.2">
      <c r="A57" s="236" t="s">
        <v>601</v>
      </c>
      <c r="B57" s="279">
        <f>SUM(G38:G48)</f>
        <v>0</v>
      </c>
      <c r="C57" s="280"/>
      <c r="D57" s="280"/>
      <c r="E57" s="280" t="s">
        <v>619</v>
      </c>
      <c r="F57" s="1298" t="s">
        <v>620</v>
      </c>
      <c r="G57" s="1298"/>
      <c r="H57" s="281">
        <f>CEILING(H52/100,1)</f>
        <v>0</v>
      </c>
      <c r="I57" s="270"/>
      <c r="J57" s="270"/>
      <c r="K57" s="271"/>
      <c r="L57" s="236"/>
      <c r="M57" s="243"/>
      <c r="N57" s="244"/>
      <c r="O57" s="245"/>
      <c r="P57" s="245"/>
      <c r="Q57" s="245"/>
    </row>
    <row r="58" spans="1:17" x14ac:dyDescent="0.2">
      <c r="A58" s="236" t="s">
        <v>621</v>
      </c>
      <c r="B58" s="279">
        <f>SUM(H3:H35)+SUM(H38:H48)</f>
        <v>0</v>
      </c>
      <c r="C58" s="280" t="s">
        <v>622</v>
      </c>
      <c r="D58" s="280"/>
      <c r="E58" s="280" t="s">
        <v>623</v>
      </c>
      <c r="F58" s="1298" t="s">
        <v>624</v>
      </c>
      <c r="G58" s="1298"/>
      <c r="H58" s="281">
        <f>CEILING(H52/100,1)</f>
        <v>0</v>
      </c>
      <c r="I58" s="270"/>
      <c r="J58" s="270"/>
      <c r="K58" s="271"/>
      <c r="L58" s="236"/>
      <c r="M58" s="243"/>
      <c r="N58" s="244"/>
      <c r="O58" s="245"/>
      <c r="P58" s="245"/>
      <c r="Q58" s="245"/>
    </row>
    <row r="59" spans="1:17" x14ac:dyDescent="0.2">
      <c r="A59" s="236" t="s">
        <v>625</v>
      </c>
      <c r="B59" s="279">
        <f>SUM(I3:I35)+SUM(I38:I48)</f>
        <v>0</v>
      </c>
      <c r="C59" s="280" t="s">
        <v>626</v>
      </c>
      <c r="D59" s="280"/>
      <c r="E59" s="280"/>
      <c r="F59" s="1298"/>
      <c r="G59" s="1298"/>
      <c r="H59" s="269"/>
      <c r="I59" s="270"/>
      <c r="J59" s="270"/>
      <c r="K59" s="271"/>
      <c r="L59" s="236"/>
      <c r="M59" s="243"/>
      <c r="N59" s="244"/>
      <c r="O59" s="245"/>
      <c r="P59" s="245"/>
      <c r="Q59" s="245"/>
    </row>
    <row r="60" spans="1:17" x14ac:dyDescent="0.2">
      <c r="A60" s="236" t="s">
        <v>627</v>
      </c>
      <c r="B60" s="279">
        <f>SUM(J3:J35)+SUM(J38:J48)</f>
        <v>0</v>
      </c>
      <c r="C60" s="280" t="s">
        <v>628</v>
      </c>
      <c r="D60" s="280"/>
      <c r="E60" s="280"/>
      <c r="F60" s="1298"/>
      <c r="G60" s="1298"/>
      <c r="H60" s="269"/>
      <c r="I60" s="270"/>
      <c r="J60" s="270"/>
      <c r="K60" s="271"/>
      <c r="L60" s="236"/>
      <c r="M60" s="243"/>
      <c r="N60" s="244"/>
      <c r="O60" s="245"/>
      <c r="P60" s="245"/>
      <c r="Q60" s="245"/>
    </row>
    <row r="61" spans="1:17" x14ac:dyDescent="0.2">
      <c r="A61" s="236" t="s">
        <v>629</v>
      </c>
      <c r="B61" s="279">
        <f>SUM(K3:K35)+SUM(K38:K48)</f>
        <v>0</v>
      </c>
      <c r="C61" s="280" t="s">
        <v>630</v>
      </c>
      <c r="D61" s="280"/>
      <c r="E61" s="280"/>
      <c r="F61" s="1298"/>
      <c r="G61" s="1298"/>
      <c r="H61" s="269"/>
      <c r="I61" s="270"/>
      <c r="J61" s="270"/>
      <c r="K61" s="271"/>
      <c r="L61" s="236"/>
      <c r="M61" s="243"/>
      <c r="N61" s="244"/>
      <c r="O61" s="245"/>
      <c r="P61" s="245"/>
      <c r="Q61" s="245"/>
    </row>
    <row r="62" spans="1:17" x14ac:dyDescent="0.2">
      <c r="A62" s="236"/>
      <c r="B62" s="236"/>
      <c r="C62" s="235"/>
      <c r="D62" s="235"/>
      <c r="E62" s="235"/>
      <c r="F62" s="235"/>
      <c r="G62" s="235"/>
      <c r="H62" s="269"/>
      <c r="I62" s="270"/>
      <c r="J62" s="270"/>
      <c r="K62" s="271"/>
      <c r="L62" s="236"/>
      <c r="M62" s="243"/>
      <c r="N62" s="244"/>
      <c r="O62" s="245"/>
      <c r="P62" s="245"/>
      <c r="Q62" s="245"/>
    </row>
    <row r="63" spans="1:17" x14ac:dyDescent="0.2">
      <c r="A63" s="236"/>
      <c r="B63" s="236"/>
      <c r="C63" s="235"/>
      <c r="D63" s="235"/>
      <c r="E63" s="235"/>
      <c r="F63" s="235"/>
      <c r="G63" s="235"/>
      <c r="H63" s="269"/>
      <c r="I63" s="270"/>
      <c r="J63" s="270"/>
      <c r="K63" s="271"/>
      <c r="L63" s="236"/>
      <c r="M63" s="243"/>
      <c r="N63" s="244"/>
      <c r="O63" s="245"/>
      <c r="P63" s="245"/>
      <c r="Q63" s="245"/>
    </row>
    <row r="64" spans="1:17" x14ac:dyDescent="0.2">
      <c r="A64" s="236"/>
      <c r="B64" s="236"/>
      <c r="C64" s="235"/>
      <c r="D64" s="235"/>
      <c r="E64" s="235"/>
      <c r="F64" s="235"/>
      <c r="G64" s="235"/>
      <c r="H64" s="269"/>
      <c r="I64" s="270"/>
      <c r="J64" s="270"/>
      <c r="K64" s="271"/>
      <c r="L64" s="236"/>
      <c r="M64" s="243"/>
      <c r="N64" s="244"/>
      <c r="O64" s="245"/>
      <c r="P64" s="245"/>
      <c r="Q64" s="245"/>
    </row>
    <row r="65" spans="1:17" x14ac:dyDescent="0.2">
      <c r="A65" s="236"/>
      <c r="B65" s="236"/>
      <c r="C65" s="235"/>
      <c r="D65" s="235"/>
      <c r="E65" s="235"/>
      <c r="F65" s="235"/>
      <c r="G65" s="235"/>
      <c r="H65" s="269"/>
      <c r="I65" s="270"/>
      <c r="J65" s="270"/>
      <c r="K65" s="271"/>
      <c r="L65" s="236"/>
      <c r="M65" s="243"/>
      <c r="N65" s="244"/>
      <c r="O65" s="245"/>
      <c r="P65" s="245"/>
      <c r="Q65" s="245"/>
    </row>
    <row r="66" spans="1:17" x14ac:dyDescent="0.2">
      <c r="A66" s="236"/>
      <c r="B66" s="236"/>
      <c r="C66" s="235"/>
      <c r="D66" s="235"/>
      <c r="E66" s="235"/>
      <c r="F66" s="235"/>
      <c r="G66" s="235"/>
      <c r="H66" s="269"/>
      <c r="I66" s="270"/>
      <c r="J66" s="270"/>
      <c r="K66" s="271"/>
      <c r="L66" s="236"/>
      <c r="M66" s="243"/>
      <c r="N66" s="244"/>
      <c r="O66" s="245"/>
      <c r="P66" s="245"/>
      <c r="Q66" s="245"/>
    </row>
    <row r="67" spans="1:17" x14ac:dyDescent="0.2">
      <c r="A67" s="236"/>
      <c r="B67" s="236"/>
      <c r="C67" s="235"/>
      <c r="D67" s="235"/>
      <c r="E67" s="235"/>
      <c r="F67" s="235"/>
      <c r="G67" s="235"/>
      <c r="H67" s="269"/>
      <c r="I67" s="270"/>
      <c r="J67" s="270"/>
      <c r="K67" s="271"/>
      <c r="L67" s="236"/>
      <c r="M67" s="243"/>
      <c r="N67" s="244"/>
      <c r="O67" s="245"/>
      <c r="P67" s="245"/>
      <c r="Q67" s="245"/>
    </row>
    <row r="68" spans="1:17" x14ac:dyDescent="0.2">
      <c r="A68" s="236"/>
      <c r="B68" s="236"/>
      <c r="C68" s="235"/>
      <c r="D68" s="235"/>
      <c r="E68" s="235"/>
      <c r="F68" s="235"/>
      <c r="G68" s="235"/>
      <c r="H68" s="269"/>
      <c r="I68" s="270"/>
      <c r="J68" s="270"/>
      <c r="K68" s="271"/>
      <c r="L68" s="236"/>
      <c r="M68" s="243"/>
      <c r="N68" s="244"/>
      <c r="O68" s="245"/>
      <c r="P68" s="245"/>
      <c r="Q68" s="245"/>
    </row>
    <row r="69" spans="1:17" x14ac:dyDescent="0.2">
      <c r="A69" s="236"/>
      <c r="B69" s="236"/>
      <c r="C69" s="235"/>
      <c r="D69" s="235"/>
      <c r="E69" s="235"/>
      <c r="F69" s="235"/>
      <c r="G69" s="235"/>
      <c r="H69" s="269"/>
      <c r="I69" s="270"/>
      <c r="J69" s="270"/>
      <c r="K69" s="271"/>
      <c r="L69" s="236"/>
      <c r="M69" s="243"/>
      <c r="N69" s="244"/>
      <c r="O69" s="245"/>
      <c r="P69" s="245"/>
      <c r="Q69" s="245"/>
    </row>
    <row r="70" spans="1:17" x14ac:dyDescent="0.2">
      <c r="A70" s="236"/>
      <c r="B70" s="236"/>
      <c r="C70" s="235"/>
      <c r="D70" s="235"/>
      <c r="E70" s="235"/>
      <c r="F70" s="235"/>
      <c r="G70" s="235"/>
      <c r="H70" s="269"/>
      <c r="I70" s="270"/>
      <c r="J70" s="270"/>
      <c r="K70" s="271"/>
      <c r="L70" s="236"/>
      <c r="M70" s="243"/>
      <c r="N70" s="244"/>
      <c r="O70" s="245"/>
      <c r="P70" s="245"/>
      <c r="Q70" s="245"/>
    </row>
    <row r="71" spans="1:17" x14ac:dyDescent="0.2">
      <c r="M71" s="283"/>
      <c r="N71" s="284"/>
      <c r="O71" s="285"/>
      <c r="P71" s="285"/>
      <c r="Q71" s="285"/>
    </row>
    <row r="72" spans="1:17" x14ac:dyDescent="0.2">
      <c r="A72" s="286"/>
      <c r="M72" s="283"/>
      <c r="N72" s="284"/>
      <c r="O72" s="285"/>
      <c r="P72" s="285"/>
      <c r="Q72" s="285"/>
    </row>
    <row r="73" spans="1:17" x14ac:dyDescent="0.2">
      <c r="M73" s="283"/>
      <c r="N73" s="284"/>
      <c r="O73" s="285"/>
      <c r="P73" s="285"/>
      <c r="Q73" s="285"/>
    </row>
    <row r="74" spans="1:17" x14ac:dyDescent="0.2">
      <c r="M74" s="283"/>
      <c r="N74" s="284"/>
      <c r="O74" s="285"/>
      <c r="P74" s="285"/>
      <c r="Q74" s="285"/>
    </row>
    <row r="75" spans="1:17" x14ac:dyDescent="0.2">
      <c r="M75" s="283"/>
      <c r="N75" s="284"/>
      <c r="O75" s="285"/>
      <c r="P75" s="285"/>
      <c r="Q75" s="285"/>
    </row>
    <row r="76" spans="1:17" x14ac:dyDescent="0.2">
      <c r="M76" s="283"/>
      <c r="N76" s="284"/>
      <c r="O76" s="285"/>
      <c r="P76" s="285"/>
      <c r="Q76" s="285"/>
    </row>
  </sheetData>
  <mergeCells count="10">
    <mergeCell ref="F58:G58"/>
    <mergeCell ref="F59:G59"/>
    <mergeCell ref="F60:G60"/>
    <mergeCell ref="F61:G61"/>
    <mergeCell ref="F52:G52"/>
    <mergeCell ref="F53:G53"/>
    <mergeCell ref="F54:G54"/>
    <mergeCell ref="F55:G55"/>
    <mergeCell ref="F56:G56"/>
    <mergeCell ref="F57:G57"/>
  </mergeCells>
  <dataValidations count="3">
    <dataValidation type="list" allowBlank="1" showInputMessage="1" showErrorMessage="1" sqref="C3:C35 C38:C48" xr:uid="{00000000-0002-0000-0C00-000000000000}">
      <formula1>"15, 28, 31, 35"</formula1>
    </dataValidation>
    <dataValidation type="list" allowBlank="1" showInputMessage="1" showErrorMessage="1" sqref="A3:A35 A38:A48" xr:uid="{00000000-0002-0000-0C00-000001000000}">
      <formula1>Locations</formula1>
    </dataValidation>
    <dataValidation type="list" allowBlank="1" showInputMessage="1" showErrorMessage="1" sqref="G36 G62:G70 G49:G51" xr:uid="{00000000-0002-0000-0C00-000002000000}">
      <formula1>"Ground, First"</formula1>
    </dataValidation>
  </dataValidations>
  <pageMargins left="0.19685039370078741" right="0.19685039370078741" top="0.39370078740157483" bottom="0.39370078740157483" header="0.51181102362204722" footer="0.51181102362204722"/>
  <pageSetup paperSize="9" scale="74" orientation="portrait" r:id="rId1"/>
  <headerFooter alignWithMargins="0">
    <oddFooter>Page &amp;P of &amp;N</oddFooter>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pageSetUpPr fitToPage="1"/>
  </sheetPr>
  <dimension ref="A1:O36"/>
  <sheetViews>
    <sheetView zoomScale="85" zoomScaleNormal="85" workbookViewId="0"/>
  </sheetViews>
  <sheetFormatPr defaultColWidth="9.140625" defaultRowHeight="14.25" x14ac:dyDescent="0.3"/>
  <cols>
    <col min="1" max="1" width="32.7109375" style="14" customWidth="1"/>
    <col min="2" max="2" width="14.28515625" style="14" bestFit="1" customWidth="1"/>
    <col min="3" max="3" width="4.42578125" style="211" bestFit="1" customWidth="1"/>
    <col min="4" max="4" width="9.28515625" style="14" customWidth="1"/>
    <col min="5" max="5" width="2.7109375" style="211" customWidth="1"/>
    <col min="6" max="7" width="9.28515625" style="14" customWidth="1"/>
    <col min="8" max="8" width="12.7109375" style="14" customWidth="1"/>
    <col min="9" max="9" width="2.140625" style="211" bestFit="1" customWidth="1"/>
    <col min="10" max="10" width="10.7109375" style="14" customWidth="1"/>
    <col min="11" max="16384" width="9.140625" style="14"/>
  </cols>
  <sheetData>
    <row r="1" spans="1:15" ht="24.95" customHeight="1" x14ac:dyDescent="0.35">
      <c r="A1" s="873" t="s">
        <v>90</v>
      </c>
      <c r="B1" s="1026"/>
      <c r="C1" s="1026"/>
      <c r="D1" s="1026"/>
      <c r="E1" s="1026"/>
      <c r="F1" s="1026"/>
      <c r="G1" s="1026"/>
      <c r="H1" s="1138">
        <v>0</v>
      </c>
      <c r="I1" s="1026"/>
      <c r="J1" s="1038"/>
    </row>
    <row r="2" spans="1:15" s="747" customFormat="1" ht="15" customHeight="1" x14ac:dyDescent="0.3">
      <c r="A2" s="1141"/>
      <c r="B2" s="468" t="s">
        <v>388</v>
      </c>
      <c r="C2" s="157"/>
      <c r="D2" s="468" t="s">
        <v>488</v>
      </c>
      <c r="E2" s="157"/>
      <c r="F2" s="170" t="s">
        <v>489</v>
      </c>
      <c r="G2" s="170" t="s">
        <v>148</v>
      </c>
      <c r="H2" s="170" t="s">
        <v>438</v>
      </c>
      <c r="I2" s="1139"/>
      <c r="J2" s="1140" t="s">
        <v>420</v>
      </c>
    </row>
    <row r="3" spans="1:15" ht="15" customHeight="1" x14ac:dyDescent="0.3">
      <c r="A3" s="868" t="s">
        <v>133</v>
      </c>
      <c r="B3" s="468"/>
      <c r="C3" s="157"/>
      <c r="D3" s="403"/>
      <c r="E3" s="157"/>
      <c r="F3" s="403"/>
      <c r="G3" s="403"/>
      <c r="H3" s="156"/>
      <c r="I3" s="157"/>
      <c r="J3" s="1039"/>
    </row>
    <row r="4" spans="1:15" ht="15" customHeight="1" x14ac:dyDescent="0.2">
      <c r="A4" s="1040" t="s">
        <v>3263</v>
      </c>
      <c r="B4" s="1137"/>
      <c r="C4" s="1137"/>
      <c r="D4" s="1137"/>
      <c r="E4" s="1137"/>
      <c r="F4" s="1137"/>
      <c r="G4" s="1041" t="s">
        <v>554</v>
      </c>
      <c r="H4" s="1137"/>
      <c r="I4" s="1042" t="s">
        <v>435</v>
      </c>
      <c r="J4" s="1169" cm="1">
        <f t="array" ref="J4">IFERROR(ROUNDUP(IF(InternalWallHeightCourses&lt;=31,InternalPerimWallAreaGround)+ROUNDUP(SUMPRODUCT(--(Name="Wall 90 Int"),--(Height&lt;=31),Length,SUMIF(Lists!$T$2:$T$150,Height,Lists!$W$2:$W$150))/1000,1)*2+ROUNDUP(SUMPRODUCT(--(Name="Wall Stud Int"),--(Height&lt;=31),Length,SUMIF(Lists!$T$2:$T$150,Height,Lists!$W$2:$W$150))/1000,1)*2+'Brickwork GF'!K83,0),0)</f>
        <v>0</v>
      </c>
      <c r="O4" s="101"/>
    </row>
    <row r="5" spans="1:15" ht="15" customHeight="1" x14ac:dyDescent="0.2">
      <c r="A5" s="1156" t="s">
        <v>3264</v>
      </c>
      <c r="B5" s="1157"/>
      <c r="C5" s="1157"/>
      <c r="D5" s="1157"/>
      <c r="E5" s="1157"/>
      <c r="F5" s="1157"/>
      <c r="G5" s="1046" t="s">
        <v>554</v>
      </c>
      <c r="H5" s="1157"/>
      <c r="I5" s="1042" t="s">
        <v>435</v>
      </c>
      <c r="J5" s="1158" cm="1">
        <f t="array" ref="J5">IFERROR(IF(InternalWallHeightCourses&gt;31,InternalPerimWallAreaGround)+ROUNDUP(SUMPRODUCT(--(Name="Wall 90 Int"),--(Height&gt;31),Length,SUMIF(Lists!$T$2:$T$150,Height,Lists!$W$2:$W$150))/1000,1)*2,0)+ROUNDUP(SUMPRODUCT(--(Name="Wall Stud Int"),--(Height&gt;31),Length,SUMIF(Lists!$T$2:$T$150,Height,Lists!$W$2:$W$150))/1000,1)*2</f>
        <v>0</v>
      </c>
      <c r="O5" s="101"/>
    </row>
    <row r="6" spans="1:15" ht="15" customHeight="1" x14ac:dyDescent="0.2">
      <c r="A6" s="1049" t="s">
        <v>487</v>
      </c>
      <c r="B6" s="1046">
        <v>1</v>
      </c>
      <c r="C6" s="434" t="s">
        <v>434</v>
      </c>
      <c r="D6" s="1044">
        <f>InternalPerimeterLengthFirst/1000</f>
        <v>0</v>
      </c>
      <c r="E6" s="434" t="s">
        <v>434</v>
      </c>
      <c r="F6" s="1045">
        <f>'Brickwork FF'!$H$68</f>
        <v>28</v>
      </c>
      <c r="G6" s="1046" t="s">
        <v>555</v>
      </c>
      <c r="H6" s="1047">
        <f t="shared" ref="H6:H18" si="0">IF(F6&gt;0,VLOOKUP($F6,Std_Brick,4,FALSE),0)</f>
        <v>2400</v>
      </c>
      <c r="I6" s="1042" t="s">
        <v>435</v>
      </c>
      <c r="J6" s="1048">
        <f t="shared" ref="J6:J18" si="1">$B6*$D6*($H6/1000)</f>
        <v>0</v>
      </c>
    </row>
    <row r="7" spans="1:15" ht="15" customHeight="1" x14ac:dyDescent="0.2">
      <c r="A7" s="1049" t="s">
        <v>59</v>
      </c>
      <c r="B7" s="1046">
        <v>2</v>
      </c>
      <c r="C7" s="434" t="s">
        <v>434</v>
      </c>
      <c r="D7" s="1044">
        <f>InternalWallLengthFirst/1000</f>
        <v>0</v>
      </c>
      <c r="E7" s="434" t="s">
        <v>434</v>
      </c>
      <c r="F7" s="1045">
        <f>F6</f>
        <v>28</v>
      </c>
      <c r="G7" s="1046" t="s">
        <v>555</v>
      </c>
      <c r="H7" s="1047">
        <f t="shared" si="0"/>
        <v>2400</v>
      </c>
      <c r="I7" s="1042" t="s">
        <v>435</v>
      </c>
      <c r="J7" s="1048">
        <f t="shared" si="1"/>
        <v>0</v>
      </c>
    </row>
    <row r="8" spans="1:15" ht="15" customHeight="1" x14ac:dyDescent="0.2">
      <c r="A8" s="1051"/>
      <c r="B8" s="1052"/>
      <c r="C8" s="434" t="s">
        <v>434</v>
      </c>
      <c r="D8" s="1050"/>
      <c r="E8" s="434" t="s">
        <v>434</v>
      </c>
      <c r="F8" s="1052"/>
      <c r="G8" s="1052"/>
      <c r="H8" s="1047">
        <f t="shared" si="0"/>
        <v>0</v>
      </c>
      <c r="I8" s="1042" t="s">
        <v>435</v>
      </c>
      <c r="J8" s="1048">
        <f t="shared" si="1"/>
        <v>0</v>
      </c>
      <c r="L8" s="101"/>
    </row>
    <row r="9" spans="1:15" ht="15" customHeight="1" x14ac:dyDescent="0.2">
      <c r="A9" s="1051"/>
      <c r="B9" s="1052"/>
      <c r="C9" s="434" t="s">
        <v>434</v>
      </c>
      <c r="D9" s="1050"/>
      <c r="E9" s="434" t="s">
        <v>434</v>
      </c>
      <c r="F9" s="1052"/>
      <c r="G9" s="1052"/>
      <c r="H9" s="1047">
        <f t="shared" si="0"/>
        <v>0</v>
      </c>
      <c r="I9" s="1042" t="s">
        <v>435</v>
      </c>
      <c r="J9" s="1048">
        <f t="shared" si="1"/>
        <v>0</v>
      </c>
    </row>
    <row r="10" spans="1:15" ht="15" customHeight="1" x14ac:dyDescent="0.2">
      <c r="A10" s="1051"/>
      <c r="B10" s="1052"/>
      <c r="C10" s="434" t="s">
        <v>434</v>
      </c>
      <c r="D10" s="1050"/>
      <c r="E10" s="434" t="s">
        <v>434</v>
      </c>
      <c r="F10" s="1052"/>
      <c r="G10" s="1052"/>
      <c r="H10" s="1047">
        <f t="shared" si="0"/>
        <v>0</v>
      </c>
      <c r="I10" s="1042" t="s">
        <v>435</v>
      </c>
      <c r="J10" s="1048">
        <f t="shared" si="1"/>
        <v>0</v>
      </c>
    </row>
    <row r="11" spans="1:15" ht="15" customHeight="1" x14ac:dyDescent="0.2">
      <c r="A11" s="1051"/>
      <c r="B11" s="1052"/>
      <c r="C11" s="434" t="s">
        <v>434</v>
      </c>
      <c r="D11" s="1050"/>
      <c r="E11" s="434" t="s">
        <v>434</v>
      </c>
      <c r="F11" s="1052"/>
      <c r="G11" s="1052"/>
      <c r="H11" s="1047">
        <f t="shared" si="0"/>
        <v>0</v>
      </c>
      <c r="I11" s="1042" t="s">
        <v>435</v>
      </c>
      <c r="J11" s="1048">
        <f t="shared" si="1"/>
        <v>0</v>
      </c>
    </row>
    <row r="12" spans="1:15" ht="15" customHeight="1" x14ac:dyDescent="0.2">
      <c r="A12" s="1051"/>
      <c r="B12" s="1052"/>
      <c r="C12" s="434" t="s">
        <v>434</v>
      </c>
      <c r="D12" s="1050"/>
      <c r="E12" s="434" t="s">
        <v>434</v>
      </c>
      <c r="F12" s="1052"/>
      <c r="G12" s="1052"/>
      <c r="H12" s="1047">
        <f>IF(F12&gt;0,VLOOKUP($F12,Std_Brick,4,FALSE),0)</f>
        <v>0</v>
      </c>
      <c r="I12" s="1042" t="s">
        <v>435</v>
      </c>
      <c r="J12" s="1048">
        <f t="shared" si="1"/>
        <v>0</v>
      </c>
    </row>
    <row r="13" spans="1:15" ht="15" customHeight="1" x14ac:dyDescent="0.2">
      <c r="A13" s="1049" t="s">
        <v>1199</v>
      </c>
      <c r="B13" s="1052"/>
      <c r="C13" s="434" t="s">
        <v>434</v>
      </c>
      <c r="D13" s="1050"/>
      <c r="E13" s="434" t="s">
        <v>434</v>
      </c>
      <c r="F13" s="1052"/>
      <c r="G13" s="1046" t="s">
        <v>555</v>
      </c>
      <c r="H13" s="1047">
        <f>IF(F13&gt;0,VLOOKUP($F13,Std_Brick,4,FALSE),0)</f>
        <v>0</v>
      </c>
      <c r="I13" s="1042" t="s">
        <v>435</v>
      </c>
      <c r="J13" s="1048">
        <f>-ROUNDUP(SUMPRODUCT(--('CSV FF'!A:A="Wet Drywall"),'CSV FF'!C:C,SUMIF(Lists!$T$2:$T$150,'CSV FF'!E:E,Lists!$W$2:$W$150))/1000,1)</f>
        <v>0</v>
      </c>
    </row>
    <row r="14" spans="1:15" ht="15" customHeight="1" x14ac:dyDescent="0.2">
      <c r="A14" s="1049" t="s">
        <v>1199</v>
      </c>
      <c r="B14" s="1052"/>
      <c r="C14" s="434" t="s">
        <v>434</v>
      </c>
      <c r="D14" s="1050"/>
      <c r="E14" s="434" t="s">
        <v>434</v>
      </c>
      <c r="F14" s="1052"/>
      <c r="G14" s="1046" t="s">
        <v>554</v>
      </c>
      <c r="H14" s="1047">
        <f t="shared" si="0"/>
        <v>0</v>
      </c>
      <c r="I14" s="1042" t="s">
        <v>435</v>
      </c>
      <c r="J14" s="1048" cm="1">
        <f t="array" ref="J14">-ROUNDUP(SUMPRODUCT(--(Name="Wet Drywall"),Length,SUMIF(Lists!$T$2:$T$150,Height,Lists!$W$2:$W$150))/1000,1)</f>
        <v>0</v>
      </c>
    </row>
    <row r="15" spans="1:15" ht="15" customHeight="1" x14ac:dyDescent="0.2">
      <c r="A15" s="1049" t="s">
        <v>1478</v>
      </c>
      <c r="B15" s="1052"/>
      <c r="C15" s="434" t="s">
        <v>434</v>
      </c>
      <c r="D15" s="1050"/>
      <c r="E15" s="434" t="s">
        <v>434</v>
      </c>
      <c r="F15" s="1052"/>
      <c r="G15" s="1046" t="s">
        <v>554</v>
      </c>
      <c r="H15" s="1047">
        <f>IF(F15&gt;0,VLOOKUP($F15,Std_Brick,4,FALSE),0)</f>
        <v>0</v>
      </c>
      <c r="I15" s="1042" t="s">
        <v>435</v>
      </c>
      <c r="J15" s="1048" cm="1">
        <f t="array" ref="J15">-ROUNDUP(SUMPRODUCT(--(Name="Drywall"),Length,SUMIF(Lists!$T$2:$T$150,Height,Lists!$W$2:$W$150))/1000,1)</f>
        <v>0</v>
      </c>
    </row>
    <row r="16" spans="1:15" ht="15" customHeight="1" x14ac:dyDescent="0.2">
      <c r="A16" s="1049" t="s">
        <v>1478</v>
      </c>
      <c r="B16" s="1052"/>
      <c r="C16" s="434" t="s">
        <v>434</v>
      </c>
      <c r="D16" s="1050"/>
      <c r="E16" s="434" t="s">
        <v>434</v>
      </c>
      <c r="F16" s="1052"/>
      <c r="G16" s="1046" t="s">
        <v>555</v>
      </c>
      <c r="H16" s="1047">
        <f>IF(F16&gt;0,VLOOKUP($F16,Std_Brick,4,FALSE),0)</f>
        <v>0</v>
      </c>
      <c r="I16" s="1042" t="s">
        <v>435</v>
      </c>
      <c r="J16" s="1048">
        <f>-ROUNDUP(SUMPRODUCT(--('CSV FF'!A:A="Drywall"),'CSV FF'!C:C,SUMIF(Lists!$T$2:$T$150,'CSV FF'!E:E,Lists!$W$2:$W$150))/1000,1)</f>
        <v>0</v>
      </c>
    </row>
    <row r="17" spans="1:10" ht="15" customHeight="1" x14ac:dyDescent="0.2">
      <c r="A17" s="1049"/>
      <c r="B17" s="1052"/>
      <c r="C17" s="434" t="s">
        <v>434</v>
      </c>
      <c r="D17" s="1050"/>
      <c r="E17" s="434" t="s">
        <v>434</v>
      </c>
      <c r="F17" s="1052"/>
      <c r="G17" s="1046"/>
      <c r="H17" s="1047">
        <f t="shared" si="0"/>
        <v>0</v>
      </c>
      <c r="I17" s="1042" t="s">
        <v>435</v>
      </c>
      <c r="J17" s="1048">
        <f t="shared" si="1"/>
        <v>0</v>
      </c>
    </row>
    <row r="18" spans="1:10" ht="15" customHeight="1" x14ac:dyDescent="0.2">
      <c r="A18" s="1049" t="s">
        <v>1643</v>
      </c>
      <c r="B18" s="1053">
        <v>1</v>
      </c>
      <c r="C18" s="434" t="s">
        <v>434</v>
      </c>
      <c r="D18" s="1044">
        <f>IF(OR(Brick_type="Timber Frame",Brick_type="Reverse Brick Veneer"),GarageWallLength/1000+Com_Wall,0)</f>
        <v>0</v>
      </c>
      <c r="E18" s="434" t="s">
        <v>434</v>
      </c>
      <c r="F18" s="1045">
        <f>GarageWallHeight</f>
        <v>0</v>
      </c>
      <c r="G18" s="1046" t="s">
        <v>554</v>
      </c>
      <c r="H18" s="1047">
        <f t="shared" si="0"/>
        <v>0</v>
      </c>
      <c r="I18" s="1042" t="s">
        <v>435</v>
      </c>
      <c r="J18" s="1048">
        <f t="shared" si="1"/>
        <v>0</v>
      </c>
    </row>
    <row r="19" spans="1:10" ht="15" customHeight="1" x14ac:dyDescent="0.2">
      <c r="A19" s="1054" t="s">
        <v>140</v>
      </c>
      <c r="B19" s="1053"/>
      <c r="C19" s="436"/>
      <c r="D19" s="1053"/>
      <c r="E19" s="436"/>
      <c r="F19" s="1043"/>
      <c r="G19" s="1043" t="s">
        <v>554</v>
      </c>
      <c r="H19" s="1053"/>
      <c r="I19" s="1042" t="s">
        <v>435</v>
      </c>
      <c r="J19" s="1048">
        <f>-1*'Brickwork GF'!U85</f>
        <v>0</v>
      </c>
    </row>
    <row r="20" spans="1:10" ht="15" customHeight="1" x14ac:dyDescent="0.2">
      <c r="A20" s="1055" t="s">
        <v>140</v>
      </c>
      <c r="B20" s="1053"/>
      <c r="C20" s="436"/>
      <c r="D20" s="1053"/>
      <c r="E20" s="436"/>
      <c r="F20" s="1043"/>
      <c r="G20" s="1043" t="s">
        <v>555</v>
      </c>
      <c r="H20" s="1053"/>
      <c r="I20" s="1042" t="s">
        <v>435</v>
      </c>
      <c r="J20" s="1048">
        <f>-1*'Brickwork FF'!$U$83</f>
        <v>0</v>
      </c>
    </row>
    <row r="21" spans="1:10" ht="15" customHeight="1" x14ac:dyDescent="0.2">
      <c r="A21" s="1056" t="s">
        <v>1545</v>
      </c>
      <c r="B21" s="1053"/>
      <c r="C21" s="436"/>
      <c r="D21" s="1053"/>
      <c r="E21" s="436"/>
      <c r="F21" s="1043"/>
      <c r="G21" s="1043" t="s">
        <v>554</v>
      </c>
      <c r="H21" s="1053"/>
      <c r="I21" s="1042" t="s">
        <v>435</v>
      </c>
      <c r="J21" s="1048">
        <f ca="1">IF(OR(Brick_type="Timber Frame",Brick_type="Brick Veneer",COUNTIF(Addenda!A:A,"*GTEK*")),0,-2*InternalDoorOpeningsGround)</f>
        <v>0</v>
      </c>
    </row>
    <row r="22" spans="1:10" ht="15" customHeight="1" x14ac:dyDescent="0.2">
      <c r="A22" s="1057" t="s">
        <v>1545</v>
      </c>
      <c r="B22" s="1058"/>
      <c r="C22" s="1059"/>
      <c r="D22" s="1058"/>
      <c r="E22" s="1059"/>
      <c r="F22" s="1060"/>
      <c r="G22" s="1060" t="s">
        <v>555</v>
      </c>
      <c r="H22" s="1058"/>
      <c r="I22" s="1058"/>
      <c r="J22" s="1061">
        <f>IF(OR(Brick_typeFF="Timber Frame",Brick_typeFF="Brick Veneer",COUNTIF(Addenda!A:A,"*GTEK*")),0,-2*InternalDoorOpeningsFirst)</f>
        <v>0</v>
      </c>
    </row>
    <row r="23" spans="1:10" ht="15" customHeight="1" x14ac:dyDescent="0.3">
      <c r="A23" s="1062" t="s">
        <v>4</v>
      </c>
      <c r="B23" s="1063" t="s">
        <v>1745</v>
      </c>
      <c r="C23" s="1064"/>
      <c r="D23" s="1065"/>
      <c r="E23" s="1066"/>
      <c r="F23" s="220" t="s">
        <v>3236</v>
      </c>
      <c r="G23" s="1155">
        <f>IF(Plasterboard?="No",_xlfn.CEILING.MATH(Plaster_Total_Ground/55.5,10),0)</f>
        <v>0</v>
      </c>
      <c r="H23" s="1299" t="s">
        <v>570</v>
      </c>
      <c r="I23" s="1300"/>
      <c r="J23" s="1068">
        <f ca="1">ROUNDUP(SUMIF(G4:G22,"Ground",J4:J22),1)</f>
        <v>0</v>
      </c>
    </row>
    <row r="24" spans="1:10" ht="15" customHeight="1" x14ac:dyDescent="0.3">
      <c r="A24" s="883"/>
      <c r="B24" s="884"/>
      <c r="C24" s="1069"/>
      <c r="D24" s="1070"/>
      <c r="E24" s="1069"/>
      <c r="F24" s="220" t="s">
        <v>3236</v>
      </c>
      <c r="G24" s="1155">
        <f>IF(Plasterboard?="No",_xlfn.CEILING.MATH(Plaster_Total_First/55.5,10),0)</f>
        <v>0</v>
      </c>
      <c r="H24" s="1299" t="s">
        <v>571</v>
      </c>
      <c r="I24" s="1300"/>
      <c r="J24" s="1068">
        <f>IF(FF_Area&gt;0,CEILING(SUMIFS($J$4:$J$22,$G$4:$G$22,"First"),1),0)</f>
        <v>0</v>
      </c>
    </row>
    <row r="25" spans="1:10" ht="15" customHeight="1" x14ac:dyDescent="0.3">
      <c r="A25" s="868" t="s">
        <v>134</v>
      </c>
      <c r="B25" s="1071" t="s">
        <v>1618</v>
      </c>
      <c r="C25" s="1072"/>
      <c r="D25" s="156"/>
      <c r="E25" s="157"/>
      <c r="F25" s="1067"/>
      <c r="G25" s="220"/>
      <c r="H25" s="156"/>
      <c r="I25" s="157"/>
      <c r="J25" s="1039"/>
    </row>
    <row r="26" spans="1:10" ht="15" customHeight="1" x14ac:dyDescent="0.3">
      <c r="A26" s="868" t="s">
        <v>4</v>
      </c>
      <c r="B26" s="468"/>
      <c r="C26" s="157"/>
      <c r="D26" s="156"/>
      <c r="E26" s="157"/>
      <c r="F26" s="220" t="s">
        <v>3236</v>
      </c>
      <c r="G26" s="1155">
        <f>_xlfn.CEILING.MATH(Render_Total_Ground/55.5,10)</f>
        <v>0</v>
      </c>
      <c r="H26" s="1299" t="s">
        <v>570</v>
      </c>
      <c r="I26" s="1300"/>
      <c r="J26" s="1068" cm="1">
        <f t="array" ref="J26">ROUNDUP(SUMPRODUCT(--(Name="Render"),Length,SUMIF(Lists!$T$2:$T$150,Height,Lists!$W$2:$W$150))/1000,1)</f>
        <v>0</v>
      </c>
    </row>
    <row r="27" spans="1:10" ht="15" customHeight="1" x14ac:dyDescent="0.3">
      <c r="A27" s="403"/>
      <c r="B27" s="403"/>
      <c r="C27" s="403"/>
      <c r="D27" s="403"/>
      <c r="E27" s="157"/>
      <c r="F27" s="220" t="s">
        <v>3236</v>
      </c>
      <c r="G27" s="1155">
        <f>_xlfn.CEILING.MATH(Render_Total_First/55.5,10)</f>
        <v>0</v>
      </c>
      <c r="H27" s="1301" t="s">
        <v>571</v>
      </c>
      <c r="I27" s="1302"/>
      <c r="J27" s="1073">
        <f>ROUNDUP(SUMPRODUCT(--('CSV FF'!A:A="Render"),'CSV FF'!C:C,SUMIF(Lists!$T$2:$T$150,'CSV FF'!E:E,Lists!$W$2:$W$150))/1000,1)</f>
        <v>0</v>
      </c>
    </row>
    <row r="28" spans="1:10" ht="15" customHeight="1" x14ac:dyDescent="0.3">
      <c r="A28" s="1062" t="s">
        <v>135</v>
      </c>
      <c r="B28" s="1074"/>
      <c r="C28" s="1066"/>
      <c r="D28" s="874"/>
      <c r="E28" s="1066"/>
      <c r="F28" s="874"/>
      <c r="G28" s="874"/>
      <c r="H28" s="1075"/>
      <c r="I28" s="1066"/>
      <c r="J28" s="1076"/>
    </row>
    <row r="29" spans="1:10" ht="15" customHeight="1" x14ac:dyDescent="0.3">
      <c r="A29" s="878" t="s">
        <v>572</v>
      </c>
      <c r="B29" s="403"/>
      <c r="C29" s="157"/>
      <c r="D29" s="403"/>
      <c r="E29" s="157"/>
      <c r="F29" s="403"/>
      <c r="G29" s="403"/>
      <c r="H29" s="156"/>
      <c r="I29" s="157"/>
      <c r="J29" s="1077">
        <f ca="1">H_Area-IF(Brick_type="Standard Face",H_Perim*0.25,0)-IF(Brick_type="2c Face",H_Perim*0.23,0)-IF(Brick_type="Reverse Brick Veneer",H_Perim*0.23,0)-IF(Brick_type="Timber Frame",H_Perim*0.09,0)-((InternalWallLengthGround/1000)*0.09)+SUMIFS(Area,Name,"Garage Area",Material,"Plasterboard")</f>
        <v>0</v>
      </c>
    </row>
    <row r="30" spans="1:10" ht="15" customHeight="1" x14ac:dyDescent="0.3">
      <c r="A30" s="878" t="s">
        <v>573</v>
      </c>
      <c r="B30" s="403"/>
      <c r="C30" s="157"/>
      <c r="D30" s="403"/>
      <c r="E30" s="157"/>
      <c r="F30" s="403"/>
      <c r="G30" s="403"/>
      <c r="H30" s="156"/>
      <c r="I30" s="157"/>
      <c r="J30" s="1078">
        <f>FF_Area-IF(Brick_type="Standard Face",FF_Perim*0.25,0)-IF(Brick_type="2c Face",FF_Perim*0.23,0)-IF(Brick_type="Reverse Brick Veneer",FF_Perim*0.23,0)-IF(Brick_type="Timber Frame",FF_Perim*0.09,0)-(('Brickwork FF'!F69/1000)*0.09)</f>
        <v>0</v>
      </c>
    </row>
    <row r="31" spans="1:10" ht="15" customHeight="1" x14ac:dyDescent="0.3">
      <c r="A31" s="1062" t="s">
        <v>138</v>
      </c>
      <c r="B31" s="1063" t="s">
        <v>59</v>
      </c>
      <c r="C31" s="1064"/>
      <c r="D31" s="874"/>
      <c r="E31" s="1066"/>
      <c r="F31" s="874"/>
      <c r="G31" s="874"/>
      <c r="H31" s="1075"/>
      <c r="I31" s="1066"/>
      <c r="J31" s="1076"/>
    </row>
    <row r="32" spans="1:10" ht="15" customHeight="1" x14ac:dyDescent="0.3">
      <c r="A32" s="876" t="s">
        <v>139</v>
      </c>
      <c r="B32" s="403"/>
      <c r="C32" s="157"/>
      <c r="D32" s="403"/>
      <c r="E32" s="157"/>
      <c r="F32" s="403"/>
      <c r="G32" s="403"/>
      <c r="H32" s="156"/>
      <c r="I32" s="157"/>
      <c r="J32" s="1077">
        <f>IF(FF_Area=0,H_Area-IF(Brick_type="Standard Face",H_Perim*0.25,0)-IF(Brick_type="2c Face",H_Perim*0.23,0)-IF(Brick_type="Timber Frame",H_Perim*0.09,0),Roof_Area+FF_Roof_Area-GF_Eaves-FF_Eaves-IF(Brick_type="Standard Face",H_Perim*0.25,0)-IF(Brick_type="2c Face",H_Perim*0.23,0)-IF(Brick_type="Timber Frame",H_Perim*0.09,0))</f>
        <v>0</v>
      </c>
    </row>
    <row r="33" spans="1:10" ht="15" customHeight="1" x14ac:dyDescent="0.3">
      <c r="A33" s="883" t="s">
        <v>137</v>
      </c>
      <c r="B33" s="884"/>
      <c r="C33" s="1069"/>
      <c r="D33" s="884"/>
      <c r="E33" s="1069"/>
      <c r="F33" s="884"/>
      <c r="G33" s="884"/>
      <c r="H33" s="1070"/>
      <c r="I33" s="1069"/>
      <c r="J33" s="1083">
        <f>Garage_Area</f>
        <v>0</v>
      </c>
    </row>
    <row r="34" spans="1:10" ht="15" customHeight="1" x14ac:dyDescent="0.3">
      <c r="A34" s="876" t="s">
        <v>140</v>
      </c>
      <c r="B34" s="403"/>
      <c r="C34" s="157"/>
      <c r="D34" s="403"/>
      <c r="E34" s="157"/>
      <c r="F34" s="403"/>
      <c r="G34" s="403"/>
      <c r="H34" s="403"/>
      <c r="I34" s="157"/>
      <c r="J34" s="1081">
        <f>-1*ROUND(SUMIF(Name,"Raking Bulkheads",Length)+SUMIF('CSV FF'!A:A,"Raking Bulkheads",'CSV FF'!C:C),0)*0.48</f>
        <v>0</v>
      </c>
    </row>
    <row r="35" spans="1:10" ht="15" customHeight="1" x14ac:dyDescent="0.3">
      <c r="A35" s="876" t="s">
        <v>141</v>
      </c>
      <c r="B35" s="403"/>
      <c r="C35" s="157"/>
      <c r="D35" s="156"/>
      <c r="E35" s="157"/>
      <c r="F35" s="403"/>
      <c r="G35" s="403"/>
      <c r="H35" s="403"/>
      <c r="I35" s="157"/>
      <c r="J35" s="1082">
        <f>-1*(ROUNDUP(SUMIF(Name,"Square Bulkheads",Length)++SUMIF('CSV FF'!A:A,"Square Bulkheads",'CSV FF'!C:C),1)*0.48)</f>
        <v>0</v>
      </c>
    </row>
    <row r="36" spans="1:10" ht="15" customHeight="1" x14ac:dyDescent="0.3">
      <c r="A36" s="1079" t="s">
        <v>3510</v>
      </c>
      <c r="B36" s="884"/>
      <c r="C36" s="1069"/>
      <c r="D36" s="1070"/>
      <c r="E36" s="1069"/>
      <c r="F36" s="884"/>
      <c r="G36" s="884"/>
      <c r="H36" s="884"/>
      <c r="I36" s="1069"/>
      <c r="J36" s="1080" cm="1">
        <f t="array" ref="J36">IF(OR(Brick_type="Timber Frame", Brick_type="Brick Veneer"),
    CEILING(ROUNDUP((H_Perim * ('Brickwork GF'!I4 / 1000) + HighBrickworkArea - WindowOpeningsGround), 0), 12.1),
    0)
+ IF(OR(Brick_typeFF="Timber Frame", Brick_typeFF="Brick Veneer"),
      CEILING(ROUNDUP((WallPerimeterAreaFirst - WindowOpeningsFirst), 0), 12.1),
      0)
+ IF(InternalWallInsulation?="Yes",
      CEILING(ROUNDUP(SUMPRODUCT(--(Name="Wall Stud Int"), Length, SUMIF(Lists!$T$2:$T$150, Height, Lists!$W$2:$W$150))/1000, 1) - InternalDoorOpeningsGround, 12),
      0)
+ IF(AND(InternalWallInsulation?="Yes", OR(Brick_typeFF="Timber Frame", Brick_typeFF="Brick Veneer")),
      CEILING(ROUNDUP(InternalWallAreaFirst - InternalDoorOpeningsFirst, 0), 12.1),
      0)
+ IF(Brick_type&lt;&gt;"Timber Frame",
      _xlfn.CEILING.MATH(ROUNDUP('External Cladding'!J5, 0), 12.1),
      0)</f>
        <v>0</v>
      </c>
    </row>
  </sheetData>
  <sheetProtection selectLockedCells="1"/>
  <mergeCells count="4">
    <mergeCell ref="H23:I23"/>
    <mergeCell ref="H24:I24"/>
    <mergeCell ref="H26:I26"/>
    <mergeCell ref="H27:I27"/>
  </mergeCells>
  <phoneticPr fontId="12" type="noConversion"/>
  <conditionalFormatting sqref="C25">
    <cfRule type="cellIs" dxfId="212" priority="3" operator="equal">
      <formula>""</formula>
    </cfRule>
  </conditionalFormatting>
  <conditionalFormatting sqref="C31">
    <cfRule type="cellIs" dxfId="211" priority="2" operator="equal">
      <formula>""</formula>
    </cfRule>
  </conditionalFormatting>
  <conditionalFormatting sqref="C23">
    <cfRule type="cellIs" dxfId="210" priority="1" operator="equal">
      <formula>""</formula>
    </cfRule>
  </conditionalFormatting>
  <dataValidations count="2">
    <dataValidation type="list" allowBlank="1" showInputMessage="1" showErrorMessage="1" sqref="C25 C31 C23" xr:uid="{F5B056A3-0EDE-495C-BAF4-48E3E3769C54}">
      <formula1>"Yes,No"</formula1>
    </dataValidation>
    <dataValidation type="list" allowBlank="1" showInputMessage="1" showErrorMessage="1" sqref="G8:G12" xr:uid="{00000000-0002-0000-0D00-000000000000}">
      <formula1>"Ground, First"</formula1>
    </dataValidation>
  </dataValidations>
  <pageMargins left="0.19685039370078741" right="0.19685039370078741" top="0.39370078740157483" bottom="0.39370078740157483" header="0.51181102362204722" footer="0.51181102362204722"/>
  <pageSetup paperSize="9" scale="94" orientation="portrait" r:id="rId1"/>
  <headerFooter alignWithMargins="0">
    <oddFooter>Page &amp;P of &amp;N</oddFooter>
  </headerFooter>
  <ignoredErrors>
    <ignoredError sqref="F6"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2298" r:id="rId4" name="Button 10">
              <controlPr defaultSize="0" print="0" autoFill="0" autoPict="0" macro="[0]!FormatPreliminaries">
                <anchor moveWithCells="1">
                  <from>
                    <xdr:col>7</xdr:col>
                    <xdr:colOff>561975</xdr:colOff>
                    <xdr:row>0</xdr:row>
                    <xdr:rowOff>57150</xdr:rowOff>
                  </from>
                  <to>
                    <xdr:col>9</xdr:col>
                    <xdr:colOff>628650</xdr:colOff>
                    <xdr:row>0</xdr:row>
                    <xdr:rowOff>238125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0">
    <pageSetUpPr fitToPage="1"/>
  </sheetPr>
  <dimension ref="A1:P76"/>
  <sheetViews>
    <sheetView workbookViewId="0"/>
  </sheetViews>
  <sheetFormatPr defaultRowHeight="14.25" x14ac:dyDescent="0.3"/>
  <cols>
    <col min="1" max="1" width="25.7109375" customWidth="1"/>
    <col min="2" max="2" width="12.7109375" customWidth="1"/>
    <col min="3" max="3" width="3.7109375" style="70" customWidth="1"/>
    <col min="4" max="4" width="12.7109375" customWidth="1"/>
    <col min="5" max="5" width="3.7109375" style="70" customWidth="1"/>
    <col min="6" max="8" width="12.7109375" customWidth="1"/>
    <col min="9" max="9" width="3.7109375" style="70" customWidth="1"/>
    <col min="10" max="10" width="12.7109375" customWidth="1"/>
    <col min="12" max="12" width="29.7109375" customWidth="1"/>
    <col min="13" max="13" width="15.85546875" customWidth="1"/>
    <col min="14" max="14" width="19.85546875" customWidth="1"/>
  </cols>
  <sheetData>
    <row r="1" spans="1:16" ht="23.25" x14ac:dyDescent="0.35">
      <c r="A1" s="135" t="s">
        <v>583</v>
      </c>
      <c r="B1" s="135"/>
      <c r="C1" s="154"/>
      <c r="D1" s="136"/>
      <c r="E1" s="154"/>
      <c r="F1" s="136"/>
      <c r="G1" s="136"/>
      <c r="H1" s="136"/>
      <c r="I1" s="154"/>
      <c r="J1" s="136"/>
      <c r="K1" s="136"/>
      <c r="L1" s="160" t="s">
        <v>344</v>
      </c>
      <c r="M1" s="160" t="s">
        <v>373</v>
      </c>
      <c r="N1" s="161" t="s">
        <v>345</v>
      </c>
      <c r="O1" s="162"/>
      <c r="P1" s="163"/>
    </row>
    <row r="2" spans="1:16" x14ac:dyDescent="0.3">
      <c r="A2" s="136"/>
      <c r="B2" s="136"/>
      <c r="C2" s="154"/>
      <c r="D2" s="136"/>
      <c r="E2" s="154"/>
      <c r="F2" s="136"/>
      <c r="G2" s="136"/>
      <c r="H2" s="136"/>
      <c r="I2" s="154"/>
      <c r="J2" s="136"/>
      <c r="K2" s="136"/>
      <c r="L2" s="26"/>
      <c r="M2" s="24"/>
      <c r="N2" s="217"/>
      <c r="O2" s="217"/>
      <c r="P2" s="217"/>
    </row>
    <row r="3" spans="1:16" x14ac:dyDescent="0.3">
      <c r="A3" s="136"/>
      <c r="B3" s="137"/>
      <c r="C3" s="154"/>
      <c r="D3" s="137"/>
      <c r="E3" s="154"/>
      <c r="F3" s="138"/>
      <c r="G3" s="138"/>
      <c r="H3" s="138"/>
      <c r="I3" s="154"/>
      <c r="J3" s="138"/>
      <c r="K3" s="136"/>
      <c r="L3" s="209"/>
      <c r="M3" s="209"/>
      <c r="N3" s="217"/>
      <c r="O3" s="217"/>
      <c r="P3" s="217"/>
    </row>
    <row r="4" spans="1:16" x14ac:dyDescent="0.3">
      <c r="A4" s="137"/>
      <c r="B4" s="137"/>
      <c r="C4" s="154"/>
      <c r="D4" s="136"/>
      <c r="E4" s="154"/>
      <c r="F4" s="136"/>
      <c r="G4" s="136"/>
      <c r="H4" s="181"/>
      <c r="I4" s="154"/>
      <c r="J4" s="181"/>
      <c r="K4" s="136"/>
      <c r="L4" s="26"/>
      <c r="M4" s="24"/>
      <c r="N4" s="217"/>
      <c r="O4" s="217"/>
      <c r="P4" s="217"/>
    </row>
    <row r="5" spans="1:16" x14ac:dyDescent="0.2">
      <c r="A5" s="136"/>
      <c r="B5" s="136"/>
      <c r="C5" s="218"/>
      <c r="D5" s="219"/>
      <c r="E5" s="218"/>
      <c r="F5" s="170"/>
      <c r="G5" s="220"/>
      <c r="H5" s="221"/>
      <c r="I5" s="218"/>
      <c r="J5" s="222"/>
      <c r="K5" s="136"/>
      <c r="L5" s="26"/>
      <c r="M5" s="24"/>
      <c r="N5" s="217"/>
      <c r="O5" s="217"/>
      <c r="P5" s="217"/>
    </row>
    <row r="6" spans="1:16" x14ac:dyDescent="0.2">
      <c r="A6" s="136"/>
      <c r="B6" s="136"/>
      <c r="C6" s="218"/>
      <c r="D6" s="219"/>
      <c r="E6" s="218"/>
      <c r="F6" s="170"/>
      <c r="G6" s="220"/>
      <c r="H6" s="221"/>
      <c r="I6" s="218"/>
      <c r="J6" s="222"/>
      <c r="K6" s="136"/>
      <c r="L6" s="26"/>
      <c r="M6" s="24"/>
      <c r="N6" s="217"/>
      <c r="O6" s="217"/>
      <c r="P6" s="217"/>
    </row>
    <row r="7" spans="1:16" x14ac:dyDescent="0.2">
      <c r="A7" s="136"/>
      <c r="B7" s="136"/>
      <c r="C7" s="218"/>
      <c r="D7" s="219"/>
      <c r="E7" s="218"/>
      <c r="F7" s="170"/>
      <c r="G7" s="220"/>
      <c r="H7" s="221"/>
      <c r="I7" s="218"/>
      <c r="J7" s="222"/>
      <c r="K7" s="136"/>
      <c r="L7" s="26"/>
      <c r="M7" s="24"/>
      <c r="N7" s="217"/>
      <c r="O7" s="217"/>
      <c r="P7" s="217"/>
    </row>
    <row r="8" spans="1:16" x14ac:dyDescent="0.2">
      <c r="A8" s="136"/>
      <c r="B8" s="136"/>
      <c r="C8" s="218"/>
      <c r="D8" s="219"/>
      <c r="E8" s="218"/>
      <c r="F8" s="170"/>
      <c r="G8" s="220"/>
      <c r="H8" s="221"/>
      <c r="I8" s="218"/>
      <c r="J8" s="222"/>
      <c r="K8" s="136"/>
      <c r="L8" s="26"/>
      <c r="M8" s="24"/>
      <c r="N8" s="217"/>
      <c r="O8" s="217"/>
      <c r="P8" s="217"/>
    </row>
    <row r="9" spans="1:16" x14ac:dyDescent="0.2">
      <c r="A9" s="136"/>
      <c r="B9" s="136"/>
      <c r="C9" s="218"/>
      <c r="D9" s="219"/>
      <c r="E9" s="218"/>
      <c r="F9" s="170"/>
      <c r="G9" s="220"/>
      <c r="H9" s="221"/>
      <c r="I9" s="218"/>
      <c r="J9" s="222"/>
      <c r="K9" s="136"/>
      <c r="L9" s="26"/>
      <c r="M9" s="24"/>
      <c r="N9" s="217"/>
      <c r="O9" s="217"/>
      <c r="P9" s="217"/>
    </row>
    <row r="10" spans="1:16" x14ac:dyDescent="0.2">
      <c r="A10" s="136"/>
      <c r="B10" s="136"/>
      <c r="C10" s="218"/>
      <c r="D10" s="219"/>
      <c r="E10" s="218"/>
      <c r="F10" s="170"/>
      <c r="G10" s="220"/>
      <c r="H10" s="221"/>
      <c r="I10" s="218"/>
      <c r="J10" s="222"/>
      <c r="K10" s="136"/>
      <c r="L10" s="26"/>
      <c r="M10" s="24"/>
      <c r="N10" s="217"/>
      <c r="O10" s="217"/>
      <c r="P10" s="217"/>
    </row>
    <row r="11" spans="1:16" x14ac:dyDescent="0.2">
      <c r="A11" s="136"/>
      <c r="B11" s="136"/>
      <c r="C11" s="218"/>
      <c r="D11" s="219"/>
      <c r="E11" s="218"/>
      <c r="F11" s="170"/>
      <c r="G11" s="220"/>
      <c r="H11" s="221"/>
      <c r="I11" s="218"/>
      <c r="J11" s="222"/>
      <c r="K11" s="136"/>
      <c r="L11" s="26"/>
      <c r="M11" s="24"/>
      <c r="N11" s="217"/>
      <c r="O11" s="217"/>
      <c r="P11" s="217"/>
    </row>
    <row r="12" spans="1:16" x14ac:dyDescent="0.2">
      <c r="A12" s="136"/>
      <c r="B12" s="136"/>
      <c r="C12" s="218"/>
      <c r="D12" s="219"/>
      <c r="E12" s="218"/>
      <c r="F12" s="170"/>
      <c r="G12" s="220"/>
      <c r="H12" s="221"/>
      <c r="I12" s="218"/>
      <c r="J12" s="222"/>
      <c r="K12" s="136"/>
      <c r="L12" s="26"/>
      <c r="M12" s="24"/>
      <c r="N12" s="217"/>
      <c r="O12" s="217"/>
      <c r="P12" s="217"/>
    </row>
    <row r="13" spans="1:16" x14ac:dyDescent="0.2">
      <c r="A13" s="136"/>
      <c r="B13" s="136"/>
      <c r="C13" s="218"/>
      <c r="D13" s="219"/>
      <c r="E13" s="218"/>
      <c r="F13" s="170"/>
      <c r="G13" s="220"/>
      <c r="H13" s="221"/>
      <c r="I13" s="218"/>
      <c r="J13" s="222"/>
      <c r="K13" s="136"/>
      <c r="L13" s="26"/>
      <c r="M13" s="24"/>
      <c r="N13" s="217"/>
      <c r="O13" s="217"/>
      <c r="P13" s="217"/>
    </row>
    <row r="14" spans="1:16" x14ac:dyDescent="0.2">
      <c r="A14" s="136"/>
      <c r="B14" s="136"/>
      <c r="C14" s="218"/>
      <c r="D14" s="219"/>
      <c r="E14" s="218"/>
      <c r="F14" s="170"/>
      <c r="G14" s="220"/>
      <c r="H14" s="221"/>
      <c r="I14" s="218"/>
      <c r="J14" s="222"/>
      <c r="K14" s="136"/>
      <c r="L14" s="26"/>
      <c r="M14" s="24"/>
      <c r="N14" s="217"/>
      <c r="O14" s="217"/>
      <c r="P14" s="217"/>
    </row>
    <row r="15" spans="1:16" x14ac:dyDescent="0.2">
      <c r="A15" s="136"/>
      <c r="B15" s="136"/>
      <c r="C15" s="218"/>
      <c r="D15" s="219"/>
      <c r="E15" s="218"/>
      <c r="F15" s="170"/>
      <c r="G15" s="220"/>
      <c r="H15" s="221"/>
      <c r="I15" s="218"/>
      <c r="J15" s="222"/>
      <c r="K15" s="136"/>
      <c r="L15" s="26"/>
      <c r="M15" s="24"/>
      <c r="N15" s="217"/>
      <c r="O15" s="217"/>
      <c r="P15" s="217"/>
    </row>
    <row r="16" spans="1:16" x14ac:dyDescent="0.2">
      <c r="A16" s="136"/>
      <c r="B16" s="136"/>
      <c r="C16" s="218"/>
      <c r="D16" s="219"/>
      <c r="E16" s="218"/>
      <c r="F16" s="170"/>
      <c r="G16" s="220"/>
      <c r="H16" s="221"/>
      <c r="I16" s="218"/>
      <c r="J16" s="222"/>
      <c r="K16" s="136"/>
      <c r="L16" s="26"/>
      <c r="M16" s="24"/>
      <c r="N16" s="217"/>
      <c r="O16" s="217"/>
      <c r="P16" s="217"/>
    </row>
    <row r="17" spans="1:16" x14ac:dyDescent="0.2">
      <c r="A17" s="136"/>
      <c r="B17" s="136"/>
      <c r="C17" s="218"/>
      <c r="D17" s="223"/>
      <c r="E17" s="218"/>
      <c r="F17" s="155"/>
      <c r="G17" s="224"/>
      <c r="H17" s="221"/>
      <c r="I17" s="218"/>
      <c r="J17" s="222"/>
      <c r="K17" s="136"/>
      <c r="L17" s="26"/>
      <c r="M17" s="24"/>
      <c r="N17" s="217"/>
      <c r="O17" s="217"/>
      <c r="P17" s="217"/>
    </row>
    <row r="18" spans="1:16" x14ac:dyDescent="0.2">
      <c r="A18" s="136"/>
      <c r="B18" s="136"/>
      <c r="C18" s="218"/>
      <c r="D18" s="223"/>
      <c r="E18" s="218"/>
      <c r="F18" s="155"/>
      <c r="G18" s="224"/>
      <c r="H18" s="221"/>
      <c r="I18" s="218"/>
      <c r="J18" s="222"/>
      <c r="K18" s="136"/>
      <c r="L18" s="26"/>
      <c r="M18" s="24"/>
      <c r="N18" s="217"/>
      <c r="O18" s="217"/>
      <c r="P18" s="217"/>
    </row>
    <row r="19" spans="1:16" x14ac:dyDescent="0.2">
      <c r="A19" s="136"/>
      <c r="B19" s="136"/>
      <c r="C19" s="218"/>
      <c r="D19" s="223"/>
      <c r="E19" s="218"/>
      <c r="F19" s="155"/>
      <c r="G19" s="224"/>
      <c r="H19" s="221"/>
      <c r="I19" s="218"/>
      <c r="J19" s="222"/>
      <c r="K19" s="136"/>
      <c r="L19" s="26"/>
      <c r="M19" s="24"/>
      <c r="N19" s="217"/>
      <c r="O19" s="217"/>
      <c r="P19" s="217"/>
    </row>
    <row r="20" spans="1:16" x14ac:dyDescent="0.2">
      <c r="A20" s="136"/>
      <c r="B20" s="136"/>
      <c r="C20" s="218"/>
      <c r="D20" s="223"/>
      <c r="E20" s="218"/>
      <c r="F20" s="155"/>
      <c r="G20" s="224"/>
      <c r="H20" s="221"/>
      <c r="I20" s="218"/>
      <c r="J20" s="222"/>
      <c r="K20" s="136"/>
      <c r="L20" s="26"/>
      <c r="M20" s="24"/>
      <c r="N20" s="217"/>
      <c r="O20" s="217"/>
      <c r="P20" s="217"/>
    </row>
    <row r="21" spans="1:16" x14ac:dyDescent="0.2">
      <c r="A21" s="136"/>
      <c r="B21" s="136"/>
      <c r="C21" s="218"/>
      <c r="D21" s="225"/>
      <c r="E21" s="218"/>
      <c r="F21" s="226"/>
      <c r="G21" s="220"/>
      <c r="H21" s="221"/>
      <c r="I21" s="218"/>
      <c r="J21" s="222"/>
      <c r="K21" s="136"/>
      <c r="L21" s="26"/>
      <c r="M21" s="24"/>
      <c r="N21" s="217"/>
      <c r="O21" s="217"/>
      <c r="P21" s="217"/>
    </row>
    <row r="22" spans="1:16" x14ac:dyDescent="0.2">
      <c r="A22" s="136"/>
      <c r="B22" s="136"/>
      <c r="C22" s="218"/>
      <c r="D22" s="225"/>
      <c r="E22" s="218"/>
      <c r="F22" s="226"/>
      <c r="G22" s="220"/>
      <c r="H22" s="221"/>
      <c r="I22" s="218"/>
      <c r="J22" s="222"/>
      <c r="K22" s="136"/>
      <c r="L22" s="26"/>
      <c r="M22" s="24"/>
      <c r="N22" s="217"/>
      <c r="O22" s="217"/>
      <c r="P22" s="217"/>
    </row>
    <row r="23" spans="1:16" x14ac:dyDescent="0.2">
      <c r="A23" s="136"/>
      <c r="B23" s="136"/>
      <c r="C23" s="218"/>
      <c r="D23" s="225"/>
      <c r="E23" s="218"/>
      <c r="F23" s="226"/>
      <c r="G23" s="220"/>
      <c r="H23" s="221"/>
      <c r="I23" s="218"/>
      <c r="J23" s="222"/>
      <c r="K23" s="136"/>
      <c r="L23" s="26"/>
      <c r="M23" s="24"/>
      <c r="N23" s="217"/>
      <c r="O23" s="217"/>
      <c r="P23" s="217"/>
    </row>
    <row r="24" spans="1:16" x14ac:dyDescent="0.2">
      <c r="A24" s="227"/>
      <c r="B24" s="136"/>
      <c r="C24" s="218"/>
      <c r="D24" s="225"/>
      <c r="E24" s="218"/>
      <c r="F24" s="226"/>
      <c r="G24" s="220"/>
      <c r="H24" s="221"/>
      <c r="I24" s="218"/>
      <c r="J24" s="222"/>
      <c r="K24" s="136"/>
      <c r="L24" s="26"/>
      <c r="M24" s="24"/>
      <c r="N24" s="217"/>
      <c r="O24" s="217"/>
      <c r="P24" s="217"/>
    </row>
    <row r="25" spans="1:16" x14ac:dyDescent="0.2">
      <c r="A25" s="227"/>
      <c r="B25" s="136"/>
      <c r="C25" s="218"/>
      <c r="D25" s="225"/>
      <c r="E25" s="218"/>
      <c r="F25" s="226"/>
      <c r="G25" s="220"/>
      <c r="H25" s="221"/>
      <c r="I25" s="218"/>
      <c r="J25" s="222"/>
      <c r="K25" s="136"/>
      <c r="L25" s="26"/>
      <c r="M25" s="24"/>
      <c r="N25" s="217"/>
      <c r="O25" s="217"/>
      <c r="P25" s="217"/>
    </row>
    <row r="26" spans="1:16" x14ac:dyDescent="0.2">
      <c r="A26" s="136"/>
      <c r="B26" s="136"/>
      <c r="C26" s="218"/>
      <c r="D26" s="225"/>
      <c r="E26" s="218"/>
      <c r="F26" s="226"/>
      <c r="G26" s="220"/>
      <c r="H26" s="221"/>
      <c r="I26" s="218"/>
      <c r="J26" s="222"/>
      <c r="K26" s="136"/>
      <c r="L26" s="26"/>
      <c r="M26" s="24"/>
      <c r="N26" s="217"/>
      <c r="O26" s="217"/>
      <c r="P26" s="217"/>
    </row>
    <row r="27" spans="1:16" x14ac:dyDescent="0.2">
      <c r="A27" s="136"/>
      <c r="B27" s="136"/>
      <c r="C27" s="218"/>
      <c r="D27" s="225"/>
      <c r="E27" s="218"/>
      <c r="F27" s="226"/>
      <c r="G27" s="220"/>
      <c r="H27" s="221"/>
      <c r="I27" s="218"/>
      <c r="J27" s="222"/>
      <c r="K27" s="136"/>
      <c r="L27" s="26"/>
      <c r="M27" s="24"/>
      <c r="N27" s="217"/>
      <c r="O27" s="217"/>
      <c r="P27" s="217"/>
    </row>
    <row r="28" spans="1:16" x14ac:dyDescent="0.2">
      <c r="A28" s="136"/>
      <c r="B28" s="136"/>
      <c r="C28" s="218"/>
      <c r="D28" s="225"/>
      <c r="E28" s="218"/>
      <c r="F28" s="226"/>
      <c r="G28" s="220"/>
      <c r="H28" s="221"/>
      <c r="I28" s="218"/>
      <c r="J28" s="222"/>
      <c r="K28" s="136"/>
      <c r="L28" s="26"/>
      <c r="M28" s="24"/>
      <c r="N28" s="217"/>
      <c r="O28" s="217"/>
      <c r="P28" s="217"/>
    </row>
    <row r="29" spans="1:16" x14ac:dyDescent="0.3">
      <c r="A29" s="136"/>
      <c r="B29" s="136"/>
      <c r="C29" s="218"/>
      <c r="D29" s="156"/>
      <c r="E29" s="157"/>
      <c r="F29" s="226"/>
      <c r="G29" s="220"/>
      <c r="H29" s="222"/>
      <c r="I29" s="218"/>
      <c r="J29" s="222"/>
      <c r="K29" s="136"/>
      <c r="L29" s="26"/>
      <c r="M29" s="24"/>
      <c r="N29" s="217"/>
      <c r="O29" s="217"/>
      <c r="P29" s="217"/>
    </row>
    <row r="30" spans="1:16" x14ac:dyDescent="0.3">
      <c r="A30" s="137"/>
      <c r="B30" s="137"/>
      <c r="C30" s="154"/>
      <c r="D30" s="138"/>
      <c r="E30" s="154"/>
      <c r="F30" s="155"/>
      <c r="G30" s="155"/>
      <c r="H30" s="1303"/>
      <c r="I30" s="1303"/>
      <c r="J30" s="172"/>
      <c r="K30" s="136"/>
      <c r="L30" s="26"/>
      <c r="M30" s="24"/>
      <c r="N30" s="217"/>
      <c r="O30" s="217"/>
      <c r="P30" s="217"/>
    </row>
    <row r="31" spans="1:16" x14ac:dyDescent="0.3">
      <c r="A31" s="136"/>
      <c r="B31" s="136"/>
      <c r="C31" s="154"/>
      <c r="D31" s="181"/>
      <c r="E31" s="154"/>
      <c r="F31" s="155"/>
      <c r="G31" s="155"/>
      <c r="H31" s="1303"/>
      <c r="I31" s="1303"/>
      <c r="J31" s="172"/>
      <c r="K31" s="136"/>
      <c r="L31" s="26"/>
      <c r="M31" s="24"/>
      <c r="N31" s="217"/>
      <c r="O31" s="217"/>
      <c r="P31" s="217"/>
    </row>
    <row r="32" spans="1:16" x14ac:dyDescent="0.3">
      <c r="A32" s="136"/>
      <c r="B32" s="136"/>
      <c r="C32" s="154"/>
      <c r="D32" s="181"/>
      <c r="E32" s="154"/>
      <c r="F32" s="155"/>
      <c r="G32" s="155"/>
      <c r="H32" s="228"/>
      <c r="I32" s="228"/>
      <c r="J32" s="181"/>
      <c r="K32" s="136"/>
      <c r="L32" s="26"/>
      <c r="M32" s="24"/>
      <c r="N32" s="217"/>
      <c r="O32" s="217"/>
      <c r="P32" s="217"/>
    </row>
    <row r="33" spans="1:16" x14ac:dyDescent="0.3">
      <c r="A33" s="136"/>
      <c r="B33" s="137"/>
      <c r="C33" s="154"/>
      <c r="D33" s="137"/>
      <c r="E33" s="154"/>
      <c r="F33" s="138"/>
      <c r="G33" s="138"/>
      <c r="H33" s="138"/>
      <c r="I33" s="154"/>
      <c r="J33" s="138"/>
      <c r="K33" s="136"/>
      <c r="L33" s="26"/>
      <c r="M33" s="24"/>
      <c r="N33" s="217"/>
      <c r="O33" s="217"/>
      <c r="P33" s="217"/>
    </row>
    <row r="34" spans="1:16" x14ac:dyDescent="0.3">
      <c r="A34" s="137"/>
      <c r="B34" s="137"/>
      <c r="C34" s="154"/>
      <c r="D34" s="181"/>
      <c r="E34" s="154"/>
      <c r="F34" s="155"/>
      <c r="G34" s="155"/>
      <c r="H34" s="181"/>
      <c r="I34" s="154"/>
      <c r="J34" s="181"/>
      <c r="K34" s="136"/>
      <c r="L34" s="26"/>
      <c r="M34" s="24"/>
      <c r="N34" s="217"/>
      <c r="O34" s="217"/>
      <c r="P34" s="217"/>
    </row>
    <row r="35" spans="1:16" x14ac:dyDescent="0.3">
      <c r="A35" s="227"/>
      <c r="B35" s="227"/>
      <c r="C35" s="154"/>
      <c r="D35" s="224"/>
      <c r="E35" s="154"/>
      <c r="F35" s="224"/>
      <c r="G35" s="224"/>
      <c r="H35" s="229"/>
      <c r="I35" s="218"/>
      <c r="J35" s="230"/>
      <c r="K35" s="136"/>
      <c r="L35" s="26"/>
      <c r="M35" s="24"/>
      <c r="N35" s="217"/>
      <c r="O35" s="217"/>
      <c r="P35" s="217"/>
    </row>
    <row r="36" spans="1:16" x14ac:dyDescent="0.3">
      <c r="A36" s="231"/>
      <c r="B36" s="231"/>
      <c r="C36" s="154"/>
      <c r="D36" s="181"/>
      <c r="E36" s="154"/>
      <c r="F36" s="155"/>
      <c r="G36" s="155"/>
      <c r="H36" s="221"/>
      <c r="I36" s="218"/>
      <c r="J36" s="222"/>
      <c r="K36" s="136"/>
      <c r="L36" s="26"/>
      <c r="M36" s="24"/>
      <c r="N36" s="217"/>
      <c r="O36" s="217"/>
      <c r="P36" s="217"/>
    </row>
    <row r="37" spans="1:16" x14ac:dyDescent="0.3">
      <c r="A37" s="231"/>
      <c r="B37" s="231"/>
      <c r="C37" s="154"/>
      <c r="D37" s="181"/>
      <c r="E37" s="154"/>
      <c r="F37" s="155"/>
      <c r="G37" s="155"/>
      <c r="H37" s="221"/>
      <c r="I37" s="218"/>
      <c r="J37" s="222"/>
      <c r="K37" s="136"/>
      <c r="L37" s="26"/>
      <c r="M37" s="24"/>
      <c r="N37" s="217"/>
      <c r="O37" s="217"/>
      <c r="P37" s="217"/>
    </row>
    <row r="38" spans="1:16" x14ac:dyDescent="0.3">
      <c r="A38" s="231"/>
      <c r="B38" s="231"/>
      <c r="C38" s="154"/>
      <c r="D38" s="181"/>
      <c r="E38" s="154"/>
      <c r="F38" s="155"/>
      <c r="G38" s="155"/>
      <c r="H38" s="221"/>
      <c r="I38" s="218"/>
      <c r="J38" s="222"/>
      <c r="K38" s="136"/>
      <c r="L38" s="26"/>
      <c r="M38" s="24"/>
      <c r="N38" s="217"/>
      <c r="O38" s="217"/>
      <c r="P38" s="217"/>
    </row>
    <row r="39" spans="1:16" x14ac:dyDescent="0.3">
      <c r="A39" s="231"/>
      <c r="B39" s="231"/>
      <c r="C39" s="154"/>
      <c r="D39" s="181"/>
      <c r="E39" s="154"/>
      <c r="F39" s="155"/>
      <c r="G39" s="155"/>
      <c r="H39" s="221"/>
      <c r="I39" s="218"/>
      <c r="J39" s="222"/>
      <c r="K39" s="136"/>
      <c r="L39" s="26"/>
      <c r="M39" s="24"/>
      <c r="N39" s="217"/>
      <c r="O39" s="217"/>
      <c r="P39" s="217"/>
    </row>
    <row r="40" spans="1:16" x14ac:dyDescent="0.3">
      <c r="A40" s="231"/>
      <c r="B40" s="231"/>
      <c r="C40" s="154"/>
      <c r="D40" s="181"/>
      <c r="E40" s="154"/>
      <c r="F40" s="155"/>
      <c r="G40" s="155"/>
      <c r="H40" s="221"/>
      <c r="I40" s="218"/>
      <c r="J40" s="222"/>
      <c r="K40" s="136"/>
      <c r="L40" s="26"/>
      <c r="M40" s="24"/>
      <c r="N40" s="217"/>
      <c r="O40" s="217"/>
      <c r="P40" s="217"/>
    </row>
    <row r="41" spans="1:16" x14ac:dyDescent="0.3">
      <c r="A41" s="231"/>
      <c r="B41" s="231"/>
      <c r="C41" s="154"/>
      <c r="D41" s="181"/>
      <c r="E41" s="154"/>
      <c r="F41" s="155"/>
      <c r="G41" s="155"/>
      <c r="H41" s="221"/>
      <c r="I41" s="218"/>
      <c r="J41" s="222"/>
      <c r="K41" s="136"/>
      <c r="L41" s="26"/>
      <c r="M41" s="24"/>
      <c r="N41" s="217"/>
      <c r="O41" s="217"/>
      <c r="P41" s="217"/>
    </row>
    <row r="42" spans="1:16" x14ac:dyDescent="0.3">
      <c r="A42" s="231"/>
      <c r="B42" s="231"/>
      <c r="C42" s="154"/>
      <c r="D42" s="181"/>
      <c r="E42" s="154"/>
      <c r="F42" s="155"/>
      <c r="G42" s="155"/>
      <c r="H42" s="221"/>
      <c r="I42" s="218"/>
      <c r="J42" s="222"/>
      <c r="K42" s="136"/>
      <c r="L42" s="26"/>
      <c r="M42" s="24"/>
      <c r="N42" s="217"/>
      <c r="O42" s="217"/>
      <c r="P42" s="217"/>
    </row>
    <row r="43" spans="1:16" x14ac:dyDescent="0.3">
      <c r="A43" s="231"/>
      <c r="B43" s="231"/>
      <c r="C43" s="154"/>
      <c r="D43" s="181"/>
      <c r="E43" s="154"/>
      <c r="F43" s="155"/>
      <c r="G43" s="155"/>
      <c r="H43" s="221"/>
      <c r="I43" s="218"/>
      <c r="J43" s="222"/>
      <c r="K43" s="136"/>
      <c r="L43" s="26"/>
      <c r="M43" s="24"/>
      <c r="N43" s="217"/>
      <c r="O43" s="217"/>
      <c r="P43" s="217"/>
    </row>
    <row r="44" spans="1:16" x14ac:dyDescent="0.3">
      <c r="A44" s="231"/>
      <c r="B44" s="231"/>
      <c r="C44" s="154"/>
      <c r="D44" s="181"/>
      <c r="E44" s="154"/>
      <c r="F44" s="155"/>
      <c r="G44" s="155"/>
      <c r="H44" s="221"/>
      <c r="I44" s="218"/>
      <c r="J44" s="222"/>
      <c r="K44" s="136"/>
      <c r="L44" s="26"/>
      <c r="M44" s="24"/>
      <c r="N44" s="217"/>
      <c r="O44" s="217"/>
      <c r="P44" s="217"/>
    </row>
    <row r="45" spans="1:16" x14ac:dyDescent="0.3">
      <c r="A45" s="231"/>
      <c r="B45" s="231"/>
      <c r="C45" s="154"/>
      <c r="D45" s="181"/>
      <c r="E45" s="154"/>
      <c r="F45" s="155"/>
      <c r="G45" s="155"/>
      <c r="H45" s="221"/>
      <c r="I45" s="218"/>
      <c r="J45" s="222"/>
      <c r="K45" s="136"/>
      <c r="L45" s="26"/>
      <c r="M45" s="24"/>
      <c r="N45" s="217"/>
      <c r="O45" s="217"/>
      <c r="P45" s="217"/>
    </row>
    <row r="46" spans="1:16" x14ac:dyDescent="0.3">
      <c r="A46" s="231"/>
      <c r="B46" s="231"/>
      <c r="C46" s="154"/>
      <c r="D46" s="181"/>
      <c r="E46" s="154"/>
      <c r="F46" s="155"/>
      <c r="G46" s="155"/>
      <c r="H46" s="221"/>
      <c r="I46" s="218"/>
      <c r="J46" s="222"/>
      <c r="K46" s="136"/>
      <c r="L46" s="26"/>
      <c r="M46" s="24"/>
      <c r="N46" s="217"/>
      <c r="O46" s="217"/>
      <c r="P46" s="217"/>
    </row>
    <row r="47" spans="1:16" x14ac:dyDescent="0.3">
      <c r="A47" s="231"/>
      <c r="B47" s="231"/>
      <c r="C47" s="154"/>
      <c r="D47" s="181"/>
      <c r="E47" s="154"/>
      <c r="F47" s="155"/>
      <c r="G47" s="155"/>
      <c r="H47" s="221"/>
      <c r="I47" s="218"/>
      <c r="J47" s="222"/>
      <c r="K47" s="136"/>
      <c r="L47" s="26"/>
      <c r="M47" s="24"/>
      <c r="N47" s="217"/>
      <c r="O47" s="217"/>
      <c r="P47" s="217"/>
    </row>
    <row r="48" spans="1:16" x14ac:dyDescent="0.3">
      <c r="A48" s="231"/>
      <c r="B48" s="231"/>
      <c r="C48" s="154"/>
      <c r="D48" s="181"/>
      <c r="E48" s="154"/>
      <c r="F48" s="155"/>
      <c r="G48" s="155"/>
      <c r="H48" s="221"/>
      <c r="I48" s="218"/>
      <c r="J48" s="222"/>
      <c r="K48" s="136"/>
      <c r="L48" s="26"/>
      <c r="M48" s="24"/>
      <c r="N48" s="217"/>
      <c r="O48" s="217"/>
      <c r="P48" s="217"/>
    </row>
    <row r="49" spans="1:16" x14ac:dyDescent="0.3">
      <c r="A49" s="231"/>
      <c r="B49" s="231"/>
      <c r="C49" s="154"/>
      <c r="D49" s="181"/>
      <c r="E49" s="154"/>
      <c r="F49" s="155"/>
      <c r="G49" s="155"/>
      <c r="H49" s="221"/>
      <c r="I49" s="218"/>
      <c r="J49" s="222"/>
      <c r="K49" s="136"/>
      <c r="L49" s="26"/>
      <c r="M49" s="24"/>
      <c r="N49" s="217"/>
      <c r="O49" s="217"/>
      <c r="P49" s="217"/>
    </row>
    <row r="50" spans="1:16" x14ac:dyDescent="0.3">
      <c r="A50" s="231"/>
      <c r="B50" s="231"/>
      <c r="C50" s="154"/>
      <c r="D50" s="181"/>
      <c r="E50" s="154"/>
      <c r="F50" s="155"/>
      <c r="G50" s="155"/>
      <c r="H50" s="221"/>
      <c r="I50" s="218"/>
      <c r="J50" s="222"/>
      <c r="K50" s="136"/>
      <c r="L50" s="26"/>
      <c r="M50" s="24"/>
      <c r="N50" s="217"/>
      <c r="O50" s="217"/>
      <c r="P50" s="217"/>
    </row>
    <row r="51" spans="1:16" x14ac:dyDescent="0.3">
      <c r="A51" s="214"/>
      <c r="B51" s="214"/>
      <c r="D51" s="2"/>
      <c r="F51" s="210"/>
      <c r="G51" s="210"/>
      <c r="H51" s="212"/>
      <c r="I51" s="42"/>
      <c r="J51" s="37"/>
      <c r="L51" s="36"/>
      <c r="M51" s="35"/>
      <c r="N51" s="14"/>
      <c r="O51" s="14"/>
      <c r="P51" s="14"/>
    </row>
    <row r="52" spans="1:16" x14ac:dyDescent="0.3">
      <c r="A52" s="214"/>
      <c r="B52" s="214"/>
      <c r="D52" s="2"/>
      <c r="F52" s="210"/>
      <c r="G52" s="210"/>
      <c r="H52" s="212"/>
      <c r="I52" s="42"/>
      <c r="J52" s="37"/>
      <c r="L52" s="36"/>
      <c r="M52" s="35"/>
      <c r="N52" s="14"/>
      <c r="O52" s="14"/>
      <c r="P52" s="14"/>
    </row>
    <row r="53" spans="1:16" x14ac:dyDescent="0.3">
      <c r="A53" s="214"/>
      <c r="B53" s="214"/>
      <c r="D53" s="2"/>
      <c r="F53" s="210"/>
      <c r="G53" s="210"/>
      <c r="H53" s="212"/>
      <c r="I53" s="42"/>
      <c r="J53" s="37"/>
      <c r="L53" s="36"/>
      <c r="M53" s="35"/>
      <c r="N53" s="14"/>
      <c r="O53" s="14"/>
      <c r="P53" s="14"/>
    </row>
    <row r="54" spans="1:16" x14ac:dyDescent="0.3">
      <c r="A54" s="87"/>
      <c r="B54" s="214"/>
      <c r="D54" s="2"/>
      <c r="F54" s="210"/>
      <c r="G54" s="210"/>
      <c r="H54" s="212"/>
      <c r="I54" s="42"/>
      <c r="J54" s="37"/>
      <c r="L54" s="36"/>
      <c r="M54" s="35"/>
      <c r="N54" s="14"/>
      <c r="O54" s="14"/>
      <c r="P54" s="14"/>
    </row>
    <row r="55" spans="1:16" x14ac:dyDescent="0.3">
      <c r="A55" s="3"/>
      <c r="B55" s="3"/>
      <c r="D55" s="2"/>
      <c r="F55" s="2"/>
      <c r="G55" s="2"/>
      <c r="H55" s="1304"/>
      <c r="I55" s="1304"/>
      <c r="J55" s="213"/>
      <c r="L55" s="36"/>
      <c r="M55" s="35"/>
      <c r="N55" s="14"/>
      <c r="O55" s="14"/>
      <c r="P55" s="14"/>
    </row>
    <row r="56" spans="1:16" x14ac:dyDescent="0.3">
      <c r="H56" s="1304"/>
      <c r="I56" s="1304"/>
      <c r="J56" s="213"/>
      <c r="L56" s="36"/>
      <c r="M56" s="35"/>
      <c r="N56" s="14"/>
      <c r="O56" s="14"/>
      <c r="P56" s="14"/>
    </row>
    <row r="57" spans="1:16" x14ac:dyDescent="0.3">
      <c r="A57" s="3"/>
      <c r="B57" s="3"/>
      <c r="H57" s="2"/>
      <c r="J57" s="37"/>
      <c r="L57" s="36"/>
      <c r="M57" s="35"/>
      <c r="N57" s="14"/>
      <c r="O57" s="14"/>
      <c r="P57" s="14"/>
    </row>
    <row r="58" spans="1:16" x14ac:dyDescent="0.3">
      <c r="A58" s="87"/>
      <c r="H58" s="2"/>
      <c r="J58" s="215"/>
      <c r="L58" s="36"/>
      <c r="M58" s="35"/>
      <c r="N58" s="14"/>
      <c r="O58" s="14"/>
      <c r="P58" s="14"/>
    </row>
    <row r="59" spans="1:16" x14ac:dyDescent="0.3">
      <c r="A59" s="87"/>
      <c r="H59" s="2"/>
      <c r="J59" s="215"/>
      <c r="L59" s="36"/>
      <c r="M59" s="35"/>
      <c r="N59" s="14"/>
      <c r="O59" s="14"/>
      <c r="P59" s="14"/>
    </row>
    <row r="60" spans="1:16" x14ac:dyDescent="0.3">
      <c r="H60" s="2"/>
      <c r="J60" s="215"/>
      <c r="L60" s="216"/>
      <c r="M60" s="35"/>
      <c r="N60" s="14"/>
      <c r="O60" s="14"/>
      <c r="P60" s="14"/>
    </row>
    <row r="61" spans="1:16" x14ac:dyDescent="0.3">
      <c r="H61" s="2"/>
      <c r="J61" s="215"/>
      <c r="L61" s="216"/>
      <c r="M61" s="35"/>
      <c r="N61" s="14"/>
      <c r="O61" s="14"/>
      <c r="P61" s="14"/>
    </row>
    <row r="62" spans="1:16" x14ac:dyDescent="0.3">
      <c r="H62" s="2"/>
      <c r="J62" s="37"/>
      <c r="L62" s="36"/>
      <c r="M62" s="35"/>
      <c r="N62" s="14"/>
      <c r="O62" s="14"/>
      <c r="P62" s="14"/>
    </row>
    <row r="63" spans="1:16" x14ac:dyDescent="0.3">
      <c r="A63" s="3"/>
      <c r="B63" s="3"/>
      <c r="H63" s="2"/>
      <c r="J63" s="37"/>
      <c r="L63" s="36"/>
      <c r="M63" s="35"/>
      <c r="N63" s="14"/>
      <c r="O63" s="14"/>
      <c r="P63" s="14"/>
    </row>
    <row r="64" spans="1:16" x14ac:dyDescent="0.3">
      <c r="H64" s="2"/>
      <c r="J64" s="215"/>
      <c r="L64" s="36"/>
      <c r="M64" s="35"/>
      <c r="N64" s="14"/>
      <c r="O64" s="14"/>
      <c r="P64" s="14"/>
    </row>
    <row r="65" spans="1:16" x14ac:dyDescent="0.3">
      <c r="H65" s="2"/>
      <c r="J65" s="37"/>
      <c r="L65" s="36"/>
      <c r="M65" s="35"/>
      <c r="N65" s="14"/>
      <c r="O65" s="14"/>
      <c r="P65" s="14"/>
    </row>
    <row r="66" spans="1:16" x14ac:dyDescent="0.3">
      <c r="J66" s="37"/>
      <c r="L66" s="36"/>
      <c r="M66" s="35"/>
      <c r="N66" s="14"/>
      <c r="O66" s="14"/>
      <c r="P66" s="14"/>
    </row>
    <row r="67" spans="1:16" x14ac:dyDescent="0.3">
      <c r="D67" s="35"/>
      <c r="E67" s="211"/>
      <c r="J67" s="37"/>
      <c r="L67" s="36"/>
      <c r="M67" s="35"/>
      <c r="N67" s="14"/>
      <c r="O67" s="14"/>
      <c r="P67" s="14"/>
    </row>
    <row r="68" spans="1:16" x14ac:dyDescent="0.3">
      <c r="B68" s="3"/>
      <c r="D68" s="3"/>
      <c r="F68" s="6"/>
      <c r="G68" s="6"/>
      <c r="H68" s="6"/>
      <c r="J68" s="6"/>
      <c r="L68" s="36"/>
      <c r="M68" s="35"/>
      <c r="N68" s="14"/>
      <c r="O68" s="14"/>
      <c r="P68" s="14"/>
    </row>
    <row r="69" spans="1:16" x14ac:dyDescent="0.3">
      <c r="I69" s="42"/>
      <c r="L69" s="36"/>
      <c r="M69" s="35"/>
      <c r="N69" s="14"/>
      <c r="O69" s="14"/>
      <c r="P69" s="14"/>
    </row>
    <row r="70" spans="1:16" x14ac:dyDescent="0.3">
      <c r="I70" s="42"/>
      <c r="L70" s="36"/>
      <c r="M70" s="35"/>
      <c r="N70" s="14"/>
      <c r="O70" s="14"/>
      <c r="P70" s="14"/>
    </row>
    <row r="71" spans="1:16" x14ac:dyDescent="0.3">
      <c r="L71" s="36"/>
      <c r="M71" s="35"/>
      <c r="N71" s="14"/>
      <c r="O71" s="14"/>
      <c r="P71" s="14"/>
    </row>
    <row r="72" spans="1:16" x14ac:dyDescent="0.3">
      <c r="A72" s="3"/>
      <c r="L72" s="36"/>
      <c r="M72" s="35"/>
      <c r="N72" s="14"/>
      <c r="O72" s="14"/>
      <c r="P72" s="14"/>
    </row>
    <row r="73" spans="1:16" x14ac:dyDescent="0.3">
      <c r="L73" s="36"/>
      <c r="M73" s="35"/>
      <c r="N73" s="14"/>
      <c r="O73" s="14"/>
      <c r="P73" s="14"/>
    </row>
    <row r="74" spans="1:16" x14ac:dyDescent="0.3">
      <c r="L74" s="36"/>
      <c r="M74" s="35"/>
      <c r="N74" s="14"/>
      <c r="O74" s="14"/>
      <c r="P74" s="14"/>
    </row>
    <row r="75" spans="1:16" x14ac:dyDescent="0.3">
      <c r="L75" s="36"/>
      <c r="M75" s="35"/>
      <c r="N75" s="14"/>
      <c r="O75" s="14"/>
      <c r="P75" s="14"/>
    </row>
    <row r="76" spans="1:16" x14ac:dyDescent="0.3">
      <c r="L76" s="36"/>
      <c r="M76" s="35"/>
      <c r="N76" s="14"/>
      <c r="O76" s="14"/>
      <c r="P76" s="14"/>
    </row>
  </sheetData>
  <mergeCells count="4">
    <mergeCell ref="H30:I30"/>
    <mergeCell ref="H31:I31"/>
    <mergeCell ref="H55:I55"/>
    <mergeCell ref="H56:I56"/>
  </mergeCells>
  <dataValidations count="1">
    <dataValidation type="list" allowBlank="1" showInputMessage="1" showErrorMessage="1" sqref="G9:G23 G35:G54" xr:uid="{00000000-0002-0000-0E00-000000000000}">
      <formula1>"Ground, First"</formula1>
    </dataValidation>
  </dataValidations>
  <pageMargins left="0.19685039370078741" right="0.19685039370078741" top="0.39370078740157483" bottom="0.39370078740157483" header="0.51181102362204722" footer="0.51181102362204722"/>
  <pageSetup paperSize="9" scale="73" orientation="portrait" r:id="rId1"/>
  <headerFooter alignWithMargins="0">
    <oddFooter>Page &amp;P of &amp;N</odd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3">
    <pageSetUpPr fitToPage="1"/>
  </sheetPr>
  <dimension ref="A1:L52"/>
  <sheetViews>
    <sheetView zoomScale="74" zoomScaleNormal="74" workbookViewId="0"/>
  </sheetViews>
  <sheetFormatPr defaultRowHeight="12.75" x14ac:dyDescent="0.2"/>
  <cols>
    <col min="1" max="1" width="39" customWidth="1"/>
    <col min="3" max="3" width="16" customWidth="1"/>
    <col min="6" max="6" width="20.140625" customWidth="1"/>
    <col min="7" max="7" width="27.7109375" customWidth="1"/>
    <col min="8" max="8" width="16.140625" customWidth="1"/>
    <col min="9" max="9" width="20.42578125" customWidth="1"/>
  </cols>
  <sheetData>
    <row r="1" spans="1:11" ht="23.25" x14ac:dyDescent="0.35">
      <c r="A1" s="873" t="s">
        <v>1171</v>
      </c>
      <c r="B1" s="874"/>
      <c r="C1" s="874"/>
      <c r="D1" s="874"/>
      <c r="E1" s="874"/>
      <c r="F1" s="875"/>
      <c r="G1" s="177" t="s">
        <v>344</v>
      </c>
      <c r="H1" s="177" t="s">
        <v>373</v>
      </c>
      <c r="I1" s="176" t="s">
        <v>345</v>
      </c>
      <c r="J1" s="158"/>
      <c r="K1" s="159"/>
    </row>
    <row r="2" spans="1:11" x14ac:dyDescent="0.2">
      <c r="A2" s="876"/>
      <c r="B2" s="403"/>
      <c r="C2" s="403"/>
      <c r="D2" s="403"/>
      <c r="E2" s="403"/>
      <c r="F2" s="877"/>
      <c r="G2" s="25"/>
      <c r="H2" s="31"/>
      <c r="I2" s="16"/>
      <c r="J2" s="17"/>
      <c r="K2" s="18"/>
    </row>
    <row r="3" spans="1:11" x14ac:dyDescent="0.2">
      <c r="A3" s="876"/>
      <c r="B3" s="156"/>
      <c r="C3" s="403"/>
      <c r="D3" s="403"/>
      <c r="E3" s="403"/>
      <c r="F3" s="877"/>
      <c r="G3" s="26"/>
      <c r="H3" s="24"/>
      <c r="I3" s="15"/>
      <c r="J3" s="14"/>
      <c r="K3" s="19"/>
    </row>
    <row r="4" spans="1:11" ht="13.5" thickBot="1" x14ac:dyDescent="0.25">
      <c r="A4" s="868" t="s">
        <v>389</v>
      </c>
      <c r="B4" s="156"/>
      <c r="C4" s="403"/>
      <c r="D4" s="403"/>
      <c r="E4" s="403"/>
      <c r="F4" s="877"/>
      <c r="G4" s="26"/>
      <c r="H4" s="24"/>
      <c r="I4" s="15"/>
      <c r="J4" s="14"/>
      <c r="K4" s="19"/>
    </row>
    <row r="5" spans="1:11" ht="13.5" thickBot="1" x14ac:dyDescent="0.25">
      <c r="A5" s="876" t="s">
        <v>410</v>
      </c>
      <c r="B5" s="603">
        <f>ABS(SUM('Brickwork GF'!F80:F81,'Brickwork GF'!P85:P86,'Brickwork GF'!F5))/1000</f>
        <v>0</v>
      </c>
      <c r="C5" s="465" t="s">
        <v>185</v>
      </c>
      <c r="D5" s="403" t="s">
        <v>411</v>
      </c>
      <c r="E5" s="403"/>
      <c r="F5" s="877"/>
      <c r="G5" s="26"/>
      <c r="H5" s="24"/>
      <c r="I5" s="15"/>
      <c r="J5" s="14"/>
      <c r="K5" s="19"/>
    </row>
    <row r="6" spans="1:11" ht="13.5" thickBot="1" x14ac:dyDescent="0.25">
      <c r="A6" s="876" t="s">
        <v>183</v>
      </c>
      <c r="B6" s="603">
        <f>'Steel Beams and Columns'!D17-'Roof Formulas FF'!B6</f>
        <v>0</v>
      </c>
      <c r="C6" s="466" t="s">
        <v>185</v>
      </c>
      <c r="D6" s="403"/>
      <c r="E6" s="403"/>
      <c r="F6" s="877"/>
      <c r="G6" s="26"/>
      <c r="H6" s="24"/>
      <c r="I6" s="15"/>
      <c r="J6" s="14"/>
      <c r="K6" s="19"/>
    </row>
    <row r="7" spans="1:11" ht="13.5" thickBot="1" x14ac:dyDescent="0.25">
      <c r="A7" s="868" t="s">
        <v>11</v>
      </c>
      <c r="B7" s="486">
        <f>CEILING(SUM(B5:B6)/4.8,1)</f>
        <v>0</v>
      </c>
      <c r="C7" s="467" t="s">
        <v>199</v>
      </c>
      <c r="D7" s="403" t="s">
        <v>212</v>
      </c>
      <c r="E7" s="403"/>
      <c r="F7" s="877"/>
      <c r="G7" s="26"/>
      <c r="H7" s="24"/>
      <c r="I7" s="15"/>
      <c r="J7" s="14"/>
      <c r="K7" s="19"/>
    </row>
    <row r="8" spans="1:11" x14ac:dyDescent="0.2">
      <c r="A8" s="876"/>
      <c r="B8" s="608"/>
      <c r="C8" s="403"/>
      <c r="D8" s="403"/>
      <c r="E8" s="403"/>
      <c r="F8" s="877"/>
      <c r="G8" s="26"/>
      <c r="H8" s="24"/>
      <c r="I8" s="15"/>
      <c r="J8" s="14"/>
      <c r="K8" s="19"/>
    </row>
    <row r="9" spans="1:11" ht="13.5" thickBot="1" x14ac:dyDescent="0.25">
      <c r="A9" s="868" t="s">
        <v>1173</v>
      </c>
      <c r="B9" s="608"/>
      <c r="C9" s="403"/>
      <c r="D9" s="403"/>
      <c r="E9" s="403"/>
      <c r="F9" s="877"/>
      <c r="G9" s="26"/>
      <c r="H9" s="24"/>
      <c r="I9" s="15"/>
      <c r="J9" s="14"/>
      <c r="K9" s="19"/>
    </row>
    <row r="10" spans="1:11" ht="13.5" thickBot="1" x14ac:dyDescent="0.25">
      <c r="A10" s="878" t="s">
        <v>581</v>
      </c>
      <c r="B10" s="486">
        <f>SUMIF(Name,"Bolting Plate",Length)</f>
        <v>0</v>
      </c>
      <c r="C10" s="403"/>
      <c r="D10" s="403"/>
      <c r="E10" s="403"/>
      <c r="F10" s="877"/>
      <c r="G10" s="26"/>
      <c r="H10" s="24"/>
      <c r="I10" s="15"/>
      <c r="J10" s="14"/>
      <c r="K10" s="19"/>
    </row>
    <row r="11" spans="1:11" ht="13.5" thickBot="1" x14ac:dyDescent="0.25">
      <c r="A11" s="876"/>
      <c r="B11" s="486">
        <f>CEILING(B10/4.5,1)</f>
        <v>0</v>
      </c>
      <c r="C11" s="467" t="s">
        <v>198</v>
      </c>
      <c r="D11" s="403" t="s">
        <v>212</v>
      </c>
      <c r="E11" s="403"/>
      <c r="F11" s="877"/>
      <c r="G11" s="26"/>
      <c r="H11" s="24"/>
      <c r="I11" s="15"/>
      <c r="J11" s="14"/>
      <c r="K11" s="19"/>
    </row>
    <row r="12" spans="1:11" x14ac:dyDescent="0.2">
      <c r="A12" s="876"/>
      <c r="B12" s="607"/>
      <c r="C12" s="468"/>
      <c r="D12" s="403"/>
      <c r="E12" s="403"/>
      <c r="F12" s="877"/>
      <c r="G12" s="26"/>
      <c r="H12" s="24"/>
      <c r="I12" s="15"/>
      <c r="J12" s="14"/>
      <c r="K12" s="19"/>
    </row>
    <row r="13" spans="1:11" ht="13.5" thickBot="1" x14ac:dyDescent="0.25">
      <c r="A13" s="868" t="s">
        <v>188</v>
      </c>
      <c r="B13" s="608"/>
      <c r="C13" s="403"/>
      <c r="D13" s="403"/>
      <c r="E13" s="403"/>
      <c r="F13" s="877"/>
      <c r="G13" s="26"/>
      <c r="H13" s="24"/>
      <c r="I13" s="15"/>
      <c r="J13" s="14"/>
      <c r="K13" s="19"/>
    </row>
    <row r="14" spans="1:11" ht="13.5" thickBot="1" x14ac:dyDescent="0.25">
      <c r="A14" s="876" t="s">
        <v>189</v>
      </c>
      <c r="B14" s="603">
        <f>SUMIF(Name,"UNDERPURLIN",Length)</f>
        <v>0</v>
      </c>
      <c r="C14" s="465" t="s">
        <v>185</v>
      </c>
      <c r="D14" s="403"/>
      <c r="E14" s="403"/>
      <c r="F14" s="877"/>
      <c r="G14" s="26"/>
      <c r="H14" s="24"/>
      <c r="I14" s="15"/>
      <c r="J14" s="14"/>
      <c r="K14" s="19"/>
    </row>
    <row r="15" spans="1:11" ht="13.5" thickBot="1" x14ac:dyDescent="0.25">
      <c r="A15" s="876" t="s">
        <v>187</v>
      </c>
      <c r="B15" s="486">
        <f>COUNTIF(Name,"ridge")*2</f>
        <v>0</v>
      </c>
      <c r="C15" s="403"/>
      <c r="D15" s="403"/>
      <c r="E15" s="403"/>
      <c r="F15" s="877"/>
      <c r="G15" s="26"/>
      <c r="H15" s="24"/>
      <c r="I15" s="15"/>
      <c r="J15" s="14"/>
      <c r="K15" s="19"/>
    </row>
    <row r="16" spans="1:11" ht="13.5" thickBot="1" x14ac:dyDescent="0.25">
      <c r="A16" s="868" t="s">
        <v>11</v>
      </c>
      <c r="B16" s="486">
        <f>CEILING(((B14/IF(Roof_Type="Steel Roof",1.7,2.2))+B15)/2,1)</f>
        <v>0</v>
      </c>
      <c r="C16" s="467" t="s">
        <v>209</v>
      </c>
      <c r="D16" s="403" t="s">
        <v>212</v>
      </c>
      <c r="E16" s="403"/>
      <c r="F16" s="877"/>
      <c r="G16" s="26"/>
      <c r="H16" s="24"/>
      <c r="I16" s="15"/>
      <c r="J16" s="14"/>
      <c r="K16" s="19"/>
    </row>
    <row r="17" spans="1:11" x14ac:dyDescent="0.2">
      <c r="A17" s="876"/>
      <c r="B17" s="879"/>
      <c r="C17" s="403"/>
      <c r="D17" s="403"/>
      <c r="E17" s="403"/>
      <c r="F17" s="877"/>
      <c r="G17" s="26"/>
      <c r="H17" s="24"/>
      <c r="I17" s="15"/>
      <c r="J17" s="14"/>
      <c r="K17" s="19"/>
    </row>
    <row r="18" spans="1:11" ht="13.5" thickBot="1" x14ac:dyDescent="0.25">
      <c r="A18" s="868" t="s">
        <v>190</v>
      </c>
      <c r="B18" s="879"/>
      <c r="C18" s="403"/>
      <c r="D18" s="403"/>
      <c r="E18" s="403"/>
      <c r="F18" s="877"/>
      <c r="G18" s="26"/>
      <c r="H18" s="24"/>
      <c r="I18" s="15"/>
      <c r="J18" s="14"/>
      <c r="K18" s="19"/>
    </row>
    <row r="19" spans="1:11" ht="13.5" thickBot="1" x14ac:dyDescent="0.25">
      <c r="A19" s="880" t="s">
        <v>413</v>
      </c>
      <c r="B19" s="605"/>
      <c r="C19" s="403"/>
      <c r="D19" s="403"/>
      <c r="E19" s="403"/>
      <c r="F19" s="877"/>
      <c r="G19" s="26"/>
      <c r="H19" s="24"/>
      <c r="I19" s="15"/>
      <c r="J19" s="14"/>
      <c r="K19" s="19"/>
    </row>
    <row r="20" spans="1:11" ht="13.5" thickBot="1" x14ac:dyDescent="0.25">
      <c r="A20" s="876" t="s">
        <v>191</v>
      </c>
      <c r="B20" s="487">
        <f ca="1">GF_Eave_Length-B19</f>
        <v>0</v>
      </c>
      <c r="C20" s="403"/>
      <c r="D20" s="403"/>
      <c r="E20" s="403"/>
      <c r="F20" s="877"/>
      <c r="G20" s="26"/>
      <c r="H20" s="24"/>
      <c r="I20" s="15"/>
      <c r="J20" s="14"/>
      <c r="K20" s="19"/>
    </row>
    <row r="21" spans="1:11" ht="13.5" thickBot="1" x14ac:dyDescent="0.25">
      <c r="A21" s="868" t="s">
        <v>11</v>
      </c>
      <c r="B21" s="486">
        <f ca="1">CEILING(B20/6,1)</f>
        <v>0</v>
      </c>
      <c r="C21" s="467" t="s">
        <v>1670</v>
      </c>
      <c r="D21" s="403" t="s">
        <v>212</v>
      </c>
      <c r="E21" s="403"/>
      <c r="F21" s="877"/>
      <c r="G21" s="26"/>
      <c r="H21" s="24"/>
      <c r="I21" s="15"/>
      <c r="J21" s="14"/>
      <c r="K21" s="19"/>
    </row>
    <row r="22" spans="1:11" ht="13.5" thickBot="1" x14ac:dyDescent="0.25">
      <c r="A22" s="876"/>
      <c r="B22" s="879"/>
      <c r="C22" s="403"/>
      <c r="D22" s="403"/>
      <c r="E22" s="403"/>
      <c r="F22" s="877"/>
      <c r="G22" s="26"/>
      <c r="H22" s="24"/>
      <c r="I22" s="15"/>
      <c r="J22" s="14"/>
      <c r="K22" s="19"/>
    </row>
    <row r="23" spans="1:11" ht="13.5" thickBot="1" x14ac:dyDescent="0.25">
      <c r="A23" s="868" t="s">
        <v>196</v>
      </c>
      <c r="B23" s="486">
        <f ca="1">CEILING(B21/2,1)</f>
        <v>0</v>
      </c>
      <c r="C23" s="467" t="s">
        <v>1670</v>
      </c>
      <c r="D23" s="403" t="s">
        <v>212</v>
      </c>
      <c r="E23" s="403"/>
      <c r="F23" s="877"/>
      <c r="G23" s="26"/>
      <c r="H23" s="24"/>
      <c r="I23" s="15"/>
      <c r="J23" s="14"/>
      <c r="K23" s="19"/>
    </row>
    <row r="24" spans="1:11" ht="13.5" thickBot="1" x14ac:dyDescent="0.25">
      <c r="A24" s="876"/>
      <c r="B24" s="879"/>
      <c r="C24" s="403"/>
      <c r="D24" s="403"/>
      <c r="E24" s="403"/>
      <c r="F24" s="877"/>
      <c r="G24" s="26"/>
      <c r="H24" s="24"/>
      <c r="I24" s="15"/>
      <c r="J24" s="14"/>
      <c r="K24" s="19"/>
    </row>
    <row r="25" spans="1:11" ht="13.5" thickBot="1" x14ac:dyDescent="0.25">
      <c r="A25" s="868" t="s">
        <v>197</v>
      </c>
      <c r="B25" s="486">
        <f>CEILING(((('Brickwork GF'!P85/1000)/0.6)*IF(Roof_Type="Steel Roof",0.75,1.5))/4.5,1)</f>
        <v>0</v>
      </c>
      <c r="C25" s="467" t="s">
        <v>198</v>
      </c>
      <c r="D25" s="403" t="s">
        <v>212</v>
      </c>
      <c r="E25" s="403"/>
      <c r="F25" s="877"/>
      <c r="G25" s="26"/>
      <c r="H25" s="24"/>
      <c r="I25" s="15"/>
      <c r="J25" s="14"/>
      <c r="K25" s="19"/>
    </row>
    <row r="26" spans="1:11" ht="12" customHeight="1" x14ac:dyDescent="0.2">
      <c r="A26" s="876"/>
      <c r="B26" s="879"/>
      <c r="C26" s="403"/>
      <c r="D26" s="403"/>
      <c r="E26" s="403"/>
      <c r="F26" s="877"/>
      <c r="G26" s="26"/>
      <c r="H26" s="24"/>
      <c r="I26" s="15"/>
      <c r="J26" s="14"/>
      <c r="K26" s="19"/>
    </row>
    <row r="27" spans="1:11" ht="13.5" thickBot="1" x14ac:dyDescent="0.25">
      <c r="A27" s="868" t="s">
        <v>208</v>
      </c>
      <c r="B27" s="608"/>
      <c r="C27" s="403"/>
      <c r="D27" s="403"/>
      <c r="E27" s="403"/>
      <c r="F27" s="877"/>
      <c r="G27" s="26"/>
      <c r="H27" s="24"/>
      <c r="I27" s="15"/>
      <c r="J27" s="14"/>
      <c r="K27" s="19"/>
    </row>
    <row r="28" spans="1:11" ht="13.5" thickBot="1" x14ac:dyDescent="0.25">
      <c r="A28" s="876" t="s">
        <v>213</v>
      </c>
      <c r="B28" s="486">
        <f>SUMIF(Name,"Gable",Length)</f>
        <v>0</v>
      </c>
      <c r="C28" s="403"/>
      <c r="D28" s="403"/>
      <c r="E28" s="403"/>
      <c r="F28" s="877"/>
      <c r="G28" s="26"/>
      <c r="H28" s="24"/>
      <c r="I28" s="15"/>
      <c r="J28" s="14"/>
      <c r="K28" s="19"/>
    </row>
    <row r="29" spans="1:11" ht="13.5" thickBot="1" x14ac:dyDescent="0.25">
      <c r="A29" s="876"/>
      <c r="B29" s="486">
        <f>CEILING(B28/3.6,1)</f>
        <v>0</v>
      </c>
      <c r="C29" s="469">
        <v>3.6</v>
      </c>
      <c r="D29" s="468" t="s">
        <v>298</v>
      </c>
      <c r="E29" s="468"/>
      <c r="F29" s="877"/>
      <c r="G29" s="26"/>
      <c r="H29" s="24"/>
      <c r="I29" s="15"/>
      <c r="J29" s="14"/>
      <c r="K29" s="19"/>
    </row>
    <row r="30" spans="1:11" x14ac:dyDescent="0.2">
      <c r="A30" s="876"/>
      <c r="B30" s="608"/>
      <c r="C30" s="403"/>
      <c r="D30" s="403"/>
      <c r="E30" s="403"/>
      <c r="F30" s="877"/>
      <c r="G30" s="26"/>
      <c r="H30" s="24"/>
      <c r="I30" s="15"/>
      <c r="J30" s="14"/>
      <c r="K30" s="19"/>
    </row>
    <row r="31" spans="1:11" ht="13.5" thickBot="1" x14ac:dyDescent="0.25">
      <c r="A31" s="868" t="s">
        <v>205</v>
      </c>
      <c r="B31" s="608"/>
      <c r="C31" s="403"/>
      <c r="D31" s="403"/>
      <c r="E31" s="403"/>
      <c r="F31" s="877"/>
      <c r="G31" s="26"/>
      <c r="H31" s="24"/>
      <c r="I31" s="15"/>
      <c r="J31" s="14"/>
      <c r="K31" s="19"/>
    </row>
    <row r="32" spans="1:11" ht="13.5" thickBot="1" x14ac:dyDescent="0.25">
      <c r="A32" s="876" t="s">
        <v>206</v>
      </c>
      <c r="B32" s="486">
        <f>COUNTIF(Name,"Gable")</f>
        <v>0</v>
      </c>
      <c r="C32" s="403"/>
      <c r="D32" s="403"/>
      <c r="E32" s="403"/>
      <c r="F32" s="877"/>
      <c r="G32" s="26"/>
      <c r="H32" s="24"/>
      <c r="I32" s="15"/>
      <c r="J32" s="14"/>
      <c r="K32" s="19"/>
    </row>
    <row r="33" spans="1:12" ht="13.5" thickBot="1" x14ac:dyDescent="0.25">
      <c r="A33" s="876"/>
      <c r="B33" s="486">
        <f>B32</f>
        <v>0</v>
      </c>
      <c r="C33" s="469" t="s">
        <v>207</v>
      </c>
      <c r="D33" s="403" t="s">
        <v>212</v>
      </c>
      <c r="E33" s="403"/>
      <c r="F33" s="877"/>
      <c r="G33" s="26"/>
      <c r="H33" s="24"/>
      <c r="I33" s="15"/>
      <c r="J33" s="14"/>
      <c r="K33" s="19"/>
    </row>
    <row r="34" spans="1:12" ht="13.5" thickBot="1" x14ac:dyDescent="0.25">
      <c r="A34" s="876"/>
      <c r="B34" s="608"/>
      <c r="C34" s="403"/>
      <c r="D34" s="403"/>
      <c r="E34" s="403"/>
      <c r="F34" s="877"/>
      <c r="G34" s="26"/>
      <c r="H34" s="24"/>
      <c r="I34" s="15"/>
      <c r="J34" s="14"/>
      <c r="K34" s="19"/>
    </row>
    <row r="35" spans="1:12" ht="13.5" thickBot="1" x14ac:dyDescent="0.25">
      <c r="A35" s="868" t="s">
        <v>2464</v>
      </c>
      <c r="B35" s="832">
        <f>ROUNDUP(SUMIF(Name,"VALLEY",Length)*2/4.8,0)</f>
        <v>0</v>
      </c>
      <c r="C35" s="467" t="s">
        <v>199</v>
      </c>
      <c r="D35" s="403" t="s">
        <v>212</v>
      </c>
      <c r="E35" s="403"/>
      <c r="F35" s="877"/>
      <c r="G35" s="26"/>
      <c r="H35" s="24"/>
      <c r="I35" s="15"/>
      <c r="J35" s="14"/>
      <c r="K35" s="19"/>
    </row>
    <row r="36" spans="1:12" ht="13.5" thickBot="1" x14ac:dyDescent="0.25">
      <c r="A36" s="876"/>
      <c r="B36" s="608"/>
      <c r="C36" s="403"/>
      <c r="D36" s="403"/>
      <c r="E36" s="403"/>
      <c r="F36" s="877"/>
      <c r="G36" s="26"/>
      <c r="H36" s="24"/>
      <c r="I36" s="15"/>
      <c r="J36" s="14"/>
      <c r="K36" s="19"/>
    </row>
    <row r="37" spans="1:12" ht="13.5" thickBot="1" x14ac:dyDescent="0.25">
      <c r="A37" s="868" t="s">
        <v>210</v>
      </c>
      <c r="B37" s="486">
        <f>CEILING(B6/6,1)</f>
        <v>0</v>
      </c>
      <c r="C37" s="467" t="s">
        <v>330</v>
      </c>
      <c r="D37" s="403" t="s">
        <v>212</v>
      </c>
      <c r="E37" s="403"/>
      <c r="F37" s="877"/>
      <c r="G37" s="26"/>
      <c r="H37" s="24"/>
      <c r="I37" s="15"/>
      <c r="J37" s="14"/>
      <c r="K37" s="19"/>
    </row>
    <row r="38" spans="1:12" ht="13.5" thickBot="1" x14ac:dyDescent="0.25">
      <c r="A38" s="876"/>
      <c r="B38" s="881"/>
      <c r="C38" s="403"/>
      <c r="D38" s="403"/>
      <c r="E38" s="403"/>
      <c r="F38" s="877"/>
      <c r="G38" s="26"/>
      <c r="H38" s="24"/>
      <c r="I38" s="15"/>
      <c r="J38" s="14"/>
      <c r="K38" s="19"/>
      <c r="L38" s="34">
        <f>CEILING('Steel Beams and Columns'!D14,0.3)</f>
        <v>0</v>
      </c>
    </row>
    <row r="39" spans="1:12" ht="13.5" thickBot="1" x14ac:dyDescent="0.25">
      <c r="A39" s="868" t="s">
        <v>180</v>
      </c>
      <c r="B39" s="486">
        <f>COUNTIF(Name,"LVL Bracket")</f>
        <v>0</v>
      </c>
      <c r="C39" s="403"/>
      <c r="D39" s="403"/>
      <c r="E39" s="403"/>
      <c r="F39" s="877"/>
      <c r="G39" s="26"/>
      <c r="H39" s="24"/>
      <c r="I39" s="15"/>
      <c r="J39" s="14"/>
      <c r="K39" s="19"/>
    </row>
    <row r="40" spans="1:12" ht="13.5" thickBot="1" x14ac:dyDescent="0.25">
      <c r="A40" s="876"/>
      <c r="B40" s="608"/>
      <c r="C40" s="403"/>
      <c r="D40" s="403"/>
      <c r="E40" s="403"/>
      <c r="F40" s="877"/>
      <c r="G40" s="26"/>
      <c r="H40" s="24"/>
      <c r="I40" s="15"/>
      <c r="J40" s="14"/>
      <c r="K40" s="19"/>
    </row>
    <row r="41" spans="1:12" ht="13.5" thickBot="1" x14ac:dyDescent="0.25">
      <c r="A41" s="868" t="s">
        <v>2319</v>
      </c>
      <c r="B41" s="486">
        <f>SUMIF(Name,"Fascia",Length)</f>
        <v>0</v>
      </c>
      <c r="C41" s="403"/>
      <c r="D41" s="403"/>
      <c r="E41" s="403"/>
      <c r="F41" s="877"/>
      <c r="G41" s="26"/>
      <c r="H41" s="24"/>
      <c r="I41" s="15"/>
      <c r="J41" s="14"/>
      <c r="K41" s="19"/>
    </row>
    <row r="42" spans="1:12" ht="13.5" thickBot="1" x14ac:dyDescent="0.25">
      <c r="A42" s="876"/>
      <c r="B42" s="608"/>
      <c r="C42" s="403"/>
      <c r="D42" s="403"/>
      <c r="E42" s="403"/>
      <c r="F42" s="877"/>
      <c r="G42" s="26"/>
      <c r="H42" s="24"/>
      <c r="I42" s="15"/>
      <c r="J42" s="14"/>
      <c r="K42" s="19"/>
    </row>
    <row r="43" spans="1:12" ht="13.5" thickBot="1" x14ac:dyDescent="0.25">
      <c r="A43" s="868" t="s">
        <v>182</v>
      </c>
      <c r="B43" s="486" t="str">
        <f>IF(B41=0,"0",CEILING(B41/IF(BAL&gt;=29,0.45,IF(Roof_Type="Steel Roof",0.9,0.6))*0.85+10,5))</f>
        <v>0</v>
      </c>
      <c r="C43" s="468" t="s">
        <v>1053</v>
      </c>
      <c r="D43" s="486" t="str">
        <f>IF(B41=0,"0",CEILING(B41/IF(BAL&gt;=29,0.45,IF(Roof_Type="Steel Roof",0.9,0.6))*0.15+10,5))</f>
        <v>0</v>
      </c>
      <c r="E43" s="468" t="s">
        <v>1054</v>
      </c>
      <c r="F43" s="877"/>
      <c r="G43" s="26"/>
      <c r="H43" s="24"/>
      <c r="I43" s="15"/>
      <c r="J43" s="14"/>
      <c r="K43" s="19"/>
    </row>
    <row r="44" spans="1:12" ht="13.5" thickBot="1" x14ac:dyDescent="0.25">
      <c r="A44" s="876"/>
      <c r="B44" s="608"/>
      <c r="C44" s="403"/>
      <c r="D44" s="403"/>
      <c r="E44" s="403"/>
      <c r="F44" s="877"/>
      <c r="G44" s="26"/>
      <c r="H44" s="24"/>
      <c r="I44" s="15"/>
      <c r="J44" s="14"/>
      <c r="K44" s="19"/>
    </row>
    <row r="45" spans="1:12" ht="13.5" thickBot="1" x14ac:dyDescent="0.25">
      <c r="A45" s="868" t="s">
        <v>181</v>
      </c>
      <c r="B45" s="486">
        <f>IF(Roof_Type="Steel Roof",CEILING(((Roof_Area*2+(B41)+(SUMIF(Name,"HIP",Length)+SUMIF(Name,"VALLEY",Length)+SUMIF(Name,"RIDGE",Length)*2))/5.9),1),"N/A")</f>
        <v>0</v>
      </c>
      <c r="C45" s="403"/>
      <c r="D45" s="403"/>
      <c r="E45" s="403"/>
      <c r="F45" s="877"/>
      <c r="G45" s="26"/>
      <c r="H45" s="24"/>
      <c r="I45" s="15"/>
      <c r="J45" s="14"/>
      <c r="K45" s="19"/>
    </row>
    <row r="46" spans="1:12" x14ac:dyDescent="0.2">
      <c r="A46" s="876"/>
      <c r="B46" s="608"/>
      <c r="C46" s="403"/>
      <c r="D46" s="403"/>
      <c r="E46" s="403"/>
      <c r="F46" s="877"/>
      <c r="G46" s="26"/>
      <c r="H46" s="24"/>
      <c r="I46" s="15"/>
      <c r="J46" s="14"/>
      <c r="K46" s="19"/>
    </row>
    <row r="47" spans="1:12" ht="13.5" thickBot="1" x14ac:dyDescent="0.25">
      <c r="A47" s="876"/>
      <c r="B47" s="882" t="s">
        <v>145</v>
      </c>
      <c r="C47" s="468" t="s">
        <v>186</v>
      </c>
      <c r="D47" s="403"/>
      <c r="E47" s="403"/>
      <c r="F47" s="877"/>
      <c r="G47" s="26"/>
      <c r="H47" s="24"/>
      <c r="I47" s="15"/>
      <c r="J47" s="14"/>
      <c r="K47" s="19"/>
    </row>
    <row r="48" spans="1:12" ht="13.5" thickBot="1" x14ac:dyDescent="0.25">
      <c r="A48" s="868" t="s">
        <v>211</v>
      </c>
      <c r="B48" s="605"/>
      <c r="C48" s="11"/>
      <c r="D48" s="468" t="s">
        <v>214</v>
      </c>
      <c r="E48" s="403"/>
      <c r="F48" s="877"/>
      <c r="G48" s="26"/>
      <c r="H48" s="24"/>
      <c r="I48" s="100"/>
      <c r="J48" s="14"/>
      <c r="K48" s="19"/>
    </row>
    <row r="49" spans="1:11" ht="13.5" thickBot="1" x14ac:dyDescent="0.25">
      <c r="A49" s="876"/>
      <c r="B49" s="608"/>
      <c r="C49" s="403"/>
      <c r="D49" s="403"/>
      <c r="E49" s="403"/>
      <c r="F49" s="877"/>
      <c r="G49" s="26"/>
      <c r="H49" s="24"/>
      <c r="I49" s="15"/>
      <c r="J49" s="14"/>
      <c r="K49" s="19"/>
    </row>
    <row r="50" spans="1:11" ht="13.5" thickBot="1" x14ac:dyDescent="0.25">
      <c r="A50" s="868" t="s">
        <v>2398</v>
      </c>
      <c r="B50" s="486">
        <f>IF(BAL&gt;19,CEILING(FasciaLengthTotal/6,1),0)</f>
        <v>0</v>
      </c>
      <c r="C50" s="403"/>
      <c r="D50" s="403" t="s">
        <v>212</v>
      </c>
      <c r="E50" s="403"/>
      <c r="F50" s="877"/>
      <c r="G50" s="26"/>
      <c r="H50" s="24"/>
      <c r="I50" s="15"/>
      <c r="J50" s="14"/>
      <c r="K50" s="19"/>
    </row>
    <row r="51" spans="1:11" x14ac:dyDescent="0.2">
      <c r="A51" s="876"/>
      <c r="B51" s="403"/>
      <c r="C51" s="403"/>
      <c r="D51" s="403"/>
      <c r="E51" s="403"/>
      <c r="F51" s="877"/>
      <c r="G51" s="26"/>
      <c r="H51" s="24"/>
      <c r="I51" s="15"/>
      <c r="J51" s="14"/>
      <c r="K51" s="19"/>
    </row>
    <row r="52" spans="1:11" x14ac:dyDescent="0.2">
      <c r="A52" s="883"/>
      <c r="B52" s="884"/>
      <c r="C52" s="884"/>
      <c r="D52" s="884"/>
      <c r="E52" s="884"/>
      <c r="F52" s="885"/>
      <c r="G52" s="30"/>
      <c r="H52" s="12"/>
      <c r="I52" s="23"/>
      <c r="J52" s="21"/>
      <c r="K52" s="22"/>
    </row>
  </sheetData>
  <sheetProtection selectLockedCells="1"/>
  <phoneticPr fontId="12" type="noConversion"/>
  <pageMargins left="0.19685039370078741" right="0.19685039370078741" top="0.39370078740157483" bottom="0.39370078740157483" header="0.51181102362204722" footer="0.51181102362204722"/>
  <pageSetup paperSize="9" scale="98" orientation="portrait" r:id="rId1"/>
  <headerFooter alignWithMargins="0">
    <oddFooter>Page &amp;P of &amp;N</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7">
    <pageSetUpPr fitToPage="1"/>
  </sheetPr>
  <dimension ref="A1:L52"/>
  <sheetViews>
    <sheetView workbookViewId="0"/>
  </sheetViews>
  <sheetFormatPr defaultRowHeight="12.75" x14ac:dyDescent="0.2"/>
  <cols>
    <col min="1" max="1" width="40.7109375" customWidth="1"/>
    <col min="3" max="3" width="16" customWidth="1"/>
    <col min="6" max="6" width="20.140625" customWidth="1"/>
    <col min="7" max="7" width="27.7109375" customWidth="1"/>
    <col min="8" max="8" width="16.140625" customWidth="1"/>
    <col min="9" max="9" width="20.42578125" customWidth="1"/>
  </cols>
  <sheetData>
    <row r="1" spans="1:11" ht="23.25" x14ac:dyDescent="0.35">
      <c r="A1" s="860" t="s">
        <v>579</v>
      </c>
      <c r="B1" s="162"/>
      <c r="C1" s="162"/>
      <c r="D1" s="162"/>
      <c r="E1" s="162"/>
      <c r="F1" s="163"/>
      <c r="G1" s="177" t="s">
        <v>344</v>
      </c>
      <c r="H1" s="177" t="s">
        <v>373</v>
      </c>
      <c r="I1" s="176" t="s">
        <v>345</v>
      </c>
      <c r="J1" s="158"/>
      <c r="K1" s="159"/>
    </row>
    <row r="2" spans="1:11" x14ac:dyDescent="0.2">
      <c r="A2" s="861"/>
      <c r="B2" s="136"/>
      <c r="C2" s="136"/>
      <c r="D2" s="136"/>
      <c r="E2" s="136"/>
      <c r="F2" s="862"/>
      <c r="G2" s="25"/>
      <c r="H2" s="31"/>
      <c r="I2" s="16"/>
      <c r="J2" s="17"/>
      <c r="K2" s="18"/>
    </row>
    <row r="3" spans="1:11" x14ac:dyDescent="0.2">
      <c r="A3" s="861"/>
      <c r="B3" s="181"/>
      <c r="C3" s="136"/>
      <c r="D3" s="136"/>
      <c r="E3" s="136"/>
      <c r="F3" s="862"/>
      <c r="G3" s="26"/>
      <c r="H3" s="24"/>
      <c r="I3" s="15"/>
      <c r="J3" s="14"/>
      <c r="K3" s="19"/>
    </row>
    <row r="4" spans="1:11" ht="13.5" thickBot="1" x14ac:dyDescent="0.25">
      <c r="A4" s="863" t="s">
        <v>389</v>
      </c>
      <c r="B4" s="181"/>
      <c r="C4" s="136"/>
      <c r="D4" s="136"/>
      <c r="E4" s="136"/>
      <c r="F4" s="862"/>
      <c r="G4" s="26"/>
      <c r="H4" s="24"/>
      <c r="I4" s="15"/>
      <c r="J4" s="14"/>
      <c r="K4" s="19"/>
    </row>
    <row r="5" spans="1:11" ht="13.5" thickBot="1" x14ac:dyDescent="0.25">
      <c r="A5" s="861" t="s">
        <v>410</v>
      </c>
      <c r="B5" s="603">
        <f>ABS(SUM('Brickwork FF'!F68:F69,'Brickwork FF'!P73:P74))/1000</f>
        <v>0</v>
      </c>
      <c r="C5" s="178" t="s">
        <v>185</v>
      </c>
      <c r="D5" s="136" t="s">
        <v>411</v>
      </c>
      <c r="E5" s="136"/>
      <c r="F5" s="862"/>
      <c r="G5" s="26"/>
      <c r="H5" s="24"/>
      <c r="I5" s="15"/>
      <c r="J5" s="14"/>
      <c r="K5" s="19"/>
    </row>
    <row r="6" spans="1:11" ht="13.5" thickBot="1" x14ac:dyDescent="0.25">
      <c r="A6" s="861" t="s">
        <v>183</v>
      </c>
      <c r="B6" s="603">
        <f>SUMIFS('Steel Beams and Columns'!$A$4:$A$16,'Steel Beams and Columns'!$F$4:$F$16,"First")</f>
        <v>0</v>
      </c>
      <c r="C6" s="179" t="s">
        <v>185</v>
      </c>
      <c r="D6" s="136"/>
      <c r="E6" s="136"/>
      <c r="F6" s="862"/>
      <c r="G6" s="26"/>
      <c r="H6" s="24"/>
      <c r="I6" s="15"/>
      <c r="J6" s="14"/>
      <c r="K6" s="19"/>
    </row>
    <row r="7" spans="1:11" ht="13.5" thickBot="1" x14ac:dyDescent="0.25">
      <c r="A7" s="863" t="s">
        <v>11</v>
      </c>
      <c r="B7" s="486">
        <f>CEILING(SUM(B5:B6)/4.8,1)</f>
        <v>0</v>
      </c>
      <c r="C7" s="180" t="s">
        <v>199</v>
      </c>
      <c r="D7" s="136" t="s">
        <v>212</v>
      </c>
      <c r="E7" s="136"/>
      <c r="F7" s="862"/>
      <c r="G7" s="26"/>
      <c r="H7" s="24"/>
      <c r="I7" s="15"/>
      <c r="J7" s="14"/>
      <c r="K7" s="19"/>
    </row>
    <row r="8" spans="1:11" x14ac:dyDescent="0.2">
      <c r="A8" s="861"/>
      <c r="B8" s="606"/>
      <c r="C8" s="136"/>
      <c r="D8" s="136"/>
      <c r="E8" s="136"/>
      <c r="F8" s="862"/>
      <c r="G8" s="26"/>
      <c r="H8" s="24"/>
      <c r="I8" s="15"/>
      <c r="J8" s="14"/>
      <c r="K8" s="19"/>
    </row>
    <row r="9" spans="1:11" ht="13.5" thickBot="1" x14ac:dyDescent="0.25">
      <c r="A9" s="863" t="s">
        <v>580</v>
      </c>
      <c r="B9" s="606"/>
      <c r="C9" s="136"/>
      <c r="D9" s="136"/>
      <c r="E9" s="136"/>
      <c r="F9" s="862"/>
      <c r="G9" s="26"/>
      <c r="H9" s="24"/>
      <c r="I9" s="15"/>
      <c r="J9" s="14"/>
      <c r="K9" s="19"/>
    </row>
    <row r="10" spans="1:11" ht="13.5" thickBot="1" x14ac:dyDescent="0.25">
      <c r="A10" s="864" t="s">
        <v>581</v>
      </c>
      <c r="B10" s="485"/>
      <c r="C10" s="136"/>
      <c r="D10" s="136"/>
      <c r="E10" s="136"/>
      <c r="F10" s="862"/>
      <c r="G10" s="26"/>
      <c r="H10" s="24"/>
      <c r="I10" s="15"/>
      <c r="J10" s="14"/>
      <c r="K10" s="19"/>
    </row>
    <row r="11" spans="1:11" ht="13.5" thickBot="1" x14ac:dyDescent="0.25">
      <c r="A11" s="861"/>
      <c r="B11" s="486">
        <f>CEILING(B10/4.5,1)</f>
        <v>0</v>
      </c>
      <c r="C11" s="180" t="s">
        <v>198</v>
      </c>
      <c r="D11" s="136" t="s">
        <v>212</v>
      </c>
      <c r="E11" s="136"/>
      <c r="F11" s="862"/>
      <c r="G11" s="26"/>
      <c r="H11" s="24"/>
      <c r="I11" s="15"/>
      <c r="J11" s="14"/>
      <c r="K11" s="19"/>
    </row>
    <row r="12" spans="1:11" x14ac:dyDescent="0.2">
      <c r="A12" s="861"/>
      <c r="B12" s="604"/>
      <c r="C12" s="137"/>
      <c r="D12" s="136"/>
      <c r="E12" s="136"/>
      <c r="F12" s="862"/>
      <c r="G12" s="26"/>
      <c r="H12" s="24"/>
      <c r="I12" s="15"/>
      <c r="J12" s="14"/>
      <c r="K12" s="19"/>
    </row>
    <row r="13" spans="1:11" ht="13.5" thickBot="1" x14ac:dyDescent="0.25">
      <c r="A13" s="863" t="s">
        <v>188</v>
      </c>
      <c r="B13" s="606"/>
      <c r="C13" s="136"/>
      <c r="D13" s="136"/>
      <c r="E13" s="136"/>
      <c r="F13" s="862"/>
      <c r="G13" s="26"/>
      <c r="H13" s="24"/>
      <c r="I13" s="15"/>
      <c r="J13" s="14"/>
      <c r="K13" s="19"/>
    </row>
    <row r="14" spans="1:11" ht="13.5" thickBot="1" x14ac:dyDescent="0.25">
      <c r="A14" s="861" t="s">
        <v>189</v>
      </c>
      <c r="B14" s="603">
        <f>SUMIF('CSV FF'!A:A,"UNDERPURLIN",'CSV FF'!C:C)</f>
        <v>0</v>
      </c>
      <c r="C14" s="178" t="s">
        <v>185</v>
      </c>
      <c r="D14" s="136"/>
      <c r="E14" s="136"/>
      <c r="F14" s="862"/>
      <c r="G14" s="26"/>
      <c r="H14" s="24"/>
      <c r="I14" s="15"/>
      <c r="J14" s="14"/>
      <c r="K14" s="19"/>
    </row>
    <row r="15" spans="1:11" ht="13.5" thickBot="1" x14ac:dyDescent="0.25">
      <c r="A15" s="861" t="s">
        <v>187</v>
      </c>
      <c r="B15" s="486">
        <f>COUNTIF('CSV FF'!A:A,"ridge")*2</f>
        <v>0</v>
      </c>
      <c r="C15" s="136"/>
      <c r="D15" s="136"/>
      <c r="E15" s="136"/>
      <c r="F15" s="862"/>
      <c r="G15" s="26"/>
      <c r="H15" s="24"/>
      <c r="I15" s="15"/>
      <c r="J15" s="14"/>
      <c r="K15" s="19"/>
    </row>
    <row r="16" spans="1:11" ht="13.5" thickBot="1" x14ac:dyDescent="0.25">
      <c r="A16" s="863" t="s">
        <v>11</v>
      </c>
      <c r="B16" s="486">
        <f>CEILING(((B14/IF(Roof_Type="Steel Roof",1.7,2.2))+B15)/2,1)</f>
        <v>0</v>
      </c>
      <c r="C16" s="180" t="s">
        <v>209</v>
      </c>
      <c r="D16" s="136" t="s">
        <v>212</v>
      </c>
      <c r="E16" s="136"/>
      <c r="F16" s="862"/>
      <c r="G16" s="26"/>
      <c r="H16" s="24"/>
      <c r="I16" s="15"/>
      <c r="J16" s="14"/>
      <c r="K16" s="19"/>
    </row>
    <row r="17" spans="1:11" x14ac:dyDescent="0.2">
      <c r="A17" s="861"/>
      <c r="B17" s="865"/>
      <c r="C17" s="136"/>
      <c r="D17" s="136"/>
      <c r="E17" s="136"/>
      <c r="F17" s="862"/>
      <c r="G17" s="26"/>
      <c r="H17" s="24"/>
      <c r="I17" s="15"/>
      <c r="J17" s="14"/>
      <c r="K17" s="19"/>
    </row>
    <row r="18" spans="1:11" ht="13.5" thickBot="1" x14ac:dyDescent="0.25">
      <c r="A18" s="863" t="s">
        <v>190</v>
      </c>
      <c r="B18" s="865"/>
      <c r="C18" s="136"/>
      <c r="D18" s="136"/>
      <c r="E18" s="136"/>
      <c r="F18" s="862"/>
      <c r="G18" s="26"/>
      <c r="H18" s="24"/>
      <c r="I18" s="15"/>
      <c r="J18" s="14"/>
      <c r="K18" s="19"/>
    </row>
    <row r="19" spans="1:11" ht="13.5" thickBot="1" x14ac:dyDescent="0.25">
      <c r="A19" s="866" t="s">
        <v>413</v>
      </c>
      <c r="B19" s="605"/>
      <c r="C19" s="136"/>
      <c r="D19" s="136"/>
      <c r="E19" s="136"/>
      <c r="F19" s="862"/>
      <c r="G19" s="26"/>
      <c r="H19" s="24"/>
      <c r="I19" s="15"/>
      <c r="J19" s="14"/>
      <c r="K19" s="19"/>
    </row>
    <row r="20" spans="1:11" ht="13.5" thickBot="1" x14ac:dyDescent="0.25">
      <c r="A20" s="861" t="s">
        <v>191</v>
      </c>
      <c r="B20" s="487">
        <f>'Data Sheet'!D18-B19</f>
        <v>0</v>
      </c>
      <c r="C20" s="136"/>
      <c r="D20" s="136"/>
      <c r="E20" s="136"/>
      <c r="F20" s="862"/>
      <c r="G20" s="26"/>
      <c r="H20" s="24"/>
      <c r="I20" s="15"/>
      <c r="J20" s="14"/>
      <c r="K20" s="19"/>
    </row>
    <row r="21" spans="1:11" ht="13.5" thickBot="1" x14ac:dyDescent="0.25">
      <c r="A21" s="863" t="s">
        <v>11</v>
      </c>
      <c r="B21" s="486">
        <f>CEILING(B20/6,1)</f>
        <v>0</v>
      </c>
      <c r="C21" s="180" t="s">
        <v>1670</v>
      </c>
      <c r="D21" s="136" t="s">
        <v>212</v>
      </c>
      <c r="E21" s="136"/>
      <c r="F21" s="862"/>
      <c r="G21" s="26"/>
      <c r="H21" s="24"/>
      <c r="I21" s="15"/>
      <c r="J21" s="14"/>
      <c r="K21" s="19"/>
    </row>
    <row r="22" spans="1:11" ht="13.5" thickBot="1" x14ac:dyDescent="0.25">
      <c r="A22" s="861"/>
      <c r="B22" s="865"/>
      <c r="C22" s="136"/>
      <c r="D22" s="136"/>
      <c r="E22" s="136"/>
      <c r="F22" s="862"/>
      <c r="G22" s="26"/>
      <c r="H22" s="24"/>
      <c r="I22" s="15"/>
      <c r="J22" s="14"/>
      <c r="K22" s="19"/>
    </row>
    <row r="23" spans="1:11" ht="13.5" thickBot="1" x14ac:dyDescent="0.25">
      <c r="A23" s="863" t="s">
        <v>196</v>
      </c>
      <c r="B23" s="486">
        <f>CEILING(B21/2,1)</f>
        <v>0</v>
      </c>
      <c r="C23" s="180" t="s">
        <v>1670</v>
      </c>
      <c r="D23" s="136" t="s">
        <v>212</v>
      </c>
      <c r="E23" s="136"/>
      <c r="F23" s="862"/>
      <c r="G23" s="26"/>
      <c r="H23" s="24"/>
      <c r="I23" s="15"/>
      <c r="J23" s="14"/>
      <c r="K23" s="19"/>
    </row>
    <row r="24" spans="1:11" ht="13.5" thickBot="1" x14ac:dyDescent="0.25">
      <c r="A24" s="861"/>
      <c r="B24" s="865"/>
      <c r="C24" s="136"/>
      <c r="D24" s="136"/>
      <c r="E24" s="136"/>
      <c r="F24" s="862"/>
      <c r="G24" s="26"/>
      <c r="H24" s="24"/>
      <c r="I24" s="15"/>
      <c r="J24" s="14"/>
      <c r="K24" s="19"/>
    </row>
    <row r="25" spans="1:11" ht="13.5" thickBot="1" x14ac:dyDescent="0.25">
      <c r="A25" s="863" t="s">
        <v>197</v>
      </c>
      <c r="B25" s="486">
        <f>CEILING(((('Brickwork FF'!P73/1000)/0.6)*IF(Roof_Type="Steel Roof",0.75,1.5))/4.5,1)</f>
        <v>0</v>
      </c>
      <c r="C25" s="180" t="s">
        <v>198</v>
      </c>
      <c r="D25" s="136" t="s">
        <v>212</v>
      </c>
      <c r="E25" s="136"/>
      <c r="F25" s="862"/>
      <c r="G25" s="26"/>
      <c r="H25" s="24"/>
      <c r="I25" s="15"/>
      <c r="J25" s="14"/>
      <c r="K25" s="19"/>
    </row>
    <row r="26" spans="1:11" ht="12" customHeight="1" x14ac:dyDescent="0.2">
      <c r="A26" s="861"/>
      <c r="B26" s="865"/>
      <c r="C26" s="136"/>
      <c r="D26" s="136"/>
      <c r="E26" s="136"/>
      <c r="F26" s="862"/>
      <c r="G26" s="26"/>
      <c r="H26" s="24"/>
      <c r="I26" s="15"/>
      <c r="J26" s="14"/>
      <c r="K26" s="19"/>
    </row>
    <row r="27" spans="1:11" ht="13.5" thickBot="1" x14ac:dyDescent="0.25">
      <c r="A27" s="863" t="s">
        <v>208</v>
      </c>
      <c r="B27" s="606"/>
      <c r="C27" s="136"/>
      <c r="D27" s="136"/>
      <c r="E27" s="136"/>
      <c r="F27" s="862"/>
      <c r="G27" s="26"/>
      <c r="H27" s="24"/>
      <c r="I27" s="15"/>
      <c r="J27" s="14"/>
      <c r="K27" s="19"/>
    </row>
    <row r="28" spans="1:11" ht="13.5" thickBot="1" x14ac:dyDescent="0.25">
      <c r="A28" s="861" t="s">
        <v>213</v>
      </c>
      <c r="B28" s="486">
        <f>SUMIF('CSV FF'!A:A,"Gable",'CSV FF'!C:C)</f>
        <v>0</v>
      </c>
      <c r="C28" s="136"/>
      <c r="D28" s="136"/>
      <c r="E28" s="136"/>
      <c r="F28" s="862"/>
      <c r="G28" s="26"/>
      <c r="H28" s="24"/>
      <c r="I28" s="15"/>
      <c r="J28" s="14"/>
      <c r="K28" s="19"/>
    </row>
    <row r="29" spans="1:11" ht="13.5" thickBot="1" x14ac:dyDescent="0.25">
      <c r="A29" s="861"/>
      <c r="B29" s="486">
        <f>CEILING(B28/3.6,1)</f>
        <v>0</v>
      </c>
      <c r="C29" s="834">
        <v>3.6</v>
      </c>
      <c r="D29" s="137" t="s">
        <v>298</v>
      </c>
      <c r="E29" s="137"/>
      <c r="F29" s="862"/>
      <c r="G29" s="26"/>
      <c r="H29" s="24"/>
      <c r="I29" s="15"/>
      <c r="J29" s="14"/>
      <c r="K29" s="19"/>
    </row>
    <row r="30" spans="1:11" x14ac:dyDescent="0.2">
      <c r="A30" s="861"/>
      <c r="B30" s="606"/>
      <c r="C30" s="136"/>
      <c r="D30" s="136"/>
      <c r="E30" s="136"/>
      <c r="F30" s="862"/>
      <c r="G30" s="26"/>
      <c r="H30" s="24"/>
      <c r="I30" s="15"/>
      <c r="J30" s="14"/>
      <c r="K30" s="19"/>
    </row>
    <row r="31" spans="1:11" ht="13.5" thickBot="1" x14ac:dyDescent="0.25">
      <c r="A31" s="863" t="s">
        <v>205</v>
      </c>
      <c r="B31" s="606"/>
      <c r="C31" s="136"/>
      <c r="D31" s="136"/>
      <c r="E31" s="136"/>
      <c r="F31" s="862"/>
      <c r="G31" s="26"/>
      <c r="H31" s="24"/>
      <c r="I31" s="15"/>
      <c r="J31" s="14"/>
      <c r="K31" s="19"/>
    </row>
    <row r="32" spans="1:11" ht="13.5" thickBot="1" x14ac:dyDescent="0.25">
      <c r="A32" s="861" t="s">
        <v>206</v>
      </c>
      <c r="B32" s="486">
        <f>COUNTIF('CSV FF'!A:A,"Gable")</f>
        <v>0</v>
      </c>
      <c r="C32" s="136"/>
      <c r="D32" s="136"/>
      <c r="E32" s="136"/>
      <c r="F32" s="862"/>
      <c r="G32" s="26"/>
      <c r="H32" s="24"/>
      <c r="I32" s="15"/>
      <c r="J32" s="14"/>
      <c r="K32" s="19"/>
    </row>
    <row r="33" spans="1:12" ht="13.5" thickBot="1" x14ac:dyDescent="0.25">
      <c r="A33" s="861"/>
      <c r="B33" s="486">
        <f>B32</f>
        <v>0</v>
      </c>
      <c r="C33" s="834" t="s">
        <v>207</v>
      </c>
      <c r="D33" s="136" t="s">
        <v>212</v>
      </c>
      <c r="E33" s="136"/>
      <c r="F33" s="862"/>
      <c r="G33" s="26"/>
      <c r="H33" s="24"/>
      <c r="I33" s="15"/>
      <c r="J33" s="14"/>
      <c r="K33" s="19"/>
    </row>
    <row r="34" spans="1:12" ht="13.5" thickBot="1" x14ac:dyDescent="0.25">
      <c r="A34" s="861"/>
      <c r="B34" s="606"/>
      <c r="C34" s="136"/>
      <c r="D34" s="136"/>
      <c r="E34" s="136"/>
      <c r="F34" s="862"/>
      <c r="G34" s="26"/>
      <c r="H34" s="24"/>
      <c r="I34" s="15"/>
      <c r="J34" s="14"/>
      <c r="K34" s="19"/>
    </row>
    <row r="35" spans="1:12" ht="13.5" thickBot="1" x14ac:dyDescent="0.25">
      <c r="A35" s="863" t="s">
        <v>200</v>
      </c>
      <c r="B35" s="832">
        <f>ROUNDUP(SUMIF('CSV FF'!A:A,"VALLEY",'CSV FF'!C:C)*2/4.8,0)</f>
        <v>0</v>
      </c>
      <c r="C35" s="180" t="s">
        <v>199</v>
      </c>
      <c r="D35" s="136" t="s">
        <v>212</v>
      </c>
      <c r="E35" s="136"/>
      <c r="F35" s="862"/>
      <c r="G35" s="26"/>
      <c r="H35" s="24"/>
      <c r="I35" s="15"/>
      <c r="J35" s="14"/>
      <c r="K35" s="19"/>
    </row>
    <row r="36" spans="1:12" ht="13.5" thickBot="1" x14ac:dyDescent="0.25">
      <c r="A36" s="861"/>
      <c r="B36" s="606"/>
      <c r="C36" s="136"/>
      <c r="D36" s="136"/>
      <c r="E36" s="136"/>
      <c r="F36" s="862"/>
      <c r="G36" s="26"/>
      <c r="H36" s="24"/>
      <c r="I36" s="15"/>
      <c r="J36" s="14"/>
      <c r="K36" s="19"/>
    </row>
    <row r="37" spans="1:12" ht="13.5" thickBot="1" x14ac:dyDescent="0.25">
      <c r="A37" s="863" t="s">
        <v>210</v>
      </c>
      <c r="B37" s="486">
        <f>CEILING(B6/6,1)</f>
        <v>0</v>
      </c>
      <c r="C37" s="180" t="s">
        <v>330</v>
      </c>
      <c r="D37" s="136" t="s">
        <v>212</v>
      </c>
      <c r="E37" s="136"/>
      <c r="F37" s="862"/>
      <c r="G37" s="26"/>
      <c r="H37" s="24"/>
      <c r="I37" s="15"/>
      <c r="J37" s="14"/>
      <c r="K37" s="19"/>
    </row>
    <row r="38" spans="1:12" ht="13.5" thickBot="1" x14ac:dyDescent="0.25">
      <c r="A38" s="861"/>
      <c r="B38" s="867"/>
      <c r="C38" s="136"/>
      <c r="D38" s="136"/>
      <c r="E38" s="136"/>
      <c r="F38" s="862"/>
      <c r="G38" s="26"/>
      <c r="H38" s="24"/>
      <c r="I38" s="15"/>
      <c r="J38" s="14"/>
      <c r="K38" s="19"/>
      <c r="L38" s="34">
        <f>CEILING('Steel Beams and Columns'!D14,0.3)</f>
        <v>0</v>
      </c>
    </row>
    <row r="39" spans="1:12" ht="13.5" thickBot="1" x14ac:dyDescent="0.25">
      <c r="A39" s="863" t="s">
        <v>180</v>
      </c>
      <c r="B39" s="486">
        <f>COUNTIF('CSV FF'!A:A,"LVL Bracket")</f>
        <v>0</v>
      </c>
      <c r="C39" s="136"/>
      <c r="D39" s="136"/>
      <c r="E39" s="136"/>
      <c r="F39" s="862"/>
      <c r="G39" s="26"/>
      <c r="H39" s="24"/>
      <c r="I39" s="15"/>
      <c r="J39" s="14"/>
      <c r="K39" s="19"/>
    </row>
    <row r="40" spans="1:12" ht="13.5" thickBot="1" x14ac:dyDescent="0.25">
      <c r="A40" s="861"/>
      <c r="B40" s="606"/>
      <c r="C40" s="136"/>
      <c r="D40" s="136"/>
      <c r="E40" s="136"/>
      <c r="F40" s="862"/>
      <c r="G40" s="26"/>
      <c r="H40" s="24"/>
      <c r="I40" s="15"/>
      <c r="J40" s="14"/>
      <c r="K40" s="19"/>
    </row>
    <row r="41" spans="1:12" ht="13.5" thickBot="1" x14ac:dyDescent="0.25">
      <c r="A41" s="863" t="s">
        <v>2319</v>
      </c>
      <c r="B41" s="486">
        <f>SUMIF('CSV FF'!A:A,"Fascia",'CSV FF'!C:C)</f>
        <v>0</v>
      </c>
      <c r="C41" s="136"/>
      <c r="D41" s="136"/>
      <c r="E41" s="136"/>
      <c r="F41" s="862"/>
      <c r="G41" s="26"/>
      <c r="H41" s="24"/>
      <c r="I41" s="15"/>
      <c r="J41" s="14"/>
      <c r="K41" s="19"/>
    </row>
    <row r="42" spans="1:12" ht="13.5" thickBot="1" x14ac:dyDescent="0.25">
      <c r="A42" s="861"/>
      <c r="B42" s="606"/>
      <c r="C42" s="136"/>
      <c r="D42" s="136"/>
      <c r="E42" s="136"/>
      <c r="F42" s="862"/>
      <c r="G42" s="26"/>
      <c r="H42" s="24"/>
      <c r="I42" s="15"/>
      <c r="J42" s="14"/>
      <c r="K42" s="19"/>
    </row>
    <row r="43" spans="1:12" ht="13.5" thickBot="1" x14ac:dyDescent="0.25">
      <c r="A43" s="868" t="s">
        <v>182</v>
      </c>
      <c r="B43" s="486" t="str">
        <f>IF(B41=0,"0",CEILING(B41/IF(Roof_Type="Steel Roof",0.9,0.6)*0.85+10,5))</f>
        <v>0</v>
      </c>
      <c r="C43" s="468" t="s">
        <v>1053</v>
      </c>
      <c r="D43" s="486" t="str">
        <f>IF(B41=0,"0",CEILING(B41/IF(Roof_Type="Steel Roof",0.9,0.6)*0.15+10,5))</f>
        <v>0</v>
      </c>
      <c r="E43" s="137" t="s">
        <v>1054</v>
      </c>
      <c r="F43" s="862"/>
      <c r="G43" s="26"/>
      <c r="H43" s="24"/>
      <c r="I43" s="15"/>
      <c r="J43" s="14"/>
      <c r="K43" s="19"/>
    </row>
    <row r="44" spans="1:12" ht="13.5" thickBot="1" x14ac:dyDescent="0.25">
      <c r="A44" s="861"/>
      <c r="B44" s="606"/>
      <c r="C44" s="136"/>
      <c r="D44" s="136"/>
      <c r="E44" s="136"/>
      <c r="F44" s="862"/>
      <c r="G44" s="26"/>
      <c r="H44" s="24"/>
      <c r="I44" s="15"/>
      <c r="J44" s="14"/>
      <c r="K44" s="19"/>
    </row>
    <row r="45" spans="1:12" ht="13.5" thickBot="1" x14ac:dyDescent="0.25">
      <c r="A45" s="863" t="s">
        <v>181</v>
      </c>
      <c r="B45" s="486">
        <f>IF(Roof_Type="Steel Roof",CEILING(((FF_Roof_Area+(B41)+(SUMIF('CSV FF'!A:A,"HIP",'CSV FF'!C:C)+SUMIF('CSV FF'!A:A,"VALLEY",'CSV FF'!C:C)+SUMIF('CSV FF'!A:A,"RIDGE",'CSV FF'!C:C)*2))/5.9),1),"N/A")</f>
        <v>0</v>
      </c>
      <c r="C45" s="136"/>
      <c r="D45" s="136"/>
      <c r="E45" s="136"/>
      <c r="F45" s="862"/>
      <c r="G45" s="26"/>
      <c r="H45" s="24"/>
      <c r="I45" s="15"/>
      <c r="J45" s="14"/>
      <c r="K45" s="19"/>
    </row>
    <row r="46" spans="1:12" x14ac:dyDescent="0.2">
      <c r="A46" s="861"/>
      <c r="B46" s="606"/>
      <c r="C46" s="136"/>
      <c r="D46" s="136"/>
      <c r="E46" s="136"/>
      <c r="F46" s="862"/>
      <c r="G46" s="26"/>
      <c r="H46" s="24"/>
      <c r="I46" s="15"/>
      <c r="J46" s="14"/>
      <c r="K46" s="19"/>
    </row>
    <row r="47" spans="1:12" ht="13.5" thickBot="1" x14ac:dyDescent="0.25">
      <c r="A47" s="861"/>
      <c r="B47" s="869" t="s">
        <v>145</v>
      </c>
      <c r="C47" s="137" t="s">
        <v>186</v>
      </c>
      <c r="D47" s="136"/>
      <c r="E47" s="136"/>
      <c r="F47" s="862"/>
      <c r="G47" s="26"/>
      <c r="H47" s="24"/>
      <c r="I47" s="15"/>
      <c r="J47" s="14"/>
      <c r="K47" s="19"/>
    </row>
    <row r="48" spans="1:12" ht="13.5" thickBot="1" x14ac:dyDescent="0.25">
      <c r="A48" s="863" t="s">
        <v>211</v>
      </c>
      <c r="B48" s="605"/>
      <c r="C48" s="11"/>
      <c r="D48" s="137" t="s">
        <v>214</v>
      </c>
      <c r="E48" s="136"/>
      <c r="F48" s="862"/>
      <c r="G48" s="26"/>
      <c r="H48" s="24"/>
      <c r="I48" s="15"/>
      <c r="J48" s="14"/>
      <c r="K48" s="19"/>
    </row>
    <row r="49" spans="1:11" ht="13.5" thickBot="1" x14ac:dyDescent="0.25">
      <c r="A49" s="861"/>
      <c r="B49" s="606"/>
      <c r="C49" s="136"/>
      <c r="D49" s="136"/>
      <c r="E49" s="136"/>
      <c r="F49" s="862"/>
      <c r="G49" s="26"/>
      <c r="H49" s="24"/>
      <c r="I49" s="15"/>
      <c r="J49" s="14"/>
      <c r="K49" s="19"/>
    </row>
    <row r="50" spans="1:11" ht="13.5" thickBot="1" x14ac:dyDescent="0.25">
      <c r="A50" s="868" t="s">
        <v>2398</v>
      </c>
      <c r="B50" s="486">
        <f>IF(BAL&gt;19,CEILING(FasciaLengthTotalFF/6,1),0)</f>
        <v>0</v>
      </c>
      <c r="C50" s="403"/>
      <c r="D50" s="403" t="s">
        <v>212</v>
      </c>
      <c r="E50" s="136"/>
      <c r="F50" s="862"/>
      <c r="G50" s="26"/>
      <c r="H50" s="24"/>
      <c r="I50" s="15"/>
      <c r="J50" s="14"/>
      <c r="K50" s="19"/>
    </row>
    <row r="51" spans="1:11" x14ac:dyDescent="0.2">
      <c r="A51" s="861"/>
      <c r="B51" s="136"/>
      <c r="C51" s="136"/>
      <c r="D51" s="136"/>
      <c r="E51" s="136"/>
      <c r="F51" s="862"/>
      <c r="G51" s="26"/>
      <c r="H51" s="24"/>
      <c r="I51" s="15"/>
      <c r="J51" s="14"/>
      <c r="K51" s="19"/>
    </row>
    <row r="52" spans="1:11" x14ac:dyDescent="0.2">
      <c r="A52" s="870"/>
      <c r="B52" s="871"/>
      <c r="C52" s="871"/>
      <c r="D52" s="871"/>
      <c r="E52" s="871"/>
      <c r="F52" s="872"/>
      <c r="G52" s="30"/>
      <c r="H52" s="12"/>
      <c r="I52" s="23"/>
      <c r="J52" s="21"/>
      <c r="K52" s="22"/>
    </row>
  </sheetData>
  <sheetProtection selectLockedCells="1"/>
  <pageMargins left="0.19685039370078741" right="0.19685039370078741" top="0.39370078740157483" bottom="0.39370078740157483" header="0.51181102362204722" footer="0.51181102362204722"/>
  <pageSetup paperSize="9" scale="97" orientation="portrait" r:id="rId1"/>
  <headerFooter alignWithMargins="0">
    <oddFooter>Page &amp;P of &amp;N</odd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0">
    <pageSetUpPr fitToPage="1"/>
  </sheetPr>
  <dimension ref="A1:Q62"/>
  <sheetViews>
    <sheetView workbookViewId="0"/>
  </sheetViews>
  <sheetFormatPr defaultColWidth="9.140625" defaultRowHeight="12.75" x14ac:dyDescent="0.2"/>
  <cols>
    <col min="1" max="1" width="3.7109375" style="241" customWidth="1"/>
    <col min="2" max="2" width="30.7109375" style="241" customWidth="1"/>
    <col min="3" max="3" width="12.7109375" style="241" customWidth="1"/>
    <col min="4" max="4" width="12.7109375" style="282" customWidth="1"/>
    <col min="5" max="5" width="12.7109375" style="241" customWidth="1"/>
    <col min="6" max="6" width="12.7109375" style="282" customWidth="1"/>
    <col min="7" max="7" width="16.7109375" style="241" customWidth="1"/>
    <col min="8" max="8" width="12.7109375" style="241" customWidth="1"/>
    <col min="9" max="9" width="16.7109375" style="241" customWidth="1"/>
    <col min="10" max="10" width="12.7109375" style="282" customWidth="1"/>
    <col min="11" max="11" width="12.7109375" style="241" customWidth="1"/>
    <col min="12" max="12" width="29.7109375" style="312" customWidth="1"/>
    <col min="13" max="13" width="15.85546875" style="241" customWidth="1"/>
    <col min="14" max="14" width="19.85546875" style="241" customWidth="1"/>
    <col min="15" max="16384" width="9.140625" style="241"/>
  </cols>
  <sheetData>
    <row r="1" spans="1:17" ht="23.25" x14ac:dyDescent="0.35">
      <c r="A1" s="1013"/>
      <c r="B1" s="1014" t="s">
        <v>1488</v>
      </c>
      <c r="C1" s="1015"/>
      <c r="D1" s="1016"/>
      <c r="E1" s="239"/>
      <c r="F1" s="1016"/>
      <c r="G1" s="239"/>
      <c r="H1" s="239"/>
      <c r="I1" s="239"/>
      <c r="J1" s="1016"/>
      <c r="K1" s="239"/>
      <c r="L1" s="1214" t="s">
        <v>344</v>
      </c>
      <c r="M1" s="237" t="s">
        <v>373</v>
      </c>
      <c r="N1" s="238" t="s">
        <v>345</v>
      </c>
      <c r="O1" s="239"/>
      <c r="P1" s="240"/>
    </row>
    <row r="2" spans="1:17" ht="15.75" customHeight="1" thickBot="1" x14ac:dyDescent="0.4">
      <c r="A2" s="1017"/>
      <c r="B2" s="233"/>
      <c r="C2" s="234"/>
      <c r="D2" s="235"/>
      <c r="E2" s="236"/>
      <c r="F2" s="235"/>
      <c r="G2" s="236"/>
      <c r="H2" s="236" t="s">
        <v>34</v>
      </c>
      <c r="I2" s="236" t="s">
        <v>631</v>
      </c>
      <c r="J2" s="235" t="s">
        <v>632</v>
      </c>
      <c r="K2" s="236" t="s">
        <v>3118</v>
      </c>
      <c r="L2" s="243"/>
      <c r="M2" s="244"/>
      <c r="N2" s="1305"/>
      <c r="O2" s="1306"/>
      <c r="P2" s="1307"/>
    </row>
    <row r="3" spans="1:17" ht="25.5" customHeight="1" thickBot="1" x14ac:dyDescent="0.25">
      <c r="A3" s="1017"/>
      <c r="B3" s="242" t="s">
        <v>633</v>
      </c>
      <c r="C3" s="242"/>
      <c r="D3" s="242"/>
      <c r="E3" s="242"/>
      <c r="F3" s="1317" t="str">
        <f>IF(COUNTIFS(Addenda!A:A,"*Duraplank*",Addenda!A:A,"*Woodgrain*")&gt;0,"Duraplank Woodgrain","")&amp;IF(COUNTIFS(Addenda!A:A,"*Heritage*",Addenda!A:A,"*300*")&gt;0,"Primeline Heritage 300","")&amp;IF(COUNTIFS(Addenda!A:A,"*Duraplank*",Addenda!A:A, "*Smooth*")&gt;0,"Duraplank Smooth","")&amp;IF(COUNTIFS(Addenda!A:A,"*Axon*",Addenda!A:A, "*Smooth*",Addenda!A:A,"*133mm*")&gt;0,"Axon 133mm Smooth","")&amp;IF(COUNTIFS(Addenda!A:A,"*Scyon*",Addenda!A:A, "*Linea*",Addenda!A:A,"*180mm*")&gt;0,"Scyon Linea 180mm","")&amp;IF(COUNTIF(Addenda!A:A,"*Nuline Square 175*")&gt;0,"Nuline Square 175","")&amp;IF(COUNTIF(Addenda!A:A,"*Nuline Bullnose 175*")&gt;0,"Nuline Bullnose 175","")&amp;IF(COUNTIF(Addenda!A:A,"*Nuline Square 205*")&gt;0,"Nuline Square 205","")&amp;IF(COUNTIF(Addenda!A:A,"*Nuline Bullnose 205*")&gt;0,"Nuline Bullnose 205","")&amp;IF(COUNTIF(Addenda!A:A,"*Duragroove Smooth Narrow*")&gt;0,"Duragroove Smooth Narrow","")&amp;IF(COUNTIF(Addenda!A:A,"*Stratum Duo*")&gt;0,"Stratum Duo","")&amp;IF(COUNTIF(Addenda!A:A,"*Duraplank Woodgrain*")+COUNTIF(Addenda!A:A,"*Duraplank Smooth*")+COUNTIF(Addenda!A:A,"*Nuline Square 175*")+COUNTIF(Addenda!A:A,"*Nuline Bullnose 175*")+COUNTIF(Addenda!A:A,"*Nuline Square 205*")+COUNTIF(Addenda!A:A,"*Nuline Bullnose 205*")+COUNTIF(Addenda!A:A,"*Duragroove Smooth Narrow*")=0,"")</f>
        <v/>
      </c>
      <c r="G3" s="1318"/>
      <c r="H3" s="515" t="str">
        <f>IF(F3="","",VLOOKUP($F3,Cladding,2,FALSE))</f>
        <v/>
      </c>
      <c r="I3" s="515" t="str">
        <f>IF(COUNTIFS(Addenda!A:A,"*CEDAR*",Addenda!A:A,"*190*")&gt;0,190,IF(F3="","",VLOOKUP($F3,Cladding,4,FALSE)))</f>
        <v/>
      </c>
      <c r="J3" s="739" t="str">
        <f>IF($F$3="","",VLOOKUP($F3,Cladding,5,FALSE))</f>
        <v/>
      </c>
      <c r="K3" s="739" t="str">
        <f>IF($F$3="","",VLOOKUP($F3,Cladding,6,FALSE))</f>
        <v/>
      </c>
      <c r="L3" s="243"/>
      <c r="M3" s="244"/>
      <c r="N3" s="1305"/>
      <c r="O3" s="1306"/>
      <c r="P3" s="1307"/>
      <c r="Q3" s="287"/>
    </row>
    <row r="4" spans="1:17" ht="30" customHeight="1" thickBot="1" x14ac:dyDescent="0.25">
      <c r="A4" s="1017"/>
      <c r="B4" s="242" t="s">
        <v>7</v>
      </c>
      <c r="C4" s="242" t="s">
        <v>436</v>
      </c>
      <c r="D4" s="242" t="s">
        <v>437</v>
      </c>
      <c r="E4" s="242" t="s">
        <v>634</v>
      </c>
      <c r="F4" s="242" t="s">
        <v>563</v>
      </c>
      <c r="G4" s="242" t="s">
        <v>635</v>
      </c>
      <c r="H4" s="242"/>
      <c r="I4" s="242"/>
      <c r="J4" s="242" t="s">
        <v>57</v>
      </c>
      <c r="K4" s="288"/>
      <c r="L4" s="1215"/>
      <c r="M4" s="245"/>
      <c r="N4" s="1305"/>
      <c r="O4" s="1306"/>
      <c r="P4" s="1307"/>
    </row>
    <row r="5" spans="1:17" ht="15" x14ac:dyDescent="0.2">
      <c r="A5" s="1017"/>
      <c r="B5" s="1311" t="s">
        <v>3514</v>
      </c>
      <c r="C5" s="1312"/>
      <c r="D5" s="1312"/>
      <c r="E5" s="1312"/>
      <c r="F5" s="1319"/>
      <c r="G5" s="1147">
        <f>IFERROR(IF(J5=0,0,CEILING(J5/K3,1)),0)</f>
        <v>0</v>
      </c>
      <c r="H5" s="270"/>
      <c r="I5" s="270"/>
      <c r="J5" s="414" cm="1">
        <f t="array" ref="J5">ROUNDUP(SUMPRODUCT(--(Name="Studwork"),Length,SUMIF(Lists!$T$2:$T$150,Height,Lists!$W$2:$W$150))/1000,1)+ROUNDUP(SUMPRODUCT(--(Name="Reverse Brick Veneer"),Length,SUMIF(Lists!$T$2:$T$150,Height,Lists!$W$2:$W$150))/1000,1)</f>
        <v>0</v>
      </c>
      <c r="K5" s="290"/>
      <c r="L5" s="1216"/>
      <c r="M5" s="245"/>
      <c r="N5" s="1305"/>
      <c r="O5" s="1306"/>
      <c r="P5" s="1307"/>
    </row>
    <row r="6" spans="1:17" x14ac:dyDescent="0.2">
      <c r="A6" s="1017"/>
      <c r="B6" s="1174" t="s">
        <v>218</v>
      </c>
      <c r="C6" s="1145">
        <f ca="1">ROUNDUP(SUMIFS(Length,Name,"Gable",Material,"Clad")/2*1000,0)</f>
        <v>0</v>
      </c>
      <c r="D6" s="1145">
        <f ca="1">ROUND(C6*TAN(RADIANS(25)),0)</f>
        <v>0</v>
      </c>
      <c r="E6" s="1145">
        <f ca="1">D6</f>
        <v>0</v>
      </c>
      <c r="F6" s="1145">
        <f ca="1">IFERROR(IF(D6=0,0,CEILING(($E6/1000)*$J$3,1)),0)</f>
        <v>0</v>
      </c>
      <c r="G6" s="1148">
        <f ca="1">IFERROR(IF(OR(D6=0,F6=0),_xlfn.CEILING.MATH(J6/K3,1),CEILING(($C6/$H$3)*$F6,1)),0)</f>
        <v>0</v>
      </c>
      <c r="H6" s="270"/>
      <c r="I6" s="270"/>
      <c r="J6" s="415">
        <f ca="1">C6*D6/1000000</f>
        <v>0</v>
      </c>
      <c r="K6" s="288"/>
      <c r="L6" s="1215"/>
      <c r="M6" s="245"/>
      <c r="N6" s="1305"/>
      <c r="O6" s="1306"/>
      <c r="P6" s="1307"/>
    </row>
    <row r="7" spans="1:17" x14ac:dyDescent="0.2">
      <c r="A7" s="1017"/>
      <c r="B7" s="1174" t="s">
        <v>1644</v>
      </c>
      <c r="C7" s="1145">
        <f>IF(OR(Brick_type="Timber Frame",Brick_type="Reverse Brick Veneer"),(H_Perim-Com_Wall)*1000,0)</f>
        <v>0</v>
      </c>
      <c r="D7" s="1146"/>
      <c r="E7" s="1145">
        <f t="shared" ref="E7:E10" si="0">IF(ISBLANK($D7),0,VLOOKUP($D7,Std_Brick,4,FALSE))</f>
        <v>0</v>
      </c>
      <c r="F7" s="1145">
        <f>IF(ISBLANK($D7),0,CEILING(($E7/1000)*$J$3,1))</f>
        <v>0</v>
      </c>
      <c r="G7" s="1148">
        <f t="shared" ref="G7:G10" si="1">IF(ISBLANK($D7),0,CEILING(($C7/$H$3)*$F7,1))</f>
        <v>0</v>
      </c>
      <c r="H7" s="270"/>
      <c r="I7" s="270"/>
      <c r="J7" s="415">
        <f t="shared" ref="J7:J24" si="2">IF(ISBLANK($D7),0,($C7/1000)*((VLOOKUP($D7,Std_Brick,4,FALSE)/1000)))</f>
        <v>0</v>
      </c>
      <c r="K7" s="288"/>
      <c r="L7" s="1215"/>
      <c r="M7" s="245"/>
      <c r="N7" s="1305"/>
      <c r="O7" s="1306"/>
      <c r="P7" s="1307"/>
    </row>
    <row r="8" spans="1:17" x14ac:dyDescent="0.2">
      <c r="A8" s="1017"/>
      <c r="B8" s="1149"/>
      <c r="C8" s="1146"/>
      <c r="D8" s="1146"/>
      <c r="E8" s="1145">
        <f t="shared" si="0"/>
        <v>0</v>
      </c>
      <c r="F8" s="1145">
        <f>IF(ISBLANK($D8),0,CEILING(($E8/1000)*$J$3,1))</f>
        <v>0</v>
      </c>
      <c r="G8" s="1148">
        <f t="shared" si="1"/>
        <v>0</v>
      </c>
      <c r="H8" s="270"/>
      <c r="I8" s="291"/>
      <c r="J8" s="415">
        <f t="shared" si="2"/>
        <v>0</v>
      </c>
      <c r="K8" s="288"/>
      <c r="L8" s="1215"/>
      <c r="M8" s="245"/>
      <c r="N8" s="1305"/>
      <c r="O8" s="1306"/>
      <c r="P8" s="1307"/>
    </row>
    <row r="9" spans="1:17" x14ac:dyDescent="0.2">
      <c r="A9" s="1017"/>
      <c r="B9" s="1149"/>
      <c r="C9" s="1146"/>
      <c r="D9" s="1146"/>
      <c r="E9" s="1145">
        <f>IFERROR(IF(ISBLANK($D9),0,VLOOKUP($D9,Std_Brick,4,FALSE)),0)</f>
        <v>0</v>
      </c>
      <c r="F9" s="1145">
        <f>IFERROR(IF(ISBLANK($D9),0,CEILING(($E9/1000)*$J$3,1)),0)</f>
        <v>0</v>
      </c>
      <c r="G9" s="1148">
        <f>IFERROR(ROUNDUP(J9*1/(($H$3/1000)*($I$3/1000)),0),0)</f>
        <v>0</v>
      </c>
      <c r="H9" s="270"/>
      <c r="I9" s="291"/>
      <c r="J9" s="415">
        <f>IFERROR(IF(ISBLANK($D9),0,($C9/1000)*((VLOOKUP($D9,Std_Brick,4,FALSE)/1000))),0)</f>
        <v>0</v>
      </c>
      <c r="K9" s="288"/>
      <c r="L9" s="1215"/>
      <c r="M9" s="245"/>
      <c r="N9" s="1305"/>
      <c r="O9" s="1306"/>
      <c r="P9" s="1307"/>
    </row>
    <row r="10" spans="1:17" x14ac:dyDescent="0.2">
      <c r="A10" s="1017"/>
      <c r="B10" s="1149"/>
      <c r="C10" s="1146"/>
      <c r="D10" s="1146"/>
      <c r="E10" s="1145">
        <f t="shared" si="0"/>
        <v>0</v>
      </c>
      <c r="F10" s="1145">
        <f>IF(ISBLANK($D10),0,CEILING(($E10/1000)*$J$3,1))</f>
        <v>0</v>
      </c>
      <c r="G10" s="1148">
        <f t="shared" si="1"/>
        <v>0</v>
      </c>
      <c r="H10" s="270"/>
      <c r="I10" s="291"/>
      <c r="J10" s="415">
        <f t="shared" si="2"/>
        <v>0</v>
      </c>
      <c r="K10" s="288"/>
      <c r="L10" s="1215"/>
      <c r="M10" s="245"/>
      <c r="N10" s="1305"/>
      <c r="O10" s="1306"/>
      <c r="P10" s="1307"/>
    </row>
    <row r="11" spans="1:17" x14ac:dyDescent="0.2">
      <c r="A11" s="1017"/>
      <c r="B11" s="1149"/>
      <c r="C11" s="1146"/>
      <c r="D11" s="1146"/>
      <c r="E11" s="1145">
        <f t="shared" ref="E11:E24" si="3">IF(ISBLANK($D11),0,VLOOKUP($D11,Std_Brick,4,FALSE))</f>
        <v>0</v>
      </c>
      <c r="F11" s="1145">
        <f t="shared" ref="F11:F24" si="4">IF(ISBLANK($D11),0,E11/$I$3)</f>
        <v>0</v>
      </c>
      <c r="G11" s="1148">
        <f t="shared" ref="G11:G24" si="5">IF(ISBLANK($D11),0,CEILING(($C11/$H$3)*$F11,1))</f>
        <v>0</v>
      </c>
      <c r="H11" s="270"/>
      <c r="I11" s="291"/>
      <c r="J11" s="415">
        <f t="shared" si="2"/>
        <v>0</v>
      </c>
      <c r="K11" s="288"/>
      <c r="L11" s="1215"/>
      <c r="M11" s="245"/>
      <c r="N11" s="1305"/>
      <c r="O11" s="1306"/>
      <c r="P11" s="1307"/>
    </row>
    <row r="12" spans="1:17" x14ac:dyDescent="0.2">
      <c r="A12" s="1017"/>
      <c r="B12" s="1149"/>
      <c r="C12" s="1146"/>
      <c r="D12" s="1146"/>
      <c r="E12" s="1145">
        <f t="shared" si="3"/>
        <v>0</v>
      </c>
      <c r="F12" s="1145">
        <f t="shared" si="4"/>
        <v>0</v>
      </c>
      <c r="G12" s="1148">
        <f t="shared" si="5"/>
        <v>0</v>
      </c>
      <c r="H12" s="270"/>
      <c r="I12" s="291"/>
      <c r="J12" s="415">
        <f t="shared" si="2"/>
        <v>0</v>
      </c>
      <c r="K12" s="288"/>
      <c r="L12" s="1215"/>
      <c r="M12" s="245"/>
      <c r="N12" s="1305"/>
      <c r="O12" s="1306"/>
      <c r="P12" s="1307"/>
    </row>
    <row r="13" spans="1:17" x14ac:dyDescent="0.2">
      <c r="A13" s="1017"/>
      <c r="B13" s="1149"/>
      <c r="C13" s="1146"/>
      <c r="D13" s="1146"/>
      <c r="E13" s="1145">
        <f t="shared" si="3"/>
        <v>0</v>
      </c>
      <c r="F13" s="1145">
        <f t="shared" si="4"/>
        <v>0</v>
      </c>
      <c r="G13" s="1148">
        <f t="shared" si="5"/>
        <v>0</v>
      </c>
      <c r="H13" s="270"/>
      <c r="I13" s="291"/>
      <c r="J13" s="415">
        <f t="shared" si="2"/>
        <v>0</v>
      </c>
      <c r="K13" s="288"/>
      <c r="L13" s="1215"/>
      <c r="M13" s="245"/>
      <c r="N13" s="1305"/>
      <c r="O13" s="1306"/>
      <c r="P13" s="1307"/>
    </row>
    <row r="14" spans="1:17" x14ac:dyDescent="0.2">
      <c r="A14" s="1017"/>
      <c r="B14" s="1149"/>
      <c r="C14" s="1146"/>
      <c r="D14" s="1146"/>
      <c r="E14" s="1145">
        <f t="shared" si="3"/>
        <v>0</v>
      </c>
      <c r="F14" s="1145">
        <f t="shared" si="4"/>
        <v>0</v>
      </c>
      <c r="G14" s="1148">
        <f t="shared" si="5"/>
        <v>0</v>
      </c>
      <c r="H14" s="270"/>
      <c r="I14" s="291"/>
      <c r="J14" s="415">
        <f t="shared" si="2"/>
        <v>0</v>
      </c>
      <c r="K14" s="288"/>
      <c r="L14" s="1215"/>
      <c r="M14" s="245"/>
      <c r="N14" s="1314"/>
      <c r="O14" s="1315"/>
      <c r="P14" s="1316"/>
    </row>
    <row r="15" spans="1:17" x14ac:dyDescent="0.2">
      <c r="A15" s="1017"/>
      <c r="B15" s="1149"/>
      <c r="C15" s="1146"/>
      <c r="D15" s="1146"/>
      <c r="E15" s="1145">
        <f t="shared" si="3"/>
        <v>0</v>
      </c>
      <c r="F15" s="1145">
        <f t="shared" si="4"/>
        <v>0</v>
      </c>
      <c r="G15" s="1148">
        <f t="shared" si="5"/>
        <v>0</v>
      </c>
      <c r="H15" s="270"/>
      <c r="I15" s="291"/>
      <c r="J15" s="415">
        <f t="shared" si="2"/>
        <v>0</v>
      </c>
      <c r="K15" s="288"/>
      <c r="L15" s="1215"/>
      <c r="M15" s="245"/>
      <c r="N15" s="1314"/>
      <c r="O15" s="1315"/>
      <c r="P15" s="1316"/>
    </row>
    <row r="16" spans="1:17" x14ac:dyDescent="0.2">
      <c r="A16" s="1017"/>
      <c r="B16" s="1149"/>
      <c r="C16" s="1146"/>
      <c r="D16" s="1146"/>
      <c r="E16" s="1145">
        <f t="shared" si="3"/>
        <v>0</v>
      </c>
      <c r="F16" s="1145">
        <f t="shared" si="4"/>
        <v>0</v>
      </c>
      <c r="G16" s="1148">
        <f t="shared" si="5"/>
        <v>0</v>
      </c>
      <c r="H16" s="270"/>
      <c r="I16" s="291"/>
      <c r="J16" s="415">
        <f t="shared" si="2"/>
        <v>0</v>
      </c>
      <c r="K16" s="288"/>
      <c r="L16" s="1215"/>
      <c r="M16" s="245"/>
      <c r="N16" s="1314"/>
      <c r="O16" s="1315"/>
      <c r="P16" s="1316"/>
    </row>
    <row r="17" spans="1:16" x14ac:dyDescent="0.2">
      <c r="A17" s="1017"/>
      <c r="B17" s="1149"/>
      <c r="C17" s="1146"/>
      <c r="D17" s="1146"/>
      <c r="E17" s="1145">
        <f t="shared" si="3"/>
        <v>0</v>
      </c>
      <c r="F17" s="1145">
        <f t="shared" si="4"/>
        <v>0</v>
      </c>
      <c r="G17" s="1148">
        <f t="shared" si="5"/>
        <v>0</v>
      </c>
      <c r="H17" s="270"/>
      <c r="I17" s="291"/>
      <c r="J17" s="415">
        <f t="shared" si="2"/>
        <v>0</v>
      </c>
      <c r="K17" s="288"/>
      <c r="L17" s="1215"/>
      <c r="M17" s="245"/>
      <c r="N17" s="1314"/>
      <c r="O17" s="1315"/>
      <c r="P17" s="1316"/>
    </row>
    <row r="18" spans="1:16" x14ac:dyDescent="0.2">
      <c r="A18" s="1017"/>
      <c r="B18" s="1149"/>
      <c r="C18" s="1146"/>
      <c r="D18" s="1146"/>
      <c r="E18" s="1145">
        <f t="shared" si="3"/>
        <v>0</v>
      </c>
      <c r="F18" s="1145">
        <f t="shared" si="4"/>
        <v>0</v>
      </c>
      <c r="G18" s="1148">
        <f t="shared" si="5"/>
        <v>0</v>
      </c>
      <c r="H18" s="270"/>
      <c r="I18" s="291"/>
      <c r="J18" s="415">
        <f t="shared" si="2"/>
        <v>0</v>
      </c>
      <c r="K18" s="288"/>
      <c r="L18" s="1215"/>
      <c r="M18" s="245"/>
      <c r="N18" s="1314"/>
      <c r="O18" s="1315"/>
      <c r="P18" s="1316"/>
    </row>
    <row r="19" spans="1:16" x14ac:dyDescent="0.2">
      <c r="A19" s="1017"/>
      <c r="B19" s="1149"/>
      <c r="C19" s="1146"/>
      <c r="D19" s="1146"/>
      <c r="E19" s="1145">
        <f t="shared" si="3"/>
        <v>0</v>
      </c>
      <c r="F19" s="1145">
        <f t="shared" si="4"/>
        <v>0</v>
      </c>
      <c r="G19" s="1148">
        <f t="shared" si="5"/>
        <v>0</v>
      </c>
      <c r="H19" s="270"/>
      <c r="I19" s="291"/>
      <c r="J19" s="415">
        <f t="shared" si="2"/>
        <v>0</v>
      </c>
      <c r="K19" s="288"/>
      <c r="L19" s="1215"/>
      <c r="M19" s="245"/>
      <c r="N19" s="1314"/>
      <c r="O19" s="1315"/>
      <c r="P19" s="1316"/>
    </row>
    <row r="20" spans="1:16" x14ac:dyDescent="0.2">
      <c r="A20" s="1017"/>
      <c r="B20" s="1149"/>
      <c r="C20" s="1146"/>
      <c r="D20" s="1146"/>
      <c r="E20" s="1145">
        <f t="shared" si="3"/>
        <v>0</v>
      </c>
      <c r="F20" s="1145">
        <f t="shared" si="4"/>
        <v>0</v>
      </c>
      <c r="G20" s="1148">
        <f t="shared" si="5"/>
        <v>0</v>
      </c>
      <c r="H20" s="270"/>
      <c r="I20" s="291"/>
      <c r="J20" s="415">
        <f t="shared" si="2"/>
        <v>0</v>
      </c>
      <c r="K20" s="288"/>
      <c r="L20" s="1215"/>
      <c r="M20" s="245"/>
      <c r="N20" s="1314"/>
      <c r="O20" s="1315"/>
      <c r="P20" s="1316"/>
    </row>
    <row r="21" spans="1:16" x14ac:dyDescent="0.2">
      <c r="A21" s="1017"/>
      <c r="B21" s="1149"/>
      <c r="C21" s="1146"/>
      <c r="D21" s="1146"/>
      <c r="E21" s="1145">
        <f t="shared" si="3"/>
        <v>0</v>
      </c>
      <c r="F21" s="1145">
        <f t="shared" si="4"/>
        <v>0</v>
      </c>
      <c r="G21" s="1148">
        <f t="shared" si="5"/>
        <v>0</v>
      </c>
      <c r="H21" s="270"/>
      <c r="I21" s="291"/>
      <c r="J21" s="415">
        <f t="shared" si="2"/>
        <v>0</v>
      </c>
      <c r="K21" s="288"/>
      <c r="L21" s="1215"/>
      <c r="M21" s="245"/>
      <c r="N21" s="1314"/>
      <c r="O21" s="1315"/>
      <c r="P21" s="1316"/>
    </row>
    <row r="22" spans="1:16" x14ac:dyDescent="0.2">
      <c r="A22" s="1017"/>
      <c r="B22" s="1149"/>
      <c r="C22" s="1146"/>
      <c r="D22" s="1146"/>
      <c r="E22" s="1145">
        <f t="shared" si="3"/>
        <v>0</v>
      </c>
      <c r="F22" s="1145">
        <f t="shared" si="4"/>
        <v>0</v>
      </c>
      <c r="G22" s="1148">
        <f t="shared" si="5"/>
        <v>0</v>
      </c>
      <c r="H22" s="270"/>
      <c r="I22" s="291"/>
      <c r="J22" s="415">
        <f t="shared" si="2"/>
        <v>0</v>
      </c>
      <c r="K22" s="288"/>
      <c r="L22" s="1215"/>
      <c r="M22" s="245"/>
      <c r="N22" s="1314"/>
      <c r="O22" s="1315"/>
      <c r="P22" s="1316"/>
    </row>
    <row r="23" spans="1:16" ht="13.5" thickBot="1" x14ac:dyDescent="0.25">
      <c r="A23" s="1017"/>
      <c r="B23" s="1149"/>
      <c r="C23" s="1146"/>
      <c r="D23" s="1146"/>
      <c r="E23" s="1145">
        <f t="shared" si="3"/>
        <v>0</v>
      </c>
      <c r="F23" s="1145">
        <f t="shared" si="4"/>
        <v>0</v>
      </c>
      <c r="G23" s="1148">
        <f t="shared" si="5"/>
        <v>0</v>
      </c>
      <c r="H23" s="270" t="s">
        <v>636</v>
      </c>
      <c r="I23" s="291"/>
      <c r="J23" s="415">
        <f t="shared" si="2"/>
        <v>0</v>
      </c>
      <c r="K23" s="288"/>
      <c r="L23" s="1215"/>
      <c r="M23" s="245"/>
      <c r="N23" s="1314"/>
      <c r="O23" s="1315"/>
      <c r="P23" s="1316"/>
    </row>
    <row r="24" spans="1:16" ht="13.5" thickBot="1" x14ac:dyDescent="0.25">
      <c r="A24" s="1017"/>
      <c r="B24" s="1150"/>
      <c r="C24" s="1151"/>
      <c r="D24" s="1151"/>
      <c r="E24" s="1152">
        <f t="shared" si="3"/>
        <v>0</v>
      </c>
      <c r="F24" s="1152">
        <f t="shared" si="4"/>
        <v>0</v>
      </c>
      <c r="G24" s="1153">
        <f t="shared" si="5"/>
        <v>0</v>
      </c>
      <c r="H24" s="296">
        <f ca="1">SUM(G5:G24)</f>
        <v>0</v>
      </c>
      <c r="I24" s="291"/>
      <c r="J24" s="416">
        <f t="shared" si="2"/>
        <v>0</v>
      </c>
      <c r="K24" s="288"/>
      <c r="L24" s="1215"/>
      <c r="M24" s="245"/>
      <c r="N24" s="1314"/>
      <c r="O24" s="1315"/>
      <c r="P24" s="1316"/>
    </row>
    <row r="25" spans="1:16" x14ac:dyDescent="0.2">
      <c r="A25" s="1017"/>
      <c r="B25" s="242" t="s">
        <v>637</v>
      </c>
      <c r="C25" s="236"/>
      <c r="D25" s="235"/>
      <c r="E25" s="235"/>
      <c r="F25" s="235"/>
      <c r="G25" s="235"/>
      <c r="H25" s="235"/>
      <c r="I25" s="269"/>
      <c r="J25" s="236"/>
      <c r="K25" s="288"/>
      <c r="L25" s="1215"/>
      <c r="M25" s="245"/>
      <c r="N25" s="1314"/>
      <c r="O25" s="1315"/>
      <c r="P25" s="1316"/>
    </row>
    <row r="26" spans="1:16" ht="30" customHeight="1" thickBot="1" x14ac:dyDescent="0.25">
      <c r="A26" s="1017"/>
      <c r="B26" s="242" t="s">
        <v>7</v>
      </c>
      <c r="C26" s="242" t="s">
        <v>436</v>
      </c>
      <c r="D26" s="242" t="s">
        <v>638</v>
      </c>
      <c r="E26" s="242" t="s">
        <v>634</v>
      </c>
      <c r="F26" s="242" t="s">
        <v>563</v>
      </c>
      <c r="G26" s="242" t="s">
        <v>635</v>
      </c>
      <c r="H26" s="242"/>
      <c r="I26" s="242"/>
      <c r="J26" s="292" t="s">
        <v>57</v>
      </c>
      <c r="K26" s="288"/>
      <c r="L26" s="1215"/>
      <c r="M26" s="245"/>
      <c r="N26" s="1314"/>
      <c r="O26" s="1315"/>
      <c r="P26" s="1316"/>
    </row>
    <row r="27" spans="1:16" x14ac:dyDescent="0.2">
      <c r="A27" s="1017"/>
      <c r="B27" s="1311" t="s">
        <v>3515</v>
      </c>
      <c r="C27" s="1312"/>
      <c r="D27" s="1312"/>
      <c r="E27" s="1312"/>
      <c r="F27" s="1313"/>
      <c r="G27" s="1208" t="e">
        <f>IFERROR(ROUNDDOWN(J27/(H3/1000*I3/1000),0),ROUNDDOWN(J27/K3,0))</f>
        <v>#VALUE!</v>
      </c>
      <c r="H27" s="289"/>
      <c r="I27" s="270"/>
      <c r="J27" s="414" cm="1">
        <f t="array" ref="J27">ROUNDDOWN(SUMPRODUCT(--(Name="Opening Stud"),Length,SUMIF(Lists!$T$2:$T$150,Height,Lists!$W$2:$W$150))/1000,1)+ROUNDDOWN(SUMPRODUCT(--(Name="Opening RBV"),Length,SUMIF(Lists!$T$2:$T$150,Height,Lists!$W$2:$W$150))/1000,1)+ROUNDDOWN(SUMPRODUCT(--('CSV FF'!A:A="Opening Stud"),'CSV FF'!C:C,SUMIF(Lists!$T$2:$T$150,'CSV FF'!E:E,Lists!$W$2:$W$150))/1000,1)+ROUNDDOWN(SUMPRODUCT(--('CSV FF'!A:A="Opening RBV"),'CSV FF'!C:C,SUMIF(Lists!$T$2:$T$150,'CSV FF'!E:E,Lists!$W$2:$W$150))/1000,1)</f>
        <v>0</v>
      </c>
      <c r="K27" s="293"/>
      <c r="L27" s="1215"/>
      <c r="M27" s="245"/>
      <c r="N27" s="1314"/>
      <c r="O27" s="1315"/>
      <c r="P27" s="1316"/>
    </row>
    <row r="28" spans="1:16" x14ac:dyDescent="0.2">
      <c r="A28" s="1017"/>
      <c r="B28" s="511"/>
      <c r="C28" s="508"/>
      <c r="D28" s="508"/>
      <c r="E28" s="256">
        <f t="shared" ref="E28:E52" si="6">IF(ISBLANK($D28),0,VLOOKUP($D28,Std_Brick,4,FALSE))</f>
        <v>0</v>
      </c>
      <c r="F28" s="256">
        <f t="shared" ref="F28:F52" si="7">IF(ISBLANK($D28),0,FLOOR(($E28/1000)*$J$3,1))</f>
        <v>0</v>
      </c>
      <c r="G28" s="1209" t="e">
        <f>IFERROR(ROUNDDOWN(J28/($H$3/1000*$I$3/1000),0),ROUNDDOWN(J28/$K$3,0))</f>
        <v>#VALUE!</v>
      </c>
      <c r="H28" s="289"/>
      <c r="I28" s="270"/>
      <c r="J28" s="415">
        <f t="shared" ref="J28:J52" si="8">IF(ISBLANK($D28),0,($C28/1000)*((VLOOKUP($D28,Std_Brick,4,FALSE)/1000)))</f>
        <v>0</v>
      </c>
      <c r="K28" s="293"/>
      <c r="L28" s="1215"/>
      <c r="M28" s="245"/>
      <c r="N28" s="1314"/>
      <c r="O28" s="1315"/>
      <c r="P28" s="1316"/>
    </row>
    <row r="29" spans="1:16" x14ac:dyDescent="0.2">
      <c r="A29" s="1017"/>
      <c r="B29" s="511"/>
      <c r="C29" s="508"/>
      <c r="D29" s="508"/>
      <c r="E29" s="256">
        <f t="shared" si="6"/>
        <v>0</v>
      </c>
      <c r="F29" s="256">
        <f t="shared" si="7"/>
        <v>0</v>
      </c>
      <c r="G29" s="1209" t="e">
        <f t="shared" ref="G29:G52" si="9">IFERROR(ROUNDDOWN(J29/($H$3/1000*$I$3/1000),0),ROUNDDOWN(J29/$K$3,0))</f>
        <v>#VALUE!</v>
      </c>
      <c r="H29" s="289"/>
      <c r="I29" s="270"/>
      <c r="J29" s="415">
        <f t="shared" si="8"/>
        <v>0</v>
      </c>
      <c r="K29" s="293"/>
      <c r="L29" s="1215"/>
      <c r="M29" s="245"/>
      <c r="N29" s="1314"/>
      <c r="O29" s="1315"/>
      <c r="P29" s="1316"/>
    </row>
    <row r="30" spans="1:16" x14ac:dyDescent="0.2">
      <c r="A30" s="1017"/>
      <c r="B30" s="511"/>
      <c r="C30" s="508"/>
      <c r="D30" s="508"/>
      <c r="E30" s="256">
        <f t="shared" si="6"/>
        <v>0</v>
      </c>
      <c r="F30" s="256">
        <f t="shared" si="7"/>
        <v>0</v>
      </c>
      <c r="G30" s="1209" t="e">
        <f t="shared" si="9"/>
        <v>#VALUE!</v>
      </c>
      <c r="H30" s="289"/>
      <c r="I30" s="270"/>
      <c r="J30" s="415">
        <f t="shared" si="8"/>
        <v>0</v>
      </c>
      <c r="K30" s="293"/>
      <c r="L30" s="1215"/>
      <c r="M30" s="245"/>
      <c r="N30" s="1314"/>
      <c r="O30" s="1315"/>
      <c r="P30" s="1316"/>
    </row>
    <row r="31" spans="1:16" x14ac:dyDescent="0.2">
      <c r="A31" s="1017"/>
      <c r="B31" s="511"/>
      <c r="C31" s="508"/>
      <c r="D31" s="508"/>
      <c r="E31" s="256">
        <f t="shared" si="6"/>
        <v>0</v>
      </c>
      <c r="F31" s="256">
        <f t="shared" si="7"/>
        <v>0</v>
      </c>
      <c r="G31" s="1209" t="e">
        <f t="shared" si="9"/>
        <v>#VALUE!</v>
      </c>
      <c r="H31" s="289"/>
      <c r="I31" s="270"/>
      <c r="J31" s="415">
        <f t="shared" si="8"/>
        <v>0</v>
      </c>
      <c r="K31" s="293"/>
      <c r="L31" s="1215"/>
      <c r="M31" s="245"/>
      <c r="N31" s="1314"/>
      <c r="O31" s="1315"/>
      <c r="P31" s="1316"/>
    </row>
    <row r="32" spans="1:16" x14ac:dyDescent="0.2">
      <c r="A32" s="1017"/>
      <c r="B32" s="511"/>
      <c r="C32" s="508"/>
      <c r="D32" s="508"/>
      <c r="E32" s="256">
        <f t="shared" si="6"/>
        <v>0</v>
      </c>
      <c r="F32" s="256">
        <f t="shared" si="7"/>
        <v>0</v>
      </c>
      <c r="G32" s="1209" t="e">
        <f t="shared" si="9"/>
        <v>#VALUE!</v>
      </c>
      <c r="H32" s="289"/>
      <c r="I32" s="270"/>
      <c r="J32" s="415">
        <f t="shared" si="8"/>
        <v>0</v>
      </c>
      <c r="K32" s="293"/>
      <c r="L32" s="1215"/>
      <c r="M32" s="245"/>
      <c r="N32" s="1314"/>
      <c r="O32" s="1315"/>
      <c r="P32" s="1316"/>
    </row>
    <row r="33" spans="1:16" x14ac:dyDescent="0.2">
      <c r="A33" s="1017"/>
      <c r="B33" s="511"/>
      <c r="C33" s="508"/>
      <c r="D33" s="508"/>
      <c r="E33" s="256">
        <f t="shared" si="6"/>
        <v>0</v>
      </c>
      <c r="F33" s="256">
        <f t="shared" si="7"/>
        <v>0</v>
      </c>
      <c r="G33" s="1209" t="e">
        <f t="shared" si="9"/>
        <v>#VALUE!</v>
      </c>
      <c r="H33" s="289"/>
      <c r="I33" s="270"/>
      <c r="J33" s="415">
        <f t="shared" si="8"/>
        <v>0</v>
      </c>
      <c r="K33" s="293"/>
      <c r="L33" s="1215"/>
      <c r="M33" s="245"/>
      <c r="N33" s="1314"/>
      <c r="O33" s="1315"/>
      <c r="P33" s="1316"/>
    </row>
    <row r="34" spans="1:16" x14ac:dyDescent="0.2">
      <c r="A34" s="1017"/>
      <c r="B34" s="511"/>
      <c r="C34" s="508"/>
      <c r="D34" s="508"/>
      <c r="E34" s="256">
        <f t="shared" si="6"/>
        <v>0</v>
      </c>
      <c r="F34" s="256">
        <f t="shared" si="7"/>
        <v>0</v>
      </c>
      <c r="G34" s="1209" t="e">
        <f t="shared" si="9"/>
        <v>#VALUE!</v>
      </c>
      <c r="H34" s="289"/>
      <c r="I34" s="270"/>
      <c r="J34" s="415">
        <f t="shared" si="8"/>
        <v>0</v>
      </c>
      <c r="K34" s="293"/>
      <c r="L34" s="1215"/>
      <c r="M34" s="245"/>
      <c r="N34" s="1314"/>
      <c r="O34" s="1315"/>
      <c r="P34" s="1316"/>
    </row>
    <row r="35" spans="1:16" x14ac:dyDescent="0.2">
      <c r="A35" s="1017"/>
      <c r="B35" s="511"/>
      <c r="C35" s="508"/>
      <c r="D35" s="508"/>
      <c r="E35" s="256">
        <f t="shared" si="6"/>
        <v>0</v>
      </c>
      <c r="F35" s="256">
        <f t="shared" si="7"/>
        <v>0</v>
      </c>
      <c r="G35" s="1209" t="e">
        <f t="shared" si="9"/>
        <v>#VALUE!</v>
      </c>
      <c r="H35" s="289"/>
      <c r="I35" s="270"/>
      <c r="J35" s="415">
        <f t="shared" si="8"/>
        <v>0</v>
      </c>
      <c r="K35" s="293"/>
      <c r="L35" s="1215"/>
      <c r="M35" s="245"/>
      <c r="N35" s="1314"/>
      <c r="O35" s="1315"/>
      <c r="P35" s="1316"/>
    </row>
    <row r="36" spans="1:16" x14ac:dyDescent="0.2">
      <c r="A36" s="1017"/>
      <c r="B36" s="511"/>
      <c r="C36" s="508"/>
      <c r="D36" s="508"/>
      <c r="E36" s="256">
        <f t="shared" si="6"/>
        <v>0</v>
      </c>
      <c r="F36" s="256">
        <f t="shared" si="7"/>
        <v>0</v>
      </c>
      <c r="G36" s="1209" t="e">
        <f t="shared" si="9"/>
        <v>#VALUE!</v>
      </c>
      <c r="H36" s="289"/>
      <c r="I36" s="270"/>
      <c r="J36" s="415">
        <f t="shared" si="8"/>
        <v>0</v>
      </c>
      <c r="K36" s="293"/>
      <c r="L36" s="1215"/>
      <c r="M36" s="245"/>
      <c r="N36" s="1314"/>
      <c r="O36" s="1315"/>
      <c r="P36" s="1316"/>
    </row>
    <row r="37" spans="1:16" x14ac:dyDescent="0.2">
      <c r="A37" s="1017"/>
      <c r="B37" s="511"/>
      <c r="C37" s="508"/>
      <c r="D37" s="508"/>
      <c r="E37" s="256">
        <f t="shared" si="6"/>
        <v>0</v>
      </c>
      <c r="F37" s="256">
        <f t="shared" si="7"/>
        <v>0</v>
      </c>
      <c r="G37" s="1209" t="e">
        <f t="shared" si="9"/>
        <v>#VALUE!</v>
      </c>
      <c r="H37" s="289"/>
      <c r="I37" s="270"/>
      <c r="J37" s="415">
        <f t="shared" si="8"/>
        <v>0</v>
      </c>
      <c r="K37" s="293"/>
      <c r="L37" s="1215"/>
      <c r="M37" s="245"/>
      <c r="N37" s="1314"/>
      <c r="O37" s="1315"/>
      <c r="P37" s="1316"/>
    </row>
    <row r="38" spans="1:16" x14ac:dyDescent="0.2">
      <c r="A38" s="1017"/>
      <c r="B38" s="507"/>
      <c r="C38" s="508"/>
      <c r="D38" s="508"/>
      <c r="E38" s="256">
        <f t="shared" si="6"/>
        <v>0</v>
      </c>
      <c r="F38" s="256">
        <f t="shared" si="7"/>
        <v>0</v>
      </c>
      <c r="G38" s="1209" t="e">
        <f t="shared" si="9"/>
        <v>#VALUE!</v>
      </c>
      <c r="H38" s="289"/>
      <c r="I38" s="270"/>
      <c r="J38" s="415">
        <f t="shared" si="8"/>
        <v>0</v>
      </c>
      <c r="K38" s="293"/>
      <c r="L38" s="1215"/>
      <c r="M38" s="245"/>
      <c r="N38" s="1314"/>
      <c r="O38" s="1315"/>
      <c r="P38" s="1316"/>
    </row>
    <row r="39" spans="1:16" x14ac:dyDescent="0.2">
      <c r="A39" s="1017"/>
      <c r="B39" s="507"/>
      <c r="C39" s="508"/>
      <c r="D39" s="508"/>
      <c r="E39" s="256">
        <f t="shared" si="6"/>
        <v>0</v>
      </c>
      <c r="F39" s="256">
        <f t="shared" si="7"/>
        <v>0</v>
      </c>
      <c r="G39" s="1209" t="e">
        <f t="shared" si="9"/>
        <v>#VALUE!</v>
      </c>
      <c r="H39" s="289"/>
      <c r="I39" s="270"/>
      <c r="J39" s="415">
        <f t="shared" si="8"/>
        <v>0</v>
      </c>
      <c r="K39" s="293"/>
      <c r="L39" s="1215"/>
      <c r="M39" s="245"/>
      <c r="N39" s="1314"/>
      <c r="O39" s="1315"/>
      <c r="P39" s="1316"/>
    </row>
    <row r="40" spans="1:16" x14ac:dyDescent="0.2">
      <c r="A40" s="1017"/>
      <c r="B40" s="507"/>
      <c r="C40" s="508"/>
      <c r="D40" s="508"/>
      <c r="E40" s="256">
        <f t="shared" si="6"/>
        <v>0</v>
      </c>
      <c r="F40" s="256">
        <f t="shared" si="7"/>
        <v>0</v>
      </c>
      <c r="G40" s="1209" t="e">
        <f t="shared" si="9"/>
        <v>#VALUE!</v>
      </c>
      <c r="H40" s="289"/>
      <c r="I40" s="270"/>
      <c r="J40" s="415">
        <f t="shared" si="8"/>
        <v>0</v>
      </c>
      <c r="K40" s="293"/>
      <c r="L40" s="1215"/>
      <c r="M40" s="245"/>
      <c r="N40" s="1314"/>
      <c r="O40" s="1315"/>
      <c r="P40" s="1316"/>
    </row>
    <row r="41" spans="1:16" x14ac:dyDescent="0.2">
      <c r="A41" s="1017"/>
      <c r="B41" s="507"/>
      <c r="C41" s="508"/>
      <c r="D41" s="508"/>
      <c r="E41" s="256">
        <f t="shared" si="6"/>
        <v>0</v>
      </c>
      <c r="F41" s="256">
        <f t="shared" si="7"/>
        <v>0</v>
      </c>
      <c r="G41" s="1209" t="e">
        <f t="shared" si="9"/>
        <v>#VALUE!</v>
      </c>
      <c r="H41" s="289"/>
      <c r="I41" s="270"/>
      <c r="J41" s="415">
        <f t="shared" si="8"/>
        <v>0</v>
      </c>
      <c r="K41" s="293"/>
      <c r="L41" s="1215"/>
      <c r="M41" s="245"/>
      <c r="N41" s="1314"/>
      <c r="O41" s="1315"/>
      <c r="P41" s="1316"/>
    </row>
    <row r="42" spans="1:16" x14ac:dyDescent="0.2">
      <c r="A42" s="1017"/>
      <c r="B42" s="507"/>
      <c r="C42" s="508"/>
      <c r="D42" s="508"/>
      <c r="E42" s="256">
        <f t="shared" si="6"/>
        <v>0</v>
      </c>
      <c r="F42" s="256">
        <f t="shared" si="7"/>
        <v>0</v>
      </c>
      <c r="G42" s="1209" t="e">
        <f t="shared" si="9"/>
        <v>#VALUE!</v>
      </c>
      <c r="H42" s="289"/>
      <c r="I42" s="270"/>
      <c r="J42" s="415">
        <f t="shared" si="8"/>
        <v>0</v>
      </c>
      <c r="K42" s="293"/>
      <c r="L42" s="1215"/>
      <c r="M42" s="245"/>
      <c r="N42" s="1314"/>
      <c r="O42" s="1315"/>
      <c r="P42" s="1316"/>
    </row>
    <row r="43" spans="1:16" x14ac:dyDescent="0.2">
      <c r="A43" s="1017"/>
      <c r="B43" s="507"/>
      <c r="C43" s="508"/>
      <c r="D43" s="508"/>
      <c r="E43" s="256">
        <f t="shared" si="6"/>
        <v>0</v>
      </c>
      <c r="F43" s="256">
        <f t="shared" si="7"/>
        <v>0</v>
      </c>
      <c r="G43" s="1209" t="e">
        <f t="shared" si="9"/>
        <v>#VALUE!</v>
      </c>
      <c r="H43" s="289"/>
      <c r="I43" s="270"/>
      <c r="J43" s="415">
        <f t="shared" si="8"/>
        <v>0</v>
      </c>
      <c r="K43" s="293"/>
      <c r="L43" s="1215"/>
      <c r="M43" s="245"/>
      <c r="N43" s="1314"/>
      <c r="O43" s="1315"/>
      <c r="P43" s="1316"/>
    </row>
    <row r="44" spans="1:16" x14ac:dyDescent="0.2">
      <c r="A44" s="1017"/>
      <c r="B44" s="507"/>
      <c r="C44" s="508"/>
      <c r="D44" s="508"/>
      <c r="E44" s="256">
        <f t="shared" si="6"/>
        <v>0</v>
      </c>
      <c r="F44" s="256">
        <f t="shared" si="7"/>
        <v>0</v>
      </c>
      <c r="G44" s="1209" t="e">
        <f t="shared" si="9"/>
        <v>#VALUE!</v>
      </c>
      <c r="H44" s="289"/>
      <c r="I44" s="270"/>
      <c r="J44" s="415">
        <f t="shared" si="8"/>
        <v>0</v>
      </c>
      <c r="K44" s="293"/>
      <c r="L44" s="1215"/>
      <c r="M44" s="245"/>
      <c r="N44" s="1314"/>
      <c r="O44" s="1315"/>
      <c r="P44" s="1316"/>
    </row>
    <row r="45" spans="1:16" x14ac:dyDescent="0.2">
      <c r="A45" s="1017"/>
      <c r="B45" s="507"/>
      <c r="C45" s="508"/>
      <c r="D45" s="508"/>
      <c r="E45" s="256">
        <f t="shared" si="6"/>
        <v>0</v>
      </c>
      <c r="F45" s="256">
        <f t="shared" si="7"/>
        <v>0</v>
      </c>
      <c r="G45" s="1209" t="e">
        <f t="shared" si="9"/>
        <v>#VALUE!</v>
      </c>
      <c r="H45" s="289"/>
      <c r="I45" s="270"/>
      <c r="J45" s="415">
        <f t="shared" si="8"/>
        <v>0</v>
      </c>
      <c r="K45" s="293"/>
      <c r="L45" s="1215"/>
      <c r="M45" s="245"/>
      <c r="N45" s="1314"/>
      <c r="O45" s="1315"/>
      <c r="P45" s="1316"/>
    </row>
    <row r="46" spans="1:16" x14ac:dyDescent="0.2">
      <c r="A46" s="1017"/>
      <c r="B46" s="507"/>
      <c r="C46" s="508"/>
      <c r="D46" s="508"/>
      <c r="E46" s="256">
        <f t="shared" si="6"/>
        <v>0</v>
      </c>
      <c r="F46" s="256">
        <f t="shared" si="7"/>
        <v>0</v>
      </c>
      <c r="G46" s="1209" t="e">
        <f t="shared" si="9"/>
        <v>#VALUE!</v>
      </c>
      <c r="H46" s="289"/>
      <c r="I46" s="270"/>
      <c r="J46" s="415">
        <f t="shared" si="8"/>
        <v>0</v>
      </c>
      <c r="K46" s="293"/>
      <c r="L46" s="1215"/>
      <c r="M46" s="245"/>
      <c r="N46" s="1314"/>
      <c r="O46" s="1315"/>
      <c r="P46" s="1316"/>
    </row>
    <row r="47" spans="1:16" x14ac:dyDescent="0.2">
      <c r="A47" s="1017"/>
      <c r="B47" s="507"/>
      <c r="C47" s="508"/>
      <c r="D47" s="508"/>
      <c r="E47" s="256">
        <f t="shared" si="6"/>
        <v>0</v>
      </c>
      <c r="F47" s="256">
        <f t="shared" si="7"/>
        <v>0</v>
      </c>
      <c r="G47" s="1209" t="e">
        <f t="shared" si="9"/>
        <v>#VALUE!</v>
      </c>
      <c r="H47" s="289"/>
      <c r="I47" s="270"/>
      <c r="J47" s="415">
        <f t="shared" si="8"/>
        <v>0</v>
      </c>
      <c r="K47" s="293"/>
      <c r="L47" s="1215"/>
      <c r="M47" s="245"/>
      <c r="N47" s="1314"/>
      <c r="O47" s="1315"/>
      <c r="P47" s="1316"/>
    </row>
    <row r="48" spans="1:16" x14ac:dyDescent="0.2">
      <c r="A48" s="1017"/>
      <c r="B48" s="507"/>
      <c r="C48" s="508"/>
      <c r="D48" s="508"/>
      <c r="E48" s="256">
        <f t="shared" si="6"/>
        <v>0</v>
      </c>
      <c r="F48" s="256">
        <f t="shared" si="7"/>
        <v>0</v>
      </c>
      <c r="G48" s="1209" t="e">
        <f t="shared" si="9"/>
        <v>#VALUE!</v>
      </c>
      <c r="H48" s="289"/>
      <c r="I48" s="270"/>
      <c r="J48" s="415">
        <f t="shared" si="8"/>
        <v>0</v>
      </c>
      <c r="K48" s="293"/>
      <c r="L48" s="1215"/>
      <c r="M48" s="245"/>
      <c r="N48" s="1314"/>
      <c r="O48" s="1315"/>
      <c r="P48" s="1316"/>
    </row>
    <row r="49" spans="1:17" x14ac:dyDescent="0.2">
      <c r="A49" s="1017"/>
      <c r="B49" s="507"/>
      <c r="C49" s="508"/>
      <c r="D49" s="508"/>
      <c r="E49" s="256">
        <f t="shared" si="6"/>
        <v>0</v>
      </c>
      <c r="F49" s="256">
        <f t="shared" si="7"/>
        <v>0</v>
      </c>
      <c r="G49" s="1209" t="e">
        <f t="shared" si="9"/>
        <v>#VALUE!</v>
      </c>
      <c r="H49" s="289"/>
      <c r="I49" s="270"/>
      <c r="J49" s="415">
        <f t="shared" si="8"/>
        <v>0</v>
      </c>
      <c r="K49" s="293"/>
      <c r="L49" s="1215"/>
      <c r="M49" s="245"/>
      <c r="N49" s="1314"/>
      <c r="O49" s="1315"/>
      <c r="P49" s="1316"/>
    </row>
    <row r="50" spans="1:17" x14ac:dyDescent="0.2">
      <c r="A50" s="1017"/>
      <c r="B50" s="507"/>
      <c r="C50" s="508"/>
      <c r="D50" s="508"/>
      <c r="E50" s="256">
        <f t="shared" si="6"/>
        <v>0</v>
      </c>
      <c r="F50" s="256">
        <f t="shared" si="7"/>
        <v>0</v>
      </c>
      <c r="G50" s="1209" t="e">
        <f t="shared" si="9"/>
        <v>#VALUE!</v>
      </c>
      <c r="H50" s="289"/>
      <c r="I50" s="270"/>
      <c r="J50" s="415">
        <f t="shared" si="8"/>
        <v>0</v>
      </c>
      <c r="K50" s="293"/>
      <c r="L50" s="1215"/>
      <c r="M50" s="245"/>
      <c r="N50" s="1314"/>
      <c r="O50" s="1315"/>
      <c r="P50" s="1316"/>
    </row>
    <row r="51" spans="1:17" ht="13.5" thickBot="1" x14ac:dyDescent="0.25">
      <c r="A51" s="1017"/>
      <c r="B51" s="507"/>
      <c r="C51" s="512"/>
      <c r="D51" s="512"/>
      <c r="E51" s="256">
        <f t="shared" si="6"/>
        <v>0</v>
      </c>
      <c r="F51" s="277">
        <f t="shared" si="7"/>
        <v>0</v>
      </c>
      <c r="G51" s="1209" t="e">
        <f t="shared" si="9"/>
        <v>#VALUE!</v>
      </c>
      <c r="H51" s="289" t="s">
        <v>639</v>
      </c>
      <c r="I51" s="270"/>
      <c r="J51" s="415">
        <f t="shared" si="8"/>
        <v>0</v>
      </c>
      <c r="K51" s="293"/>
      <c r="L51" s="1215"/>
      <c r="M51" s="245"/>
      <c r="N51" s="1314"/>
      <c r="O51" s="1315"/>
      <c r="P51" s="1316"/>
    </row>
    <row r="52" spans="1:17" ht="13.5" thickBot="1" x14ac:dyDescent="0.25">
      <c r="A52" s="1017"/>
      <c r="B52" s="509"/>
      <c r="C52" s="510"/>
      <c r="D52" s="510"/>
      <c r="E52" s="265">
        <f t="shared" si="6"/>
        <v>0</v>
      </c>
      <c r="F52" s="265">
        <f t="shared" si="7"/>
        <v>0</v>
      </c>
      <c r="G52" s="1210" t="e">
        <f t="shared" si="9"/>
        <v>#VALUE!</v>
      </c>
      <c r="H52" s="296" t="e">
        <f>SUM(G27:G52)</f>
        <v>#VALUE!</v>
      </c>
      <c r="I52" s="270"/>
      <c r="J52" s="416">
        <f t="shared" si="8"/>
        <v>0</v>
      </c>
      <c r="K52" s="293"/>
      <c r="L52" s="1215"/>
      <c r="M52" s="245"/>
      <c r="N52" s="1314"/>
      <c r="O52" s="1315"/>
      <c r="P52" s="1316"/>
    </row>
    <row r="53" spans="1:17" x14ac:dyDescent="0.2">
      <c r="A53" s="1017"/>
      <c r="B53" s="236"/>
      <c r="C53" s="236"/>
      <c r="D53" s="235"/>
      <c r="E53" s="235"/>
      <c r="F53" s="235"/>
      <c r="G53" s="235" t="s">
        <v>640</v>
      </c>
      <c r="H53" s="298" t="e">
        <f ca="1">H24-H52</f>
        <v>#VALUE!</v>
      </c>
      <c r="I53" s="269"/>
      <c r="J53" s="236"/>
      <c r="K53" s="288"/>
      <c r="L53" s="1215"/>
      <c r="M53" s="245"/>
      <c r="N53" s="1314"/>
      <c r="O53" s="1315"/>
      <c r="P53" s="1316"/>
    </row>
    <row r="54" spans="1:17" ht="13.5" thickBot="1" x14ac:dyDescent="0.25">
      <c r="A54" s="1017"/>
      <c r="B54" s="236"/>
      <c r="C54" s="236"/>
      <c r="D54" s="235"/>
      <c r="E54" s="235"/>
      <c r="F54" s="235"/>
      <c r="G54" s="235" t="s">
        <v>641</v>
      </c>
      <c r="H54" s="299" t="e">
        <f ca="1">CEILING(H53*0.1,1)</f>
        <v>#VALUE!</v>
      </c>
      <c r="I54" s="269"/>
      <c r="J54" s="236"/>
      <c r="K54" s="288"/>
      <c r="L54" s="1215"/>
      <c r="M54" s="245"/>
      <c r="N54" s="1314"/>
      <c r="O54" s="1315"/>
      <c r="P54" s="1316"/>
    </row>
    <row r="55" spans="1:17" ht="13.5" thickBot="1" x14ac:dyDescent="0.25">
      <c r="A55" s="1017"/>
      <c r="B55" s="236"/>
      <c r="C55" s="236"/>
      <c r="D55" s="235"/>
      <c r="E55" s="235"/>
      <c r="F55" s="235"/>
      <c r="G55" s="294" t="s">
        <v>642</v>
      </c>
      <c r="H55" s="297" t="e">
        <f ca="1">SUM(H53:H54)</f>
        <v>#VALUE!</v>
      </c>
      <c r="I55" s="295" t="s">
        <v>643</v>
      </c>
      <c r="J55" s="417">
        <f ca="1">ROUNDUP(SUM(J5:J24)-SUM(J27:J52),1)</f>
        <v>0</v>
      </c>
      <c r="K55" s="288"/>
      <c r="L55" s="1215"/>
      <c r="M55" s="245"/>
      <c r="N55" s="1314"/>
      <c r="O55" s="1315"/>
      <c r="P55" s="1316"/>
    </row>
    <row r="56" spans="1:17" x14ac:dyDescent="0.2">
      <c r="A56" s="1018"/>
      <c r="B56" s="1019"/>
      <c r="C56" s="1019"/>
      <c r="D56" s="1020"/>
      <c r="E56" s="1020"/>
      <c r="F56" s="1020"/>
      <c r="G56" s="1020"/>
      <c r="H56" s="1020"/>
      <c r="I56" s="1021"/>
      <c r="J56" s="1019"/>
      <c r="K56" s="1022"/>
      <c r="L56" s="1217"/>
      <c r="M56" s="1023"/>
      <c r="N56" s="1308"/>
      <c r="O56" s="1309"/>
      <c r="P56" s="1310"/>
    </row>
    <row r="57" spans="1:17" x14ac:dyDescent="0.2">
      <c r="L57" s="283"/>
      <c r="M57" s="284"/>
      <c r="N57" s="284"/>
      <c r="O57" s="285"/>
      <c r="P57" s="285"/>
      <c r="Q57" s="285"/>
    </row>
    <row r="58" spans="1:17" x14ac:dyDescent="0.2">
      <c r="B58" s="286"/>
      <c r="L58" s="283"/>
      <c r="M58" s="284"/>
      <c r="N58" s="285"/>
      <c r="O58" s="285"/>
      <c r="P58" s="285"/>
    </row>
    <row r="59" spans="1:17" x14ac:dyDescent="0.2">
      <c r="L59" s="283"/>
      <c r="M59" s="284"/>
      <c r="N59" s="285"/>
      <c r="O59" s="285"/>
      <c r="P59" s="285"/>
    </row>
    <row r="60" spans="1:17" x14ac:dyDescent="0.2">
      <c r="L60" s="283"/>
      <c r="M60" s="284"/>
      <c r="N60" s="285"/>
      <c r="O60" s="285"/>
      <c r="P60" s="285"/>
    </row>
    <row r="61" spans="1:17" x14ac:dyDescent="0.2">
      <c r="L61" s="283"/>
      <c r="M61" s="284"/>
      <c r="N61" s="285"/>
      <c r="O61" s="285"/>
      <c r="P61" s="285"/>
    </row>
    <row r="62" spans="1:17" x14ac:dyDescent="0.2">
      <c r="L62" s="283"/>
      <c r="M62" s="284"/>
      <c r="N62" s="285"/>
      <c r="O62" s="285"/>
      <c r="P62" s="285"/>
    </row>
  </sheetData>
  <sheetProtection selectLockedCells="1"/>
  <mergeCells count="58">
    <mergeCell ref="F3:G3"/>
    <mergeCell ref="N3:P3"/>
    <mergeCell ref="N4:P4"/>
    <mergeCell ref="N5:P5"/>
    <mergeCell ref="N6:P6"/>
    <mergeCell ref="B5:F5"/>
    <mergeCell ref="N13:P13"/>
    <mergeCell ref="N14:P14"/>
    <mergeCell ref="N15:P15"/>
    <mergeCell ref="N16:P16"/>
    <mergeCell ref="N7:P7"/>
    <mergeCell ref="N8:P8"/>
    <mergeCell ref="N9:P9"/>
    <mergeCell ref="N10:P10"/>
    <mergeCell ref="N11:P11"/>
    <mergeCell ref="N12:P12"/>
    <mergeCell ref="N17:P17"/>
    <mergeCell ref="N18:P18"/>
    <mergeCell ref="N31:P31"/>
    <mergeCell ref="N20:P20"/>
    <mergeCell ref="N21:P21"/>
    <mergeCell ref="N22:P22"/>
    <mergeCell ref="N23:P23"/>
    <mergeCell ref="N24:P24"/>
    <mergeCell ref="N25:P25"/>
    <mergeCell ref="N26:P26"/>
    <mergeCell ref="N19:P19"/>
    <mergeCell ref="N27:P27"/>
    <mergeCell ref="N28:P28"/>
    <mergeCell ref="N29:P29"/>
    <mergeCell ref="N30:P30"/>
    <mergeCell ref="N36:P36"/>
    <mergeCell ref="N47:P47"/>
    <mergeCell ref="N37:P37"/>
    <mergeCell ref="N38:P38"/>
    <mergeCell ref="N39:P39"/>
    <mergeCell ref="N40:P40"/>
    <mergeCell ref="N42:P42"/>
    <mergeCell ref="N44:P44"/>
    <mergeCell ref="N45:P45"/>
    <mergeCell ref="N46:P46"/>
    <mergeCell ref="N41:P41"/>
    <mergeCell ref="N2:P2"/>
    <mergeCell ref="N56:P56"/>
    <mergeCell ref="B27:F27"/>
    <mergeCell ref="N53:P53"/>
    <mergeCell ref="N54:P54"/>
    <mergeCell ref="N55:P55"/>
    <mergeCell ref="N49:P49"/>
    <mergeCell ref="N50:P50"/>
    <mergeCell ref="N51:P51"/>
    <mergeCell ref="N52:P52"/>
    <mergeCell ref="N48:P48"/>
    <mergeCell ref="N43:P43"/>
    <mergeCell ref="N32:P32"/>
    <mergeCell ref="N33:P33"/>
    <mergeCell ref="N34:P34"/>
    <mergeCell ref="N35:P35"/>
  </mergeCells>
  <dataValidations count="1">
    <dataValidation type="list" allowBlank="1" showInputMessage="1" showErrorMessage="1" sqref="B27:B52 B7:B24" xr:uid="{00000000-0002-0000-1100-000000000000}">
      <formula1>Locations</formula1>
    </dataValidation>
  </dataValidations>
  <pageMargins left="0.19685039370078741" right="0.19685039370078741" top="0.39370078740157483" bottom="0.39370078740157483" header="0.51181102362204722" footer="0.51181102362204722"/>
  <pageSetup paperSize="9" scale="71" orientation="portrait" r:id="rId1"/>
  <headerFooter alignWithMargins="0">
    <oddFooter>Page &amp;P of &amp;N</oddFoot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4">
    <pageSetUpPr fitToPage="1"/>
  </sheetPr>
  <dimension ref="A1:AS55"/>
  <sheetViews>
    <sheetView workbookViewId="0"/>
  </sheetViews>
  <sheetFormatPr defaultRowHeight="12.75" x14ac:dyDescent="0.2"/>
  <cols>
    <col min="1" max="1" width="20.7109375" customWidth="1"/>
    <col min="2" max="2" width="7.5703125" bestFit="1" customWidth="1"/>
    <col min="3" max="41" width="5.5703125" customWidth="1"/>
    <col min="42" max="42" width="6.7109375" customWidth="1"/>
    <col min="43" max="43" width="30.7109375" customWidth="1"/>
    <col min="44" max="45" width="20.7109375" customWidth="1"/>
    <col min="46" max="65" width="8.7109375" customWidth="1"/>
  </cols>
  <sheetData>
    <row r="1" spans="1:45" x14ac:dyDescent="0.2">
      <c r="A1" s="835" t="s">
        <v>547</v>
      </c>
      <c r="B1" s="1320" t="str">
        <f>"Job Number "&amp; Job_No&amp;" "&amp;Address</f>
        <v xml:space="preserve">Job Number 304909 </v>
      </c>
      <c r="C1" s="1321"/>
      <c r="D1" s="1321"/>
      <c r="E1" s="1321"/>
      <c r="F1" s="1321"/>
      <c r="G1" s="1321"/>
      <c r="H1" s="1321"/>
      <c r="I1" s="1321"/>
      <c r="J1" s="1321"/>
      <c r="K1" s="1321"/>
      <c r="L1" s="1321"/>
      <c r="M1" s="1321"/>
      <c r="N1" s="1321"/>
      <c r="O1" s="1321"/>
      <c r="P1" s="1321"/>
      <c r="Q1" s="1321"/>
      <c r="R1" s="1321"/>
      <c r="S1" s="1321"/>
      <c r="T1" s="1321"/>
      <c r="U1" s="1321"/>
      <c r="V1" s="1321"/>
      <c r="W1" s="1321"/>
      <c r="X1" s="1321"/>
      <c r="Y1" s="1321"/>
      <c r="Z1" s="1321"/>
      <c r="AA1" s="1321"/>
      <c r="AB1" s="1321"/>
      <c r="AC1" s="1321"/>
      <c r="AD1" s="1321"/>
      <c r="AE1" s="1321"/>
      <c r="AF1" s="1321"/>
      <c r="AG1" s="1321"/>
      <c r="AH1" s="1321"/>
      <c r="AI1" s="1321"/>
      <c r="AJ1" s="1321"/>
      <c r="AK1" s="1321"/>
      <c r="AL1" s="1321"/>
      <c r="AM1" s="1321"/>
      <c r="AN1" s="1321"/>
      <c r="AO1" s="1321"/>
      <c r="AP1" s="1321"/>
      <c r="AQ1" s="10" t="s">
        <v>344</v>
      </c>
      <c r="AR1" s="10" t="s">
        <v>373</v>
      </c>
      <c r="AS1" s="10" t="s">
        <v>345</v>
      </c>
    </row>
    <row r="2" spans="1:45" ht="13.5" customHeight="1" x14ac:dyDescent="0.2">
      <c r="A2" s="836"/>
      <c r="B2" s="1322"/>
      <c r="C2" s="1322"/>
      <c r="D2" s="1322"/>
      <c r="E2" s="1322"/>
      <c r="F2" s="1322"/>
      <c r="G2" s="1322"/>
      <c r="H2" s="1322"/>
      <c r="I2" s="1322"/>
      <c r="J2" s="1322"/>
      <c r="K2" s="1322"/>
      <c r="L2" s="1322"/>
      <c r="M2" s="1322"/>
      <c r="N2" s="1322"/>
      <c r="O2" s="1322"/>
      <c r="P2" s="1322"/>
      <c r="Q2" s="1322"/>
      <c r="R2" s="1322"/>
      <c r="S2" s="1322"/>
      <c r="T2" s="1322"/>
      <c r="U2" s="1322"/>
      <c r="V2" s="1322"/>
      <c r="W2" s="1322"/>
      <c r="X2" s="1322"/>
      <c r="Y2" s="1322"/>
      <c r="Z2" s="1322"/>
      <c r="AA2" s="1322"/>
      <c r="AB2" s="1322"/>
      <c r="AC2" s="1322"/>
      <c r="AD2" s="1322"/>
      <c r="AE2" s="1322"/>
      <c r="AF2" s="1322"/>
      <c r="AG2" s="1322"/>
      <c r="AH2" s="1322"/>
      <c r="AI2" s="1322"/>
      <c r="AJ2" s="1322"/>
      <c r="AK2" s="1322"/>
      <c r="AL2" s="1322"/>
      <c r="AM2" s="1322"/>
      <c r="AN2" s="1322"/>
      <c r="AO2" s="1322"/>
      <c r="AP2" s="1322"/>
      <c r="AQ2" s="25"/>
      <c r="AR2" s="31"/>
      <c r="AS2" s="822"/>
    </row>
    <row r="3" spans="1:45" ht="12.75" customHeight="1" x14ac:dyDescent="0.2">
      <c r="A3" s="836"/>
      <c r="B3" s="859"/>
      <c r="C3" s="837"/>
      <c r="D3" s="837"/>
      <c r="E3" s="837"/>
      <c r="F3" s="837"/>
      <c r="G3" s="837"/>
      <c r="H3" s="837"/>
      <c r="I3" s="837"/>
      <c r="J3" s="837"/>
      <c r="K3" s="837"/>
      <c r="L3" s="837"/>
      <c r="M3" s="837"/>
      <c r="N3" s="837"/>
      <c r="O3" s="837"/>
      <c r="P3" s="837"/>
      <c r="Q3" s="837"/>
      <c r="R3" s="837"/>
      <c r="S3" s="837"/>
      <c r="T3" s="837"/>
      <c r="U3" s="837"/>
      <c r="V3" s="837"/>
      <c r="W3" s="837"/>
      <c r="X3" s="837"/>
      <c r="Y3" s="837"/>
      <c r="Z3" s="837"/>
      <c r="AA3" s="837"/>
      <c r="AB3" s="837"/>
      <c r="AC3" s="837"/>
      <c r="AD3" s="837"/>
      <c r="AE3" s="837"/>
      <c r="AF3" s="837"/>
      <c r="AG3" s="837"/>
      <c r="AH3" s="837"/>
      <c r="AI3" s="837"/>
      <c r="AJ3" s="837"/>
      <c r="AK3" s="837"/>
      <c r="AL3" s="837"/>
      <c r="AM3" s="837"/>
      <c r="AN3" s="837"/>
      <c r="AO3" s="837"/>
      <c r="AP3" s="1010"/>
      <c r="AQ3" s="26"/>
      <c r="AR3" s="24"/>
      <c r="AS3" s="217"/>
    </row>
    <row r="4" spans="1:45" ht="12.75" customHeight="1" x14ac:dyDescent="0.2">
      <c r="A4" s="836"/>
      <c r="B4" s="1000" t="s">
        <v>65</v>
      </c>
      <c r="C4" s="838">
        <v>0.6</v>
      </c>
      <c r="D4" s="838">
        <v>0.9</v>
      </c>
      <c r="E4" s="838">
        <v>1.2</v>
      </c>
      <c r="F4" s="838">
        <v>1.5</v>
      </c>
      <c r="G4" s="838">
        <v>1.8</v>
      </c>
      <c r="H4" s="838">
        <v>2.1</v>
      </c>
      <c r="I4" s="838">
        <v>2.4</v>
      </c>
      <c r="J4" s="838">
        <v>2.7</v>
      </c>
      <c r="K4" s="838">
        <v>3</v>
      </c>
      <c r="L4" s="838">
        <v>3.3</v>
      </c>
      <c r="M4" s="838">
        <v>3.6</v>
      </c>
      <c r="N4" s="838">
        <v>3.9</v>
      </c>
      <c r="O4" s="838">
        <v>4.2</v>
      </c>
      <c r="P4" s="838">
        <v>4.5</v>
      </c>
      <c r="Q4" s="838">
        <v>4.8</v>
      </c>
      <c r="R4" s="838">
        <v>5.0999999999999996</v>
      </c>
      <c r="S4" s="838">
        <v>5.4</v>
      </c>
      <c r="T4" s="838">
        <v>5.7</v>
      </c>
      <c r="U4" s="838">
        <v>6</v>
      </c>
      <c r="V4" s="838">
        <v>6.3</v>
      </c>
      <c r="W4" s="838">
        <v>6.6</v>
      </c>
      <c r="X4" s="838">
        <v>6.9</v>
      </c>
      <c r="Y4" s="838">
        <v>7.2</v>
      </c>
      <c r="Z4" s="838">
        <v>7.5</v>
      </c>
      <c r="AA4" s="838">
        <v>7.8</v>
      </c>
      <c r="AB4" s="838">
        <v>8.1</v>
      </c>
      <c r="AC4" s="838">
        <v>8.4</v>
      </c>
      <c r="AD4" s="838">
        <v>8.6999999999999993</v>
      </c>
      <c r="AE4" s="838">
        <v>9</v>
      </c>
      <c r="AF4" s="838">
        <v>9.3000000000000007</v>
      </c>
      <c r="AG4" s="838">
        <v>9.6</v>
      </c>
      <c r="AH4" s="838">
        <v>9.9</v>
      </c>
      <c r="AI4" s="838">
        <v>10.199999999999999</v>
      </c>
      <c r="AJ4" s="838">
        <v>10.5</v>
      </c>
      <c r="AK4" s="838">
        <v>10.8</v>
      </c>
      <c r="AL4" s="838">
        <v>11.1</v>
      </c>
      <c r="AM4" s="838">
        <v>11.4</v>
      </c>
      <c r="AN4" s="838">
        <v>11.7</v>
      </c>
      <c r="AO4" s="838">
        <v>12</v>
      </c>
      <c r="AP4" s="1011" t="s">
        <v>233</v>
      </c>
      <c r="AQ4" s="323"/>
      <c r="AR4" s="24"/>
      <c r="AS4" s="217"/>
    </row>
    <row r="5" spans="1:45" ht="12.75" customHeight="1" x14ac:dyDescent="0.2">
      <c r="A5" s="839" t="s">
        <v>171</v>
      </c>
      <c r="B5" s="1002"/>
      <c r="C5" s="840"/>
      <c r="D5" s="1002"/>
      <c r="E5" s="1002"/>
      <c r="F5" s="1002"/>
      <c r="G5" s="1002"/>
      <c r="H5" s="1002"/>
      <c r="I5" s="1002"/>
      <c r="J5" s="1002"/>
      <c r="K5" s="1002"/>
      <c r="L5" s="1002"/>
      <c r="M5" s="1002"/>
      <c r="N5" s="1002"/>
      <c r="O5" s="1002"/>
      <c r="P5" s="1002"/>
      <c r="Q5" s="1002"/>
      <c r="R5" s="1002"/>
      <c r="S5" s="1002"/>
      <c r="T5" s="1002"/>
      <c r="U5" s="1002"/>
      <c r="V5" s="1002"/>
      <c r="W5" s="1002"/>
      <c r="X5" s="1002"/>
      <c r="Y5" s="1002"/>
      <c r="Z5" s="1002"/>
      <c r="AA5" s="1002"/>
      <c r="AB5" s="1002"/>
      <c r="AC5" s="1002"/>
      <c r="AD5" s="1002"/>
      <c r="AE5" s="1002"/>
      <c r="AF5" s="1002"/>
      <c r="AG5" s="1002"/>
      <c r="AH5" s="1002"/>
      <c r="AI5" s="1002"/>
      <c r="AJ5" s="1002"/>
      <c r="AK5" s="1002"/>
      <c r="AL5" s="1002"/>
      <c r="AM5" s="1002"/>
      <c r="AN5" s="1002"/>
      <c r="AO5" s="1002"/>
      <c r="AP5" s="1002"/>
      <c r="AQ5" s="323"/>
      <c r="AR5" s="24"/>
      <c r="AS5" s="217"/>
    </row>
    <row r="6" spans="1:45" ht="12.75" customHeight="1" x14ac:dyDescent="0.2">
      <c r="A6" s="840" t="s">
        <v>162</v>
      </c>
      <c r="B6" s="1000" t="s">
        <v>311</v>
      </c>
      <c r="C6" s="841"/>
      <c r="D6" s="841"/>
      <c r="E6" s="841"/>
      <c r="F6" s="841"/>
      <c r="G6" s="841"/>
      <c r="H6" s="841"/>
      <c r="I6" s="841"/>
      <c r="J6" s="841"/>
      <c r="K6" s="841"/>
      <c r="L6" s="841"/>
      <c r="M6" s="841"/>
      <c r="N6" s="841"/>
      <c r="O6" s="841"/>
      <c r="P6" s="841">
        <f>'Roof Formulas GF'!B11</f>
        <v>0</v>
      </c>
      <c r="Q6" s="842">
        <f>'Roof Formulas GF'!B7</f>
        <v>0</v>
      </c>
      <c r="R6" s="841"/>
      <c r="S6" s="841"/>
      <c r="T6" s="841"/>
      <c r="U6" s="841"/>
      <c r="V6" s="843"/>
      <c r="W6" s="843"/>
      <c r="X6" s="843"/>
      <c r="Y6" s="843"/>
      <c r="Z6" s="843"/>
      <c r="AA6" s="843"/>
      <c r="AB6" s="843"/>
      <c r="AC6" s="843"/>
      <c r="AD6" s="843"/>
      <c r="AE6" s="843"/>
      <c r="AF6" s="843"/>
      <c r="AG6" s="843"/>
      <c r="AH6" s="843"/>
      <c r="AI6" s="843"/>
      <c r="AJ6" s="843"/>
      <c r="AK6" s="843"/>
      <c r="AL6" s="843"/>
      <c r="AM6" s="843"/>
      <c r="AN6" s="843"/>
      <c r="AO6" s="843"/>
      <c r="AP6" s="844">
        <f>SUMPRODUCT($C$4:$AO$4,C6:AO6)</f>
        <v>0</v>
      </c>
      <c r="AQ6" s="323"/>
      <c r="AR6" s="24"/>
      <c r="AS6" s="217"/>
    </row>
    <row r="7" spans="1:45" ht="12.75" customHeight="1" x14ac:dyDescent="0.2">
      <c r="A7" s="840" t="s">
        <v>327</v>
      </c>
      <c r="B7" s="1000" t="s">
        <v>311</v>
      </c>
      <c r="C7" s="842" cm="1">
        <f t="array" ref="C7">SUMPRODUCT((Name="Ceiling Joist")*(Length=C$4))</f>
        <v>0</v>
      </c>
      <c r="D7" s="842" cm="1">
        <f t="array" ref="D7">SUMPRODUCT((Name="Ceiling Joist")*(Length=D$4))</f>
        <v>0</v>
      </c>
      <c r="E7" s="842" cm="1">
        <f t="array" ref="E7">SUMPRODUCT((Name="Ceiling Joist")*(Length=E$4))</f>
        <v>0</v>
      </c>
      <c r="F7" s="842" cm="1">
        <f t="array" ref="F7">SUMPRODUCT((Name="Ceiling Joist")*(Length=F$4))</f>
        <v>0</v>
      </c>
      <c r="G7" s="842" cm="1">
        <f t="array" ref="G7">SUMPRODUCT((Name="Ceiling Joist")*(Length=G$4))</f>
        <v>0</v>
      </c>
      <c r="H7" s="842" cm="1">
        <f t="array" ref="H7">SUMPRODUCT((Name="Ceiling Joist")*(Length=H$4))</f>
        <v>0</v>
      </c>
      <c r="I7" s="842" cm="1">
        <f t="array" ref="I7">SUMPRODUCT((Name="Ceiling Joist")*(Length=I$4))</f>
        <v>0</v>
      </c>
      <c r="J7" s="842" cm="1">
        <f t="array" ref="J7">SUMPRODUCT((Name="Ceiling Joist")*(Length=J$4))</f>
        <v>0</v>
      </c>
      <c r="K7" s="842" cm="1">
        <f t="array" ref="K7">SUMPRODUCT((Name="Ceiling Joist")*(Length=K$4))</f>
        <v>0</v>
      </c>
      <c r="L7" s="842" cm="1">
        <f t="array" ref="L7">SUMPRODUCT((Name="Ceiling Joist")*(Length=L$4))</f>
        <v>0</v>
      </c>
      <c r="M7" s="842" cm="1">
        <f t="array" ref="M7">SUMPRODUCT((Name="Ceiling Joist")*(Length=M$4))</f>
        <v>0</v>
      </c>
      <c r="N7" s="842" cm="1">
        <f t="array" ref="N7">SUMPRODUCT((Name="Ceiling Joist")*(Length=N$4))</f>
        <v>0</v>
      </c>
      <c r="O7" s="842" cm="1">
        <f t="array" ref="O7">SUMPRODUCT((Name="Ceiling Joist")*(Length=O$4))</f>
        <v>0</v>
      </c>
      <c r="P7" s="842" cm="1">
        <f t="array" ref="P7">SUMPRODUCT((Name="Ceiling Joist")*(Length=P$4))</f>
        <v>0</v>
      </c>
      <c r="Q7" s="842" cm="1">
        <f t="array" ref="Q7">SUMPRODUCT((Name="Ceiling Joist")*(Length=Q$4))</f>
        <v>0</v>
      </c>
      <c r="R7" s="842" cm="1">
        <f t="array" ref="R7">SUMPRODUCT((Name="Ceiling Joist")*(Length=R$4))</f>
        <v>0</v>
      </c>
      <c r="S7" s="842" cm="1">
        <f t="array" ref="S7">SUMPRODUCT((Name="Ceiling Joist")*(Length=S$4))</f>
        <v>0</v>
      </c>
      <c r="T7" s="842" cm="1">
        <f t="array" ref="T7">SUMPRODUCT((Name="Ceiling Joist")*(Length=T$4))</f>
        <v>0</v>
      </c>
      <c r="U7" s="835" cm="1">
        <f t="array" ref="U7">SUMPRODUCT((Name="Ceiling Joist")*(Length=U4))+'Roof Formulas GF'!B37</f>
        <v>0</v>
      </c>
      <c r="V7" s="843"/>
      <c r="W7" s="843"/>
      <c r="X7" s="843"/>
      <c r="Y7" s="843"/>
      <c r="Z7" s="843"/>
      <c r="AA7" s="843"/>
      <c r="AB7" s="843"/>
      <c r="AC7" s="843"/>
      <c r="AD7" s="843"/>
      <c r="AE7" s="843"/>
      <c r="AF7" s="843"/>
      <c r="AG7" s="843"/>
      <c r="AH7" s="843"/>
      <c r="AI7" s="843"/>
      <c r="AJ7" s="843"/>
      <c r="AK7" s="843"/>
      <c r="AL7" s="843"/>
      <c r="AM7" s="843"/>
      <c r="AN7" s="843"/>
      <c r="AO7" s="843"/>
      <c r="AP7" s="844">
        <f t="shared" ref="AP7:AP14" si="0">SUMPRODUCT($C$4:$AO$4,C7:AO7)</f>
        <v>0</v>
      </c>
      <c r="AQ7" s="323" t="str">
        <f>IF(SUMIF(Name,"Ceiling Joist",Length)&lt;=36,"Ceiling Joists Not Imported",)</f>
        <v>Ceiling Joists Not Imported</v>
      </c>
      <c r="AR7" s="24"/>
      <c r="AS7" s="217"/>
    </row>
    <row r="8" spans="1:45" ht="12.75" customHeight="1" x14ac:dyDescent="0.2">
      <c r="A8" s="840" t="s">
        <v>328</v>
      </c>
      <c r="B8" s="1000" t="s">
        <v>311</v>
      </c>
      <c r="C8" s="843"/>
      <c r="D8" s="843"/>
      <c r="E8" s="843"/>
      <c r="F8" s="843"/>
      <c r="G8" s="843"/>
      <c r="H8" s="843"/>
      <c r="I8" s="843"/>
      <c r="J8" s="843"/>
      <c r="K8" s="843"/>
      <c r="L8" s="843"/>
      <c r="M8" s="843"/>
      <c r="N8" s="843"/>
      <c r="O8" s="843"/>
      <c r="P8" s="843"/>
      <c r="Q8" s="843"/>
      <c r="R8" s="843"/>
      <c r="S8" s="843"/>
      <c r="T8" s="843"/>
      <c r="U8" s="843"/>
      <c r="V8" s="842" cm="1">
        <f t="array" ref="V8">SUMPRODUCT((Name="Ceiling Joist")*(Length=V$4))</f>
        <v>0</v>
      </c>
      <c r="W8" s="842" cm="1">
        <f t="array" ref="W8">SUMPRODUCT((Name="Ceiling Joist")*(Length=W$4))</f>
        <v>0</v>
      </c>
      <c r="X8" s="842" cm="1">
        <f t="array" ref="X8">SUMPRODUCT((Name="Ceiling Joist")*(Length=X$4))</f>
        <v>0</v>
      </c>
      <c r="Y8" s="842" cm="1">
        <f t="array" ref="Y8">SUMPRODUCT((Name="Ceiling Joist")*(Length=Y$4))</f>
        <v>0</v>
      </c>
      <c r="Z8" s="842" cm="1">
        <f t="array" ref="Z8">SUMPRODUCT((Name="Ceiling Joist")*(Length=Z$4))</f>
        <v>0</v>
      </c>
      <c r="AA8" s="842" cm="1">
        <f t="array" ref="AA8">SUMPRODUCT((Name="Ceiling Joist")*(Length=AA$4))</f>
        <v>0</v>
      </c>
      <c r="AB8" s="842" cm="1">
        <f t="array" ref="AB8">SUMPRODUCT((Name="Ceiling Joist")*(Length=AB$4))</f>
        <v>0</v>
      </c>
      <c r="AC8" s="842" cm="1">
        <f t="array" ref="AC8">SUMPRODUCT((Name="Ceiling Joist")*(Length=AC$4))</f>
        <v>0</v>
      </c>
      <c r="AD8" s="842" cm="1">
        <f t="array" ref="AD8">SUMPRODUCT((Name="Ceiling Joist")*(Length=AD$4))</f>
        <v>0</v>
      </c>
      <c r="AE8" s="842" cm="1">
        <f t="array" ref="AE8">SUMPRODUCT((Name="Ceiling Joist")*(Length=AE$4))</f>
        <v>0</v>
      </c>
      <c r="AF8" s="842" cm="1">
        <f t="array" ref="AF8">SUMPRODUCT((Name="Ceiling Joist")*(Length=AF$4))</f>
        <v>0</v>
      </c>
      <c r="AG8" s="842" cm="1">
        <f t="array" ref="AG8">SUMPRODUCT((Name="Ceiling Joist")*(Length=AG$4))</f>
        <v>0</v>
      </c>
      <c r="AH8" s="842" cm="1">
        <f t="array" ref="AH8">SUMPRODUCT((Name="Ceiling Joist")*(Length=AH$4))</f>
        <v>0</v>
      </c>
      <c r="AI8" s="842" cm="1">
        <f t="array" ref="AI8">SUMPRODUCT((Name="Ceiling Joist")*(Length=AI$4))</f>
        <v>0</v>
      </c>
      <c r="AJ8" s="842" cm="1">
        <f t="array" ref="AJ8">SUMPRODUCT((Name="Ceiling Joist")*(Length=AJ$4))</f>
        <v>0</v>
      </c>
      <c r="AK8" s="842" cm="1">
        <f t="array" ref="AK8">SUMPRODUCT((Name="Ceiling Joist")*(Length=AK$4))</f>
        <v>0</v>
      </c>
      <c r="AL8" s="842" cm="1">
        <f t="array" ref="AL8">SUMPRODUCT((Name="Ceiling Joist")*(Length=AL$4))</f>
        <v>0</v>
      </c>
      <c r="AM8" s="842" cm="1">
        <f t="array" ref="AM8">SUMPRODUCT((Name="Ceiling Joist")*(Length=AM$4))</f>
        <v>0</v>
      </c>
      <c r="AN8" s="842" cm="1">
        <f t="array" ref="AN8">SUMPRODUCT((Name="Ceiling Joist")*(Length=AN$4))</f>
        <v>0</v>
      </c>
      <c r="AO8" s="842" cm="1">
        <f t="array" ref="AO8">SUMPRODUCT((Name="Ceiling Joist")*(Length=AO$4))</f>
        <v>0</v>
      </c>
      <c r="AP8" s="844">
        <f t="shared" si="0"/>
        <v>0</v>
      </c>
      <c r="AQ8" s="323"/>
      <c r="AR8" s="24"/>
      <c r="AS8" s="217"/>
    </row>
    <row r="9" spans="1:45" ht="12.75" customHeight="1" x14ac:dyDescent="0.2">
      <c r="A9" s="840" t="s">
        <v>175</v>
      </c>
      <c r="B9" s="1000" t="s">
        <v>313</v>
      </c>
      <c r="C9" s="842" cm="1">
        <f t="array" ref="C9">SUMPRODUCT((Name="Rafter")*(Length=0)*(Length=C$4))+SUMPRODUCT((Name="Rafter")*(Length=$B$9)*(Length=C$4))</f>
        <v>0</v>
      </c>
      <c r="D9" s="842" cm="1">
        <f t="array" ref="D9">SUMPRODUCT((Name="Rafter")*(Length=0)*(Length=D$4))+SUMPRODUCT((Name="Rafter")*(Length=$B$9)*(Length=D$4))</f>
        <v>0</v>
      </c>
      <c r="E9" s="842" cm="1">
        <f t="array" ref="E9">SUMPRODUCT((Name="Rafter")*(Length=0)*(Length=E$4))+SUMPRODUCT((Name="Rafter")*(Length=$B$9)*(Length=E$4))</f>
        <v>0</v>
      </c>
      <c r="F9" s="842" cm="1">
        <f t="array" ref="F9">SUMPRODUCT((Name="Rafter")*(Length=0)*(Length=F$4))+SUMPRODUCT((Name="Rafter")*(Length=$B$9)*(Length=F$4))</f>
        <v>0</v>
      </c>
      <c r="G9" s="842" cm="1">
        <f t="array" ref="G9">SUMPRODUCT((Name="Rafter")*(Length=0)*(Length=G$4))+SUMPRODUCT((Name="Rafter")*(Length=$B$9)*(Length=G$4))</f>
        <v>0</v>
      </c>
      <c r="H9" s="842" cm="1">
        <f t="array" ref="H9">SUMPRODUCT((Name="Rafter")*(Length=0)*(Length=H$4))+SUMPRODUCT((Name="Rafter")*(Length=$B$9)*(Length=H$4))</f>
        <v>0</v>
      </c>
      <c r="I9" s="842" cm="1">
        <f t="array" ref="I9">SUMPRODUCT((Name="Rafter")*(Length=0)*(Length=I$4))+SUMPRODUCT((Name="Rafter")*(Length=$B$9)*(Length=I$4))</f>
        <v>0</v>
      </c>
      <c r="J9" s="842" cm="1">
        <f t="array" ref="J9">SUMPRODUCT((Name="Rafter")*(Length=0)*(Length=J$4))+SUMPRODUCT((Name="Rafter")*(Length=$B$9)*(Length=J$4))</f>
        <v>0</v>
      </c>
      <c r="K9" s="842" cm="1">
        <f t="array" ref="K9">SUMPRODUCT((Name="Rafter")*(Length=0)*(Length=K$4))+SUMPRODUCT((Name="Rafter")*(Length=$B$9)*(Length=K$4))</f>
        <v>0</v>
      </c>
      <c r="L9" s="842" cm="1">
        <f t="array" ref="L9">SUMPRODUCT((Name="Rafter")*(Length=0)*(Length=L$4))+SUMPRODUCT((Name="Rafter")*(Length=$B$9)*(Length=L$4))</f>
        <v>0</v>
      </c>
      <c r="M9" s="842" cm="1">
        <f t="array" ref="M9">SUMPRODUCT((Name="Rafter")*(Length=0)*(Length=M$4))+SUMPRODUCT((Name="Rafter")*(Length=$B$9)*(Length=M$4))</f>
        <v>0</v>
      </c>
      <c r="N9" s="842" cm="1">
        <f t="array" ref="N9">SUMPRODUCT((Name="Rafter")*(Length=0)*(Length=N$4))+SUMPRODUCT((Name="Rafter")*(Length=$B$9)*(Length=N$4))</f>
        <v>0</v>
      </c>
      <c r="O9" s="842" cm="1">
        <f t="array" ref="O9">SUMPRODUCT((Name="Rafter")*(Length=0)*(Length=O$4))+SUMPRODUCT((Name="Rafter")*(Length=$B$9)*(Length=O$4))</f>
        <v>0</v>
      </c>
      <c r="P9" s="842" cm="1">
        <f t="array" ref="P9">SUMPRODUCT((Name="Rafter")*(Length=0)*(Length=P$4))+SUMPRODUCT((Name="Rafter")*(Length=$B$9)*(Length=P$4))</f>
        <v>0</v>
      </c>
      <c r="Q9" s="842" cm="1">
        <f t="array" ref="Q9">SUMPRODUCT((Name="Rafter")*(Length=0)*(Length=Q$4))+SUMPRODUCT((Name="Rafter")*(Length=$B$9)*(Length=Q$4))</f>
        <v>0</v>
      </c>
      <c r="R9" s="842" cm="1">
        <f t="array" ref="R9">SUMPRODUCT((Name="Rafter")*(Length=0)*(Length=R$4))+SUMPRODUCT((Name="Rafter")*(Length=$B$9)*(Length=R$4))</f>
        <v>0</v>
      </c>
      <c r="S9" s="842" cm="1">
        <f t="array" ref="S9">SUMPRODUCT((Name="Rafter")*(Length=0)*(Length=S$4))+SUMPRODUCT((Name="Rafter")*(Length=$B$9)*(Length=S$4))</f>
        <v>0</v>
      </c>
      <c r="T9" s="842" cm="1">
        <f t="array" ref="T9">SUMPRODUCT((Name="Rafter")*(Length=0)*(Length=T$4))+SUMPRODUCT((Name="Rafter")*(Length=$B$9)*(Length=T$4))</f>
        <v>0</v>
      </c>
      <c r="U9" s="842" cm="1">
        <f t="array" ref="U9">SUMPRODUCT((Name="Rafter")*(Length=0)*(Length=U$4))+SUMPRODUCT((Name="Rafter")*(Length=$B$9)*(Length=U$4))+BAL29_Trim</f>
        <v>0</v>
      </c>
      <c r="V9" s="843"/>
      <c r="W9" s="843"/>
      <c r="X9" s="843"/>
      <c r="Y9" s="843"/>
      <c r="Z9" s="843"/>
      <c r="AA9" s="843"/>
      <c r="AB9" s="843"/>
      <c r="AC9" s="843"/>
      <c r="AD9" s="843"/>
      <c r="AE9" s="843"/>
      <c r="AF9" s="843"/>
      <c r="AG9" s="843"/>
      <c r="AH9" s="843"/>
      <c r="AI9" s="843"/>
      <c r="AJ9" s="843"/>
      <c r="AK9" s="843"/>
      <c r="AL9" s="843"/>
      <c r="AM9" s="843"/>
      <c r="AN9" s="843"/>
      <c r="AO9" s="843"/>
      <c r="AP9" s="844">
        <f t="shared" si="0"/>
        <v>0</v>
      </c>
      <c r="AQ9" s="323" t="str">
        <f>IF(SUMIF(Name,"Rafter",Length)&lt;=36+BAL29_Trim,"Rafters Not Imported",)</f>
        <v>Rafters Not Imported</v>
      </c>
      <c r="AR9" s="24"/>
      <c r="AS9" s="217"/>
    </row>
    <row r="10" spans="1:45" ht="12.75" customHeight="1" x14ac:dyDescent="0.2">
      <c r="A10" s="840" t="s">
        <v>176</v>
      </c>
      <c r="B10" s="1000" t="s">
        <v>313</v>
      </c>
      <c r="C10" s="843"/>
      <c r="D10" s="843"/>
      <c r="E10" s="843"/>
      <c r="F10" s="843"/>
      <c r="G10" s="843"/>
      <c r="H10" s="843"/>
      <c r="I10" s="843"/>
      <c r="J10" s="843"/>
      <c r="K10" s="843"/>
      <c r="L10" s="843"/>
      <c r="M10" s="843"/>
      <c r="N10" s="843"/>
      <c r="O10" s="843"/>
      <c r="P10" s="843"/>
      <c r="Q10" s="843"/>
      <c r="R10" s="843"/>
      <c r="S10" s="843"/>
      <c r="T10" s="843"/>
      <c r="U10" s="843"/>
      <c r="V10" s="842" cm="1">
        <f t="array" ref="V10">SUMPRODUCT((Name="Rafter")*(Length=0)*(Length=V$4))+SUMPRODUCT((Name="Rafter")*(Length=$B$10)*(Length=V$4))</f>
        <v>0</v>
      </c>
      <c r="W10" s="842" cm="1">
        <f t="array" ref="W10">SUMPRODUCT((Name="Rafter")*(Length=0)*(Length=W$4))+SUMPRODUCT((Name="Rafter")*(Length=$B$10)*(Length=W$4))</f>
        <v>0</v>
      </c>
      <c r="X10" s="842" cm="1">
        <f t="array" ref="X10">SUMPRODUCT((Name="Rafter")*(Length=0)*(Length=X$4))+SUMPRODUCT((Name="Rafter")*(Length=$B$10)*(Length=X$4))</f>
        <v>0</v>
      </c>
      <c r="Y10" s="842" cm="1">
        <f t="array" ref="Y10">SUMPRODUCT((Name="Rafter")*(Length=0)*(Length=Y$4))+SUMPRODUCT((Name="Rafter")*(Length=$B$10)*(Length=Y$4))</f>
        <v>0</v>
      </c>
      <c r="Z10" s="842" cm="1">
        <f t="array" ref="Z10">SUMPRODUCT((Name="Rafter")*(Length=0)*(Length=Z$4))+SUMPRODUCT((Name="Rafter")*(Length=$B$10)*(Length=Z$4))</f>
        <v>0</v>
      </c>
      <c r="AA10" s="842" cm="1">
        <f t="array" ref="AA10">SUMPRODUCT((Name="Rafter")*(Length=0)*(Length=AA$4))+SUMPRODUCT((Name="Rafter")*(Length=$B$10)*(Length=AA$4))</f>
        <v>0</v>
      </c>
      <c r="AB10" s="842" cm="1">
        <f t="array" ref="AB10">SUMPRODUCT((Name="Rafter")*(Length=0)*(Length=AB$4))+SUMPRODUCT((Name="Rafter")*(Length=$B$10)*(Length=AB$4))</f>
        <v>0</v>
      </c>
      <c r="AC10" s="842" cm="1">
        <f t="array" ref="AC10">SUMPRODUCT((Name="Rafter")*(Length=0)*(Length=AC$4))+SUMPRODUCT((Name="Rafter")*(Length=$B$10)*(Length=AC$4))</f>
        <v>0</v>
      </c>
      <c r="AD10" s="842" cm="1">
        <f t="array" ref="AD10">SUMPRODUCT((Name="Rafter")*(Length=0)*(Length=AD$4))+SUMPRODUCT((Name="Rafter")*(Length=$B$10)*(Length=AD$4))</f>
        <v>0</v>
      </c>
      <c r="AE10" s="842" cm="1">
        <f t="array" ref="AE10">SUMPRODUCT((Name="Rafter")*(Length=0)*(Length=AE$4))+SUMPRODUCT((Name="Rafter")*(Length=$B$10)*(Length=AE$4))</f>
        <v>0</v>
      </c>
      <c r="AF10" s="842" cm="1">
        <f t="array" ref="AF10">SUMPRODUCT((Name="Rafter")*(Length=0)*(Length=AF$4))+SUMPRODUCT((Name="Rafter")*(Length=$B$10)*(Length=AF$4))</f>
        <v>0</v>
      </c>
      <c r="AG10" s="842" cm="1">
        <f t="array" ref="AG10">SUMPRODUCT((Name="Rafter")*(Length=0)*(Length=AG$4))+SUMPRODUCT((Name="Rafter")*(Length=$B$10)*(Length=AG$4))</f>
        <v>0</v>
      </c>
      <c r="AH10" s="842" cm="1">
        <f t="array" ref="AH10">SUMPRODUCT((Name="Rafter")*(Length=0)*(Length=AH$4))+SUMPRODUCT((Name="Rafter")*(Length=$B$10)*(Length=AH$4))</f>
        <v>0</v>
      </c>
      <c r="AI10" s="842" cm="1">
        <f t="array" ref="AI10">SUMPRODUCT((Name="Rafter")*(Length=0)*(Length=AI$4))+SUMPRODUCT((Name="Rafter")*(Length=$B$10)*(Length=AI$4))</f>
        <v>0</v>
      </c>
      <c r="AJ10" s="842" cm="1">
        <f t="array" ref="AJ10">SUMPRODUCT((Name="Rafter")*(Length=0)*(Length=AJ$4))+SUMPRODUCT((Name="Rafter")*(Length=$B$10)*(Length=AJ$4))</f>
        <v>0</v>
      </c>
      <c r="AK10" s="842" cm="1">
        <f t="array" ref="AK10">SUMPRODUCT((Name="Rafter")*(Length=0)*(Length=AK$4))+SUMPRODUCT((Name="Rafter")*(Length=$B$10)*(Length=AK$4))</f>
        <v>0</v>
      </c>
      <c r="AL10" s="842" cm="1">
        <f t="array" ref="AL10">SUMPRODUCT((Name="Rafter")*(Length=0)*(Length=AL$4))+SUMPRODUCT((Name="Rafter")*(Length=$B$10)*(Length=AL$4))</f>
        <v>0</v>
      </c>
      <c r="AM10" s="842" cm="1">
        <f t="array" ref="AM10">SUMPRODUCT((Name="Rafter")*(Length=0)*(Length=AM$4))+SUMPRODUCT((Name="Rafter")*(Length=$B$10)*(Length=AM$4))</f>
        <v>0</v>
      </c>
      <c r="AN10" s="842" cm="1">
        <f t="array" ref="AN10">SUMPRODUCT((Name="Rafter")*(Length=0)*(Length=AN$4))+SUMPRODUCT((Name="Rafter")*(Length=$B$10)*(Length=AN$4))</f>
        <v>0</v>
      </c>
      <c r="AO10" s="842" cm="1">
        <f t="array" ref="AO10">SUMPRODUCT((Name="Rafter")*(Length=0)*(Length=AO$4))+SUMPRODUCT((Name="Rafter")*(Length=$B$10)*(Length=AO$4))</f>
        <v>0</v>
      </c>
      <c r="AP10" s="844">
        <f t="shared" si="0"/>
        <v>0</v>
      </c>
      <c r="AQ10" s="323"/>
      <c r="AR10" s="24"/>
      <c r="AS10" s="217"/>
    </row>
    <row r="11" spans="1:45" ht="12.75" customHeight="1" x14ac:dyDescent="0.2">
      <c r="A11" s="840" t="s">
        <v>173</v>
      </c>
      <c r="B11" s="1000" t="s">
        <v>314</v>
      </c>
      <c r="C11" s="842" cm="1">
        <f t="array" ref="C11">SUMPRODUCT((Name="Hip")*(Length=C$4))</f>
        <v>0</v>
      </c>
      <c r="D11" s="842" cm="1">
        <f t="array" ref="D11">SUMPRODUCT((Name="Hip")*(Length=D$4))</f>
        <v>0</v>
      </c>
      <c r="E11" s="842" cm="1">
        <f t="array" ref="E11">SUMPRODUCT((Name="Hip")*(Length=E$4))</f>
        <v>0</v>
      </c>
      <c r="F11" s="842" cm="1">
        <f t="array" ref="F11">SUMPRODUCT((Name="Hip")*(Length=F$4))</f>
        <v>0</v>
      </c>
      <c r="G11" s="842" cm="1">
        <f t="array" ref="G11">SUMPRODUCT((Name="Hip")*(Length=G$4))</f>
        <v>0</v>
      </c>
      <c r="H11" s="842" cm="1">
        <f t="array" ref="H11">SUMPRODUCT((Name="Hip")*(Length=H$4))</f>
        <v>0</v>
      </c>
      <c r="I11" s="842" cm="1">
        <f t="array" ref="I11">SUMPRODUCT((Name="Hip")*(Length=I$4))</f>
        <v>0</v>
      </c>
      <c r="J11" s="842" cm="1">
        <f t="array" ref="J11">SUMPRODUCT((Name="Hip")*(Length=J$4))</f>
        <v>0</v>
      </c>
      <c r="K11" s="842" cm="1">
        <f t="array" ref="K11">SUMPRODUCT((Name="Hip")*(Length=K$4))</f>
        <v>0</v>
      </c>
      <c r="L11" s="842" cm="1">
        <f t="array" ref="L11">SUMPRODUCT((Name="Hip")*(Length=L$4))</f>
        <v>0</v>
      </c>
      <c r="M11" s="842" cm="1">
        <f t="array" ref="M11">SUMPRODUCT((Name="Hip")*(Length=M$4))</f>
        <v>0</v>
      </c>
      <c r="N11" s="842" cm="1">
        <f t="array" ref="N11">SUMPRODUCT((Name="Hip")*(Length=N$4))</f>
        <v>0</v>
      </c>
      <c r="O11" s="842" cm="1">
        <f t="array" ref="O11">SUMPRODUCT((Name="Hip")*(Length=O$4))</f>
        <v>0</v>
      </c>
      <c r="P11" s="842" cm="1">
        <f t="array" ref="P11">SUMPRODUCT((Name="Hip")*(Length=P$4))</f>
        <v>0</v>
      </c>
      <c r="Q11" s="842" cm="1">
        <f t="array" ref="Q11">SUMPRODUCT((Name="Hip")*(Length=Q$4))</f>
        <v>0</v>
      </c>
      <c r="R11" s="842" cm="1">
        <f t="array" ref="R11">SUMPRODUCT((Name="Hip")*(Length=R$4))</f>
        <v>0</v>
      </c>
      <c r="S11" s="842" cm="1">
        <f t="array" ref="S11">SUMPRODUCT((Name="Hip")*(Length=S$4))</f>
        <v>0</v>
      </c>
      <c r="T11" s="842" cm="1">
        <f t="array" ref="T11">SUMPRODUCT((Name="Hip")*(Length=T$4))</f>
        <v>0</v>
      </c>
      <c r="U11" s="842" cm="1">
        <f t="array" ref="U11">SUMPRODUCT((Name="Hip")*(Length=U$4))</f>
        <v>0</v>
      </c>
      <c r="V11" s="843"/>
      <c r="W11" s="843"/>
      <c r="X11" s="843"/>
      <c r="Y11" s="843"/>
      <c r="Z11" s="843"/>
      <c r="AA11" s="843"/>
      <c r="AB11" s="843"/>
      <c r="AC11" s="843"/>
      <c r="AD11" s="843"/>
      <c r="AE11" s="843"/>
      <c r="AF11" s="843"/>
      <c r="AG11" s="843"/>
      <c r="AH11" s="843"/>
      <c r="AI11" s="843"/>
      <c r="AJ11" s="843"/>
      <c r="AK11" s="843"/>
      <c r="AL11" s="843"/>
      <c r="AM11" s="843"/>
      <c r="AN11" s="843"/>
      <c r="AO11" s="843"/>
      <c r="AP11" s="844">
        <f t="shared" si="0"/>
        <v>0</v>
      </c>
      <c r="AQ11" s="323"/>
      <c r="AR11" s="24"/>
      <c r="AS11" s="217"/>
    </row>
    <row r="12" spans="1:45" ht="12.75" customHeight="1" x14ac:dyDescent="0.2">
      <c r="A12" s="840" t="s">
        <v>174</v>
      </c>
      <c r="B12" s="1000" t="s">
        <v>314</v>
      </c>
      <c r="C12" s="843"/>
      <c r="D12" s="843"/>
      <c r="E12" s="843"/>
      <c r="F12" s="843"/>
      <c r="G12" s="843"/>
      <c r="H12" s="843"/>
      <c r="I12" s="843"/>
      <c r="J12" s="843"/>
      <c r="K12" s="843"/>
      <c r="L12" s="843"/>
      <c r="M12" s="843"/>
      <c r="N12" s="843"/>
      <c r="O12" s="843"/>
      <c r="P12" s="843"/>
      <c r="Q12" s="843"/>
      <c r="R12" s="843"/>
      <c r="S12" s="843"/>
      <c r="T12" s="843"/>
      <c r="U12" s="843"/>
      <c r="V12" s="842" cm="1">
        <f t="array" ref="V12">SUMPRODUCT((Name="Hip")*(Length=V$4))</f>
        <v>0</v>
      </c>
      <c r="W12" s="842" cm="1">
        <f t="array" ref="W12">SUMPRODUCT((Name="Hip")*(Length=W$4))</f>
        <v>0</v>
      </c>
      <c r="X12" s="842" cm="1">
        <f t="array" ref="X12">SUMPRODUCT((Name="Hip")*(Length=X$4))</f>
        <v>0</v>
      </c>
      <c r="Y12" s="842" cm="1">
        <f t="array" ref="Y12">SUMPRODUCT((Name="Hip")*(Length=Y$4))</f>
        <v>0</v>
      </c>
      <c r="Z12" s="842" cm="1">
        <f t="array" ref="Z12">SUMPRODUCT((Name="Hip")*(Length=Z$4))</f>
        <v>0</v>
      </c>
      <c r="AA12" s="842" cm="1">
        <f t="array" ref="AA12">SUMPRODUCT((Name="Hip")*(Length=AA$4))</f>
        <v>0</v>
      </c>
      <c r="AB12" s="842" cm="1">
        <f t="array" ref="AB12">SUMPRODUCT((Name="Hip")*(Length=AB$4))</f>
        <v>0</v>
      </c>
      <c r="AC12" s="842" cm="1">
        <f t="array" ref="AC12">SUMPRODUCT((Name="Hip")*(Length=AC$4))</f>
        <v>0</v>
      </c>
      <c r="AD12" s="842" cm="1">
        <f t="array" ref="AD12">SUMPRODUCT((Name="Hip")*(Length=AD$4))</f>
        <v>0</v>
      </c>
      <c r="AE12" s="842" cm="1">
        <f t="array" ref="AE12">SUMPRODUCT((Name="Hip")*(Length=AE$4))</f>
        <v>0</v>
      </c>
      <c r="AF12" s="842" cm="1">
        <f t="array" ref="AF12">SUMPRODUCT((Name="Hip")*(Length=AF$4))</f>
        <v>0</v>
      </c>
      <c r="AG12" s="842" cm="1">
        <f t="array" ref="AG12">SUMPRODUCT((Name="Hip")*(Length=AG$4))</f>
        <v>0</v>
      </c>
      <c r="AH12" s="842" cm="1">
        <f t="array" ref="AH12">SUMPRODUCT((Name="Hip")*(Length=AH$4))</f>
        <v>0</v>
      </c>
      <c r="AI12" s="842" cm="1">
        <f t="array" ref="AI12">SUMPRODUCT((Name="Hip")*(Length=AI$4))</f>
        <v>0</v>
      </c>
      <c r="AJ12" s="842" cm="1">
        <f t="array" ref="AJ12">SUMPRODUCT((Name="Hip")*(Length=AJ$4))</f>
        <v>0</v>
      </c>
      <c r="AK12" s="842" cm="1">
        <f t="array" ref="AK12">SUMPRODUCT((Name="Hip")*(Length=AK$4))</f>
        <v>0</v>
      </c>
      <c r="AL12" s="842" cm="1">
        <f t="array" ref="AL12">SUMPRODUCT((Name="Hip")*(Length=AL$4))</f>
        <v>0</v>
      </c>
      <c r="AM12" s="842" cm="1">
        <f t="array" ref="AM12">SUMPRODUCT((Name="Hip")*(Length=AM$4))</f>
        <v>0</v>
      </c>
      <c r="AN12" s="842" cm="1">
        <f t="array" ref="AN12">SUMPRODUCT((Name="Hip")*(Length=AN$4))</f>
        <v>0</v>
      </c>
      <c r="AO12" s="842" cm="1">
        <f t="array" ref="AO12">SUMPRODUCT((Name="Hip")*(Length=AO$4))</f>
        <v>0</v>
      </c>
      <c r="AP12" s="844">
        <f t="shared" si="0"/>
        <v>0</v>
      </c>
      <c r="AQ12" s="323"/>
      <c r="AR12" s="24"/>
      <c r="AS12" s="217"/>
    </row>
    <row r="13" spans="1:45" ht="12.75" customHeight="1" x14ac:dyDescent="0.2">
      <c r="A13" s="840" t="s">
        <v>177</v>
      </c>
      <c r="B13" s="1000" t="s">
        <v>314</v>
      </c>
      <c r="C13" s="842" cm="1">
        <f t="array" ref="C13">SUMPRODUCT((Name="Valley")*(Length=C$4))</f>
        <v>0</v>
      </c>
      <c r="D13" s="842" cm="1">
        <f t="array" ref="D13">SUMPRODUCT((Name="Valley")*(Length=D$4))</f>
        <v>0</v>
      </c>
      <c r="E13" s="842" cm="1">
        <f t="array" ref="E13">SUMPRODUCT((Name="Valley")*(Length=E$4))</f>
        <v>0</v>
      </c>
      <c r="F13" s="842" cm="1">
        <f t="array" ref="F13">SUMPRODUCT((Name="Valley")*(Length=F$4))</f>
        <v>0</v>
      </c>
      <c r="G13" s="842" cm="1">
        <f t="array" ref="G13">SUMPRODUCT((Name="Valley")*(Length=G$4))</f>
        <v>0</v>
      </c>
      <c r="H13" s="842" cm="1">
        <f t="array" ref="H13">SUMPRODUCT((Name="Valley")*(Length=H$4))</f>
        <v>0</v>
      </c>
      <c r="I13" s="842" cm="1">
        <f t="array" ref="I13">SUMPRODUCT((Name="Valley")*(Length=I$4))</f>
        <v>0</v>
      </c>
      <c r="J13" s="842" cm="1">
        <f t="array" ref="J13">SUMPRODUCT((Name="Valley")*(Length=J$4))</f>
        <v>0</v>
      </c>
      <c r="K13" s="842" cm="1">
        <f t="array" ref="K13">SUMPRODUCT((Name="Valley")*(Length=K$4))</f>
        <v>0</v>
      </c>
      <c r="L13" s="842" cm="1">
        <f t="array" ref="L13">SUMPRODUCT((Name="Valley")*(Length=L$4))</f>
        <v>0</v>
      </c>
      <c r="M13" s="842" cm="1">
        <f t="array" ref="M13">SUMPRODUCT((Name="Valley")*(Length=M$4))</f>
        <v>0</v>
      </c>
      <c r="N13" s="842" cm="1">
        <f t="array" ref="N13">SUMPRODUCT((Name="Valley")*(Length=N$4))</f>
        <v>0</v>
      </c>
      <c r="O13" s="842" cm="1">
        <f t="array" ref="O13">SUMPRODUCT((Name="Valley")*(Length=O$4))</f>
        <v>0</v>
      </c>
      <c r="P13" s="842" cm="1">
        <f t="array" ref="P13">SUMPRODUCT((Name="Valley")*(Length=P$4))</f>
        <v>0</v>
      </c>
      <c r="Q13" s="842" cm="1">
        <f t="array" ref="Q13">SUMPRODUCT((Name="Valley")*(Length=Q$4))</f>
        <v>0</v>
      </c>
      <c r="R13" s="842" cm="1">
        <f t="array" ref="R13">SUMPRODUCT((Name="Valley")*(Length=R$4))</f>
        <v>0</v>
      </c>
      <c r="S13" s="842" cm="1">
        <f t="array" ref="S13">SUMPRODUCT((Name="Valley")*(Length=S$4))</f>
        <v>0</v>
      </c>
      <c r="T13" s="842" cm="1">
        <f t="array" ref="T13">SUMPRODUCT((Name="Valley")*(Length=T$4))</f>
        <v>0</v>
      </c>
      <c r="U13" s="842" cm="1">
        <f t="array" ref="U13">SUMPRODUCT((Name="Valley")*(Length=U$4))</f>
        <v>0</v>
      </c>
      <c r="V13" s="843"/>
      <c r="W13" s="843"/>
      <c r="X13" s="843"/>
      <c r="Y13" s="843"/>
      <c r="Z13" s="843"/>
      <c r="AA13" s="843"/>
      <c r="AB13" s="843"/>
      <c r="AC13" s="843"/>
      <c r="AD13" s="843"/>
      <c r="AE13" s="843"/>
      <c r="AF13" s="843"/>
      <c r="AG13" s="843"/>
      <c r="AH13" s="843"/>
      <c r="AI13" s="843"/>
      <c r="AJ13" s="843"/>
      <c r="AK13" s="843"/>
      <c r="AL13" s="843"/>
      <c r="AM13" s="843"/>
      <c r="AN13" s="843"/>
      <c r="AO13" s="843"/>
      <c r="AP13" s="844">
        <f t="shared" si="0"/>
        <v>0</v>
      </c>
      <c r="AQ13" s="323"/>
      <c r="AR13" s="24"/>
      <c r="AS13" s="217"/>
    </row>
    <row r="14" spans="1:45" ht="12.75" customHeight="1" x14ac:dyDescent="0.2">
      <c r="A14" s="840" t="s">
        <v>178</v>
      </c>
      <c r="B14" s="1000" t="s">
        <v>314</v>
      </c>
      <c r="C14" s="845"/>
      <c r="D14" s="845"/>
      <c r="E14" s="845"/>
      <c r="F14" s="845"/>
      <c r="G14" s="845"/>
      <c r="H14" s="845"/>
      <c r="I14" s="845"/>
      <c r="J14" s="845"/>
      <c r="K14" s="845"/>
      <c r="L14" s="845"/>
      <c r="M14" s="845"/>
      <c r="N14" s="845"/>
      <c r="O14" s="845"/>
      <c r="P14" s="845"/>
      <c r="Q14" s="845"/>
      <c r="R14" s="845"/>
      <c r="S14" s="845"/>
      <c r="T14" s="845"/>
      <c r="U14" s="845"/>
      <c r="V14" s="846" cm="1">
        <f t="array" ref="V14">SUMPRODUCT((Name="Valley")*(Length=V$4))</f>
        <v>0</v>
      </c>
      <c r="W14" s="846" cm="1">
        <f t="array" ref="W14">SUMPRODUCT((Name="Valley")*(Length=W$4))</f>
        <v>0</v>
      </c>
      <c r="X14" s="846" cm="1">
        <f t="array" ref="X14">SUMPRODUCT((Name="Valley")*(Length=X$4))</f>
        <v>0</v>
      </c>
      <c r="Y14" s="846" cm="1">
        <f t="array" ref="Y14">SUMPRODUCT((Name="Valley")*(Length=Y$4))</f>
        <v>0</v>
      </c>
      <c r="Z14" s="846" cm="1">
        <f t="array" ref="Z14">SUMPRODUCT((Name="Valley")*(Length=Z$4))</f>
        <v>0</v>
      </c>
      <c r="AA14" s="846" cm="1">
        <f t="array" ref="AA14">SUMPRODUCT((Name="Valley")*(Length=AA$4))</f>
        <v>0</v>
      </c>
      <c r="AB14" s="846" cm="1">
        <f t="array" ref="AB14">SUMPRODUCT((Name="Valley")*(Length=AB$4))</f>
        <v>0</v>
      </c>
      <c r="AC14" s="846" cm="1">
        <f t="array" ref="AC14">SUMPRODUCT((Name="Valley")*(Length=AC$4))</f>
        <v>0</v>
      </c>
      <c r="AD14" s="846" cm="1">
        <f t="array" ref="AD14">SUMPRODUCT((Name="Valley")*(Length=AD$4))</f>
        <v>0</v>
      </c>
      <c r="AE14" s="846" cm="1">
        <f t="array" ref="AE14">SUMPRODUCT((Name="Valley")*(Length=AE$4))</f>
        <v>0</v>
      </c>
      <c r="AF14" s="846" cm="1">
        <f t="array" ref="AF14">SUMPRODUCT((Name="Valley")*(Length=AF$4))</f>
        <v>0</v>
      </c>
      <c r="AG14" s="846" cm="1">
        <f t="array" ref="AG14">SUMPRODUCT((Name="Valley")*(Length=AG$4))</f>
        <v>0</v>
      </c>
      <c r="AH14" s="846" cm="1">
        <f t="array" ref="AH14">SUMPRODUCT((Name="Valley")*(Length=AH$4))</f>
        <v>0</v>
      </c>
      <c r="AI14" s="846" cm="1">
        <f t="array" ref="AI14">SUMPRODUCT((Name="Valley")*(Length=AI$4))</f>
        <v>0</v>
      </c>
      <c r="AJ14" s="846" cm="1">
        <f t="array" ref="AJ14">SUMPRODUCT((Name="Valley")*(Length=AJ$4))</f>
        <v>0</v>
      </c>
      <c r="AK14" s="846" cm="1">
        <f t="array" ref="AK14">SUMPRODUCT((Name="Valley")*(Length=AK$4))</f>
        <v>0</v>
      </c>
      <c r="AL14" s="846" cm="1">
        <f t="array" ref="AL14">SUMPRODUCT((Name="Valley")*(Length=AL$4))</f>
        <v>0</v>
      </c>
      <c r="AM14" s="846" cm="1">
        <f t="array" ref="AM14">SUMPRODUCT((Name="Valley")*(Length=AM$4))</f>
        <v>0</v>
      </c>
      <c r="AN14" s="846" cm="1">
        <f t="array" ref="AN14">SUMPRODUCT((Name="Valley")*(Length=AN$4))</f>
        <v>0</v>
      </c>
      <c r="AO14" s="846" cm="1">
        <f t="array" ref="AO14">SUMPRODUCT((Name="Valley")*(Length=AO$4))</f>
        <v>0</v>
      </c>
      <c r="AP14" s="844">
        <f t="shared" si="0"/>
        <v>0</v>
      </c>
      <c r="AQ14" s="323"/>
      <c r="AR14" s="24"/>
      <c r="AS14" s="217"/>
    </row>
    <row r="15" spans="1:45" ht="12.75" customHeight="1" x14ac:dyDescent="0.2">
      <c r="A15" s="840" t="s">
        <v>160</v>
      </c>
      <c r="B15" s="1000" t="s">
        <v>1826</v>
      </c>
      <c r="C15" s="847"/>
      <c r="D15" s="847"/>
      <c r="E15" s="847"/>
      <c r="F15" s="847"/>
      <c r="G15" s="847"/>
      <c r="H15" s="847"/>
      <c r="I15" s="847"/>
      <c r="J15" s="847"/>
      <c r="K15" s="847"/>
      <c r="L15" s="847"/>
      <c r="M15" s="847"/>
      <c r="N15" s="847"/>
      <c r="O15" s="847"/>
      <c r="P15" s="847"/>
      <c r="Q15" s="842">
        <f ca="1">ROUNDUP(SUMIFS(Length,Name,"Underpurlin",Length,"&lt;=4.8")/4.8,0)</f>
        <v>0</v>
      </c>
      <c r="R15" s="847"/>
      <c r="S15" s="842" cm="1">
        <f t="array" ref="S15">SUMPRODUCT((Name="Underpurlin")*(Length=S$4))</f>
        <v>0</v>
      </c>
      <c r="T15" s="847"/>
      <c r="U15" s="842" cm="1">
        <f t="array" ref="U15">SUMPRODUCT((Name="Underpurlin")*(Length=U$4))</f>
        <v>0</v>
      </c>
      <c r="V15" s="847"/>
      <c r="W15" s="842" cm="1">
        <f t="array" ref="W15">SUMPRODUCT((Name="Underpurlin")*(Length=W$4))</f>
        <v>0</v>
      </c>
      <c r="X15" s="847"/>
      <c r="Y15" s="842" cm="1">
        <f t="array" ref="Y15">SUMPRODUCT((Name="Underpurlin")*(Length=Y$4))</f>
        <v>0</v>
      </c>
      <c r="Z15" s="843"/>
      <c r="AA15" s="843"/>
      <c r="AB15" s="843"/>
      <c r="AC15" s="843"/>
      <c r="AD15" s="843"/>
      <c r="AE15" s="843"/>
      <c r="AF15" s="843"/>
      <c r="AG15" s="843"/>
      <c r="AH15" s="843"/>
      <c r="AI15" s="843"/>
      <c r="AJ15" s="843"/>
      <c r="AK15" s="843"/>
      <c r="AL15" s="843"/>
      <c r="AM15" s="843"/>
      <c r="AN15" s="843"/>
      <c r="AO15" s="843"/>
      <c r="AP15" s="844">
        <f ca="1">SUMPRODUCT($O$4:$AO$4,O15:AO15)</f>
        <v>0</v>
      </c>
      <c r="AQ15" s="323"/>
      <c r="AR15" s="24"/>
      <c r="AS15" s="217"/>
    </row>
    <row r="16" spans="1:45" ht="12.75" customHeight="1" x14ac:dyDescent="0.2">
      <c r="A16" s="840" t="s">
        <v>179</v>
      </c>
      <c r="B16" s="1000" t="s">
        <v>316</v>
      </c>
      <c r="C16" s="843"/>
      <c r="D16" s="843"/>
      <c r="E16" s="843"/>
      <c r="F16" s="843"/>
      <c r="G16" s="843"/>
      <c r="H16" s="843"/>
      <c r="I16" s="843"/>
      <c r="J16" s="843"/>
      <c r="K16" s="843"/>
      <c r="L16" s="843"/>
      <c r="M16" s="843"/>
      <c r="N16" s="843"/>
      <c r="O16" s="843"/>
      <c r="P16" s="848">
        <f>IF('Roof Formulas GF'!B16&gt;0,'Roof Formulas GF'!B16+2,0)</f>
        <v>0</v>
      </c>
      <c r="Q16" s="843"/>
      <c r="R16" s="843"/>
      <c r="S16" s="843"/>
      <c r="T16" s="843"/>
      <c r="U16" s="843"/>
      <c r="V16" s="843"/>
      <c r="W16" s="843"/>
      <c r="X16" s="843"/>
      <c r="Y16" s="843"/>
      <c r="Z16" s="843"/>
      <c r="AA16" s="843"/>
      <c r="AB16" s="843"/>
      <c r="AC16" s="843"/>
      <c r="AD16" s="843"/>
      <c r="AE16" s="843"/>
      <c r="AF16" s="843"/>
      <c r="AG16" s="843"/>
      <c r="AH16" s="843"/>
      <c r="AI16" s="843"/>
      <c r="AJ16" s="843"/>
      <c r="AK16" s="843"/>
      <c r="AL16" s="843"/>
      <c r="AM16" s="843"/>
      <c r="AN16" s="843"/>
      <c r="AO16" s="843"/>
      <c r="AP16" s="844">
        <f t="shared" ref="AP16:AP27" si="1">SUMPRODUCT($C$4:$AO$4,C16:AO16)</f>
        <v>0</v>
      </c>
      <c r="AQ16" s="323"/>
      <c r="AR16" s="24"/>
      <c r="AS16" s="217"/>
    </row>
    <row r="17" spans="1:45" ht="12.75" customHeight="1" x14ac:dyDescent="0.2">
      <c r="A17" s="840" t="s">
        <v>2424</v>
      </c>
      <c r="B17" s="1000" t="s">
        <v>313</v>
      </c>
      <c r="C17" s="842">
        <f>COUNTIFS(Name,$A17,Length,"&lt;="&amp;C$4,Length,"&gt;"&amp;B$4,Height,B17)</f>
        <v>0</v>
      </c>
      <c r="D17" s="842">
        <f t="shared" ref="D17:U17" si="2">COUNTIFS(Name,$A17,Length,"&lt;="&amp;D$4,Length,"&gt;"&amp;C$4,Height,$B17)</f>
        <v>0</v>
      </c>
      <c r="E17" s="842">
        <f t="shared" si="2"/>
        <v>0</v>
      </c>
      <c r="F17" s="842">
        <f t="shared" si="2"/>
        <v>0</v>
      </c>
      <c r="G17" s="842">
        <f t="shared" si="2"/>
        <v>0</v>
      </c>
      <c r="H17" s="842">
        <f t="shared" si="2"/>
        <v>0</v>
      </c>
      <c r="I17" s="842">
        <f t="shared" si="2"/>
        <v>0</v>
      </c>
      <c r="J17" s="842">
        <f t="shared" si="2"/>
        <v>0</v>
      </c>
      <c r="K17" s="842">
        <f t="shared" si="2"/>
        <v>0</v>
      </c>
      <c r="L17" s="842">
        <f t="shared" si="2"/>
        <v>0</v>
      </c>
      <c r="M17" s="842">
        <f t="shared" si="2"/>
        <v>0</v>
      </c>
      <c r="N17" s="842">
        <f t="shared" si="2"/>
        <v>0</v>
      </c>
      <c r="O17" s="842">
        <f t="shared" si="2"/>
        <v>0</v>
      </c>
      <c r="P17" s="842">
        <f t="shared" si="2"/>
        <v>0</v>
      </c>
      <c r="Q17" s="842">
        <f t="shared" si="2"/>
        <v>0</v>
      </c>
      <c r="R17" s="842">
        <f t="shared" si="2"/>
        <v>0</v>
      </c>
      <c r="S17" s="842">
        <f t="shared" si="2"/>
        <v>0</v>
      </c>
      <c r="T17" s="842">
        <f t="shared" si="2"/>
        <v>0</v>
      </c>
      <c r="U17" s="842">
        <f t="shared" si="2"/>
        <v>0</v>
      </c>
      <c r="V17" s="847"/>
      <c r="W17" s="847"/>
      <c r="X17" s="847"/>
      <c r="Y17" s="847"/>
      <c r="Z17" s="847"/>
      <c r="AA17" s="847"/>
      <c r="AB17" s="847"/>
      <c r="AC17" s="847"/>
      <c r="AD17" s="847"/>
      <c r="AE17" s="847"/>
      <c r="AF17" s="847"/>
      <c r="AG17" s="847"/>
      <c r="AH17" s="847"/>
      <c r="AI17" s="847"/>
      <c r="AJ17" s="847"/>
      <c r="AK17" s="847"/>
      <c r="AL17" s="847"/>
      <c r="AM17" s="847"/>
      <c r="AN17" s="847"/>
      <c r="AO17" s="847"/>
      <c r="AP17" s="844">
        <f t="shared" si="1"/>
        <v>0</v>
      </c>
      <c r="AQ17" s="323" t="str">
        <f>IF(SUM(AP17:AP21)=0,A17&amp;" Not Imported",)</f>
        <v>Hanger Not Imported</v>
      </c>
      <c r="AR17" s="24"/>
      <c r="AS17" s="217"/>
    </row>
    <row r="18" spans="1:45" ht="12.75" customHeight="1" x14ac:dyDescent="0.2">
      <c r="A18" s="840" t="s">
        <v>2424</v>
      </c>
      <c r="B18" s="1000" t="s">
        <v>314</v>
      </c>
      <c r="C18" s="842">
        <f>COUNTIFS(Name,$A18,Length,"&lt;="&amp;C$4,Length,"&gt;"&amp;B$4,Height,B18)</f>
        <v>0</v>
      </c>
      <c r="D18" s="842">
        <f t="shared" ref="D18:U18" si="3">COUNTIFS(Name,$A18,Length,"&lt;="&amp;D$4,Length,"&gt;"&amp;C$4,Height,$B18)</f>
        <v>0</v>
      </c>
      <c r="E18" s="842">
        <f t="shared" si="3"/>
        <v>0</v>
      </c>
      <c r="F18" s="842">
        <f t="shared" si="3"/>
        <v>0</v>
      </c>
      <c r="G18" s="842">
        <f t="shared" si="3"/>
        <v>0</v>
      </c>
      <c r="H18" s="842">
        <f t="shared" si="3"/>
        <v>0</v>
      </c>
      <c r="I18" s="842">
        <f t="shared" si="3"/>
        <v>0</v>
      </c>
      <c r="J18" s="842">
        <f t="shared" si="3"/>
        <v>0</v>
      </c>
      <c r="K18" s="842">
        <f t="shared" si="3"/>
        <v>0</v>
      </c>
      <c r="L18" s="842">
        <f t="shared" si="3"/>
        <v>0</v>
      </c>
      <c r="M18" s="842">
        <f t="shared" si="3"/>
        <v>0</v>
      </c>
      <c r="N18" s="842">
        <f t="shared" si="3"/>
        <v>0</v>
      </c>
      <c r="O18" s="842">
        <f t="shared" si="3"/>
        <v>0</v>
      </c>
      <c r="P18" s="842">
        <f t="shared" si="3"/>
        <v>0</v>
      </c>
      <c r="Q18" s="842">
        <f t="shared" si="3"/>
        <v>0</v>
      </c>
      <c r="R18" s="842">
        <f t="shared" si="3"/>
        <v>0</v>
      </c>
      <c r="S18" s="842">
        <f t="shared" si="3"/>
        <v>0</v>
      </c>
      <c r="T18" s="842">
        <f t="shared" si="3"/>
        <v>0</v>
      </c>
      <c r="U18" s="842">
        <f t="shared" si="3"/>
        <v>0</v>
      </c>
      <c r="V18" s="847"/>
      <c r="W18" s="847"/>
      <c r="X18" s="847"/>
      <c r="Y18" s="847"/>
      <c r="Z18" s="847"/>
      <c r="AA18" s="847"/>
      <c r="AB18" s="847"/>
      <c r="AC18" s="847"/>
      <c r="AD18" s="847"/>
      <c r="AE18" s="847"/>
      <c r="AF18" s="847"/>
      <c r="AG18" s="847"/>
      <c r="AH18" s="847"/>
      <c r="AI18" s="847"/>
      <c r="AJ18" s="847"/>
      <c r="AK18" s="847"/>
      <c r="AL18" s="847"/>
      <c r="AM18" s="847"/>
      <c r="AN18" s="847"/>
      <c r="AO18" s="847"/>
      <c r="AP18" s="844">
        <f t="shared" si="1"/>
        <v>0</v>
      </c>
      <c r="AQ18" s="323"/>
      <c r="AR18" s="24"/>
      <c r="AS18" s="217"/>
    </row>
    <row r="19" spans="1:45" ht="12.75" customHeight="1" x14ac:dyDescent="0.2">
      <c r="A19" s="840" t="s">
        <v>2424</v>
      </c>
      <c r="B19" s="1000" t="s">
        <v>317</v>
      </c>
      <c r="C19" s="842">
        <f>COUNTIFS(Name,$A19,Length,"&lt;="&amp;C$4,Length,"&gt;"&amp;B$4,Height,B19)</f>
        <v>0</v>
      </c>
      <c r="D19" s="842">
        <f t="shared" ref="D19:U19" si="4">COUNTIFS(Name,$A19,Length,"&lt;="&amp;D$4,Length,"&gt;"&amp;C$4,Height,$B19)</f>
        <v>0</v>
      </c>
      <c r="E19" s="842">
        <f t="shared" si="4"/>
        <v>0</v>
      </c>
      <c r="F19" s="842">
        <f t="shared" si="4"/>
        <v>0</v>
      </c>
      <c r="G19" s="842">
        <f t="shared" si="4"/>
        <v>0</v>
      </c>
      <c r="H19" s="842">
        <f t="shared" si="4"/>
        <v>0</v>
      </c>
      <c r="I19" s="842">
        <f t="shared" si="4"/>
        <v>0</v>
      </c>
      <c r="J19" s="842">
        <f t="shared" si="4"/>
        <v>0</v>
      </c>
      <c r="K19" s="842">
        <f t="shared" si="4"/>
        <v>0</v>
      </c>
      <c r="L19" s="842">
        <f t="shared" si="4"/>
        <v>0</v>
      </c>
      <c r="M19" s="842">
        <f t="shared" si="4"/>
        <v>0</v>
      </c>
      <c r="N19" s="842">
        <f t="shared" si="4"/>
        <v>0</v>
      </c>
      <c r="O19" s="842">
        <f t="shared" si="4"/>
        <v>0</v>
      </c>
      <c r="P19" s="842">
        <f t="shared" si="4"/>
        <v>0</v>
      </c>
      <c r="Q19" s="842">
        <f t="shared" si="4"/>
        <v>0</v>
      </c>
      <c r="R19" s="842">
        <f t="shared" si="4"/>
        <v>0</v>
      </c>
      <c r="S19" s="842">
        <f t="shared" si="4"/>
        <v>0</v>
      </c>
      <c r="T19" s="842">
        <f t="shared" si="4"/>
        <v>0</v>
      </c>
      <c r="U19" s="842">
        <f t="shared" si="4"/>
        <v>0</v>
      </c>
      <c r="V19" s="847"/>
      <c r="W19" s="847"/>
      <c r="X19" s="847"/>
      <c r="Y19" s="847"/>
      <c r="Z19" s="847"/>
      <c r="AA19" s="847"/>
      <c r="AB19" s="847"/>
      <c r="AC19" s="847"/>
      <c r="AD19" s="847"/>
      <c r="AE19" s="847"/>
      <c r="AF19" s="847"/>
      <c r="AG19" s="847"/>
      <c r="AH19" s="847"/>
      <c r="AI19" s="847"/>
      <c r="AJ19" s="847"/>
      <c r="AK19" s="847"/>
      <c r="AL19" s="847"/>
      <c r="AM19" s="847"/>
      <c r="AN19" s="847"/>
      <c r="AO19" s="847"/>
      <c r="AP19" s="844">
        <f t="shared" si="1"/>
        <v>0</v>
      </c>
      <c r="AQ19" s="323"/>
      <c r="AR19" s="24"/>
      <c r="AS19" s="217"/>
    </row>
    <row r="20" spans="1:45" ht="12.75" customHeight="1" x14ac:dyDescent="0.2">
      <c r="A20" s="840" t="s">
        <v>2424</v>
      </c>
      <c r="B20" s="1000" t="s">
        <v>318</v>
      </c>
      <c r="C20" s="842">
        <f>COUNTIFS(Name,$A20,Length,"&lt;="&amp;C$4,Length,"&gt;"&amp;B$4,Height,B20)</f>
        <v>0</v>
      </c>
      <c r="D20" s="842">
        <f t="shared" ref="D20:U20" si="5">COUNTIFS(Name,$A20,Length,"&lt;="&amp;D$4,Length,"&gt;"&amp;C$4,Height,$B20)</f>
        <v>0</v>
      </c>
      <c r="E20" s="842">
        <f t="shared" si="5"/>
        <v>0</v>
      </c>
      <c r="F20" s="842">
        <f t="shared" si="5"/>
        <v>0</v>
      </c>
      <c r="G20" s="842">
        <f t="shared" si="5"/>
        <v>0</v>
      </c>
      <c r="H20" s="842">
        <f t="shared" si="5"/>
        <v>0</v>
      </c>
      <c r="I20" s="842">
        <f t="shared" si="5"/>
        <v>0</v>
      </c>
      <c r="J20" s="842">
        <f t="shared" si="5"/>
        <v>0</v>
      </c>
      <c r="K20" s="842">
        <f t="shared" si="5"/>
        <v>0</v>
      </c>
      <c r="L20" s="842">
        <f t="shared" si="5"/>
        <v>0</v>
      </c>
      <c r="M20" s="842">
        <f t="shared" si="5"/>
        <v>0</v>
      </c>
      <c r="N20" s="842">
        <f t="shared" si="5"/>
        <v>0</v>
      </c>
      <c r="O20" s="842">
        <f t="shared" si="5"/>
        <v>0</v>
      </c>
      <c r="P20" s="842">
        <f t="shared" si="5"/>
        <v>0</v>
      </c>
      <c r="Q20" s="842">
        <f t="shared" si="5"/>
        <v>0</v>
      </c>
      <c r="R20" s="842">
        <f t="shared" si="5"/>
        <v>0</v>
      </c>
      <c r="S20" s="842">
        <f t="shared" si="5"/>
        <v>0</v>
      </c>
      <c r="T20" s="842">
        <f t="shared" si="5"/>
        <v>0</v>
      </c>
      <c r="U20" s="842">
        <f t="shared" si="5"/>
        <v>0</v>
      </c>
      <c r="V20" s="850"/>
      <c r="W20" s="850"/>
      <c r="X20" s="850"/>
      <c r="Y20" s="850"/>
      <c r="Z20" s="850"/>
      <c r="AA20" s="850"/>
      <c r="AB20" s="850"/>
      <c r="AC20" s="850"/>
      <c r="AD20" s="850"/>
      <c r="AE20" s="850"/>
      <c r="AF20" s="850"/>
      <c r="AG20" s="850"/>
      <c r="AH20" s="850"/>
      <c r="AI20" s="850"/>
      <c r="AJ20" s="850"/>
      <c r="AK20" s="850"/>
      <c r="AL20" s="850"/>
      <c r="AM20" s="850"/>
      <c r="AN20" s="850"/>
      <c r="AO20" s="850"/>
      <c r="AP20" s="844">
        <f t="shared" si="1"/>
        <v>0</v>
      </c>
      <c r="AQ20" s="323"/>
      <c r="AR20" s="24"/>
      <c r="AS20" s="217"/>
    </row>
    <row r="21" spans="1:45" ht="12.75" customHeight="1" x14ac:dyDescent="0.2">
      <c r="A21" s="840" t="s">
        <v>2424</v>
      </c>
      <c r="B21" s="1000" t="s">
        <v>320</v>
      </c>
      <c r="C21" s="842">
        <f>COUNTIFS(Name,$A21,Length,"&lt;="&amp;C$4,Length,"&gt;"&amp;B$4,Height,B21)</f>
        <v>0</v>
      </c>
      <c r="D21" s="852"/>
      <c r="E21" s="842">
        <f>COUNTIFS(Name,$A21,Length,"&lt;="&amp;E$4,Length,"&gt;"&amp;D$4,Height,$B21)</f>
        <v>0</v>
      </c>
      <c r="F21" s="852"/>
      <c r="G21" s="842">
        <f>COUNTIFS(Name,$A21,Length,"&lt;="&amp;G$4,Length,"&gt;"&amp;F$4,Height,$B21)</f>
        <v>0</v>
      </c>
      <c r="H21" s="852"/>
      <c r="I21" s="842">
        <f>COUNTIFS(Name,$A21,Length,"&lt;="&amp;I$4,Length,"&gt;"&amp;H$4,Height,$B21)</f>
        <v>0</v>
      </c>
      <c r="J21" s="852"/>
      <c r="K21" s="842">
        <f>COUNTIFS(Name,$A21,Length,"&lt;="&amp;K$4,Length,"&gt;"&amp;J$4,Height,$B21)</f>
        <v>0</v>
      </c>
      <c r="L21" s="852"/>
      <c r="M21" s="842">
        <f>COUNTIFS(Name,$A21,Length,"&lt;="&amp;M$4,Length,"&gt;"&amp;L$4,Height,$B21)</f>
        <v>0</v>
      </c>
      <c r="N21" s="852"/>
      <c r="O21" s="842">
        <f>COUNTIFS(Name,$A21,Length,"&lt;="&amp;O$4,Length,"&gt;"&amp;N$4,Height,$B21)</f>
        <v>0</v>
      </c>
      <c r="P21" s="852"/>
      <c r="Q21" s="842">
        <f>COUNTIFS(Name,$A21,Length,"&lt;="&amp;Q$4,Length,"&gt;"&amp;P$4,Height,$B21)</f>
        <v>0</v>
      </c>
      <c r="R21" s="852"/>
      <c r="S21" s="842">
        <f>COUNTIFS(Name,$A21,Length,"&lt;="&amp;S$4,Length,"&gt;"&amp;R$4,Height,$B21)</f>
        <v>0</v>
      </c>
      <c r="T21" s="852"/>
      <c r="U21" s="842">
        <f>COUNTIFS(Name,$A21,Length,"&lt;="&amp;U$4,Length,"&gt;"&amp;T$4,Height,$B21)</f>
        <v>0</v>
      </c>
      <c r="V21" s="852"/>
      <c r="W21" s="852"/>
      <c r="X21" s="852"/>
      <c r="Y21" s="852"/>
      <c r="Z21" s="852"/>
      <c r="AA21" s="852"/>
      <c r="AB21" s="852"/>
      <c r="AC21" s="852"/>
      <c r="AD21" s="852"/>
      <c r="AE21" s="852"/>
      <c r="AF21" s="852"/>
      <c r="AG21" s="852"/>
      <c r="AH21" s="852"/>
      <c r="AI21" s="852"/>
      <c r="AJ21" s="852"/>
      <c r="AK21" s="852"/>
      <c r="AL21" s="852"/>
      <c r="AM21" s="852"/>
      <c r="AN21" s="852"/>
      <c r="AO21" s="852"/>
      <c r="AP21" s="844">
        <f t="shared" si="1"/>
        <v>0</v>
      </c>
      <c r="AQ21" s="323"/>
      <c r="AR21" s="24"/>
      <c r="AS21" s="217"/>
    </row>
    <row r="22" spans="1:45" ht="12.75" customHeight="1" x14ac:dyDescent="0.2">
      <c r="A22" s="840" t="s">
        <v>163</v>
      </c>
      <c r="B22" s="1000" t="s">
        <v>321</v>
      </c>
      <c r="C22" s="843"/>
      <c r="D22" s="843"/>
      <c r="E22" s="843"/>
      <c r="F22" s="843"/>
      <c r="G22" s="843"/>
      <c r="H22" s="843"/>
      <c r="I22" s="843"/>
      <c r="J22" s="843"/>
      <c r="K22" s="843"/>
      <c r="L22" s="843"/>
      <c r="M22" s="843"/>
      <c r="N22" s="843"/>
      <c r="O22" s="843"/>
      <c r="P22" s="843"/>
      <c r="Q22" s="843"/>
      <c r="R22" s="843"/>
      <c r="S22" s="843"/>
      <c r="T22" s="843"/>
      <c r="U22" s="842">
        <f ca="1">'Roof Formulas GF'!B23+'Roof Formulas GF'!B21</f>
        <v>0</v>
      </c>
      <c r="V22" s="843"/>
      <c r="W22" s="843"/>
      <c r="X22" s="843"/>
      <c r="Y22" s="843"/>
      <c r="Z22" s="843"/>
      <c r="AA22" s="843"/>
      <c r="AB22" s="843"/>
      <c r="AC22" s="843"/>
      <c r="AD22" s="843"/>
      <c r="AE22" s="843"/>
      <c r="AF22" s="843"/>
      <c r="AG22" s="843"/>
      <c r="AH22" s="843"/>
      <c r="AI22" s="843"/>
      <c r="AJ22" s="843"/>
      <c r="AK22" s="843"/>
      <c r="AL22" s="843"/>
      <c r="AM22" s="843"/>
      <c r="AN22" s="843"/>
      <c r="AO22" s="843"/>
      <c r="AP22" s="844">
        <f t="shared" ca="1" si="1"/>
        <v>0</v>
      </c>
      <c r="AQ22" s="323"/>
      <c r="AR22" s="24"/>
      <c r="AS22" s="217"/>
    </row>
    <row r="23" spans="1:45" ht="12.75" customHeight="1" x14ac:dyDescent="0.2">
      <c r="A23" s="840" t="s">
        <v>1327</v>
      </c>
      <c r="B23" s="1000" t="s">
        <v>313</v>
      </c>
      <c r="C23" s="842" cm="1">
        <f t="array" ref="C23">SUMPRODUCT((Name="Collar Tie")*(Length=C$4))</f>
        <v>0</v>
      </c>
      <c r="D23" s="842" cm="1">
        <f t="array" ref="D23">SUMPRODUCT((Name="Collar Tie")*(Length=D$4))</f>
        <v>0</v>
      </c>
      <c r="E23" s="842" cm="1">
        <f t="array" ref="E23">SUMPRODUCT((Name="Collar Tie")*(Length=E$4))</f>
        <v>0</v>
      </c>
      <c r="F23" s="842" cm="1">
        <f t="array" ref="F23">SUMPRODUCT((Name="Collar Tie")*(Length=F$4))</f>
        <v>0</v>
      </c>
      <c r="G23" s="842" cm="1">
        <f t="array" ref="G23">SUMPRODUCT((Name="Collar Tie")*(Length=G$4))</f>
        <v>0</v>
      </c>
      <c r="H23" s="842" cm="1">
        <f t="array" ref="H23">SUMPRODUCT((Name="Collar Tie")*(Length=H$4))</f>
        <v>0</v>
      </c>
      <c r="I23" s="842" cm="1">
        <f t="array" ref="I23">SUMPRODUCT((Name="Collar Tie")*(Length=I$4))</f>
        <v>0</v>
      </c>
      <c r="J23" s="842" cm="1">
        <f t="array" ref="J23">SUMPRODUCT((Name="Collar Tie")*(Length=J$4))</f>
        <v>0</v>
      </c>
      <c r="K23" s="842" cm="1">
        <f t="array" ref="K23">SUMPRODUCT((Name="Collar Tie")*(Length=K$4))</f>
        <v>0</v>
      </c>
      <c r="L23" s="842" cm="1">
        <f t="array" ref="L23">SUMPRODUCT((Name="Collar Tie")*(Length=L$4))</f>
        <v>0</v>
      </c>
      <c r="M23" s="842" cm="1">
        <f t="array" ref="M23">SUMPRODUCT((Name="Collar Tie")*(Length=M$4))</f>
        <v>0</v>
      </c>
      <c r="N23" s="842" cm="1">
        <f t="array" ref="N23">SUMPRODUCT((Name="Collar Tie")*(Length=N$4))</f>
        <v>0</v>
      </c>
      <c r="O23" s="842" cm="1">
        <f t="array" ref="O23">SUMPRODUCT((Name="Collar Tie")*(Length=O$4))</f>
        <v>0</v>
      </c>
      <c r="P23" s="842" cm="1">
        <f t="array" ref="P23">SUMPRODUCT((Name="Collar Tie")*(Length=P$4))</f>
        <v>0</v>
      </c>
      <c r="Q23" s="842" cm="1">
        <f t="array" ref="Q23">SUMPRODUCT((Name="Collar Tie")*(Length=Q$4))</f>
        <v>0</v>
      </c>
      <c r="R23" s="842" cm="1">
        <f t="array" ref="R23">SUMPRODUCT((Name="Collar Tie")*(Length=R$4))</f>
        <v>0</v>
      </c>
      <c r="S23" s="842" cm="1">
        <f t="array" ref="S23">SUMPRODUCT((Name="Collar Tie")*(Length=S$4))</f>
        <v>0</v>
      </c>
      <c r="T23" s="842" cm="1">
        <f t="array" ref="T23">SUMPRODUCT((Name="Collar Tie")*(Length=T$4))</f>
        <v>0</v>
      </c>
      <c r="U23" s="842" cm="1">
        <f t="array" ref="U23">SUMPRODUCT((Name="Collar Tie")*(Length=U$4))</f>
        <v>0</v>
      </c>
      <c r="V23" s="847"/>
      <c r="W23" s="847"/>
      <c r="X23" s="847"/>
      <c r="Y23" s="847"/>
      <c r="Z23" s="847"/>
      <c r="AA23" s="847"/>
      <c r="AB23" s="847"/>
      <c r="AC23" s="847"/>
      <c r="AD23" s="847"/>
      <c r="AE23" s="847"/>
      <c r="AF23" s="847"/>
      <c r="AG23" s="847"/>
      <c r="AH23" s="847"/>
      <c r="AI23" s="847"/>
      <c r="AJ23" s="847"/>
      <c r="AK23" s="847"/>
      <c r="AL23" s="847"/>
      <c r="AM23" s="847"/>
      <c r="AN23" s="847"/>
      <c r="AO23" s="847"/>
      <c r="AP23" s="844">
        <f t="shared" si="1"/>
        <v>0</v>
      </c>
      <c r="AQ23" s="323"/>
      <c r="AR23" s="24"/>
      <c r="AS23" s="217"/>
    </row>
    <row r="24" spans="1:45" ht="12.75" customHeight="1" x14ac:dyDescent="0.2">
      <c r="A24" s="840" t="s">
        <v>1328</v>
      </c>
      <c r="B24" s="1000" t="s">
        <v>313</v>
      </c>
      <c r="C24" s="845"/>
      <c r="D24" s="845"/>
      <c r="E24" s="845"/>
      <c r="F24" s="845"/>
      <c r="G24" s="845"/>
      <c r="H24" s="845"/>
      <c r="I24" s="845"/>
      <c r="J24" s="845"/>
      <c r="K24" s="845"/>
      <c r="L24" s="845"/>
      <c r="M24" s="845"/>
      <c r="N24" s="845"/>
      <c r="O24" s="845"/>
      <c r="P24" s="845"/>
      <c r="Q24" s="845"/>
      <c r="R24" s="845"/>
      <c r="S24" s="845"/>
      <c r="T24" s="845"/>
      <c r="U24" s="845"/>
      <c r="V24" s="846" cm="1">
        <f t="array" ref="V24">SUMPRODUCT((Name="Collar Tie")*(Length=V$4))</f>
        <v>0</v>
      </c>
      <c r="W24" s="846" cm="1">
        <f t="array" ref="W24">SUMPRODUCT((Name="Collar Tie")*(Length=W$4))</f>
        <v>0</v>
      </c>
      <c r="X24" s="846" cm="1">
        <f t="array" ref="X24">SUMPRODUCT((Name="Collar Tie")*(Length=X$4))</f>
        <v>0</v>
      </c>
      <c r="Y24" s="846" cm="1">
        <f t="array" ref="Y24">SUMPRODUCT((Name="Collar Tie")*(Length=Y$4))</f>
        <v>0</v>
      </c>
      <c r="Z24" s="846" cm="1">
        <f t="array" ref="Z24">SUMPRODUCT((Name="Collar Tie")*(Length=Z$4))</f>
        <v>0</v>
      </c>
      <c r="AA24" s="846" cm="1">
        <f t="array" ref="AA24">SUMPRODUCT((Name="Collar Tie")*(Length=AA$4))</f>
        <v>0</v>
      </c>
      <c r="AB24" s="846" cm="1">
        <f t="array" ref="AB24">SUMPRODUCT((Name="Collar Tie")*(Length=AB$4))</f>
        <v>0</v>
      </c>
      <c r="AC24" s="846" cm="1">
        <f t="array" ref="AC24">SUMPRODUCT((Name="Collar Tie")*(Length=AC$4))</f>
        <v>0</v>
      </c>
      <c r="AD24" s="846" cm="1">
        <f t="array" ref="AD24">SUMPRODUCT((Name="Collar Tie")*(Length=AD$4))</f>
        <v>0</v>
      </c>
      <c r="AE24" s="846" cm="1">
        <f t="array" ref="AE24">SUMPRODUCT((Name="Collar Tie")*(Length=AE$4))</f>
        <v>0</v>
      </c>
      <c r="AF24" s="846" cm="1">
        <f t="array" ref="AF24">SUMPRODUCT((Name="Collar Tie")*(Length=AF$4))</f>
        <v>0</v>
      </c>
      <c r="AG24" s="846" cm="1">
        <f t="array" ref="AG24">SUMPRODUCT((Name="Collar Tie")*(Length=AG$4))</f>
        <v>0</v>
      </c>
      <c r="AH24" s="846" cm="1">
        <f t="array" ref="AH24">SUMPRODUCT((Name="Collar Tie")*(Length=AH$4))</f>
        <v>0</v>
      </c>
      <c r="AI24" s="846" cm="1">
        <f t="array" ref="AI24">SUMPRODUCT((Name="Collar Tie")*(Length=AI$4))</f>
        <v>0</v>
      </c>
      <c r="AJ24" s="846" cm="1">
        <f t="array" ref="AJ24">SUMPRODUCT((Name="Collar Tie")*(Length=AJ$4))</f>
        <v>0</v>
      </c>
      <c r="AK24" s="846" cm="1">
        <f t="array" ref="AK24">SUMPRODUCT((Name="Collar Tie")*(Length=AK$4))</f>
        <v>0</v>
      </c>
      <c r="AL24" s="846" cm="1">
        <f t="array" ref="AL24">SUMPRODUCT((Name="Collar Tie")*(Length=AL$4))</f>
        <v>0</v>
      </c>
      <c r="AM24" s="846" cm="1">
        <f t="array" ref="AM24">SUMPRODUCT((Name="Collar Tie")*(Length=AM$4))</f>
        <v>0</v>
      </c>
      <c r="AN24" s="846" cm="1">
        <f t="array" ref="AN24">SUMPRODUCT((Name="Collar Tie")*(Length=AN$4))</f>
        <v>0</v>
      </c>
      <c r="AO24" s="846" cm="1">
        <f t="array" ref="AO24">SUMPRODUCT((Name="Collar Tie")*(Length=AO$4))</f>
        <v>0</v>
      </c>
      <c r="AP24" s="844">
        <f t="shared" si="1"/>
        <v>0</v>
      </c>
      <c r="AQ24" s="323"/>
      <c r="AR24" s="24"/>
      <c r="AS24" s="217"/>
    </row>
    <row r="25" spans="1:45" ht="12.75" customHeight="1" x14ac:dyDescent="0.2">
      <c r="A25" s="840" t="s">
        <v>167</v>
      </c>
      <c r="B25" s="1000" t="s">
        <v>1446</v>
      </c>
      <c r="C25" s="843"/>
      <c r="D25" s="843"/>
      <c r="E25" s="843"/>
      <c r="F25" s="843"/>
      <c r="G25" s="843"/>
      <c r="H25" s="843"/>
      <c r="I25" s="843"/>
      <c r="J25" s="843"/>
      <c r="K25" s="843"/>
      <c r="L25" s="843"/>
      <c r="M25" s="843"/>
      <c r="N25" s="843"/>
      <c r="O25" s="843"/>
      <c r="P25" s="843"/>
      <c r="Q25" s="843"/>
      <c r="R25" s="843"/>
      <c r="S25" s="843"/>
      <c r="T25" s="843"/>
      <c r="U25" s="858">
        <f>'Roof Formulas GF'!B35</f>
        <v>0</v>
      </c>
      <c r="V25" s="843"/>
      <c r="W25" s="843"/>
      <c r="X25" s="843"/>
      <c r="Y25" s="843"/>
      <c r="Z25" s="843"/>
      <c r="AA25" s="843"/>
      <c r="AB25" s="843"/>
      <c r="AC25" s="843"/>
      <c r="AD25" s="843"/>
      <c r="AE25" s="843"/>
      <c r="AF25" s="843"/>
      <c r="AG25" s="843"/>
      <c r="AH25" s="843"/>
      <c r="AI25" s="843"/>
      <c r="AJ25" s="843"/>
      <c r="AK25" s="843"/>
      <c r="AL25" s="843"/>
      <c r="AM25" s="843"/>
      <c r="AN25" s="843"/>
      <c r="AO25" s="843"/>
      <c r="AP25" s="844">
        <f t="shared" si="1"/>
        <v>0</v>
      </c>
      <c r="AQ25" s="323"/>
      <c r="AR25" s="24"/>
      <c r="AS25" s="217"/>
    </row>
    <row r="26" spans="1:45" ht="12.75" customHeight="1" x14ac:dyDescent="0.2">
      <c r="A26" s="840" t="s">
        <v>168</v>
      </c>
      <c r="B26" s="1000" t="s">
        <v>1446</v>
      </c>
      <c r="C26" s="843"/>
      <c r="D26" s="843"/>
      <c r="E26" s="843"/>
      <c r="F26" s="843"/>
      <c r="G26" s="843"/>
      <c r="H26" s="843"/>
      <c r="I26" s="843"/>
      <c r="J26" s="843"/>
      <c r="K26" s="843"/>
      <c r="L26" s="843"/>
      <c r="M26" s="843"/>
      <c r="N26" s="843"/>
      <c r="O26" s="843"/>
      <c r="P26" s="843"/>
      <c r="Q26" s="843"/>
      <c r="R26" s="843"/>
      <c r="S26" s="843"/>
      <c r="T26" s="843"/>
      <c r="U26" s="842">
        <f>ROUNDUP(SUMIF(Name,"Ridge",Length)/6,0)</f>
        <v>0</v>
      </c>
      <c r="V26" s="847"/>
      <c r="W26" s="847"/>
      <c r="X26" s="847"/>
      <c r="Y26" s="847"/>
      <c r="Z26" s="847"/>
      <c r="AA26" s="847"/>
      <c r="AB26" s="847"/>
      <c r="AC26" s="847"/>
      <c r="AD26" s="847"/>
      <c r="AE26" s="847"/>
      <c r="AF26" s="847"/>
      <c r="AG26" s="847"/>
      <c r="AH26" s="847"/>
      <c r="AI26" s="847"/>
      <c r="AJ26" s="847"/>
      <c r="AK26" s="847"/>
      <c r="AL26" s="847"/>
      <c r="AM26" s="847"/>
      <c r="AN26" s="847"/>
      <c r="AO26" s="847"/>
      <c r="AP26" s="844">
        <f t="shared" si="1"/>
        <v>0</v>
      </c>
      <c r="AQ26" s="323"/>
      <c r="AR26" s="24"/>
      <c r="AS26" s="217"/>
    </row>
    <row r="27" spans="1:45" ht="12.75" customHeight="1" x14ac:dyDescent="0.2">
      <c r="A27" s="840" t="s">
        <v>166</v>
      </c>
      <c r="B27" s="1000" t="s">
        <v>324</v>
      </c>
      <c r="C27" s="853"/>
      <c r="D27" s="853"/>
      <c r="E27" s="853"/>
      <c r="F27" s="853"/>
      <c r="G27" s="853"/>
      <c r="H27" s="853"/>
      <c r="I27" s="853"/>
      <c r="J27" s="853"/>
      <c r="K27" s="853"/>
      <c r="L27" s="853"/>
      <c r="M27" s="854">
        <f>'Roof Formulas GF'!B29</f>
        <v>0</v>
      </c>
      <c r="N27" s="853"/>
      <c r="O27" s="853"/>
      <c r="P27" s="853"/>
      <c r="Q27" s="853"/>
      <c r="R27" s="853"/>
      <c r="S27" s="853"/>
      <c r="T27" s="853"/>
      <c r="U27" s="853"/>
      <c r="V27" s="853"/>
      <c r="W27" s="853"/>
      <c r="X27" s="853"/>
      <c r="Y27" s="853"/>
      <c r="Z27" s="853"/>
      <c r="AA27" s="853"/>
      <c r="AB27" s="853"/>
      <c r="AC27" s="853"/>
      <c r="AD27" s="853"/>
      <c r="AE27" s="853"/>
      <c r="AF27" s="853"/>
      <c r="AG27" s="853"/>
      <c r="AH27" s="853"/>
      <c r="AI27" s="853"/>
      <c r="AJ27" s="853"/>
      <c r="AK27" s="853"/>
      <c r="AL27" s="853"/>
      <c r="AM27" s="853"/>
      <c r="AN27" s="853"/>
      <c r="AO27" s="853"/>
      <c r="AP27" s="844">
        <f t="shared" si="1"/>
        <v>0</v>
      </c>
      <c r="AQ27" s="323"/>
      <c r="AR27" s="24"/>
      <c r="AS27" s="217"/>
    </row>
    <row r="28" spans="1:45" ht="12.75" customHeight="1" x14ac:dyDescent="0.2">
      <c r="A28" s="839" t="s">
        <v>170</v>
      </c>
      <c r="B28" s="1000"/>
      <c r="C28" s="855"/>
      <c r="D28" s="856"/>
      <c r="E28" s="856"/>
      <c r="F28" s="856"/>
      <c r="G28" s="856"/>
      <c r="H28" s="856"/>
      <c r="I28" s="856"/>
      <c r="J28" s="856"/>
      <c r="K28" s="856"/>
      <c r="L28" s="856"/>
      <c r="M28" s="856"/>
      <c r="N28" s="856"/>
      <c r="O28" s="856"/>
      <c r="P28" s="856"/>
      <c r="Q28" s="856"/>
      <c r="R28" s="856"/>
      <c r="S28" s="856"/>
      <c r="T28" s="856"/>
      <c r="U28" s="856"/>
      <c r="V28" s="856"/>
      <c r="W28" s="856"/>
      <c r="X28" s="856"/>
      <c r="Y28" s="856"/>
      <c r="Z28" s="856"/>
      <c r="AA28" s="856"/>
      <c r="AB28" s="856"/>
      <c r="AC28" s="856"/>
      <c r="AD28" s="856"/>
      <c r="AE28" s="856"/>
      <c r="AF28" s="856"/>
      <c r="AG28" s="856"/>
      <c r="AH28" s="856"/>
      <c r="AI28" s="856"/>
      <c r="AJ28" s="856"/>
      <c r="AK28" s="856"/>
      <c r="AL28" s="856"/>
      <c r="AM28" s="856"/>
      <c r="AN28" s="856"/>
      <c r="AO28" s="857"/>
      <c r="AP28" s="844"/>
      <c r="AQ28" s="323"/>
      <c r="AR28" s="24"/>
      <c r="AS28" s="217"/>
    </row>
    <row r="29" spans="1:45" ht="12.75" customHeight="1" x14ac:dyDescent="0.2">
      <c r="A29" s="840" t="s">
        <v>2425</v>
      </c>
      <c r="B29" s="1000" t="s">
        <v>511</v>
      </c>
      <c r="C29" s="842">
        <f t="shared" ref="C29:C34" si="6">COUNTIFS(Name,$A29,Length,"&lt;="&amp;C$4,Length,"&gt;"&amp;B$4,Height,B29)</f>
        <v>0</v>
      </c>
      <c r="D29" s="842">
        <f t="shared" ref="D29:AO29" si="7">COUNTIFS(Name,$A29,Length,"&lt;="&amp;D$4,Length,"&gt;"&amp;C$4,Height,$B29)</f>
        <v>0</v>
      </c>
      <c r="E29" s="842">
        <f t="shared" si="7"/>
        <v>0</v>
      </c>
      <c r="F29" s="842">
        <f t="shared" si="7"/>
        <v>0</v>
      </c>
      <c r="G29" s="842">
        <f t="shared" si="7"/>
        <v>0</v>
      </c>
      <c r="H29" s="842">
        <f t="shared" si="7"/>
        <v>0</v>
      </c>
      <c r="I29" s="842">
        <f t="shared" si="7"/>
        <v>0</v>
      </c>
      <c r="J29" s="842">
        <f t="shared" si="7"/>
        <v>0</v>
      </c>
      <c r="K29" s="842">
        <f t="shared" si="7"/>
        <v>0</v>
      </c>
      <c r="L29" s="842">
        <f t="shared" si="7"/>
        <v>0</v>
      </c>
      <c r="M29" s="842">
        <f t="shared" si="7"/>
        <v>0</v>
      </c>
      <c r="N29" s="842">
        <f t="shared" si="7"/>
        <v>0</v>
      </c>
      <c r="O29" s="842">
        <f t="shared" si="7"/>
        <v>0</v>
      </c>
      <c r="P29" s="842">
        <f t="shared" si="7"/>
        <v>0</v>
      </c>
      <c r="Q29" s="842">
        <f t="shared" si="7"/>
        <v>0</v>
      </c>
      <c r="R29" s="842">
        <f t="shared" si="7"/>
        <v>0</v>
      </c>
      <c r="S29" s="842">
        <f t="shared" si="7"/>
        <v>0</v>
      </c>
      <c r="T29" s="842">
        <f t="shared" si="7"/>
        <v>0</v>
      </c>
      <c r="U29" s="842">
        <f t="shared" si="7"/>
        <v>0</v>
      </c>
      <c r="V29" s="842">
        <f t="shared" si="7"/>
        <v>0</v>
      </c>
      <c r="W29" s="842">
        <f t="shared" si="7"/>
        <v>0</v>
      </c>
      <c r="X29" s="842">
        <f t="shared" si="7"/>
        <v>0</v>
      </c>
      <c r="Y29" s="842">
        <f t="shared" si="7"/>
        <v>0</v>
      </c>
      <c r="Z29" s="842">
        <f t="shared" si="7"/>
        <v>0</v>
      </c>
      <c r="AA29" s="842">
        <f t="shared" si="7"/>
        <v>0</v>
      </c>
      <c r="AB29" s="842">
        <f t="shared" si="7"/>
        <v>0</v>
      </c>
      <c r="AC29" s="842">
        <f t="shared" si="7"/>
        <v>0</v>
      </c>
      <c r="AD29" s="842">
        <f t="shared" si="7"/>
        <v>0</v>
      </c>
      <c r="AE29" s="842">
        <f t="shared" si="7"/>
        <v>0</v>
      </c>
      <c r="AF29" s="842">
        <f t="shared" si="7"/>
        <v>0</v>
      </c>
      <c r="AG29" s="842">
        <f t="shared" si="7"/>
        <v>0</v>
      </c>
      <c r="AH29" s="842">
        <f t="shared" si="7"/>
        <v>0</v>
      </c>
      <c r="AI29" s="842">
        <f t="shared" si="7"/>
        <v>0</v>
      </c>
      <c r="AJ29" s="842">
        <f t="shared" si="7"/>
        <v>0</v>
      </c>
      <c r="AK29" s="842">
        <f t="shared" si="7"/>
        <v>0</v>
      </c>
      <c r="AL29" s="842">
        <f t="shared" si="7"/>
        <v>0</v>
      </c>
      <c r="AM29" s="842">
        <f t="shared" si="7"/>
        <v>0</v>
      </c>
      <c r="AN29" s="842">
        <f t="shared" si="7"/>
        <v>0</v>
      </c>
      <c r="AO29" s="842">
        <f t="shared" si="7"/>
        <v>0</v>
      </c>
      <c r="AP29" s="844">
        <f t="shared" ref="AP29:AP37" si="8">SUMPRODUCT($C$4:$AO$4,C29:AO29)</f>
        <v>0</v>
      </c>
      <c r="AQ29" s="323" t="str">
        <f>IF(SUM(AP29:AP34)=0,"LVL's Not Imported",)</f>
        <v>LVL's Not Imported</v>
      </c>
      <c r="AR29" s="24"/>
      <c r="AS29" s="217"/>
    </row>
    <row r="30" spans="1:45" ht="12.75" customHeight="1" x14ac:dyDescent="0.2">
      <c r="A30" s="840" t="s">
        <v>2425</v>
      </c>
      <c r="B30" s="1000" t="s">
        <v>512</v>
      </c>
      <c r="C30" s="842">
        <f t="shared" si="6"/>
        <v>0</v>
      </c>
      <c r="D30" s="842">
        <f t="shared" ref="D30:AO30" si="9">COUNTIFS(Name,$A30,Length,"&lt;="&amp;D$4,Length,"&gt;"&amp;C$4,Height,$B30)</f>
        <v>0</v>
      </c>
      <c r="E30" s="842">
        <f t="shared" si="9"/>
        <v>0</v>
      </c>
      <c r="F30" s="842">
        <f t="shared" si="9"/>
        <v>0</v>
      </c>
      <c r="G30" s="842">
        <f t="shared" si="9"/>
        <v>0</v>
      </c>
      <c r="H30" s="842">
        <f t="shared" si="9"/>
        <v>0</v>
      </c>
      <c r="I30" s="842">
        <f t="shared" si="9"/>
        <v>0</v>
      </c>
      <c r="J30" s="842">
        <f t="shared" si="9"/>
        <v>0</v>
      </c>
      <c r="K30" s="842">
        <f t="shared" si="9"/>
        <v>0</v>
      </c>
      <c r="L30" s="842">
        <f t="shared" si="9"/>
        <v>0</v>
      </c>
      <c r="M30" s="842">
        <f t="shared" si="9"/>
        <v>0</v>
      </c>
      <c r="N30" s="842">
        <f t="shared" si="9"/>
        <v>0</v>
      </c>
      <c r="O30" s="842">
        <f t="shared" si="9"/>
        <v>0</v>
      </c>
      <c r="P30" s="842">
        <f t="shared" si="9"/>
        <v>0</v>
      </c>
      <c r="Q30" s="842">
        <f t="shared" si="9"/>
        <v>0</v>
      </c>
      <c r="R30" s="842">
        <f t="shared" si="9"/>
        <v>0</v>
      </c>
      <c r="S30" s="842">
        <f t="shared" si="9"/>
        <v>0</v>
      </c>
      <c r="T30" s="842">
        <f t="shared" si="9"/>
        <v>0</v>
      </c>
      <c r="U30" s="842">
        <f t="shared" si="9"/>
        <v>0</v>
      </c>
      <c r="V30" s="842">
        <f t="shared" si="9"/>
        <v>0</v>
      </c>
      <c r="W30" s="842">
        <f t="shared" si="9"/>
        <v>0</v>
      </c>
      <c r="X30" s="842">
        <f t="shared" si="9"/>
        <v>0</v>
      </c>
      <c r="Y30" s="842">
        <f t="shared" si="9"/>
        <v>0</v>
      </c>
      <c r="Z30" s="842">
        <f t="shared" si="9"/>
        <v>0</v>
      </c>
      <c r="AA30" s="842">
        <f t="shared" si="9"/>
        <v>0</v>
      </c>
      <c r="AB30" s="842">
        <f t="shared" si="9"/>
        <v>0</v>
      </c>
      <c r="AC30" s="842">
        <f t="shared" si="9"/>
        <v>0</v>
      </c>
      <c r="AD30" s="842">
        <f t="shared" si="9"/>
        <v>0</v>
      </c>
      <c r="AE30" s="842">
        <f t="shared" si="9"/>
        <v>0</v>
      </c>
      <c r="AF30" s="842">
        <f t="shared" si="9"/>
        <v>0</v>
      </c>
      <c r="AG30" s="842">
        <f t="shared" si="9"/>
        <v>0</v>
      </c>
      <c r="AH30" s="842">
        <f t="shared" si="9"/>
        <v>0</v>
      </c>
      <c r="AI30" s="842">
        <f t="shared" si="9"/>
        <v>0</v>
      </c>
      <c r="AJ30" s="842">
        <f t="shared" si="9"/>
        <v>0</v>
      </c>
      <c r="AK30" s="842">
        <f t="shared" si="9"/>
        <v>0</v>
      </c>
      <c r="AL30" s="842">
        <f t="shared" si="9"/>
        <v>0</v>
      </c>
      <c r="AM30" s="842">
        <f t="shared" si="9"/>
        <v>0</v>
      </c>
      <c r="AN30" s="842">
        <f t="shared" si="9"/>
        <v>0</v>
      </c>
      <c r="AO30" s="842">
        <f t="shared" si="9"/>
        <v>0</v>
      </c>
      <c r="AP30" s="844">
        <f t="shared" si="8"/>
        <v>0</v>
      </c>
      <c r="AQ30" s="323"/>
      <c r="AR30" s="24"/>
      <c r="AS30" s="217"/>
    </row>
    <row r="31" spans="1:45" ht="12.75" customHeight="1" x14ac:dyDescent="0.2">
      <c r="A31" s="840" t="s">
        <v>2425</v>
      </c>
      <c r="B31" s="1000" t="s">
        <v>513</v>
      </c>
      <c r="C31" s="842">
        <f t="shared" si="6"/>
        <v>0</v>
      </c>
      <c r="D31" s="842">
        <f t="shared" ref="D31:AO31" si="10">COUNTIFS(Name,$A31,Length,"&lt;="&amp;D$4,Length,"&gt;"&amp;C$4,Height,$B31)</f>
        <v>0</v>
      </c>
      <c r="E31" s="842">
        <f t="shared" si="10"/>
        <v>0</v>
      </c>
      <c r="F31" s="842">
        <f t="shared" si="10"/>
        <v>0</v>
      </c>
      <c r="G31" s="842">
        <f t="shared" si="10"/>
        <v>0</v>
      </c>
      <c r="H31" s="842">
        <f t="shared" si="10"/>
        <v>0</v>
      </c>
      <c r="I31" s="842">
        <f t="shared" si="10"/>
        <v>0</v>
      </c>
      <c r="J31" s="842">
        <f t="shared" si="10"/>
        <v>0</v>
      </c>
      <c r="K31" s="842">
        <f t="shared" si="10"/>
        <v>0</v>
      </c>
      <c r="L31" s="842">
        <f t="shared" si="10"/>
        <v>0</v>
      </c>
      <c r="M31" s="842">
        <f t="shared" si="10"/>
        <v>0</v>
      </c>
      <c r="N31" s="842">
        <f t="shared" si="10"/>
        <v>0</v>
      </c>
      <c r="O31" s="842">
        <f t="shared" si="10"/>
        <v>0</v>
      </c>
      <c r="P31" s="842">
        <f t="shared" si="10"/>
        <v>0</v>
      </c>
      <c r="Q31" s="842">
        <f t="shared" si="10"/>
        <v>0</v>
      </c>
      <c r="R31" s="842">
        <f t="shared" si="10"/>
        <v>0</v>
      </c>
      <c r="S31" s="842">
        <f t="shared" si="10"/>
        <v>0</v>
      </c>
      <c r="T31" s="842">
        <f t="shared" si="10"/>
        <v>0</v>
      </c>
      <c r="U31" s="842">
        <f t="shared" si="10"/>
        <v>0</v>
      </c>
      <c r="V31" s="842">
        <f t="shared" si="10"/>
        <v>0</v>
      </c>
      <c r="W31" s="842">
        <f t="shared" si="10"/>
        <v>0</v>
      </c>
      <c r="X31" s="842">
        <f t="shared" si="10"/>
        <v>0</v>
      </c>
      <c r="Y31" s="842">
        <f t="shared" si="10"/>
        <v>0</v>
      </c>
      <c r="Z31" s="842">
        <f t="shared" si="10"/>
        <v>0</v>
      </c>
      <c r="AA31" s="842">
        <f t="shared" si="10"/>
        <v>0</v>
      </c>
      <c r="AB31" s="842">
        <f t="shared" si="10"/>
        <v>0</v>
      </c>
      <c r="AC31" s="842">
        <f t="shared" si="10"/>
        <v>0</v>
      </c>
      <c r="AD31" s="842">
        <f t="shared" si="10"/>
        <v>0</v>
      </c>
      <c r="AE31" s="842">
        <f t="shared" si="10"/>
        <v>0</v>
      </c>
      <c r="AF31" s="842">
        <f t="shared" si="10"/>
        <v>0</v>
      </c>
      <c r="AG31" s="842">
        <f t="shared" si="10"/>
        <v>0</v>
      </c>
      <c r="AH31" s="842">
        <f t="shared" si="10"/>
        <v>0</v>
      </c>
      <c r="AI31" s="842">
        <f t="shared" si="10"/>
        <v>0</v>
      </c>
      <c r="AJ31" s="842">
        <f t="shared" si="10"/>
        <v>0</v>
      </c>
      <c r="AK31" s="842">
        <f t="shared" si="10"/>
        <v>0</v>
      </c>
      <c r="AL31" s="842">
        <f t="shared" si="10"/>
        <v>0</v>
      </c>
      <c r="AM31" s="842">
        <f t="shared" si="10"/>
        <v>0</v>
      </c>
      <c r="AN31" s="842">
        <f t="shared" si="10"/>
        <v>0</v>
      </c>
      <c r="AO31" s="842">
        <f t="shared" si="10"/>
        <v>0</v>
      </c>
      <c r="AP31" s="844">
        <f t="shared" si="8"/>
        <v>0</v>
      </c>
      <c r="AQ31" s="323"/>
      <c r="AR31" s="24"/>
      <c r="AS31" s="217"/>
    </row>
    <row r="32" spans="1:45" ht="12.75" customHeight="1" x14ac:dyDescent="0.2">
      <c r="A32" s="840" t="s">
        <v>2425</v>
      </c>
      <c r="B32" s="1000" t="s">
        <v>514</v>
      </c>
      <c r="C32" s="842">
        <f t="shared" si="6"/>
        <v>0</v>
      </c>
      <c r="D32" s="842">
        <f t="shared" ref="D32:AO32" si="11">COUNTIFS(Name,$A32,Length,"&lt;="&amp;D$4,Length,"&gt;"&amp;C$4,Height,$B32)</f>
        <v>0</v>
      </c>
      <c r="E32" s="842">
        <f t="shared" si="11"/>
        <v>0</v>
      </c>
      <c r="F32" s="842">
        <f t="shared" si="11"/>
        <v>0</v>
      </c>
      <c r="G32" s="842">
        <f t="shared" si="11"/>
        <v>0</v>
      </c>
      <c r="H32" s="842">
        <f t="shared" si="11"/>
        <v>0</v>
      </c>
      <c r="I32" s="842">
        <f t="shared" si="11"/>
        <v>0</v>
      </c>
      <c r="J32" s="842">
        <f t="shared" si="11"/>
        <v>0</v>
      </c>
      <c r="K32" s="842">
        <f t="shared" si="11"/>
        <v>0</v>
      </c>
      <c r="L32" s="842">
        <f t="shared" si="11"/>
        <v>0</v>
      </c>
      <c r="M32" s="842">
        <f t="shared" si="11"/>
        <v>0</v>
      </c>
      <c r="N32" s="842">
        <f t="shared" si="11"/>
        <v>0</v>
      </c>
      <c r="O32" s="842">
        <f t="shared" si="11"/>
        <v>0</v>
      </c>
      <c r="P32" s="842">
        <f t="shared" si="11"/>
        <v>0</v>
      </c>
      <c r="Q32" s="842">
        <f t="shared" si="11"/>
        <v>0</v>
      </c>
      <c r="R32" s="842">
        <f t="shared" si="11"/>
        <v>0</v>
      </c>
      <c r="S32" s="842">
        <f t="shared" si="11"/>
        <v>0</v>
      </c>
      <c r="T32" s="842">
        <f t="shared" si="11"/>
        <v>0</v>
      </c>
      <c r="U32" s="842">
        <f t="shared" si="11"/>
        <v>0</v>
      </c>
      <c r="V32" s="842">
        <f t="shared" si="11"/>
        <v>0</v>
      </c>
      <c r="W32" s="842">
        <f t="shared" si="11"/>
        <v>0</v>
      </c>
      <c r="X32" s="842">
        <f t="shared" si="11"/>
        <v>0</v>
      </c>
      <c r="Y32" s="842">
        <f t="shared" si="11"/>
        <v>0</v>
      </c>
      <c r="Z32" s="842">
        <f t="shared" si="11"/>
        <v>0</v>
      </c>
      <c r="AA32" s="842">
        <f t="shared" si="11"/>
        <v>0</v>
      </c>
      <c r="AB32" s="842">
        <f t="shared" si="11"/>
        <v>0</v>
      </c>
      <c r="AC32" s="842">
        <f t="shared" si="11"/>
        <v>0</v>
      </c>
      <c r="AD32" s="842">
        <f t="shared" si="11"/>
        <v>0</v>
      </c>
      <c r="AE32" s="842">
        <f t="shared" si="11"/>
        <v>0</v>
      </c>
      <c r="AF32" s="842">
        <f t="shared" si="11"/>
        <v>0</v>
      </c>
      <c r="AG32" s="842">
        <f t="shared" si="11"/>
        <v>0</v>
      </c>
      <c r="AH32" s="842">
        <f t="shared" si="11"/>
        <v>0</v>
      </c>
      <c r="AI32" s="842">
        <f t="shared" si="11"/>
        <v>0</v>
      </c>
      <c r="AJ32" s="842">
        <f t="shared" si="11"/>
        <v>0</v>
      </c>
      <c r="AK32" s="842">
        <f t="shared" si="11"/>
        <v>0</v>
      </c>
      <c r="AL32" s="842">
        <f t="shared" si="11"/>
        <v>0</v>
      </c>
      <c r="AM32" s="842">
        <f t="shared" si="11"/>
        <v>0</v>
      </c>
      <c r="AN32" s="842">
        <f t="shared" si="11"/>
        <v>0</v>
      </c>
      <c r="AO32" s="842">
        <f t="shared" si="11"/>
        <v>0</v>
      </c>
      <c r="AP32" s="844">
        <f t="shared" si="8"/>
        <v>0</v>
      </c>
      <c r="AQ32" s="323"/>
      <c r="AR32" s="24"/>
      <c r="AS32" s="217"/>
    </row>
    <row r="33" spans="1:45" ht="12.75" customHeight="1" x14ac:dyDescent="0.2">
      <c r="A33" s="840" t="s">
        <v>2425</v>
      </c>
      <c r="B33" s="1000" t="s">
        <v>515</v>
      </c>
      <c r="C33" s="842">
        <f t="shared" si="6"/>
        <v>0</v>
      </c>
      <c r="D33" s="842">
        <f t="shared" ref="D33:AO33" si="12">COUNTIFS(Name,$A33,Length,"&lt;="&amp;D$4,Length,"&gt;"&amp;C$4,Height,$B33)</f>
        <v>0</v>
      </c>
      <c r="E33" s="842">
        <f t="shared" si="12"/>
        <v>0</v>
      </c>
      <c r="F33" s="842">
        <f t="shared" si="12"/>
        <v>0</v>
      </c>
      <c r="G33" s="842">
        <f t="shared" si="12"/>
        <v>0</v>
      </c>
      <c r="H33" s="842">
        <f t="shared" si="12"/>
        <v>0</v>
      </c>
      <c r="I33" s="842">
        <f t="shared" si="12"/>
        <v>0</v>
      </c>
      <c r="J33" s="842">
        <f t="shared" si="12"/>
        <v>0</v>
      </c>
      <c r="K33" s="842">
        <f t="shared" si="12"/>
        <v>0</v>
      </c>
      <c r="L33" s="842">
        <f t="shared" si="12"/>
        <v>0</v>
      </c>
      <c r="M33" s="842">
        <f t="shared" si="12"/>
        <v>0</v>
      </c>
      <c r="N33" s="842">
        <f t="shared" si="12"/>
        <v>0</v>
      </c>
      <c r="O33" s="842">
        <f t="shared" si="12"/>
        <v>0</v>
      </c>
      <c r="P33" s="842">
        <f t="shared" si="12"/>
        <v>0</v>
      </c>
      <c r="Q33" s="842">
        <f t="shared" si="12"/>
        <v>0</v>
      </c>
      <c r="R33" s="842">
        <f t="shared" si="12"/>
        <v>0</v>
      </c>
      <c r="S33" s="842">
        <f t="shared" si="12"/>
        <v>0</v>
      </c>
      <c r="T33" s="842">
        <f t="shared" si="12"/>
        <v>0</v>
      </c>
      <c r="U33" s="842">
        <f t="shared" si="12"/>
        <v>0</v>
      </c>
      <c r="V33" s="842">
        <f t="shared" si="12"/>
        <v>0</v>
      </c>
      <c r="W33" s="842">
        <f t="shared" si="12"/>
        <v>0</v>
      </c>
      <c r="X33" s="842">
        <f t="shared" si="12"/>
        <v>0</v>
      </c>
      <c r="Y33" s="842">
        <f t="shared" si="12"/>
        <v>0</v>
      </c>
      <c r="Z33" s="842">
        <f t="shared" si="12"/>
        <v>0</v>
      </c>
      <c r="AA33" s="842">
        <f t="shared" si="12"/>
        <v>0</v>
      </c>
      <c r="AB33" s="842">
        <f t="shared" si="12"/>
        <v>0</v>
      </c>
      <c r="AC33" s="842">
        <f t="shared" si="12"/>
        <v>0</v>
      </c>
      <c r="AD33" s="842">
        <f t="shared" si="12"/>
        <v>0</v>
      </c>
      <c r="AE33" s="842">
        <f t="shared" si="12"/>
        <v>0</v>
      </c>
      <c r="AF33" s="842">
        <f t="shared" si="12"/>
        <v>0</v>
      </c>
      <c r="AG33" s="842">
        <f t="shared" si="12"/>
        <v>0</v>
      </c>
      <c r="AH33" s="842">
        <f t="shared" si="12"/>
        <v>0</v>
      </c>
      <c r="AI33" s="842">
        <f t="shared" si="12"/>
        <v>0</v>
      </c>
      <c r="AJ33" s="842">
        <f t="shared" si="12"/>
        <v>0</v>
      </c>
      <c r="AK33" s="842">
        <f t="shared" si="12"/>
        <v>0</v>
      </c>
      <c r="AL33" s="842">
        <f t="shared" si="12"/>
        <v>0</v>
      </c>
      <c r="AM33" s="842">
        <f t="shared" si="12"/>
        <v>0</v>
      </c>
      <c r="AN33" s="842">
        <f t="shared" si="12"/>
        <v>0</v>
      </c>
      <c r="AO33" s="842">
        <f t="shared" si="12"/>
        <v>0</v>
      </c>
      <c r="AP33" s="844">
        <f t="shared" si="8"/>
        <v>0</v>
      </c>
      <c r="AQ33" s="323"/>
      <c r="AR33" s="24"/>
      <c r="AS33" s="217"/>
    </row>
    <row r="34" spans="1:45" ht="12.75" customHeight="1" x14ac:dyDescent="0.2">
      <c r="A34" s="840" t="s">
        <v>2425</v>
      </c>
      <c r="B34" s="1000" t="s">
        <v>372</v>
      </c>
      <c r="C34" s="842">
        <f t="shared" si="6"/>
        <v>0</v>
      </c>
      <c r="D34" s="842">
        <f t="shared" ref="D34:AO34" si="13">COUNTIFS(Name,$A34,Length,"&lt;="&amp;D$4,Length,"&gt;"&amp;C$4,Height,$B34)</f>
        <v>0</v>
      </c>
      <c r="E34" s="842">
        <f t="shared" si="13"/>
        <v>0</v>
      </c>
      <c r="F34" s="842">
        <f t="shared" si="13"/>
        <v>0</v>
      </c>
      <c r="G34" s="842">
        <f t="shared" si="13"/>
        <v>0</v>
      </c>
      <c r="H34" s="842">
        <f t="shared" si="13"/>
        <v>0</v>
      </c>
      <c r="I34" s="842">
        <f t="shared" si="13"/>
        <v>0</v>
      </c>
      <c r="J34" s="842">
        <f t="shared" si="13"/>
        <v>0</v>
      </c>
      <c r="K34" s="842">
        <f t="shared" si="13"/>
        <v>0</v>
      </c>
      <c r="L34" s="842">
        <f t="shared" si="13"/>
        <v>0</v>
      </c>
      <c r="M34" s="842">
        <f t="shared" si="13"/>
        <v>0</v>
      </c>
      <c r="N34" s="842">
        <f t="shared" si="13"/>
        <v>0</v>
      </c>
      <c r="O34" s="842">
        <f t="shared" si="13"/>
        <v>0</v>
      </c>
      <c r="P34" s="842">
        <f t="shared" si="13"/>
        <v>0</v>
      </c>
      <c r="Q34" s="842">
        <f t="shared" si="13"/>
        <v>0</v>
      </c>
      <c r="R34" s="842">
        <f t="shared" si="13"/>
        <v>0</v>
      </c>
      <c r="S34" s="842">
        <f t="shared" si="13"/>
        <v>0</v>
      </c>
      <c r="T34" s="842">
        <f t="shared" si="13"/>
        <v>0</v>
      </c>
      <c r="U34" s="842">
        <f t="shared" si="13"/>
        <v>0</v>
      </c>
      <c r="V34" s="842">
        <f t="shared" si="13"/>
        <v>0</v>
      </c>
      <c r="W34" s="842">
        <f t="shared" si="13"/>
        <v>0</v>
      </c>
      <c r="X34" s="842">
        <f t="shared" si="13"/>
        <v>0</v>
      </c>
      <c r="Y34" s="842">
        <f t="shared" si="13"/>
        <v>0</v>
      </c>
      <c r="Z34" s="842">
        <f t="shared" si="13"/>
        <v>0</v>
      </c>
      <c r="AA34" s="842">
        <f t="shared" si="13"/>
        <v>0</v>
      </c>
      <c r="AB34" s="842">
        <f t="shared" si="13"/>
        <v>0</v>
      </c>
      <c r="AC34" s="842">
        <f t="shared" si="13"/>
        <v>0</v>
      </c>
      <c r="AD34" s="842">
        <f t="shared" si="13"/>
        <v>0</v>
      </c>
      <c r="AE34" s="842">
        <f t="shared" si="13"/>
        <v>0</v>
      </c>
      <c r="AF34" s="842">
        <f t="shared" si="13"/>
        <v>0</v>
      </c>
      <c r="AG34" s="842">
        <f t="shared" si="13"/>
        <v>0</v>
      </c>
      <c r="AH34" s="842">
        <f t="shared" si="13"/>
        <v>0</v>
      </c>
      <c r="AI34" s="842">
        <f t="shared" si="13"/>
        <v>0</v>
      </c>
      <c r="AJ34" s="842">
        <f t="shared" si="13"/>
        <v>0</v>
      </c>
      <c r="AK34" s="842">
        <f t="shared" si="13"/>
        <v>0</v>
      </c>
      <c r="AL34" s="842">
        <f t="shared" si="13"/>
        <v>0</v>
      </c>
      <c r="AM34" s="842">
        <f t="shared" si="13"/>
        <v>0</v>
      </c>
      <c r="AN34" s="842">
        <f t="shared" si="13"/>
        <v>0</v>
      </c>
      <c r="AO34" s="842">
        <f t="shared" si="13"/>
        <v>0</v>
      </c>
      <c r="AP34" s="844">
        <f t="shared" si="8"/>
        <v>0</v>
      </c>
      <c r="AQ34" s="323"/>
      <c r="AR34" s="24"/>
      <c r="AS34" s="217"/>
    </row>
    <row r="35" spans="1:45" ht="12.75" customHeight="1" x14ac:dyDescent="0.2">
      <c r="A35" s="840" t="s">
        <v>417</v>
      </c>
      <c r="B35" s="1000" t="s">
        <v>415</v>
      </c>
      <c r="C35" s="842" cm="1">
        <f t="array" ref="C35">SUMPRODUCT((Name=$B$35)*(Length=C$4))</f>
        <v>0</v>
      </c>
      <c r="D35" s="842" cm="1">
        <f t="array" ref="D35">SUMPRODUCT((Name=$B$35)*(Length=D$4))</f>
        <v>0</v>
      </c>
      <c r="E35" s="842" cm="1">
        <f t="array" ref="E35">SUMPRODUCT((Name=$B$35)*(Length=E$4))</f>
        <v>0</v>
      </c>
      <c r="F35" s="842" cm="1">
        <f t="array" ref="F35">SUMPRODUCT((Name=$B$35)*(Length=F$4))</f>
        <v>0</v>
      </c>
      <c r="G35" s="842" cm="1">
        <f t="array" ref="G35">SUMPRODUCT((Name=$B$35)*(Length=G$4))</f>
        <v>0</v>
      </c>
      <c r="H35" s="842" cm="1">
        <f t="array" ref="H35">SUMPRODUCT((Name=$B$35)*(Length=H$4))</f>
        <v>0</v>
      </c>
      <c r="I35" s="842" cm="1">
        <f t="array" ref="I35">SUMPRODUCT((Name=$B$35)*(Length=I$4))</f>
        <v>0</v>
      </c>
      <c r="J35" s="842" cm="1">
        <f t="array" ref="J35">SUMPRODUCT((Name=$B$35)*(Length=J$4))</f>
        <v>0</v>
      </c>
      <c r="K35" s="842" cm="1">
        <f t="array" ref="K35">SUMPRODUCT((Name=$B$35)*(Length=K$4))</f>
        <v>0</v>
      </c>
      <c r="L35" s="842" cm="1">
        <f t="array" ref="L35">SUMPRODUCT((Name=$B$35)*(Length=L$4))</f>
        <v>0</v>
      </c>
      <c r="M35" s="842" cm="1">
        <f t="array" ref="M35">SUMPRODUCT((Name=$B$35)*(Length=M$4))</f>
        <v>0</v>
      </c>
      <c r="N35" s="842" cm="1">
        <f t="array" ref="N35">SUMPRODUCT((Name=$B$35)*(Length=N$4))</f>
        <v>0</v>
      </c>
      <c r="O35" s="842" cm="1">
        <f t="array" ref="O35">SUMPRODUCT((Name=$B$35)*(Length=O$4))</f>
        <v>0</v>
      </c>
      <c r="P35" s="842" cm="1">
        <f t="array" ref="P35">SUMPRODUCT((Name=$B$35)*(Length=P$4))</f>
        <v>0</v>
      </c>
      <c r="Q35" s="842" cm="1">
        <f t="array" ref="Q35">SUMPRODUCT((Name=$B$35)*(Length=Q$4))</f>
        <v>0</v>
      </c>
      <c r="R35" s="842" cm="1">
        <f t="array" ref="R35">SUMPRODUCT((Name=$B$35)*(Length=R$4))</f>
        <v>0</v>
      </c>
      <c r="S35" s="842" cm="1">
        <f t="array" ref="S35">SUMPRODUCT((Name=$B$35)*(Length=S$4))</f>
        <v>0</v>
      </c>
      <c r="T35" s="842" cm="1">
        <f t="array" ref="T35">SUMPRODUCT((Name=$B$35)*(Length=T$4))</f>
        <v>0</v>
      </c>
      <c r="U35" s="842" cm="1">
        <f t="array" ref="U35">SUMPRODUCT((Name=$B$35)*(Length=U$4))</f>
        <v>0</v>
      </c>
      <c r="V35" s="842" cm="1">
        <f t="array" ref="V35">SUMPRODUCT((Name=$B$35)*(Length=V$4))</f>
        <v>0</v>
      </c>
      <c r="W35" s="842" cm="1">
        <f t="array" ref="W35">SUMPRODUCT((Name=$B$35)*(Length=W$4))</f>
        <v>0</v>
      </c>
      <c r="X35" s="842" cm="1">
        <f t="array" ref="X35">SUMPRODUCT((Name=$B$35)*(Length=X$4))</f>
        <v>0</v>
      </c>
      <c r="Y35" s="842" cm="1">
        <f t="array" ref="Y35">SUMPRODUCT((Name=$B$35)*(Length=Y$4))</f>
        <v>0</v>
      </c>
      <c r="Z35" s="842" cm="1">
        <f t="array" ref="Z35">SUMPRODUCT((Name=$B$35)*(Length=Z$4))</f>
        <v>0</v>
      </c>
      <c r="AA35" s="842" cm="1">
        <f t="array" ref="AA35">SUMPRODUCT((Name=$B$35)*(Length=AA$4))</f>
        <v>0</v>
      </c>
      <c r="AB35" s="842" cm="1">
        <f t="array" ref="AB35">SUMPRODUCT((Name=$B$35)*(Length=AB$4))</f>
        <v>0</v>
      </c>
      <c r="AC35" s="842" cm="1">
        <f t="array" ref="AC35">SUMPRODUCT((Name=$B$35)*(Length=AC$4))</f>
        <v>0</v>
      </c>
      <c r="AD35" s="842" cm="1">
        <f t="array" ref="AD35">SUMPRODUCT((Name=$B$35)*(Length=AD$4))</f>
        <v>0</v>
      </c>
      <c r="AE35" s="842" cm="1">
        <f t="array" ref="AE35">SUMPRODUCT((Name=$B$35)*(Length=AE$4))</f>
        <v>0</v>
      </c>
      <c r="AF35" s="842" cm="1">
        <f t="array" ref="AF35">SUMPRODUCT((Name=$B$35)*(Length=AF$4))</f>
        <v>0</v>
      </c>
      <c r="AG35" s="842" cm="1">
        <f t="array" ref="AG35">SUMPRODUCT((Name=$B$35)*(Length=AG$4))</f>
        <v>0</v>
      </c>
      <c r="AH35" s="842" cm="1">
        <f t="array" ref="AH35">SUMPRODUCT((Name=$B$35)*(Length=AH$4))</f>
        <v>0</v>
      </c>
      <c r="AI35" s="842" cm="1">
        <f t="array" ref="AI35">SUMPRODUCT((Name=$B$35)*(Length=AI$4))</f>
        <v>0</v>
      </c>
      <c r="AJ35" s="842" cm="1">
        <f t="array" ref="AJ35">SUMPRODUCT((Name=$B$35)*(Length=AJ$4))</f>
        <v>0</v>
      </c>
      <c r="AK35" s="842" cm="1">
        <f t="array" ref="AK35">SUMPRODUCT((Name=$B$35)*(Length=AK$4))</f>
        <v>0</v>
      </c>
      <c r="AL35" s="842" cm="1">
        <f t="array" ref="AL35">SUMPRODUCT((Name=$B$35)*(Length=AL$4))</f>
        <v>0</v>
      </c>
      <c r="AM35" s="842" cm="1">
        <f t="array" ref="AM35">SUMPRODUCT((Name=$B$35)*(Length=AM$4))</f>
        <v>0</v>
      </c>
      <c r="AN35" s="842" cm="1">
        <f t="array" ref="AN35">SUMPRODUCT((Name=$B$35)*(Length=AN$4))</f>
        <v>0</v>
      </c>
      <c r="AO35" s="842" cm="1">
        <f t="array" ref="AO35">SUMPRODUCT((Name=$B$35)*(Length=AO$4))</f>
        <v>0</v>
      </c>
      <c r="AP35" s="844">
        <f t="shared" si="8"/>
        <v>0</v>
      </c>
      <c r="AQ35" s="323"/>
      <c r="AR35" s="24"/>
      <c r="AS35" s="217"/>
    </row>
    <row r="36" spans="1:45" ht="12.75" customHeight="1" x14ac:dyDescent="0.2">
      <c r="A36" s="840" t="s">
        <v>417</v>
      </c>
      <c r="B36" s="1000" t="s">
        <v>1539</v>
      </c>
      <c r="C36" s="842" cm="1">
        <f t="array" ref="C36">SUMPRODUCT((Name=$B$36)*(Length=C$4))</f>
        <v>0</v>
      </c>
      <c r="D36" s="842" cm="1">
        <f t="array" ref="D36">SUMPRODUCT((Name=$B$36)*(Length=D$4))</f>
        <v>0</v>
      </c>
      <c r="E36" s="842" cm="1">
        <f t="array" ref="E36">SUMPRODUCT((Name=$B$36)*(Length=E$4))</f>
        <v>0</v>
      </c>
      <c r="F36" s="842" cm="1">
        <f t="array" ref="F36">SUMPRODUCT((Name=$B$36)*(Length=F$4))</f>
        <v>0</v>
      </c>
      <c r="G36" s="842" cm="1">
        <f t="array" ref="G36">SUMPRODUCT((Name=$B$36)*(Length=G$4))</f>
        <v>0</v>
      </c>
      <c r="H36" s="842" cm="1">
        <f t="array" ref="H36">SUMPRODUCT((Name=$B$36)*(Length=H$4))</f>
        <v>0</v>
      </c>
      <c r="I36" s="842" cm="1">
        <f t="array" ref="I36">SUMPRODUCT((Name=$B$36)*(Length=I$4))</f>
        <v>0</v>
      </c>
      <c r="J36" s="842" cm="1">
        <f t="array" ref="J36">SUMPRODUCT((Name=$B$36)*(Length=J$4))</f>
        <v>0</v>
      </c>
      <c r="K36" s="842" cm="1">
        <f t="array" ref="K36">SUMPRODUCT((Name=$B$36)*(Length=K$4))</f>
        <v>0</v>
      </c>
      <c r="L36" s="842" cm="1">
        <f t="array" ref="L36">SUMPRODUCT((Name=$B$36)*(Length=L$4))</f>
        <v>0</v>
      </c>
      <c r="M36" s="842" cm="1">
        <f t="array" ref="M36">SUMPRODUCT((Name=$B$36)*(Length=M$4))</f>
        <v>0</v>
      </c>
      <c r="N36" s="842" cm="1">
        <f t="array" ref="N36">SUMPRODUCT((Name=$B$36)*(Length=N$4))</f>
        <v>0</v>
      </c>
      <c r="O36" s="842" cm="1">
        <f t="array" ref="O36">SUMPRODUCT((Name=$B$36)*(Length=O$4))</f>
        <v>0</v>
      </c>
      <c r="P36" s="842" cm="1">
        <f t="array" ref="P36">SUMPRODUCT((Name=$B$36)*(Length=P$4))</f>
        <v>0</v>
      </c>
      <c r="Q36" s="842" cm="1">
        <f t="array" ref="Q36">SUMPRODUCT((Name=$B$36)*(Length=Q$4))</f>
        <v>0</v>
      </c>
      <c r="R36" s="842" cm="1">
        <f t="array" ref="R36">SUMPRODUCT((Name=$B$36)*(Length=R$4))</f>
        <v>0</v>
      </c>
      <c r="S36" s="842" cm="1">
        <f t="array" ref="S36">SUMPRODUCT((Name=$B$36)*(Length=S$4))</f>
        <v>0</v>
      </c>
      <c r="T36" s="842" cm="1">
        <f t="array" ref="T36">SUMPRODUCT((Name=$B$36)*(Length=T$4))</f>
        <v>0</v>
      </c>
      <c r="U36" s="842" cm="1">
        <f t="array" ref="U36">SUMPRODUCT((Name=$B$36)*(Length=U$4))</f>
        <v>0</v>
      </c>
      <c r="V36" s="842" cm="1">
        <f t="array" ref="V36">SUMPRODUCT((Name=$B$36)*(Length=V$4))</f>
        <v>0</v>
      </c>
      <c r="W36" s="842" cm="1">
        <f t="array" ref="W36">SUMPRODUCT((Name=$B$36)*(Length=W$4))</f>
        <v>0</v>
      </c>
      <c r="X36" s="842" cm="1">
        <f t="array" ref="X36">SUMPRODUCT((Name=$B$36)*(Length=X$4))</f>
        <v>0</v>
      </c>
      <c r="Y36" s="842" cm="1">
        <f t="array" ref="Y36">SUMPRODUCT((Name=$B$36)*(Length=Y$4))</f>
        <v>0</v>
      </c>
      <c r="Z36" s="842" cm="1">
        <f t="array" ref="Z36">SUMPRODUCT((Name=$B$36)*(Length=Z$4))</f>
        <v>0</v>
      </c>
      <c r="AA36" s="842" cm="1">
        <f t="array" ref="AA36">SUMPRODUCT((Name=$B$36)*(Length=AA$4))</f>
        <v>0</v>
      </c>
      <c r="AB36" s="842" cm="1">
        <f t="array" ref="AB36">SUMPRODUCT((Name=$B$36)*(Length=AB$4))</f>
        <v>0</v>
      </c>
      <c r="AC36" s="842" cm="1">
        <f t="array" ref="AC36">SUMPRODUCT((Name=$B$36)*(Length=AC$4))</f>
        <v>0</v>
      </c>
      <c r="AD36" s="842" cm="1">
        <f t="array" ref="AD36">SUMPRODUCT((Name=$B$36)*(Length=AD$4))</f>
        <v>0</v>
      </c>
      <c r="AE36" s="842" cm="1">
        <f t="array" ref="AE36">SUMPRODUCT((Name=$B$36)*(Length=AE$4))</f>
        <v>0</v>
      </c>
      <c r="AF36" s="842" cm="1">
        <f t="array" ref="AF36">SUMPRODUCT((Name=$B$36)*(Length=AF$4))</f>
        <v>0</v>
      </c>
      <c r="AG36" s="842" cm="1">
        <f t="array" ref="AG36">SUMPRODUCT((Name=$B$36)*(Length=AG$4))</f>
        <v>0</v>
      </c>
      <c r="AH36" s="842" cm="1">
        <f t="array" ref="AH36">SUMPRODUCT((Name=$B$36)*(Length=AH$4))</f>
        <v>0</v>
      </c>
      <c r="AI36" s="842" cm="1">
        <f t="array" ref="AI36">SUMPRODUCT((Name=$B$36)*(Length=AI$4))</f>
        <v>0</v>
      </c>
      <c r="AJ36" s="842" cm="1">
        <f t="array" ref="AJ36">SUMPRODUCT((Name=$B$36)*(Length=AJ$4))</f>
        <v>0</v>
      </c>
      <c r="AK36" s="842" cm="1">
        <f t="array" ref="AK36">SUMPRODUCT((Name=$B$36)*(Length=AK$4))</f>
        <v>0</v>
      </c>
      <c r="AL36" s="842" cm="1">
        <f t="array" ref="AL36">SUMPRODUCT((Name=$B$36)*(Length=AL$4))</f>
        <v>0</v>
      </c>
      <c r="AM36" s="842" cm="1">
        <f t="array" ref="AM36">SUMPRODUCT((Name=$B$36)*(Length=AM$4))</f>
        <v>0</v>
      </c>
      <c r="AN36" s="842" cm="1">
        <f t="array" ref="AN36">SUMPRODUCT((Name=$B$36)*(Length=AN$4))</f>
        <v>0</v>
      </c>
      <c r="AO36" s="842" cm="1">
        <f t="array" ref="AO36">SUMPRODUCT((Name=$B$36)*(Length=AO$4))</f>
        <v>0</v>
      </c>
      <c r="AP36" s="844">
        <f t="shared" si="8"/>
        <v>0</v>
      </c>
      <c r="AQ36" s="323"/>
      <c r="AR36" s="24"/>
      <c r="AS36" s="217"/>
    </row>
    <row r="37" spans="1:45" ht="12.75" customHeight="1" x14ac:dyDescent="0.2">
      <c r="A37" s="840" t="s">
        <v>417</v>
      </c>
      <c r="B37" s="1000" t="s">
        <v>1744</v>
      </c>
      <c r="C37" s="842" cm="1">
        <f t="array" ref="C37">SUMPRODUCT((Name=$B$37)*(Length=C$4))</f>
        <v>0</v>
      </c>
      <c r="D37" s="842" cm="1">
        <f t="array" ref="D37">SUMPRODUCT((Name=$B$37)*(Length=D$4))</f>
        <v>0</v>
      </c>
      <c r="E37" s="842" cm="1">
        <f t="array" ref="E37">SUMPRODUCT((Name=$B$37)*(Length=E$4))</f>
        <v>0</v>
      </c>
      <c r="F37" s="842" cm="1">
        <f t="array" ref="F37">SUMPRODUCT((Name=$B$37)*(Length=F$4))</f>
        <v>0</v>
      </c>
      <c r="G37" s="842" cm="1">
        <f t="array" ref="G37">SUMPRODUCT((Name=$B$37)*(Length=G$4))</f>
        <v>0</v>
      </c>
      <c r="H37" s="842" cm="1">
        <f t="array" ref="H37">SUMPRODUCT((Name=$B$37)*(Length=H$4))</f>
        <v>0</v>
      </c>
      <c r="I37" s="842" cm="1">
        <f t="array" ref="I37">SUMPRODUCT((Name=$B$37)*(Length=I$4))</f>
        <v>0</v>
      </c>
      <c r="J37" s="842" cm="1">
        <f t="array" ref="J37">SUMPRODUCT((Name=$B$37)*(Length=J$4))</f>
        <v>0</v>
      </c>
      <c r="K37" s="842" cm="1">
        <f t="array" ref="K37">SUMPRODUCT((Name=$B$37)*(Length=K$4))</f>
        <v>0</v>
      </c>
      <c r="L37" s="842" cm="1">
        <f t="array" ref="L37">SUMPRODUCT((Name=$B$37)*(Length=L$4))</f>
        <v>0</v>
      </c>
      <c r="M37" s="842" cm="1">
        <f t="array" ref="M37">SUMPRODUCT((Name=$B$37)*(Length=M$4))</f>
        <v>0</v>
      </c>
      <c r="N37" s="842" cm="1">
        <f t="array" ref="N37">SUMPRODUCT((Name=$B$37)*(Length=N$4))</f>
        <v>0</v>
      </c>
      <c r="O37" s="842" cm="1">
        <f t="array" ref="O37">SUMPRODUCT((Name=$B$37)*(Length=O$4))</f>
        <v>0</v>
      </c>
      <c r="P37" s="842" cm="1">
        <f t="array" ref="P37">SUMPRODUCT((Name=$B$37)*(Length=P$4))</f>
        <v>0</v>
      </c>
      <c r="Q37" s="842" cm="1">
        <f t="array" ref="Q37">SUMPRODUCT((Name=$B$37)*(Length=Q$4))</f>
        <v>0</v>
      </c>
      <c r="R37" s="842" cm="1">
        <f t="array" ref="R37">SUMPRODUCT((Name=$B$37)*(Length=R$4))</f>
        <v>0</v>
      </c>
      <c r="S37" s="842" cm="1">
        <f t="array" ref="S37">SUMPRODUCT((Name=$B$37)*(Length=S$4))</f>
        <v>0</v>
      </c>
      <c r="T37" s="842" cm="1">
        <f t="array" ref="T37">SUMPRODUCT((Name=$B$37)*(Length=T$4))</f>
        <v>0</v>
      </c>
      <c r="U37" s="842" cm="1">
        <f t="array" ref="U37">SUMPRODUCT((Name=$B$37)*(Length=U$4))</f>
        <v>0</v>
      </c>
      <c r="V37" s="842" cm="1">
        <f t="array" ref="V37">SUMPRODUCT((Name=$B$37)*(Length=V$4))</f>
        <v>0</v>
      </c>
      <c r="W37" s="842" cm="1">
        <f t="array" ref="W37">SUMPRODUCT((Name=$B$37)*(Length=W$4))</f>
        <v>0</v>
      </c>
      <c r="X37" s="842" cm="1">
        <f t="array" ref="X37">SUMPRODUCT((Name=$B$37)*(Length=X$4))</f>
        <v>0</v>
      </c>
      <c r="Y37" s="842" cm="1">
        <f t="array" ref="Y37">SUMPRODUCT((Name=$B$37)*(Length=Y$4))</f>
        <v>0</v>
      </c>
      <c r="Z37" s="842" cm="1">
        <f t="array" ref="Z37">SUMPRODUCT((Name=$B$37)*(Length=Z$4))</f>
        <v>0</v>
      </c>
      <c r="AA37" s="842" cm="1">
        <f t="array" ref="AA37">SUMPRODUCT((Name=$B$37)*(Length=AA$4))</f>
        <v>0</v>
      </c>
      <c r="AB37" s="842" cm="1">
        <f t="array" ref="AB37">SUMPRODUCT((Name=$B$37)*(Length=AB$4))</f>
        <v>0</v>
      </c>
      <c r="AC37" s="842" cm="1">
        <f t="array" ref="AC37">SUMPRODUCT((Name=$B$37)*(Length=AC$4))</f>
        <v>0</v>
      </c>
      <c r="AD37" s="842" cm="1">
        <f t="array" ref="AD37">SUMPRODUCT((Name=$B$37)*(Length=AD$4))</f>
        <v>0</v>
      </c>
      <c r="AE37" s="842" cm="1">
        <f t="array" ref="AE37">SUMPRODUCT((Name=$B$37)*(Length=AE$4))</f>
        <v>0</v>
      </c>
      <c r="AF37" s="842" cm="1">
        <f t="array" ref="AF37">SUMPRODUCT((Name=$B$37)*(Length=AF$4))</f>
        <v>0</v>
      </c>
      <c r="AG37" s="842" cm="1">
        <f t="array" ref="AG37">SUMPRODUCT((Name=$B$37)*(Length=AG$4))</f>
        <v>0</v>
      </c>
      <c r="AH37" s="842" cm="1">
        <f t="array" ref="AH37">SUMPRODUCT((Name=$B$37)*(Length=AH$4))</f>
        <v>0</v>
      </c>
      <c r="AI37" s="842" cm="1">
        <f t="array" ref="AI37">SUMPRODUCT((Name=$B$37)*(Length=AI$4))</f>
        <v>0</v>
      </c>
      <c r="AJ37" s="842" cm="1">
        <f t="array" ref="AJ37">SUMPRODUCT((Name=$B$37)*(Length=AJ$4))</f>
        <v>0</v>
      </c>
      <c r="AK37" s="842" cm="1">
        <f t="array" ref="AK37">SUMPRODUCT((Name=$B$37)*(Length=AK$4))</f>
        <v>0</v>
      </c>
      <c r="AL37" s="842" cm="1">
        <f t="array" ref="AL37">SUMPRODUCT((Name=$B$37)*(Length=AL$4))</f>
        <v>0</v>
      </c>
      <c r="AM37" s="842" cm="1">
        <f t="array" ref="AM37">SUMPRODUCT((Name=$B$37)*(Length=AM$4))</f>
        <v>0</v>
      </c>
      <c r="AN37" s="842" cm="1">
        <f t="array" ref="AN37">SUMPRODUCT((Name=$B$37)*(Length=AN$4))</f>
        <v>0</v>
      </c>
      <c r="AO37" s="842" cm="1">
        <f t="array" ref="AO37">SUMPRODUCT((Name=$B$37)*(Length=AO$4))</f>
        <v>0</v>
      </c>
      <c r="AP37" s="844">
        <f t="shared" si="8"/>
        <v>0</v>
      </c>
      <c r="AQ37" s="323"/>
      <c r="AR37" s="24"/>
      <c r="AS37" s="217"/>
    </row>
    <row r="38" spans="1:45" ht="12.75" customHeight="1" x14ac:dyDescent="0.2">
      <c r="A38" s="840" t="s">
        <v>368</v>
      </c>
      <c r="B38" s="1000" t="s">
        <v>367</v>
      </c>
      <c r="C38" s="842" cm="1">
        <f t="array" ref="C38">SUMPRODUCT((Name&lt;=C$4)*(Length="Posts")*(Length="Timber 90"))</f>
        <v>0</v>
      </c>
      <c r="D38" s="842" cm="1">
        <f t="array" ref="D38">SUMPRODUCT((Name&lt;=D$4)*(Length&gt;C$4)*(Length="Posts")*(Length="Timber 90"))</f>
        <v>0</v>
      </c>
      <c r="E38" s="842" cm="1">
        <f t="array" ref="E38">SUMPRODUCT((Name&lt;=E$4)*(Length&gt;D$4)*(Length="Posts")*(Length="Timber 90"))</f>
        <v>0</v>
      </c>
      <c r="F38" s="842" cm="1">
        <f t="array" ref="F38">SUMPRODUCT((Name&lt;=F$4)*(Length&gt;E$4)*(Length="Posts")*(Length="Timber 90"))</f>
        <v>0</v>
      </c>
      <c r="G38" s="842" cm="1">
        <f t="array" ref="G38">SUMPRODUCT((Name&lt;=G$4)*(Length&gt;F$4)*(Length="Posts")*(Length="Timber 90"))</f>
        <v>0</v>
      </c>
      <c r="H38" s="842" cm="1">
        <f t="array" ref="H38">SUMPRODUCT((Name&lt;=H$4)*(Length&gt;G$4)*(Length="Posts")*(Length="Timber 90"))</f>
        <v>0</v>
      </c>
      <c r="I38" s="842" cm="1">
        <f t="array" ref="I38">SUMPRODUCT((Name&lt;=I$4)*(Length&gt;H$4)*(Length="Posts")*(Length="Timber 90"))</f>
        <v>0</v>
      </c>
      <c r="J38" s="842" cm="1">
        <f t="array" ref="J38">SUMPRODUCT((Name&lt;=J$4)*(Length&gt;I$4)*(Length="Posts")*(Length="Timber 90"))</f>
        <v>0</v>
      </c>
      <c r="K38" s="842" cm="1">
        <f t="array" ref="K38">SUMPRODUCT((Name&lt;=K$4)*(Length&gt;J$4)*(Length="Posts")*(Length="Timber 90"))</f>
        <v>0</v>
      </c>
      <c r="L38" s="842" cm="1">
        <f t="array" ref="L38">SUMPRODUCT((Name&lt;=L$4)*(Length&gt;K$4)*(Length="Posts")*(Length="Timber 90"))</f>
        <v>0</v>
      </c>
      <c r="M38" s="842" cm="1">
        <f t="array" ref="M38">SUMPRODUCT((Name&lt;=M$4)*(Length&gt;L$4)*(Length="Posts")*(Length="Timber 90"))</f>
        <v>0</v>
      </c>
      <c r="N38" s="842" cm="1">
        <f t="array" ref="N38">SUMPRODUCT((Name&lt;=N$4)*(Length&gt;M$4)*(Length="Posts")*(Length="Timber 90"))</f>
        <v>0</v>
      </c>
      <c r="O38" s="842" cm="1">
        <f t="array" ref="O38">SUMPRODUCT((Name&lt;=O$4)*(Length&gt;N$4)*(Length="Posts")*(Length="Timber 90"))</f>
        <v>0</v>
      </c>
      <c r="P38" s="842" cm="1">
        <f t="array" ref="P38">SUMPRODUCT((Name&lt;=P$4)*(Length&gt;O$4)*(Length="Posts")*(Length="Timber 90"))</f>
        <v>0</v>
      </c>
      <c r="Q38" s="842" cm="1">
        <f t="array" ref="Q38">SUMPRODUCT((Name&lt;=Q$4)*(Length&gt;P$4)*(Length="Posts")*(Length="Timber 90"))</f>
        <v>0</v>
      </c>
      <c r="R38" s="842" cm="1">
        <f t="array" ref="R38">SUMPRODUCT((Name&lt;=R$4)*(Length&gt;Q$4)*(Length="Posts")*(Length="Timber 90"))</f>
        <v>0</v>
      </c>
      <c r="S38" s="842" cm="1">
        <f t="array" ref="S38">SUMPRODUCT((Name&lt;=S$4)*(Length&gt;R$4)*(Length="Posts")*(Length="Timber 90"))</f>
        <v>0</v>
      </c>
      <c r="T38" s="842" cm="1">
        <f t="array" ref="T38">SUMPRODUCT((Name&lt;=T$4)*(Length&gt;S$4)*(Length="Posts")*(Length="Timber 90"))</f>
        <v>0</v>
      </c>
      <c r="U38" s="842" cm="1">
        <f t="array" ref="U38">SUMPRODUCT((Name&lt;=U$4)*(Length&gt;T$4)*(Length="Posts")*(Length="Timber 90"))</f>
        <v>0</v>
      </c>
      <c r="V38" s="842" cm="1">
        <f t="array" ref="V38">SUMPRODUCT((Name&lt;=V$4)*(Length&gt;U$4)*(Length="Posts")*(Length="Timber 90"))</f>
        <v>0</v>
      </c>
      <c r="W38" s="842" cm="1">
        <f t="array" ref="W38">SUMPRODUCT((Name&lt;=W$4)*(Length&gt;V$4)*(Length="Posts")*(Length="Timber 90"))</f>
        <v>0</v>
      </c>
      <c r="X38" s="842" cm="1">
        <f t="array" ref="X38">SUMPRODUCT((Name&lt;=X$4)*(Length&gt;W$4)*(Length="Posts")*(Length="Timber 90"))</f>
        <v>0</v>
      </c>
      <c r="Y38" s="842" cm="1">
        <f t="array" ref="Y38">SUMPRODUCT((Name&lt;=Y$4)*(Length&gt;X$4)*(Length="Posts")*(Length="Timber 90"))</f>
        <v>0</v>
      </c>
      <c r="Z38" s="842" cm="1">
        <f t="array" ref="Z38">SUMPRODUCT((Name&lt;=Z$4)*(Length&gt;Y$4)*(Length="Posts")*(Length="Timber 90"))</f>
        <v>0</v>
      </c>
      <c r="AA38" s="842" cm="1">
        <f t="array" ref="AA38">SUMPRODUCT((Name&lt;=AA$4)*(Length&gt;Z$4)*(Length="Posts")*(Length="Timber 90"))</f>
        <v>0</v>
      </c>
      <c r="AB38" s="842" cm="1">
        <f t="array" ref="AB38">SUMPRODUCT((Name&lt;=AB$4)*(Length&gt;AA$4)*(Length="Posts")*(Length="Timber 90"))</f>
        <v>0</v>
      </c>
      <c r="AC38" s="842" cm="1">
        <f t="array" ref="AC38">SUMPRODUCT((Name&lt;=AC$4)*(Length&gt;AB$4)*(Length="Posts")*(Length="Timber 90"))</f>
        <v>0</v>
      </c>
      <c r="AD38" s="842" cm="1">
        <f t="array" ref="AD38">SUMPRODUCT((Name&lt;=AD$4)*(Length&gt;AC$4)*(Length="Posts")*(Length="Timber 90"))</f>
        <v>0</v>
      </c>
      <c r="AE38" s="842" cm="1">
        <f t="array" ref="AE38">SUMPRODUCT((Name&lt;=AE$4)*(Length&gt;AD$4)*(Length="Posts")*(Length="Timber 90"))</f>
        <v>0</v>
      </c>
      <c r="AF38" s="842" cm="1">
        <f t="array" ref="AF38">SUMPRODUCT((Name&lt;=AF$4)*(Length&gt;AE$4)*(Length="Posts")*(Length="Timber 90"))</f>
        <v>0</v>
      </c>
      <c r="AG38" s="842" cm="1">
        <f t="array" ref="AG38">SUMPRODUCT((Name&lt;=AG$4)*(Length&gt;AF$4)*(Length="Posts")*(Length="Timber 90"))</f>
        <v>0</v>
      </c>
      <c r="AH38" s="842" cm="1">
        <f t="array" ref="AH38">SUMPRODUCT((Name&lt;=AH$4)*(Length&gt;AG$4)*(Length="Posts")*(Length="Timber 90"))</f>
        <v>0</v>
      </c>
      <c r="AI38" s="842" cm="1">
        <f t="array" ref="AI38">SUMPRODUCT((Name&lt;=AI$4)*(Length&gt;AH$4)*(Length="Posts")*(Length="Timber 90"))</f>
        <v>0</v>
      </c>
      <c r="AJ38" s="842" cm="1">
        <f t="array" ref="AJ38">SUMPRODUCT((Name&lt;=AJ$4)*(Length&gt;AI$4)*(Length="Posts")*(Length="Timber 90"))</f>
        <v>0</v>
      </c>
      <c r="AK38" s="842" cm="1">
        <f t="array" ref="AK38">SUMPRODUCT((Name&lt;=AK$4)*(Length&gt;AJ$4)*(Length="Posts")*(Length="Timber 90"))</f>
        <v>0</v>
      </c>
      <c r="AL38" s="842" cm="1">
        <f t="array" ref="AL38">SUMPRODUCT((Name&lt;=AL$4)*(Length&gt;AK$4)*(Length="Posts")*(Length="Timber 90"))</f>
        <v>0</v>
      </c>
      <c r="AM38" s="842" cm="1">
        <f t="array" ref="AM38">SUMPRODUCT((Name&lt;=AM$4)*(Length&gt;AL$4)*(Length="Posts")*(Length="Timber 90"))</f>
        <v>0</v>
      </c>
      <c r="AN38" s="842" cm="1">
        <f t="array" ref="AN38">SUMPRODUCT((Name&lt;=AN$4)*(Length&gt;AM$4)*(Length="Posts")*(Length="Timber 90"))</f>
        <v>0</v>
      </c>
      <c r="AO38" s="842" cm="1">
        <f t="array" ref="AO38">SUMPRODUCT((Name&lt;=AO$4)*(Length&gt;AN$4)*(Length="Posts")*(Length="Timber 90"))</f>
        <v>0</v>
      </c>
      <c r="AP38" s="844">
        <f>SUMPRODUCT($C$4:$AO$4,C38:AO38)</f>
        <v>0</v>
      </c>
      <c r="AQ38" s="323"/>
      <c r="AR38" s="24"/>
      <c r="AS38" s="217"/>
    </row>
    <row r="39" spans="1:45" ht="12.75" customHeight="1" x14ac:dyDescent="0.2">
      <c r="A39" s="840" t="s">
        <v>368</v>
      </c>
      <c r="B39" s="1000" t="s">
        <v>980</v>
      </c>
      <c r="C39" s="842" cm="1">
        <f t="array" ref="C39">SUMPRODUCT((Name&lt;=C$4)*(Length&gt;B$4)*(Length="Posts")*(Length="Timber 112"))</f>
        <v>0</v>
      </c>
      <c r="D39" s="842" cm="1">
        <f t="array" ref="D39">SUMPRODUCT((Name&lt;=D$4)*(Length&gt;C$4)*(Length="Posts")*(Length="Timber 112"))</f>
        <v>0</v>
      </c>
      <c r="E39" s="842" cm="1">
        <f t="array" ref="E39">SUMPRODUCT((Name&lt;=E$4)*(Length&gt;D$4)*(Length="Posts")*(Length="Timber 112"))</f>
        <v>0</v>
      </c>
      <c r="F39" s="842" cm="1">
        <f t="array" ref="F39">SUMPRODUCT((Name&lt;=F$4)*(Length&gt;E$4)*(Length="Posts")*(Length="Timber 112"))</f>
        <v>0</v>
      </c>
      <c r="G39" s="842" cm="1">
        <f t="array" ref="G39">SUMPRODUCT((Name&lt;=G$4)*(Length&gt;F$4)*(Length="Posts")*(Length="Timber 112"))</f>
        <v>0</v>
      </c>
      <c r="H39" s="842" cm="1">
        <f t="array" ref="H39">SUMPRODUCT((Name&lt;=H$4)*(Length&gt;G$4)*(Length="Posts")*(Length="Timber 112"))</f>
        <v>0</v>
      </c>
      <c r="I39" s="842" cm="1">
        <f t="array" ref="I39">SUMPRODUCT((Name&lt;=I$4)*(Length&gt;H$4)*(Length="Posts")*(Length="Timber 112"))</f>
        <v>0</v>
      </c>
      <c r="J39" s="842" cm="1">
        <f t="array" ref="J39">SUMPRODUCT((Name&lt;=J$4)*(Length&gt;I$4)*(Length="Posts")*(Length="Timber 112"))</f>
        <v>0</v>
      </c>
      <c r="K39" s="842" cm="1">
        <f t="array" ref="K39">SUMPRODUCT((Name&lt;=K$4)*(Length&gt;J$4)*(Length="Posts")*(Length="Timber 112"))</f>
        <v>0</v>
      </c>
      <c r="L39" s="842" cm="1">
        <f t="array" ref="L39">SUMPRODUCT((Name&lt;=L$4)*(Length&gt;K$4)*(Length="Posts")*(Length="Timber 112"))</f>
        <v>0</v>
      </c>
      <c r="M39" s="842" cm="1">
        <f t="array" ref="M39">SUMPRODUCT((Name&lt;=M$4)*(Length&gt;L$4)*(Length="Posts")*(Length="Timber 112"))</f>
        <v>0</v>
      </c>
      <c r="N39" s="842" cm="1">
        <f t="array" ref="N39">SUMPRODUCT((Name&lt;=N$4)*(Length&gt;M$4)*(Length="Posts")*(Length="Timber 112"))</f>
        <v>0</v>
      </c>
      <c r="O39" s="842" cm="1">
        <f t="array" ref="O39">SUMPRODUCT((Name&lt;=O$4)*(Length&gt;N$4)*(Length="Posts")*(Length="Timber 112"))</f>
        <v>0</v>
      </c>
      <c r="P39" s="842" cm="1">
        <f t="array" ref="P39">SUMPRODUCT((Name&lt;=P$4)*(Length&gt;O$4)*(Length="Posts")*(Length="Timber 112"))</f>
        <v>0</v>
      </c>
      <c r="Q39" s="842" cm="1">
        <f t="array" ref="Q39">SUMPRODUCT((Name&lt;=Q$4)*(Length&gt;P$4)*(Length="Posts")*(Length="Timber 112"))</f>
        <v>0</v>
      </c>
      <c r="R39" s="842" cm="1">
        <f t="array" ref="R39">SUMPRODUCT((Name&lt;=R$4)*(Length&gt;Q$4)*(Length="Posts")*(Length="Timber 112"))</f>
        <v>0</v>
      </c>
      <c r="S39" s="842" cm="1">
        <f t="array" ref="S39">SUMPRODUCT((Name&lt;=S$4)*(Length&gt;R$4)*(Length="Posts")*(Length="Timber 112"))</f>
        <v>0</v>
      </c>
      <c r="T39" s="842" cm="1">
        <f t="array" ref="T39">SUMPRODUCT((Name&lt;=T$4)*(Length&gt;S$4)*(Length="Posts")*(Length="Timber 112"))</f>
        <v>0</v>
      </c>
      <c r="U39" s="842" cm="1">
        <f t="array" ref="U39">SUMPRODUCT((Name&lt;=U$4)*(Length&gt;T$4)*(Length="Posts")*(Length="Timber 112"))</f>
        <v>0</v>
      </c>
      <c r="V39" s="842" cm="1">
        <f t="array" ref="V39">SUMPRODUCT((Name&lt;=V$4)*(Length&gt;U$4)*(Length="Posts")*(Length="Timber 112"))</f>
        <v>0</v>
      </c>
      <c r="W39" s="842" cm="1">
        <f t="array" ref="W39">SUMPRODUCT((Name&lt;=W$4)*(Length&gt;V$4)*(Length="Posts")*(Length="Timber 112"))</f>
        <v>0</v>
      </c>
      <c r="X39" s="842" cm="1">
        <f t="array" ref="X39">SUMPRODUCT((Name&lt;=X$4)*(Length&gt;W$4)*(Length="Posts")*(Length="Timber 112"))</f>
        <v>0</v>
      </c>
      <c r="Y39" s="842" cm="1">
        <f t="array" ref="Y39">SUMPRODUCT((Name&lt;=Y$4)*(Length&gt;X$4)*(Length="Posts")*(Length="Timber 112"))</f>
        <v>0</v>
      </c>
      <c r="Z39" s="842" cm="1">
        <f t="array" ref="Z39">SUMPRODUCT((Name&lt;=Z$4)*(Length&gt;Y$4)*(Length="Posts")*(Length="Timber 112"))</f>
        <v>0</v>
      </c>
      <c r="AA39" s="842" cm="1">
        <f t="array" ref="AA39">SUMPRODUCT((Name&lt;=AA$4)*(Length&gt;Z$4)*(Length="Posts")*(Length="Timber 112"))</f>
        <v>0</v>
      </c>
      <c r="AB39" s="842" cm="1">
        <f t="array" ref="AB39">SUMPRODUCT((Name&lt;=AB$4)*(Length&gt;AA$4)*(Length="Posts")*(Length="Timber 112"))</f>
        <v>0</v>
      </c>
      <c r="AC39" s="842" cm="1">
        <f t="array" ref="AC39">SUMPRODUCT((Name&lt;=AC$4)*(Length&gt;AB$4)*(Length="Posts")*(Length="Timber 112"))</f>
        <v>0</v>
      </c>
      <c r="AD39" s="842" cm="1">
        <f t="array" ref="AD39">SUMPRODUCT((Name&lt;=AD$4)*(Length&gt;AC$4)*(Length="Posts")*(Length="Timber 112"))</f>
        <v>0</v>
      </c>
      <c r="AE39" s="842" cm="1">
        <f t="array" ref="AE39">SUMPRODUCT((Name&lt;=AE$4)*(Length&gt;AD$4)*(Length="Posts")*(Length="Timber 112"))</f>
        <v>0</v>
      </c>
      <c r="AF39" s="842" cm="1">
        <f t="array" ref="AF39">SUMPRODUCT((Name&lt;=AF$4)*(Length&gt;AE$4)*(Length="Posts")*(Length="Timber 112"))</f>
        <v>0</v>
      </c>
      <c r="AG39" s="842" cm="1">
        <f t="array" ref="AG39">SUMPRODUCT((Name&lt;=AG$4)*(Length&gt;AF$4)*(Length="Posts")*(Length="Timber 112"))</f>
        <v>0</v>
      </c>
      <c r="AH39" s="842" cm="1">
        <f t="array" ref="AH39">SUMPRODUCT((Name&lt;=AH$4)*(Length&gt;AG$4)*(Length="Posts")*(Length="Timber 112"))</f>
        <v>0</v>
      </c>
      <c r="AI39" s="842" cm="1">
        <f t="array" ref="AI39">SUMPRODUCT((Name&lt;=AI$4)*(Length&gt;AH$4)*(Length="Posts")*(Length="Timber 112"))</f>
        <v>0</v>
      </c>
      <c r="AJ39" s="842" cm="1">
        <f t="array" ref="AJ39">SUMPRODUCT((Name&lt;=AJ$4)*(Length&gt;AI$4)*(Length="Posts")*(Length="Timber 112"))</f>
        <v>0</v>
      </c>
      <c r="AK39" s="842" cm="1">
        <f t="array" ref="AK39">SUMPRODUCT((Name&lt;=AK$4)*(Length&gt;AJ$4)*(Length="Posts")*(Length="Timber 112"))</f>
        <v>0</v>
      </c>
      <c r="AL39" s="842" cm="1">
        <f t="array" ref="AL39">SUMPRODUCT((Name&lt;=AL$4)*(Length&gt;AK$4)*(Length="Posts")*(Length="Timber 112"))</f>
        <v>0</v>
      </c>
      <c r="AM39" s="842" cm="1">
        <f t="array" ref="AM39">SUMPRODUCT((Name&lt;=AM$4)*(Length&gt;AL$4)*(Length="Posts")*(Length="Timber 112"))</f>
        <v>0</v>
      </c>
      <c r="AN39" s="842" cm="1">
        <f t="array" ref="AN39">SUMPRODUCT((Name&lt;=AN$4)*(Length&gt;AM$4)*(Length="Posts")*(Length="Timber 112"))</f>
        <v>0</v>
      </c>
      <c r="AO39" s="842" cm="1">
        <f t="array" ref="AO39">SUMPRODUCT((Name&lt;=AO$4)*(Length&gt;AN$4)*(Length="Posts")*(Length="Timber 112"))</f>
        <v>0</v>
      </c>
      <c r="AP39" s="844">
        <f>SUMPRODUCT($C$4:$AO$4,C39:AO39)</f>
        <v>0</v>
      </c>
      <c r="AQ39" s="323"/>
      <c r="AR39" s="24"/>
      <c r="AS39" s="217"/>
    </row>
    <row r="40" spans="1:45" ht="12.75" customHeight="1" x14ac:dyDescent="0.2">
      <c r="A40" s="840" t="s">
        <v>1430</v>
      </c>
      <c r="B40" s="1000" t="s">
        <v>376</v>
      </c>
      <c r="C40" s="842" cm="1">
        <f t="array" ref="C40">SUMPRODUCT((Name&lt;=C$4)*(Length&gt;B$4)*(Length="Posts")*(Length="Timber 120"))</f>
        <v>0</v>
      </c>
      <c r="D40" s="842" cm="1">
        <f t="array" ref="D40">SUMPRODUCT((Name&lt;=D$4)*(Length&gt;C$4)*(Length="Posts")*(Length="Timber 120"))</f>
        <v>0</v>
      </c>
      <c r="E40" s="842" cm="1">
        <f t="array" ref="E40">SUMPRODUCT((Name&lt;=E$4)*(Length&gt;D$4)*(Length="Posts")*(Length="Timber 120"))</f>
        <v>0</v>
      </c>
      <c r="F40" s="842" cm="1">
        <f t="array" ref="F40">SUMPRODUCT((Name&lt;=F$4)*(Length&gt;E$4)*(Length="Posts")*(Length="Timber 120"))</f>
        <v>0</v>
      </c>
      <c r="G40" s="842" cm="1">
        <f t="array" ref="G40">SUMPRODUCT((Name&lt;=G$4)*(Length&gt;F$4)*(Length="Posts")*(Length="Timber 120"))</f>
        <v>0</v>
      </c>
      <c r="H40" s="842" cm="1">
        <f t="array" ref="H40">SUMPRODUCT((Name&lt;=H$4)*(Length&gt;G$4)*(Length="Posts")*(Length="Timber 120"))</f>
        <v>0</v>
      </c>
      <c r="I40" s="842" cm="1">
        <f t="array" ref="I40">SUMPRODUCT((Name&lt;=I$4)*(Length&gt;H$4)*(Length="Posts")*(Length="Timber 120"))</f>
        <v>0</v>
      </c>
      <c r="J40" s="842" cm="1">
        <f t="array" ref="J40">SUMPRODUCT((Name&lt;=J$4)*(Length&gt;I$4)*(Length="Posts")*(Length="Timber 120"))</f>
        <v>0</v>
      </c>
      <c r="K40" s="842" cm="1">
        <f t="array" ref="K40">SUMPRODUCT((Name&lt;=K$4)*(Length&gt;J$4)*(Length="Posts")*(Length="Timber 120"))</f>
        <v>0</v>
      </c>
      <c r="L40" s="842" cm="1">
        <f t="array" ref="L40">SUMPRODUCT((Name&lt;=L$4)*(Length&gt;K$4)*(Length="Posts")*(Length="Timber 120"))</f>
        <v>0</v>
      </c>
      <c r="M40" s="842" cm="1">
        <f t="array" ref="M40">SUMPRODUCT((Name&lt;=M$4)*(Length&gt;L$4)*(Length="Posts")*(Length="Timber 120"))</f>
        <v>0</v>
      </c>
      <c r="N40" s="842" cm="1">
        <f t="array" ref="N40">SUMPRODUCT((Name&lt;=N$4)*(Length&gt;M$4)*(Length="Posts")*(Length="Timber 120"))</f>
        <v>0</v>
      </c>
      <c r="O40" s="842" cm="1">
        <f t="array" ref="O40">SUMPRODUCT((Name&lt;=O$4)*(Length&gt;N$4)*(Length="Posts")*(Length="Timber 120"))</f>
        <v>0</v>
      </c>
      <c r="P40" s="842" cm="1">
        <f t="array" ref="P40">SUMPRODUCT((Name&lt;=P$4)*(Length&gt;O$4)*(Length="Posts")*(Length="Timber 120"))</f>
        <v>0</v>
      </c>
      <c r="Q40" s="842" cm="1">
        <f t="array" ref="Q40">SUMPRODUCT((Name&lt;=Q$4)*(Length&gt;P$4)*(Length="Posts")*(Length="Timber 120"))</f>
        <v>0</v>
      </c>
      <c r="R40" s="842" cm="1">
        <f t="array" ref="R40">SUMPRODUCT((Name&lt;=R$4)*(Length&gt;Q$4)*(Length="Posts")*(Length="Timber 120"))</f>
        <v>0</v>
      </c>
      <c r="S40" s="842" cm="1">
        <f t="array" ref="S40">SUMPRODUCT((Name&lt;=S$4)*(Length&gt;R$4)*(Length="Posts")*(Length="Timber 120"))</f>
        <v>0</v>
      </c>
      <c r="T40" s="842" cm="1">
        <f t="array" ref="T40">SUMPRODUCT((Name&lt;=T$4)*(Length&gt;S$4)*(Length="Posts")*(Length="Timber 120"))</f>
        <v>0</v>
      </c>
      <c r="U40" s="842" cm="1">
        <f t="array" ref="U40">SUMPRODUCT((Name&lt;=U$4)*(Length&gt;T$4)*(Length="Posts")*(Length="Timber 120"))</f>
        <v>0</v>
      </c>
      <c r="V40" s="842" cm="1">
        <f t="array" ref="V40">SUMPRODUCT((Name&lt;=V$4)*(Length&gt;U$4)*(Length="Posts")*(Length="Timber 120"))</f>
        <v>0</v>
      </c>
      <c r="W40" s="842" cm="1">
        <f t="array" ref="W40">SUMPRODUCT((Name&lt;=W$4)*(Length&gt;V$4)*(Length="Posts")*(Length="Timber 120"))</f>
        <v>0</v>
      </c>
      <c r="X40" s="842" cm="1">
        <f t="array" ref="X40">SUMPRODUCT((Name&lt;=X$4)*(Length&gt;W$4)*(Length="Posts")*(Length="Timber 120"))</f>
        <v>0</v>
      </c>
      <c r="Y40" s="842" cm="1">
        <f t="array" ref="Y40">SUMPRODUCT((Name&lt;=Y$4)*(Length&gt;X$4)*(Length="Posts")*(Length="Timber 120"))</f>
        <v>0</v>
      </c>
      <c r="Z40" s="842" cm="1">
        <f t="array" ref="Z40">SUMPRODUCT((Name&lt;=Z$4)*(Length&gt;Y$4)*(Length="Posts")*(Length="Timber 120"))</f>
        <v>0</v>
      </c>
      <c r="AA40" s="842" cm="1">
        <f t="array" ref="AA40">SUMPRODUCT((Name&lt;=AA$4)*(Length&gt;Z$4)*(Length="Posts")*(Length="Timber 120"))</f>
        <v>0</v>
      </c>
      <c r="AB40" s="842" cm="1">
        <f t="array" ref="AB40">SUMPRODUCT((Name&lt;=AB$4)*(Length&gt;AA$4)*(Length="Posts")*(Length="Timber 120"))</f>
        <v>0</v>
      </c>
      <c r="AC40" s="842" cm="1">
        <f t="array" ref="AC40">SUMPRODUCT((Name&lt;=AC$4)*(Length&gt;AB$4)*(Length="Posts")*(Length="Timber 120"))</f>
        <v>0</v>
      </c>
      <c r="AD40" s="842" cm="1">
        <f t="array" ref="AD40">SUMPRODUCT((Name&lt;=AD$4)*(Length&gt;AC$4)*(Length="Posts")*(Length="Timber 120"))</f>
        <v>0</v>
      </c>
      <c r="AE40" s="842" cm="1">
        <f t="array" ref="AE40">SUMPRODUCT((Name&lt;=AE$4)*(Length&gt;AD$4)*(Length="Posts")*(Length="Timber 120"))</f>
        <v>0</v>
      </c>
      <c r="AF40" s="842" cm="1">
        <f t="array" ref="AF40">SUMPRODUCT((Name&lt;=AF$4)*(Length&gt;AE$4)*(Length="Posts")*(Length="Timber 120"))</f>
        <v>0</v>
      </c>
      <c r="AG40" s="842" cm="1">
        <f t="array" ref="AG40">SUMPRODUCT((Name&lt;=AG$4)*(Length&gt;AF$4)*(Length="Posts")*(Length="Timber 120"))</f>
        <v>0</v>
      </c>
      <c r="AH40" s="842" cm="1">
        <f t="array" ref="AH40">SUMPRODUCT((Name&lt;=AH$4)*(Length&gt;AG$4)*(Length="Posts")*(Length="Timber 120"))</f>
        <v>0</v>
      </c>
      <c r="AI40" s="842" cm="1">
        <f t="array" ref="AI40">SUMPRODUCT((Name&lt;=AI$4)*(Length&gt;AH$4)*(Length="Posts")*(Length="Timber 120"))</f>
        <v>0</v>
      </c>
      <c r="AJ40" s="842" cm="1">
        <f t="array" ref="AJ40">SUMPRODUCT((Name&lt;=AJ$4)*(Length&gt;AI$4)*(Length="Posts")*(Length="Timber 120"))</f>
        <v>0</v>
      </c>
      <c r="AK40" s="842" cm="1">
        <f t="array" ref="AK40">SUMPRODUCT((Name&lt;=AK$4)*(Length&gt;AJ$4)*(Length="Posts")*(Length="Timber 120"))</f>
        <v>0</v>
      </c>
      <c r="AL40" s="842" cm="1">
        <f t="array" ref="AL40">SUMPRODUCT((Name&lt;=AL$4)*(Length&gt;AK$4)*(Length="Posts")*(Length="Timber 120"))</f>
        <v>0</v>
      </c>
      <c r="AM40" s="842" cm="1">
        <f t="array" ref="AM40">SUMPRODUCT((Name&lt;=AM$4)*(Length&gt;AL$4)*(Length="Posts")*(Length="Timber 120"))</f>
        <v>0</v>
      </c>
      <c r="AN40" s="842" cm="1">
        <f t="array" ref="AN40">SUMPRODUCT((Name&lt;=AN$4)*(Length&gt;AM$4)*(Length="Posts")*(Length="Timber 120"))</f>
        <v>0</v>
      </c>
      <c r="AO40" s="842" cm="1">
        <f t="array" ref="AO40">SUMPRODUCT((Name&lt;=AO$4)*(Length&gt;AN$4)*(Length="Posts")*(Length="Timber 120"))</f>
        <v>0</v>
      </c>
      <c r="AP40" s="844"/>
      <c r="AQ40" s="323"/>
      <c r="AR40" s="24"/>
      <c r="AS40" s="217"/>
    </row>
    <row r="41" spans="1:45" ht="12.75" customHeight="1" x14ac:dyDescent="0.2">
      <c r="A41" s="840" t="s">
        <v>1106</v>
      </c>
      <c r="B41" s="1000" t="s">
        <v>370</v>
      </c>
      <c r="C41" s="842">
        <f>COUNTIFS(Name,$A41,Length,"&lt;="&amp;C$4,Length,"&gt;"&amp;B$4,Height,B41)</f>
        <v>0</v>
      </c>
      <c r="D41" s="842">
        <f t="shared" ref="D41:AO41" si="14">COUNTIFS(Name,$A41,Length,"&lt;="&amp;D$4,Length,"&gt;"&amp;C$4,Height,$B41)</f>
        <v>0</v>
      </c>
      <c r="E41" s="842">
        <f t="shared" si="14"/>
        <v>0</v>
      </c>
      <c r="F41" s="842">
        <f t="shared" si="14"/>
        <v>0</v>
      </c>
      <c r="G41" s="842">
        <f t="shared" si="14"/>
        <v>0</v>
      </c>
      <c r="H41" s="842">
        <f t="shared" si="14"/>
        <v>0</v>
      </c>
      <c r="I41" s="842">
        <f t="shared" si="14"/>
        <v>0</v>
      </c>
      <c r="J41" s="842">
        <f t="shared" si="14"/>
        <v>0</v>
      </c>
      <c r="K41" s="842">
        <f t="shared" si="14"/>
        <v>0</v>
      </c>
      <c r="L41" s="842">
        <f t="shared" si="14"/>
        <v>0</v>
      </c>
      <c r="M41" s="842">
        <f t="shared" si="14"/>
        <v>0</v>
      </c>
      <c r="N41" s="842">
        <f t="shared" si="14"/>
        <v>0</v>
      </c>
      <c r="O41" s="842">
        <f t="shared" si="14"/>
        <v>0</v>
      </c>
      <c r="P41" s="842">
        <f t="shared" si="14"/>
        <v>0</v>
      </c>
      <c r="Q41" s="842">
        <f t="shared" si="14"/>
        <v>0</v>
      </c>
      <c r="R41" s="842">
        <f t="shared" si="14"/>
        <v>0</v>
      </c>
      <c r="S41" s="842">
        <f t="shared" si="14"/>
        <v>0</v>
      </c>
      <c r="T41" s="842">
        <f t="shared" si="14"/>
        <v>0</v>
      </c>
      <c r="U41" s="842">
        <f t="shared" si="14"/>
        <v>0</v>
      </c>
      <c r="V41" s="842">
        <f t="shared" si="14"/>
        <v>0</v>
      </c>
      <c r="W41" s="842">
        <f t="shared" si="14"/>
        <v>0</v>
      </c>
      <c r="X41" s="842">
        <f t="shared" si="14"/>
        <v>0</v>
      </c>
      <c r="Y41" s="842">
        <f t="shared" si="14"/>
        <v>0</v>
      </c>
      <c r="Z41" s="842">
        <f t="shared" si="14"/>
        <v>0</v>
      </c>
      <c r="AA41" s="842">
        <f t="shared" si="14"/>
        <v>0</v>
      </c>
      <c r="AB41" s="842">
        <f t="shared" si="14"/>
        <v>0</v>
      </c>
      <c r="AC41" s="842">
        <f t="shared" si="14"/>
        <v>0</v>
      </c>
      <c r="AD41" s="842">
        <f t="shared" si="14"/>
        <v>0</v>
      </c>
      <c r="AE41" s="842">
        <f t="shared" si="14"/>
        <v>0</v>
      </c>
      <c r="AF41" s="842">
        <f t="shared" si="14"/>
        <v>0</v>
      </c>
      <c r="AG41" s="842">
        <f t="shared" si="14"/>
        <v>0</v>
      </c>
      <c r="AH41" s="842">
        <f t="shared" si="14"/>
        <v>0</v>
      </c>
      <c r="AI41" s="842">
        <f t="shared" si="14"/>
        <v>0</v>
      </c>
      <c r="AJ41" s="842">
        <f t="shared" si="14"/>
        <v>0</v>
      </c>
      <c r="AK41" s="842">
        <f t="shared" si="14"/>
        <v>0</v>
      </c>
      <c r="AL41" s="842">
        <f t="shared" si="14"/>
        <v>0</v>
      </c>
      <c r="AM41" s="842">
        <f t="shared" si="14"/>
        <v>0</v>
      </c>
      <c r="AN41" s="842">
        <f t="shared" si="14"/>
        <v>0</v>
      </c>
      <c r="AO41" s="842">
        <f t="shared" si="14"/>
        <v>0</v>
      </c>
      <c r="AP41" s="844">
        <f>SUMPRODUCT($C$4:$AO$4,C41:AO41)</f>
        <v>0</v>
      </c>
      <c r="AQ41" s="323"/>
      <c r="AR41" s="24"/>
      <c r="AS41" s="217"/>
    </row>
    <row r="42" spans="1:45" ht="12.75" customHeight="1" x14ac:dyDescent="0.2">
      <c r="A42" s="840" t="s">
        <v>1106</v>
      </c>
      <c r="B42" s="1000" t="s">
        <v>371</v>
      </c>
      <c r="C42" s="842">
        <f>COUNTIFS(Name,$A42,Length,"&lt;="&amp;C$4,Length,"&gt;"&amp;B$4,Height,B42)</f>
        <v>0</v>
      </c>
      <c r="D42" s="842">
        <f t="shared" ref="D42:AO42" si="15">COUNTIFS(Name,$A42,Length,"&lt;="&amp;D$4,Length,"&gt;"&amp;C$4,Height,$B42)</f>
        <v>0</v>
      </c>
      <c r="E42" s="842">
        <f t="shared" si="15"/>
        <v>0</v>
      </c>
      <c r="F42" s="842">
        <f t="shared" si="15"/>
        <v>0</v>
      </c>
      <c r="G42" s="842">
        <f t="shared" si="15"/>
        <v>0</v>
      </c>
      <c r="H42" s="842">
        <f t="shared" si="15"/>
        <v>0</v>
      </c>
      <c r="I42" s="842">
        <f t="shared" si="15"/>
        <v>0</v>
      </c>
      <c r="J42" s="842">
        <f t="shared" si="15"/>
        <v>0</v>
      </c>
      <c r="K42" s="842">
        <f t="shared" si="15"/>
        <v>0</v>
      </c>
      <c r="L42" s="842">
        <f t="shared" si="15"/>
        <v>0</v>
      </c>
      <c r="M42" s="842">
        <f t="shared" si="15"/>
        <v>0</v>
      </c>
      <c r="N42" s="842">
        <f t="shared" si="15"/>
        <v>0</v>
      </c>
      <c r="O42" s="842">
        <f t="shared" si="15"/>
        <v>0</v>
      </c>
      <c r="P42" s="842">
        <f t="shared" si="15"/>
        <v>0</v>
      </c>
      <c r="Q42" s="842">
        <f t="shared" si="15"/>
        <v>0</v>
      </c>
      <c r="R42" s="842">
        <f t="shared" si="15"/>
        <v>0</v>
      </c>
      <c r="S42" s="842">
        <f t="shared" si="15"/>
        <v>0</v>
      </c>
      <c r="T42" s="842">
        <f t="shared" si="15"/>
        <v>0</v>
      </c>
      <c r="U42" s="842">
        <f t="shared" si="15"/>
        <v>0</v>
      </c>
      <c r="V42" s="842">
        <f t="shared" si="15"/>
        <v>0</v>
      </c>
      <c r="W42" s="842">
        <f t="shared" si="15"/>
        <v>0</v>
      </c>
      <c r="X42" s="842">
        <f t="shared" si="15"/>
        <v>0</v>
      </c>
      <c r="Y42" s="842">
        <f t="shared" si="15"/>
        <v>0</v>
      </c>
      <c r="Z42" s="842">
        <f t="shared" si="15"/>
        <v>0</v>
      </c>
      <c r="AA42" s="842">
        <f t="shared" si="15"/>
        <v>0</v>
      </c>
      <c r="AB42" s="842">
        <f t="shared" si="15"/>
        <v>0</v>
      </c>
      <c r="AC42" s="842">
        <f t="shared" si="15"/>
        <v>0</v>
      </c>
      <c r="AD42" s="842">
        <f t="shared" si="15"/>
        <v>0</v>
      </c>
      <c r="AE42" s="842">
        <f t="shared" si="15"/>
        <v>0</v>
      </c>
      <c r="AF42" s="842">
        <f t="shared" si="15"/>
        <v>0</v>
      </c>
      <c r="AG42" s="842">
        <f t="shared" si="15"/>
        <v>0</v>
      </c>
      <c r="AH42" s="842">
        <f t="shared" si="15"/>
        <v>0</v>
      </c>
      <c r="AI42" s="842">
        <f t="shared" si="15"/>
        <v>0</v>
      </c>
      <c r="AJ42" s="842">
        <f t="shared" si="15"/>
        <v>0</v>
      </c>
      <c r="AK42" s="842">
        <f t="shared" si="15"/>
        <v>0</v>
      </c>
      <c r="AL42" s="842">
        <f t="shared" si="15"/>
        <v>0</v>
      </c>
      <c r="AM42" s="842">
        <f t="shared" si="15"/>
        <v>0</v>
      </c>
      <c r="AN42" s="842">
        <f t="shared" si="15"/>
        <v>0</v>
      </c>
      <c r="AO42" s="842">
        <f t="shared" si="15"/>
        <v>0</v>
      </c>
      <c r="AP42" s="844">
        <f>SUMPRODUCT($C$4:$AO$4,C42:AO42)</f>
        <v>0</v>
      </c>
      <c r="AQ42" s="323"/>
      <c r="AR42" s="24"/>
      <c r="AS42" s="823"/>
    </row>
    <row r="43" spans="1:45" ht="12.75" customHeight="1" x14ac:dyDescent="0.2">
      <c r="A43" s="840" t="s">
        <v>1106</v>
      </c>
      <c r="B43" s="1000" t="s">
        <v>2434</v>
      </c>
      <c r="C43" s="842">
        <f>COUNTIFS(Name,$A43,Length,"&lt;="&amp;C$4,Length,"&gt;"&amp;B$4,Height,B43)</f>
        <v>0</v>
      </c>
      <c r="D43" s="842">
        <f t="shared" ref="D43:AO43" si="16">COUNTIFS(Name,$A43,Length,"&lt;="&amp;D$4,Length,"&gt;"&amp;C$4,Height,$B43)</f>
        <v>0</v>
      </c>
      <c r="E43" s="842">
        <f t="shared" si="16"/>
        <v>0</v>
      </c>
      <c r="F43" s="842">
        <f t="shared" si="16"/>
        <v>0</v>
      </c>
      <c r="G43" s="842">
        <f t="shared" si="16"/>
        <v>0</v>
      </c>
      <c r="H43" s="842">
        <f t="shared" si="16"/>
        <v>0</v>
      </c>
      <c r="I43" s="842">
        <f t="shared" si="16"/>
        <v>0</v>
      </c>
      <c r="J43" s="842">
        <f t="shared" si="16"/>
        <v>0</v>
      </c>
      <c r="K43" s="842">
        <f t="shared" si="16"/>
        <v>0</v>
      </c>
      <c r="L43" s="842">
        <f t="shared" si="16"/>
        <v>0</v>
      </c>
      <c r="M43" s="842">
        <f t="shared" si="16"/>
        <v>0</v>
      </c>
      <c r="N43" s="842">
        <f t="shared" si="16"/>
        <v>0</v>
      </c>
      <c r="O43" s="842">
        <f t="shared" si="16"/>
        <v>0</v>
      </c>
      <c r="P43" s="842">
        <f t="shared" si="16"/>
        <v>0</v>
      </c>
      <c r="Q43" s="842">
        <f t="shared" si="16"/>
        <v>0</v>
      </c>
      <c r="R43" s="842">
        <f t="shared" si="16"/>
        <v>0</v>
      </c>
      <c r="S43" s="842">
        <f t="shared" si="16"/>
        <v>0</v>
      </c>
      <c r="T43" s="842">
        <f t="shared" si="16"/>
        <v>0</v>
      </c>
      <c r="U43" s="842">
        <f t="shared" si="16"/>
        <v>0</v>
      </c>
      <c r="V43" s="842">
        <f t="shared" si="16"/>
        <v>0</v>
      </c>
      <c r="W43" s="842">
        <f t="shared" si="16"/>
        <v>0</v>
      </c>
      <c r="X43" s="842">
        <f t="shared" si="16"/>
        <v>0</v>
      </c>
      <c r="Y43" s="842">
        <f t="shared" si="16"/>
        <v>0</v>
      </c>
      <c r="Z43" s="842">
        <f t="shared" si="16"/>
        <v>0</v>
      </c>
      <c r="AA43" s="842">
        <f t="shared" si="16"/>
        <v>0</v>
      </c>
      <c r="AB43" s="842">
        <f t="shared" si="16"/>
        <v>0</v>
      </c>
      <c r="AC43" s="842">
        <f t="shared" si="16"/>
        <v>0</v>
      </c>
      <c r="AD43" s="842">
        <f t="shared" si="16"/>
        <v>0</v>
      </c>
      <c r="AE43" s="842">
        <f t="shared" si="16"/>
        <v>0</v>
      </c>
      <c r="AF43" s="842">
        <f t="shared" si="16"/>
        <v>0</v>
      </c>
      <c r="AG43" s="842">
        <f t="shared" si="16"/>
        <v>0</v>
      </c>
      <c r="AH43" s="842">
        <f t="shared" si="16"/>
        <v>0</v>
      </c>
      <c r="AI43" s="842">
        <f t="shared" si="16"/>
        <v>0</v>
      </c>
      <c r="AJ43" s="842">
        <f t="shared" si="16"/>
        <v>0</v>
      </c>
      <c r="AK43" s="842">
        <f t="shared" si="16"/>
        <v>0</v>
      </c>
      <c r="AL43" s="842">
        <f t="shared" si="16"/>
        <v>0</v>
      </c>
      <c r="AM43" s="842">
        <f t="shared" si="16"/>
        <v>0</v>
      </c>
      <c r="AN43" s="842">
        <f t="shared" si="16"/>
        <v>0</v>
      </c>
      <c r="AO43" s="842">
        <f t="shared" si="16"/>
        <v>0</v>
      </c>
      <c r="AP43" s="844"/>
      <c r="AQ43" s="323"/>
      <c r="AR43" s="24"/>
      <c r="AS43" s="823"/>
    </row>
    <row r="44" spans="1:45" ht="12.75" customHeight="1" x14ac:dyDescent="0.2">
      <c r="A44" s="840" t="s">
        <v>1614</v>
      </c>
      <c r="B44" s="1000" t="s">
        <v>331</v>
      </c>
      <c r="C44" s="842" cm="1">
        <f t="array" ref="C44">SUMPRODUCT((Name=$B$44)*(Length=C$4))</f>
        <v>0</v>
      </c>
      <c r="D44" s="842" cm="1">
        <f t="array" ref="D44">SUMPRODUCT((Name=$B$44)*(Length=D$4))</f>
        <v>0</v>
      </c>
      <c r="E44" s="842" cm="1">
        <f t="array" ref="E44">SUMPRODUCT((Name=$B$44)*(Length=E$4))</f>
        <v>0</v>
      </c>
      <c r="F44" s="842" cm="1">
        <f t="array" ref="F44">SUMPRODUCT((Name=$B$44)*(Length=F$4))</f>
        <v>0</v>
      </c>
      <c r="G44" s="842" cm="1">
        <f t="array" ref="G44">SUMPRODUCT((Name=$B$44)*(Length=G$4))</f>
        <v>0</v>
      </c>
      <c r="H44" s="842" cm="1">
        <f t="array" ref="H44">SUMPRODUCT((Name=$B$44)*(Length=H$4))</f>
        <v>0</v>
      </c>
      <c r="I44" s="842" cm="1">
        <f t="array" ref="I44">SUMPRODUCT((Name=$B$44)*(Length=I$4))</f>
        <v>0</v>
      </c>
      <c r="J44" s="842" cm="1">
        <f t="array" ref="J44">SUMPRODUCT((Name=$B$44)*(Length=J$4))</f>
        <v>0</v>
      </c>
      <c r="K44" s="842" cm="1">
        <f t="array" ref="K44">SUMPRODUCT((Name=$B$44)*(Length=K$4))</f>
        <v>0</v>
      </c>
      <c r="L44" s="842" cm="1">
        <f t="array" ref="L44">SUMPRODUCT((Name=$B$44)*(Length=L$4))</f>
        <v>0</v>
      </c>
      <c r="M44" s="842" cm="1">
        <f t="array" ref="M44">SUMPRODUCT((Name=$B$44)*(Length=M$4))</f>
        <v>0</v>
      </c>
      <c r="N44" s="842" cm="1">
        <f t="array" ref="N44">SUMPRODUCT((Name=$B$44)*(Length=N$4))</f>
        <v>0</v>
      </c>
      <c r="O44" s="842" cm="1">
        <f t="array" ref="O44">SUMPRODUCT((Name=$B$44)*(Length=O$4))</f>
        <v>0</v>
      </c>
      <c r="P44" s="842" cm="1">
        <f t="array" ref="P44">SUMPRODUCT((Name=$B$44)*(Length=P$4))</f>
        <v>0</v>
      </c>
      <c r="Q44" s="842" cm="1">
        <f t="array" ref="Q44">SUMPRODUCT((Name=$B$44)*(Length=Q$4))</f>
        <v>0</v>
      </c>
      <c r="R44" s="842" cm="1">
        <f t="array" ref="R44">SUMPRODUCT((Name=$B$44)*(Length=R$4))</f>
        <v>0</v>
      </c>
      <c r="S44" s="842" cm="1">
        <f t="array" ref="S44">SUMPRODUCT((Name=$B$44)*(Length=S$4))</f>
        <v>0</v>
      </c>
      <c r="T44" s="842" cm="1">
        <f t="array" ref="T44">SUMPRODUCT((Name=$B$44)*(Length=T$4))</f>
        <v>0</v>
      </c>
      <c r="U44" s="842" cm="1">
        <f t="array" ref="U44">SUMPRODUCT((Name=$B$44)*(Length=U$4))</f>
        <v>0</v>
      </c>
      <c r="V44" s="842" cm="1">
        <f t="array" ref="V44">SUMPRODUCT((Name=$B$44)*(Length=V$4))</f>
        <v>0</v>
      </c>
      <c r="W44" s="842" cm="1">
        <f t="array" ref="W44">SUMPRODUCT((Name=$B$44)*(Length=W$4))</f>
        <v>0</v>
      </c>
      <c r="X44" s="842" cm="1">
        <f t="array" ref="X44">SUMPRODUCT((Name=$B$44)*(Length=X$4))</f>
        <v>0</v>
      </c>
      <c r="Y44" s="842" cm="1">
        <f t="array" ref="Y44">SUMPRODUCT((Name=$B$44)*(Length=Y$4))</f>
        <v>0</v>
      </c>
      <c r="Z44" s="842" cm="1">
        <f t="array" ref="Z44">SUMPRODUCT((Name=$B$44)*(Length=Z$4))</f>
        <v>0</v>
      </c>
      <c r="AA44" s="842" cm="1">
        <f t="array" ref="AA44">SUMPRODUCT((Name=$B$44)*(Length=AA$4))</f>
        <v>0</v>
      </c>
      <c r="AB44" s="842" cm="1">
        <f t="array" ref="AB44">SUMPRODUCT((Name=$B$44)*(Length=AB$4))</f>
        <v>0</v>
      </c>
      <c r="AC44" s="842" cm="1">
        <f t="array" ref="AC44">SUMPRODUCT((Name=$B$44)*(Length=AC$4))</f>
        <v>0</v>
      </c>
      <c r="AD44" s="842" cm="1">
        <f t="array" ref="AD44">SUMPRODUCT((Name=$B$44)*(Length=AD$4))</f>
        <v>0</v>
      </c>
      <c r="AE44" s="842" cm="1">
        <f t="array" ref="AE44">SUMPRODUCT((Name=$B$44)*(Length=AE$4))</f>
        <v>0</v>
      </c>
      <c r="AF44" s="842" cm="1">
        <f t="array" ref="AF44">SUMPRODUCT((Name=$B$44)*(Length=AF$4))</f>
        <v>0</v>
      </c>
      <c r="AG44" s="842" cm="1">
        <f t="array" ref="AG44">SUMPRODUCT((Name=$B$44)*(Length=AG$4))</f>
        <v>0</v>
      </c>
      <c r="AH44" s="842" cm="1">
        <f t="array" ref="AH44">SUMPRODUCT((Name=$B$44)*(Length=AH$4))</f>
        <v>0</v>
      </c>
      <c r="AI44" s="842" cm="1">
        <f t="array" ref="AI44">SUMPRODUCT((Name=$B$44)*(Length=AI$4))</f>
        <v>0</v>
      </c>
      <c r="AJ44" s="842" cm="1">
        <f t="array" ref="AJ44">SUMPRODUCT((Name=$B$44)*(Length=AJ$4))</f>
        <v>0</v>
      </c>
      <c r="AK44" s="842" cm="1">
        <f t="array" ref="AK44">SUMPRODUCT((Name=$B$44)*(Length=AK$4))</f>
        <v>0</v>
      </c>
      <c r="AL44" s="842" cm="1">
        <f t="array" ref="AL44">SUMPRODUCT((Name=$B$44)*(Length=AL$4))</f>
        <v>0</v>
      </c>
      <c r="AM44" s="842" cm="1">
        <f t="array" ref="AM44">SUMPRODUCT((Name=$B$44)*(Length=AM$4))</f>
        <v>0</v>
      </c>
      <c r="AN44" s="842" cm="1">
        <f t="array" ref="AN44">SUMPRODUCT((Name=$B$44)*(Length=AN$4))</f>
        <v>0</v>
      </c>
      <c r="AO44" s="842" cm="1">
        <f t="array" ref="AO44">SUMPRODUCT((Name=$B$44)*(Length=AO$4))</f>
        <v>0</v>
      </c>
      <c r="AP44" s="844">
        <f>SUMPRODUCT($C$4:$AO$4,C44:AO44)</f>
        <v>0</v>
      </c>
      <c r="AQ44" s="323"/>
      <c r="AR44" s="24"/>
      <c r="AS44" s="823"/>
    </row>
    <row r="45" spans="1:45" ht="12.75" customHeight="1" x14ac:dyDescent="0.2">
      <c r="A45" s="839" t="s">
        <v>375</v>
      </c>
      <c r="B45" s="1000"/>
      <c r="C45" s="1004"/>
      <c r="D45" s="1004"/>
      <c r="E45" s="1004"/>
      <c r="F45" s="1004"/>
      <c r="G45" s="1004"/>
      <c r="H45" s="1004"/>
      <c r="I45" s="1004"/>
      <c r="J45" s="1004"/>
      <c r="K45" s="1004"/>
      <c r="L45" s="1004"/>
      <c r="M45" s="1004"/>
      <c r="N45" s="1004"/>
      <c r="O45" s="1004"/>
      <c r="P45" s="1004"/>
      <c r="Q45" s="1004"/>
      <c r="R45" s="1004"/>
      <c r="S45" s="1004"/>
      <c r="T45" s="1004"/>
      <c r="U45" s="1004"/>
      <c r="V45" s="1004"/>
      <c r="W45" s="1004"/>
      <c r="X45" s="1004"/>
      <c r="Y45" s="1004"/>
      <c r="Z45" s="1004"/>
      <c r="AA45" s="1004"/>
      <c r="AB45" s="1004"/>
      <c r="AC45" s="1004"/>
      <c r="AD45" s="1004"/>
      <c r="AE45" s="1004"/>
      <c r="AF45" s="1004"/>
      <c r="AG45" s="1004"/>
      <c r="AH45" s="1004"/>
      <c r="AI45" s="1004"/>
      <c r="AJ45" s="1004"/>
      <c r="AK45" s="1004"/>
      <c r="AL45" s="1004"/>
      <c r="AM45" s="1004"/>
      <c r="AN45" s="1004"/>
      <c r="AO45" s="1004"/>
      <c r="AP45" s="1012"/>
      <c r="AQ45" s="323"/>
      <c r="AR45" s="24"/>
      <c r="AS45" s="217"/>
    </row>
    <row r="46" spans="1:45" ht="12.75" customHeight="1" x14ac:dyDescent="0.2">
      <c r="A46" s="840" t="s">
        <v>1220</v>
      </c>
      <c r="B46" s="1000" t="s">
        <v>317</v>
      </c>
      <c r="C46" s="842" cm="1">
        <f t="array" ref="C46">SUMPRODUCT((Name="Rafter")*(Length=$B$46)*(Length=C$4))</f>
        <v>0</v>
      </c>
      <c r="D46" s="842" cm="1">
        <f t="array" ref="D46">SUMPRODUCT((Name="Rafter")*(Length=$B$46)*(Length=D$4))</f>
        <v>0</v>
      </c>
      <c r="E46" s="842" cm="1">
        <f t="array" ref="E46">SUMPRODUCT((Name="Rafter")*(Length=$B$46)*(Length=E$4))</f>
        <v>0</v>
      </c>
      <c r="F46" s="842" cm="1">
        <f t="array" ref="F46">SUMPRODUCT((Name="Rafter")*(Length=$B$46)*(Length=F$4))</f>
        <v>0</v>
      </c>
      <c r="G46" s="842" cm="1">
        <f t="array" ref="G46">SUMPRODUCT((Name="Rafter")*(Length=$B$46)*(Length=G$4))</f>
        <v>0</v>
      </c>
      <c r="H46" s="842" cm="1">
        <f t="array" ref="H46">SUMPRODUCT((Name="Rafter")*(Length=$B$46)*(Length=H$4))</f>
        <v>0</v>
      </c>
      <c r="I46" s="842" cm="1">
        <f t="array" ref="I46">SUMPRODUCT((Name="Rafter")*(Length=$B$46)*(Length=I$4))</f>
        <v>0</v>
      </c>
      <c r="J46" s="842" cm="1">
        <f t="array" ref="J46">SUMPRODUCT((Name="Rafter")*(Length=$B$46)*(Length=J$4))</f>
        <v>0</v>
      </c>
      <c r="K46" s="842" cm="1">
        <f t="array" ref="K46">SUMPRODUCT((Name="Rafter")*(Length=$B$46)*(Length=K$4))</f>
        <v>0</v>
      </c>
      <c r="L46" s="842" cm="1">
        <f t="array" ref="L46">SUMPRODUCT((Name="Rafter")*(Length=$B$46)*(Length=L$4))</f>
        <v>0</v>
      </c>
      <c r="M46" s="842" cm="1">
        <f t="array" ref="M46">SUMPRODUCT((Name="Rafter")*(Length=$B$46)*(Length=M$4))</f>
        <v>0</v>
      </c>
      <c r="N46" s="842" cm="1">
        <f t="array" ref="N46">SUMPRODUCT((Name="Rafter")*(Length=$B$46)*(Length=N$4))</f>
        <v>0</v>
      </c>
      <c r="O46" s="842" cm="1">
        <f t="array" ref="O46">SUMPRODUCT((Name="Rafter")*(Length=$B$46)*(Length=O$4))</f>
        <v>0</v>
      </c>
      <c r="P46" s="842" cm="1">
        <f t="array" ref="P46">SUMPRODUCT((Name="Rafter")*(Length=$B$46)*(Length=P$4))</f>
        <v>0</v>
      </c>
      <c r="Q46" s="842" cm="1">
        <f t="array" ref="Q46">SUMPRODUCT((Name="Rafter")*(Length=$B$46)*(Length=Q$4))</f>
        <v>0</v>
      </c>
      <c r="R46" s="842" cm="1">
        <f t="array" ref="R46">SUMPRODUCT((Name="Rafter")*(Length=$B$46)*(Length=R$4))</f>
        <v>0</v>
      </c>
      <c r="S46" s="842" cm="1">
        <f t="array" ref="S46">SUMPRODUCT((Name="Rafter")*(Length=$B$46)*(Length=S$4))</f>
        <v>0</v>
      </c>
      <c r="T46" s="842" cm="1">
        <f t="array" ref="T46">SUMPRODUCT((Name="Rafter")*(Length=$B$46)*(Length=T$4))</f>
        <v>0</v>
      </c>
      <c r="U46" s="842" cm="1">
        <f t="array" ref="U46">SUMPRODUCT((Name="Rafter")*(Length=$B$46)*(Length=U$4))</f>
        <v>0</v>
      </c>
      <c r="V46" s="843"/>
      <c r="W46" s="843"/>
      <c r="X46" s="843"/>
      <c r="Y46" s="843"/>
      <c r="Z46" s="843"/>
      <c r="AA46" s="843"/>
      <c r="AB46" s="843"/>
      <c r="AC46" s="843"/>
      <c r="AD46" s="843"/>
      <c r="AE46" s="843"/>
      <c r="AF46" s="843"/>
      <c r="AG46" s="843"/>
      <c r="AH46" s="843"/>
      <c r="AI46" s="843"/>
      <c r="AJ46" s="843"/>
      <c r="AK46" s="843"/>
      <c r="AL46" s="843"/>
      <c r="AM46" s="843"/>
      <c r="AN46" s="843"/>
      <c r="AO46" s="843"/>
      <c r="AP46" s="844">
        <f t="shared" ref="AP46:AP53" si="17">SUMPRODUCT($C$4:$AO$4,C46:AO46)</f>
        <v>0</v>
      </c>
      <c r="AQ46" s="323"/>
      <c r="AR46" s="24"/>
      <c r="AS46" s="217"/>
    </row>
    <row r="47" spans="1:45" ht="12.75" customHeight="1" x14ac:dyDescent="0.2">
      <c r="A47" s="840" t="s">
        <v>1221</v>
      </c>
      <c r="B47" s="1000" t="s">
        <v>317</v>
      </c>
      <c r="C47" s="843"/>
      <c r="D47" s="843"/>
      <c r="E47" s="843"/>
      <c r="F47" s="843"/>
      <c r="G47" s="843"/>
      <c r="H47" s="843"/>
      <c r="I47" s="843"/>
      <c r="J47" s="843"/>
      <c r="K47" s="843"/>
      <c r="L47" s="843"/>
      <c r="M47" s="843"/>
      <c r="N47" s="843"/>
      <c r="O47" s="843"/>
      <c r="P47" s="843"/>
      <c r="Q47" s="843"/>
      <c r="R47" s="843"/>
      <c r="S47" s="843"/>
      <c r="T47" s="843"/>
      <c r="U47" s="843"/>
      <c r="V47" s="842" cm="1">
        <f t="array" ref="V47">SUMPRODUCT((Name="Rafter")*(Length=$B$47)*(Length=V$4))</f>
        <v>0</v>
      </c>
      <c r="W47" s="842" cm="1">
        <f t="array" ref="W47">SUMPRODUCT((Name="Rafter")*(Length=$B$47)*(Length=W$4))</f>
        <v>0</v>
      </c>
      <c r="X47" s="842" cm="1">
        <f t="array" ref="X47">SUMPRODUCT((Name="Rafter")*(Length=$B$47)*(Length=X$4))</f>
        <v>0</v>
      </c>
      <c r="Y47" s="842" cm="1">
        <f t="array" ref="Y47">SUMPRODUCT((Name="Rafter")*(Length=$B$47)*(Length=Y$4))</f>
        <v>0</v>
      </c>
      <c r="Z47" s="842" cm="1">
        <f t="array" ref="Z47">SUMPRODUCT((Name="Rafter")*(Length=$B$47)*(Length=Z$4))</f>
        <v>0</v>
      </c>
      <c r="AA47" s="842" cm="1">
        <f t="array" ref="AA47">SUMPRODUCT((Name="Rafter")*(Length=$B$47)*(Length=AA$4))</f>
        <v>0</v>
      </c>
      <c r="AB47" s="842" cm="1">
        <f t="array" ref="AB47">SUMPRODUCT((Name="Rafter")*(Length=$B$47)*(Length=AB$4))</f>
        <v>0</v>
      </c>
      <c r="AC47" s="842" cm="1">
        <f t="array" ref="AC47">SUMPRODUCT((Name="Rafter")*(Length=$B$47)*(Length=AC$4))</f>
        <v>0</v>
      </c>
      <c r="AD47" s="842" cm="1">
        <f t="array" ref="AD47">SUMPRODUCT((Name="Rafter")*(Length=$B$47)*(Length=AD$4))</f>
        <v>0</v>
      </c>
      <c r="AE47" s="842" cm="1">
        <f t="array" ref="AE47">SUMPRODUCT((Name="Rafter")*(Length=$B$47)*(Length=AE$4))</f>
        <v>0</v>
      </c>
      <c r="AF47" s="842" cm="1">
        <f t="array" ref="AF47">SUMPRODUCT((Name="Rafter")*(Length=$B$47)*(Length=AF$4))</f>
        <v>0</v>
      </c>
      <c r="AG47" s="842" cm="1">
        <f t="array" ref="AG47">SUMPRODUCT((Name="Rafter")*(Length=$B$47)*(Length=AG$4))</f>
        <v>0</v>
      </c>
      <c r="AH47" s="842" cm="1">
        <f t="array" ref="AH47">SUMPRODUCT((Name="Rafter")*(Length=$B$47)*(Length=AH$4))</f>
        <v>0</v>
      </c>
      <c r="AI47" s="842" cm="1">
        <f t="array" ref="AI47">SUMPRODUCT((Name="Rafter")*(Length=$B$47)*(Length=AI$4))</f>
        <v>0</v>
      </c>
      <c r="AJ47" s="842" cm="1">
        <f t="array" ref="AJ47">SUMPRODUCT((Name="Rafter")*(Length=$B$47)*(Length=AJ$4))</f>
        <v>0</v>
      </c>
      <c r="AK47" s="842" cm="1">
        <f t="array" ref="AK47">SUMPRODUCT((Name="Rafter")*(Length=$B$47)*(Length=AK$4))</f>
        <v>0</v>
      </c>
      <c r="AL47" s="842" cm="1">
        <f t="array" ref="AL47">SUMPRODUCT((Name="Rafter")*(Length=$B$47)*(Length=AL$4))</f>
        <v>0</v>
      </c>
      <c r="AM47" s="842" cm="1">
        <f t="array" ref="AM47">SUMPRODUCT((Name="Rafter")*(Length=$B$47)*(Length=AM$4))</f>
        <v>0</v>
      </c>
      <c r="AN47" s="842" cm="1">
        <f t="array" ref="AN47">SUMPRODUCT((Name="Rafter")*(Length=$B$47)*(Length=AN$4))</f>
        <v>0</v>
      </c>
      <c r="AO47" s="842" cm="1">
        <f t="array" ref="AO47">SUMPRODUCT((Name="Rafter")*(Length=$B$47)*(Length=AO$4))</f>
        <v>0</v>
      </c>
      <c r="AP47" s="844">
        <f t="shared" si="17"/>
        <v>0</v>
      </c>
      <c r="AQ47" s="323"/>
      <c r="AR47" s="24"/>
      <c r="AS47" s="217"/>
    </row>
    <row r="48" spans="1:45" ht="12.75" customHeight="1" x14ac:dyDescent="0.2">
      <c r="A48" s="840" t="s">
        <v>1827</v>
      </c>
      <c r="B48" s="1000" t="s">
        <v>311</v>
      </c>
      <c r="C48" s="843"/>
      <c r="D48" s="843"/>
      <c r="E48" s="843"/>
      <c r="F48" s="843"/>
      <c r="G48" s="843"/>
      <c r="H48" s="843"/>
      <c r="I48" s="843"/>
      <c r="J48" s="843"/>
      <c r="K48" s="843"/>
      <c r="L48" s="843"/>
      <c r="M48" s="843"/>
      <c r="N48" s="843"/>
      <c r="O48" s="843"/>
      <c r="P48" s="843"/>
      <c r="Q48" s="843"/>
      <c r="R48" s="843"/>
      <c r="S48" s="843"/>
      <c r="T48" s="843"/>
      <c r="U48" s="842">
        <f t="array" ref="U48">ROUNDUP(SUMPRODUCT(--(Name="Reverse Brick Veneer"),Length,SUMIF(Lists!$T$2:$T$150,Height,Lists!$W$2:$W$150))/1000*4.5/6,0)</f>
        <v>0</v>
      </c>
      <c r="V48" s="843"/>
      <c r="W48" s="843"/>
      <c r="X48" s="843"/>
      <c r="Y48" s="843"/>
      <c r="Z48" s="843"/>
      <c r="AA48" s="843"/>
      <c r="AB48" s="843"/>
      <c r="AC48" s="843"/>
      <c r="AD48" s="843"/>
      <c r="AE48" s="843"/>
      <c r="AF48" s="843"/>
      <c r="AG48" s="843"/>
      <c r="AH48" s="843"/>
      <c r="AI48" s="843"/>
      <c r="AJ48" s="843"/>
      <c r="AK48" s="843"/>
      <c r="AL48" s="843"/>
      <c r="AM48" s="843"/>
      <c r="AN48" s="843"/>
      <c r="AO48" s="843"/>
      <c r="AP48" s="844">
        <f t="shared" si="17"/>
        <v>0</v>
      </c>
      <c r="AQ48" s="323"/>
      <c r="AR48" s="24"/>
      <c r="AS48" s="217"/>
    </row>
    <row r="49" spans="1:45" ht="12.75" customHeight="1" x14ac:dyDescent="0.2">
      <c r="A49" s="840" t="s">
        <v>1828</v>
      </c>
      <c r="B49" s="1000" t="s">
        <v>311</v>
      </c>
      <c r="C49" s="843"/>
      <c r="D49" s="843"/>
      <c r="E49" s="843"/>
      <c r="F49" s="843"/>
      <c r="G49" s="843"/>
      <c r="H49" s="843"/>
      <c r="I49" s="843"/>
      <c r="J49" s="843"/>
      <c r="K49" s="843"/>
      <c r="L49" s="843"/>
      <c r="M49" s="843"/>
      <c r="N49" s="843"/>
      <c r="O49" s="843"/>
      <c r="P49" s="843"/>
      <c r="Q49" s="843"/>
      <c r="R49" s="843"/>
      <c r="S49" s="843"/>
      <c r="T49" s="843"/>
      <c r="U49" s="842" cm="1">
        <f t="array" ref="U49">ROUNDUP(SUMPRODUCT(--(Name="Studwork"),Length)*1.15/6,0)</f>
        <v>0</v>
      </c>
      <c r="V49" s="843"/>
      <c r="W49" s="843"/>
      <c r="X49" s="843"/>
      <c r="Y49" s="843"/>
      <c r="Z49" s="843"/>
      <c r="AA49" s="843"/>
      <c r="AB49" s="843"/>
      <c r="AC49" s="843"/>
      <c r="AD49" s="843"/>
      <c r="AE49" s="843"/>
      <c r="AF49" s="843"/>
      <c r="AG49" s="843"/>
      <c r="AH49" s="843"/>
      <c r="AI49" s="843"/>
      <c r="AJ49" s="843"/>
      <c r="AK49" s="843"/>
      <c r="AL49" s="843"/>
      <c r="AM49" s="843"/>
      <c r="AN49" s="843"/>
      <c r="AO49" s="843"/>
      <c r="AP49" s="844">
        <f t="shared" si="17"/>
        <v>0</v>
      </c>
      <c r="AQ49" s="323"/>
      <c r="AR49" s="24"/>
      <c r="AS49" s="217"/>
    </row>
    <row r="50" spans="1:45" ht="12.75" customHeight="1" x14ac:dyDescent="0.2">
      <c r="A50" s="840" t="s">
        <v>2341</v>
      </c>
      <c r="B50" s="1000" t="s">
        <v>312</v>
      </c>
      <c r="C50" s="843"/>
      <c r="D50" s="843"/>
      <c r="E50" s="843"/>
      <c r="F50" s="843"/>
      <c r="G50" s="843"/>
      <c r="H50" s="843"/>
      <c r="I50" s="843"/>
      <c r="J50" s="843"/>
      <c r="K50" s="843"/>
      <c r="L50" s="843"/>
      <c r="M50" s="843"/>
      <c r="N50" s="843"/>
      <c r="O50" s="843"/>
      <c r="P50" s="843"/>
      <c r="Q50" s="843"/>
      <c r="R50" s="843"/>
      <c r="S50" s="843"/>
      <c r="T50" s="843"/>
      <c r="U50" s="842">
        <f>ROUNDUP(SUMIF(Name,"Reverse Brick Veneer",Length)/6,0)</f>
        <v>0</v>
      </c>
      <c r="V50" s="843"/>
      <c r="W50" s="843"/>
      <c r="X50" s="843"/>
      <c r="Y50" s="843"/>
      <c r="Z50" s="843"/>
      <c r="AA50" s="843"/>
      <c r="AB50" s="843"/>
      <c r="AC50" s="843"/>
      <c r="AD50" s="843"/>
      <c r="AE50" s="843"/>
      <c r="AF50" s="843"/>
      <c r="AG50" s="843"/>
      <c r="AH50" s="843"/>
      <c r="AI50" s="843"/>
      <c r="AJ50" s="843"/>
      <c r="AK50" s="843"/>
      <c r="AL50" s="843"/>
      <c r="AM50" s="843"/>
      <c r="AN50" s="843"/>
      <c r="AO50" s="843"/>
      <c r="AP50" s="844">
        <f t="shared" si="17"/>
        <v>0</v>
      </c>
      <c r="AQ50" s="323"/>
      <c r="AR50" s="24"/>
      <c r="AS50" s="217"/>
    </row>
    <row r="51" spans="1:45" ht="12.75" customHeight="1" x14ac:dyDescent="0.2">
      <c r="A51" s="840" t="s">
        <v>1220</v>
      </c>
      <c r="B51" s="1000" t="s">
        <v>314</v>
      </c>
      <c r="C51" s="842" cm="1">
        <f t="array" ref="C51">SUMPRODUCT((Name="Rafter")*(Length=$B$51)*(Length=C$4))</f>
        <v>0</v>
      </c>
      <c r="D51" s="842" cm="1">
        <f t="array" ref="D51">SUMPRODUCT((Name="Rafter")*(Length=$B$51)*(Length=D$4))</f>
        <v>0</v>
      </c>
      <c r="E51" s="842" cm="1">
        <f t="array" ref="E51">SUMPRODUCT((Name="Rafter")*(Length=$B$51)*(Length=E$4))</f>
        <v>0</v>
      </c>
      <c r="F51" s="842" cm="1">
        <f t="array" ref="F51">SUMPRODUCT((Name="Rafter")*(Length=$B$51)*(Length=F$4))</f>
        <v>0</v>
      </c>
      <c r="G51" s="842" cm="1">
        <f t="array" ref="G51">SUMPRODUCT((Name="Rafter")*(Length=$B$51)*(Length=G$4))</f>
        <v>0</v>
      </c>
      <c r="H51" s="842" cm="1">
        <f t="array" ref="H51">SUMPRODUCT((Name="Rafter")*(Length=$B$51)*(Length=H$4))</f>
        <v>0</v>
      </c>
      <c r="I51" s="842" cm="1">
        <f t="array" ref="I51">SUMPRODUCT((Name="Rafter")*(Length=$B$51)*(Length=I$4))</f>
        <v>0</v>
      </c>
      <c r="J51" s="842" cm="1">
        <f t="array" ref="J51">SUMPRODUCT((Name="Rafter")*(Length=$B$51)*(Length=J$4))</f>
        <v>0</v>
      </c>
      <c r="K51" s="842" cm="1">
        <f t="array" ref="K51">SUMPRODUCT((Name="Rafter")*(Length=$B$51)*(Length=K$4))</f>
        <v>0</v>
      </c>
      <c r="L51" s="842" cm="1">
        <f t="array" ref="L51">SUMPRODUCT((Name="Rafter")*(Length=$B$51)*(Length=L$4))</f>
        <v>0</v>
      </c>
      <c r="M51" s="842" cm="1">
        <f t="array" ref="M51">SUMPRODUCT((Name="Rafter")*(Length=$B$51)*(Length=M$4))</f>
        <v>0</v>
      </c>
      <c r="N51" s="842" cm="1">
        <f t="array" ref="N51">SUMPRODUCT((Name="Rafter")*(Length=$B$51)*(Length=N$4))</f>
        <v>0</v>
      </c>
      <c r="O51" s="842" cm="1">
        <f t="array" ref="O51">SUMPRODUCT((Name="Rafter")*(Length=$B$51)*(Length=O$4))</f>
        <v>0</v>
      </c>
      <c r="P51" s="842" cm="1">
        <f t="array" ref="P51">SUMPRODUCT((Name="Rafter")*(Length=$B$51)*(Length=P$4))</f>
        <v>0</v>
      </c>
      <c r="Q51" s="842" cm="1">
        <f t="array" ref="Q51">SUMPRODUCT((Name="Rafter")*(Length=$B$51)*(Length=Q$4))</f>
        <v>0</v>
      </c>
      <c r="R51" s="842" cm="1">
        <f t="array" ref="R51">SUMPRODUCT((Name="Rafter")*(Length=$B$51)*(Length=R$4))</f>
        <v>0</v>
      </c>
      <c r="S51" s="842" cm="1">
        <f t="array" ref="S51">SUMPRODUCT((Name="Rafter")*(Length=$B$51)*(Length=S$4))</f>
        <v>0</v>
      </c>
      <c r="T51" s="842" cm="1">
        <f t="array" ref="T51">SUMPRODUCT((Name="Rafter")*(Length=$B$51)*(Length=T$4))</f>
        <v>0</v>
      </c>
      <c r="U51" s="842" cm="1">
        <f t="array" ref="U51">SUMPRODUCT((Name="Rafter")*(Length=$B$51)*(Length=U$4))</f>
        <v>0</v>
      </c>
      <c r="V51" s="843"/>
      <c r="W51" s="843"/>
      <c r="X51" s="843"/>
      <c r="Y51" s="843"/>
      <c r="Z51" s="843"/>
      <c r="AA51" s="843"/>
      <c r="AB51" s="843"/>
      <c r="AC51" s="843"/>
      <c r="AD51" s="843"/>
      <c r="AE51" s="843"/>
      <c r="AF51" s="843"/>
      <c r="AG51" s="843"/>
      <c r="AH51" s="843"/>
      <c r="AI51" s="843"/>
      <c r="AJ51" s="843"/>
      <c r="AK51" s="843"/>
      <c r="AL51" s="843"/>
      <c r="AM51" s="843"/>
      <c r="AN51" s="843"/>
      <c r="AO51" s="843"/>
      <c r="AP51" s="844">
        <f t="shared" si="17"/>
        <v>0</v>
      </c>
      <c r="AQ51" s="323"/>
      <c r="AR51" s="24"/>
      <c r="AS51" s="217"/>
    </row>
    <row r="52" spans="1:45" ht="12.75" customHeight="1" x14ac:dyDescent="0.2">
      <c r="A52" s="840" t="s">
        <v>1221</v>
      </c>
      <c r="B52" s="1000" t="s">
        <v>314</v>
      </c>
      <c r="C52" s="843"/>
      <c r="D52" s="843"/>
      <c r="E52" s="843"/>
      <c r="F52" s="843"/>
      <c r="G52" s="843"/>
      <c r="H52" s="843"/>
      <c r="I52" s="843"/>
      <c r="J52" s="843"/>
      <c r="K52" s="843"/>
      <c r="L52" s="843"/>
      <c r="M52" s="843"/>
      <c r="N52" s="843"/>
      <c r="O52" s="843"/>
      <c r="P52" s="843"/>
      <c r="Q52" s="843"/>
      <c r="R52" s="843"/>
      <c r="S52" s="843"/>
      <c r="T52" s="843"/>
      <c r="U52" s="843"/>
      <c r="V52" s="842" cm="1">
        <f t="array" ref="V52">SUMPRODUCT((Name="Rafter")*(Length=$B$52)*(Length=V$4))</f>
        <v>0</v>
      </c>
      <c r="W52" s="842" cm="1">
        <f t="array" ref="W52">SUMPRODUCT((Name="Rafter")*(Length=$B$52)*(Length=W$4))</f>
        <v>0</v>
      </c>
      <c r="X52" s="842" cm="1">
        <f t="array" ref="X52">SUMPRODUCT((Name="Rafter")*(Length=$B$52)*(Length=X$4))</f>
        <v>0</v>
      </c>
      <c r="Y52" s="842" cm="1">
        <f t="array" ref="Y52">SUMPRODUCT((Name="Rafter")*(Length=$B$52)*(Length=Y$4))</f>
        <v>0</v>
      </c>
      <c r="Z52" s="842" cm="1">
        <f t="array" ref="Z52">SUMPRODUCT((Name="Rafter")*(Length=$B$52)*(Length=Z$4))</f>
        <v>0</v>
      </c>
      <c r="AA52" s="842" cm="1">
        <f t="array" ref="AA52">SUMPRODUCT((Name="Rafter")*(Length=$B$52)*(Length=AA$4))</f>
        <v>0</v>
      </c>
      <c r="AB52" s="842" cm="1">
        <f t="array" ref="AB52">SUMPRODUCT((Name="Rafter")*(Length=$B$52)*(Length=AB$4))</f>
        <v>0</v>
      </c>
      <c r="AC52" s="842" cm="1">
        <f t="array" ref="AC52">SUMPRODUCT((Name="Rafter")*(Length=$B$52)*(Length=AC$4))</f>
        <v>0</v>
      </c>
      <c r="AD52" s="842" cm="1">
        <f t="array" ref="AD52">SUMPRODUCT((Name="Rafter")*(Length=$B$52)*(Length=AD$4))</f>
        <v>0</v>
      </c>
      <c r="AE52" s="842" cm="1">
        <f t="array" ref="AE52">SUMPRODUCT((Name="Rafter")*(Length=$B$52)*(Length=AE$4))</f>
        <v>0</v>
      </c>
      <c r="AF52" s="842" cm="1">
        <f t="array" ref="AF52">SUMPRODUCT((Name="Rafter")*(Length=$B$52)*(Length=AF$4))</f>
        <v>0</v>
      </c>
      <c r="AG52" s="842" cm="1">
        <f t="array" ref="AG52">SUMPRODUCT((Name="Rafter")*(Length=$B$52)*(Length=AG$4))</f>
        <v>0</v>
      </c>
      <c r="AH52" s="842" cm="1">
        <f t="array" ref="AH52">SUMPRODUCT((Name="Rafter")*(Length=$B$52)*(Length=AH$4))</f>
        <v>0</v>
      </c>
      <c r="AI52" s="842" cm="1">
        <f t="array" ref="AI52">SUMPRODUCT((Name="Rafter")*(Length=$B$52)*(Length=AI$4))</f>
        <v>0</v>
      </c>
      <c r="AJ52" s="842" cm="1">
        <f t="array" ref="AJ52">SUMPRODUCT((Name="Rafter")*(Length=$B$52)*(Length=AJ$4))</f>
        <v>0</v>
      </c>
      <c r="AK52" s="842" cm="1">
        <f t="array" ref="AK52">SUMPRODUCT((Name="Rafter")*(Length=$B$52)*(Length=AK$4))</f>
        <v>0</v>
      </c>
      <c r="AL52" s="842" cm="1">
        <f t="array" ref="AL52">SUMPRODUCT((Name="Rafter")*(Length=$B$52)*(Length=AL$4))</f>
        <v>0</v>
      </c>
      <c r="AM52" s="842" cm="1">
        <f t="array" ref="AM52">SUMPRODUCT((Name="Rafter")*(Length=$B$52)*(Length=AM$4))</f>
        <v>0</v>
      </c>
      <c r="AN52" s="842" cm="1">
        <f t="array" ref="AN52">SUMPRODUCT((Name="Rafter")*(Length=$B$52)*(Length=AN$4))</f>
        <v>0</v>
      </c>
      <c r="AO52" s="842" cm="1">
        <f t="array" ref="AO52">SUMPRODUCT((Name="Rafter")*(Length=$B$52)*(Length=AO$4))</f>
        <v>0</v>
      </c>
      <c r="AP52" s="844">
        <f t="shared" si="17"/>
        <v>0</v>
      </c>
      <c r="AQ52" s="323"/>
      <c r="AR52" s="24"/>
      <c r="AS52" s="217"/>
    </row>
    <row r="53" spans="1:45" ht="12.75" customHeight="1" x14ac:dyDescent="0.2">
      <c r="A53" s="840" t="s">
        <v>1829</v>
      </c>
      <c r="B53" s="1000" t="s">
        <v>1830</v>
      </c>
      <c r="C53" s="842" cm="1">
        <f t="array" ref="C53">IF(BAL&lt;=19,SUMPRODUCT((Name=$A53)*(Length=C$4))+SUMPRODUCT((Name="Gable")*(Length=C$4)),0)</f>
        <v>0</v>
      </c>
      <c r="D53" s="842" cm="1">
        <f t="array" ref="D53">IF(BAL&lt;=19,SUMPRODUCT((Name=$A53)*(Length=D$4))+SUMPRODUCT((Name="Gable")*(Length=D$4)),0)</f>
        <v>0</v>
      </c>
      <c r="E53" s="842" cm="1">
        <f t="array" ref="E53">IF(BAL&lt;=19,SUMPRODUCT((Name=$A53)*(Length=E$4))+SUMPRODUCT((Name="Gable")*(Length=E$4)),0)</f>
        <v>0</v>
      </c>
      <c r="F53" s="842" cm="1">
        <f t="array" ref="F53">IF(BAL&lt;=19,SUMPRODUCT((Name=$A53)*(Length=F$4))+SUMPRODUCT((Name="Gable")*(Length=F$4)),0)</f>
        <v>0</v>
      </c>
      <c r="G53" s="842" cm="1">
        <f t="array" ref="G53">IF(BAL&lt;=19,SUMPRODUCT((Name=$A53)*(Length=G$4))+SUMPRODUCT((Name="Gable")*(Length=G$4)),0)</f>
        <v>0</v>
      </c>
      <c r="H53" s="842" cm="1">
        <f t="array" ref="H53">IF(BAL&lt;=19,SUMPRODUCT((Name=$A53)*(Length=H$4))+SUMPRODUCT((Name="Gable")*(Length=H$4)),0)</f>
        <v>0</v>
      </c>
      <c r="I53" s="842" cm="1">
        <f t="array" ref="I53">IF(BAL&lt;=19,SUMPRODUCT((Name=$A53)*(Length=I$4))+SUMPRODUCT((Name="Gable")*(Length=I$4)),0)</f>
        <v>0</v>
      </c>
      <c r="J53" s="842" cm="1">
        <f t="array" ref="J53">IF(BAL&lt;=19,SUMPRODUCT((Name=$A53)*(Length=J$4))+SUMPRODUCT((Name="Gable")*(Length=J$4)),0)</f>
        <v>0</v>
      </c>
      <c r="K53" s="842" cm="1">
        <f t="array" ref="K53">IF(BAL&lt;=19,SUMPRODUCT((Name=$A53)*(Length=K$4))+SUMPRODUCT((Name="Gable")*(Length=K$4)),0)</f>
        <v>0</v>
      </c>
      <c r="L53" s="842" cm="1">
        <f t="array" ref="L53">IF(BAL&lt;=19,SUMPRODUCT((Name=$A53)*(Length=L$4))+SUMPRODUCT((Name="Gable")*(Length=L$4)),0)</f>
        <v>0</v>
      </c>
      <c r="M53" s="842" cm="1">
        <f t="array" ref="M53">IF(BAL&lt;=19,SUMPRODUCT((Name=$A53)*(Length=M$4))+SUMPRODUCT((Name="Gable")*(Length=M$4)),0)</f>
        <v>0</v>
      </c>
      <c r="N53" s="842" cm="1">
        <f t="array" ref="N53">IF(BAL&lt;=19,SUMPRODUCT((Name=$A53)*(Length=N$4))+SUMPRODUCT((Name="Gable")*(Length=N$4)),0)</f>
        <v>0</v>
      </c>
      <c r="O53" s="842" cm="1">
        <f t="array" ref="O53">IF(BAL&lt;=19,SUMPRODUCT((Name=$A53)*(Length=O$4))+SUMPRODUCT((Name="Gable")*(Length=O$4)),0)</f>
        <v>0</v>
      </c>
      <c r="P53" s="842" cm="1">
        <f t="array" ref="P53">IF(BAL&lt;=19,SUMPRODUCT((Name=$A53)*(Length=P$4))+SUMPRODUCT((Name="Gable")*(Length=P$4)),0)</f>
        <v>0</v>
      </c>
      <c r="Q53" s="842" cm="1">
        <f t="array" ref="Q53">IF(BAL&lt;=19,SUMPRODUCT((Name=$A53)*(Length=Q$4))+SUMPRODUCT((Name="Gable")*(Length=Q$4)),0)</f>
        <v>0</v>
      </c>
      <c r="R53" s="842" cm="1">
        <f t="array" ref="R53">IF(BAL&lt;=19,SUMPRODUCT((Name=$A53)*(Length=R$4))+SUMPRODUCT((Name="Gable")*(Length=R$4)),0)</f>
        <v>0</v>
      </c>
      <c r="S53" s="842" cm="1">
        <f t="array" ref="S53">IF(BAL&lt;=19,SUMPRODUCT((Name=$A53)*(Length=S$4))+SUMPRODUCT((Name="Gable")*(Length=S$4)),0)</f>
        <v>0</v>
      </c>
      <c r="T53" s="842" cm="1">
        <f t="array" ref="T53">IF(BAL&lt;=19,SUMPRODUCT((Name=$A53)*(Length=T$4))+SUMPRODUCT((Name="Gable")*(Length=T$4)),0)</f>
        <v>0</v>
      </c>
      <c r="U53" s="842" cm="1">
        <f t="array" ref="U53">IF(BAL&lt;=19,SUMPRODUCT((Name=$A53)*(Length=U$4))+SUMPRODUCT((Name="Gable")*(Length=U$4)),0)</f>
        <v>0</v>
      </c>
      <c r="V53" s="842" cm="1">
        <f t="array" ref="V53">IF(BAL&lt;=19,SUMPRODUCT((Name=$A53)*(Length=V$4))+SUMPRODUCT((Name="Gable")*(Length=V$4)),0)</f>
        <v>0</v>
      </c>
      <c r="W53" s="842" cm="1">
        <f t="array" ref="W53">IF(BAL&lt;=19,SUMPRODUCT((Name=$A53)*(Length=W$4))+SUMPRODUCT((Name="Gable")*(Length=W$4)),0)</f>
        <v>0</v>
      </c>
      <c r="X53" s="842" cm="1">
        <f t="array" ref="X53">IF(BAL&lt;=19,SUMPRODUCT((Name=$A53)*(Length=X$4))+SUMPRODUCT((Name="Gable")*(Length=X$4)),0)</f>
        <v>0</v>
      </c>
      <c r="Y53" s="842" cm="1">
        <f t="array" ref="Y53">IF(BAL&lt;=19,SUMPRODUCT((Name=$A53)*(Length=Y$4))+SUMPRODUCT((Name="Gable")*(Length=Y$4)),0)</f>
        <v>0</v>
      </c>
      <c r="Z53" s="843"/>
      <c r="AA53" s="843"/>
      <c r="AB53" s="843"/>
      <c r="AC53" s="843"/>
      <c r="AD53" s="843"/>
      <c r="AE53" s="843"/>
      <c r="AF53" s="843"/>
      <c r="AG53" s="843"/>
      <c r="AH53" s="843"/>
      <c r="AI53" s="843"/>
      <c r="AJ53" s="843"/>
      <c r="AK53" s="843"/>
      <c r="AL53" s="843"/>
      <c r="AM53" s="843"/>
      <c r="AN53" s="843"/>
      <c r="AO53" s="843"/>
      <c r="AP53" s="844">
        <f t="shared" si="17"/>
        <v>0</v>
      </c>
      <c r="AQ53" s="323"/>
      <c r="AR53" s="24"/>
      <c r="AS53" s="217"/>
    </row>
    <row r="54" spans="1:45" ht="12.75" customHeight="1" x14ac:dyDescent="0.2">
      <c r="A54" s="840" t="s">
        <v>2399</v>
      </c>
      <c r="B54" s="1000" t="s">
        <v>2400</v>
      </c>
      <c r="C54" s="843"/>
      <c r="D54" s="843"/>
      <c r="E54" s="843"/>
      <c r="F54" s="843"/>
      <c r="G54" s="843"/>
      <c r="H54" s="843"/>
      <c r="I54" s="843"/>
      <c r="J54" s="843"/>
      <c r="K54" s="843"/>
      <c r="L54" s="843"/>
      <c r="M54" s="843"/>
      <c r="N54" s="843"/>
      <c r="O54" s="842">
        <f>IF(BAL&gt;19,ROUNDUP(SUMIF(Name,"Barge",Length)/4.2,0),0)</f>
        <v>0</v>
      </c>
      <c r="P54" s="843"/>
      <c r="Q54" s="843"/>
      <c r="R54" s="843"/>
      <c r="S54" s="843"/>
      <c r="T54" s="843"/>
      <c r="U54" s="843"/>
      <c r="V54" s="843"/>
      <c r="W54" s="843"/>
      <c r="X54" s="843"/>
      <c r="Y54" s="843"/>
      <c r="Z54" s="843"/>
      <c r="AA54" s="843"/>
      <c r="AB54" s="843"/>
      <c r="AC54" s="843"/>
      <c r="AD54" s="843"/>
      <c r="AE54" s="843"/>
      <c r="AF54" s="843"/>
      <c r="AG54" s="843"/>
      <c r="AH54" s="843"/>
      <c r="AI54" s="843"/>
      <c r="AJ54" s="843"/>
      <c r="AK54" s="843"/>
      <c r="AL54" s="843"/>
      <c r="AM54" s="843"/>
      <c r="AN54" s="843"/>
      <c r="AO54" s="843"/>
      <c r="AP54" s="844"/>
      <c r="AQ54" s="323"/>
      <c r="AR54" s="24"/>
      <c r="AS54" s="217"/>
    </row>
    <row r="55" spans="1:45" x14ac:dyDescent="0.2">
      <c r="A55" s="1006" t="s">
        <v>2463</v>
      </c>
      <c r="B55" s="1007" t="s">
        <v>311</v>
      </c>
      <c r="C55" s="843"/>
      <c r="D55" s="843"/>
      <c r="E55" s="843"/>
      <c r="F55" s="843"/>
      <c r="G55" s="843"/>
      <c r="H55" s="843"/>
      <c r="I55" s="843"/>
      <c r="J55" s="843"/>
      <c r="K55" s="843"/>
      <c r="L55" s="843"/>
      <c r="M55" s="843"/>
      <c r="N55" s="843"/>
      <c r="O55" s="843"/>
      <c r="P55" s="843"/>
      <c r="Q55" s="843"/>
      <c r="R55" s="843"/>
      <c r="S55" s="842">
        <f>IF(AND(Roof_Type="Steel Roof",Brick_type&lt;&gt;"Brick Veneer"),CEILING(H_Perim/5.4,1),0)</f>
        <v>0</v>
      </c>
      <c r="T55" s="843"/>
      <c r="U55" s="843"/>
      <c r="V55" s="843"/>
      <c r="W55" s="843"/>
      <c r="X55" s="843"/>
      <c r="Y55" s="843"/>
      <c r="Z55" s="843"/>
      <c r="AA55" s="843"/>
      <c r="AB55" s="843"/>
      <c r="AC55" s="843"/>
      <c r="AD55" s="843"/>
      <c r="AE55" s="843"/>
      <c r="AF55" s="843"/>
      <c r="AG55" s="843"/>
      <c r="AH55" s="843"/>
      <c r="AI55" s="843"/>
      <c r="AJ55" s="843"/>
      <c r="AK55" s="843"/>
      <c r="AL55" s="843"/>
      <c r="AM55" s="843"/>
      <c r="AN55" s="843"/>
      <c r="AO55" s="843"/>
      <c r="AP55" s="844">
        <f>V55*V4</f>
        <v>0</v>
      </c>
      <c r="AQ55" s="1008"/>
      <c r="AR55" s="12"/>
      <c r="AS55" s="1009"/>
    </row>
  </sheetData>
  <sheetProtection selectLockedCells="1"/>
  <autoFilter ref="AP5:AP53" xr:uid="{D730A3B0-4FF9-46F8-A501-5E2496FF5B89}"/>
  <mergeCells count="1">
    <mergeCell ref="B1:AP2"/>
  </mergeCells>
  <phoneticPr fontId="12" type="noConversion"/>
  <dataValidations count="1">
    <dataValidation type="whole" allowBlank="1" showInputMessage="1" showErrorMessage="1" error="Do not use decimal places" sqref="U21:U25 C6:U20 U27:U47 U51:U55 C21:T55 V6:AO55" xr:uid="{7E8F4D7B-05D7-4797-8264-7B87205D0CE7}">
      <formula1>0</formula1>
      <formula2>200</formula2>
    </dataValidation>
  </dataValidations>
  <pageMargins left="0.19685039370078741" right="0.19685039370078741" top="0.39370078740157483" bottom="0.39370078740157483" header="0.51181102362204722" footer="0.51181102362204722"/>
  <pageSetup paperSize="9" scale="57" orientation="landscape" r:id="rId1"/>
  <headerFooter alignWithMargins="0">
    <oddFooter>Page &amp;P of &amp;N</odd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5">
    <pageSetUpPr fitToPage="1"/>
  </sheetPr>
  <dimension ref="A1:AS54"/>
  <sheetViews>
    <sheetView workbookViewId="0"/>
  </sheetViews>
  <sheetFormatPr defaultRowHeight="12.75" x14ac:dyDescent="0.2"/>
  <cols>
    <col min="1" max="1" width="20.7109375" customWidth="1"/>
    <col min="2" max="2" width="7.5703125" bestFit="1" customWidth="1"/>
    <col min="3" max="41" width="5.5703125" customWidth="1"/>
    <col min="42" max="42" width="6.7109375" customWidth="1"/>
    <col min="43" max="43" width="30.7109375" customWidth="1"/>
    <col min="44" max="45" width="20.7109375" customWidth="1"/>
    <col min="46" max="65" width="8.7109375" customWidth="1"/>
  </cols>
  <sheetData>
    <row r="1" spans="1:45" x14ac:dyDescent="0.2">
      <c r="A1" s="835" t="s">
        <v>1429</v>
      </c>
      <c r="B1" s="1320" t="str">
        <f>"Job Number "&amp; Job_No&amp;" "&amp;Address</f>
        <v xml:space="preserve">Job Number 304909 </v>
      </c>
      <c r="C1" s="1321"/>
      <c r="D1" s="1321"/>
      <c r="E1" s="1321"/>
      <c r="F1" s="1321"/>
      <c r="G1" s="1321"/>
      <c r="H1" s="1321"/>
      <c r="I1" s="1321"/>
      <c r="J1" s="1321"/>
      <c r="K1" s="1321"/>
      <c r="L1" s="1321"/>
      <c r="M1" s="1321"/>
      <c r="N1" s="1321"/>
      <c r="O1" s="1321"/>
      <c r="P1" s="1321"/>
      <c r="Q1" s="1321"/>
      <c r="R1" s="1321"/>
      <c r="S1" s="1321"/>
      <c r="T1" s="1321"/>
      <c r="U1" s="1321"/>
      <c r="V1" s="1321"/>
      <c r="W1" s="1321"/>
      <c r="X1" s="1321"/>
      <c r="Y1" s="1321"/>
      <c r="Z1" s="1321"/>
      <c r="AA1" s="1321"/>
      <c r="AB1" s="1321"/>
      <c r="AC1" s="1321"/>
      <c r="AD1" s="1321"/>
      <c r="AE1" s="1321"/>
      <c r="AF1" s="1321"/>
      <c r="AG1" s="1321"/>
      <c r="AH1" s="1321"/>
      <c r="AI1" s="1321"/>
      <c r="AJ1" s="1321"/>
      <c r="AK1" s="1321"/>
      <c r="AL1" s="1321"/>
      <c r="AM1" s="1321"/>
      <c r="AN1" s="1321"/>
      <c r="AO1" s="1321"/>
      <c r="AP1" s="1323"/>
      <c r="AQ1" s="10" t="s">
        <v>344</v>
      </c>
      <c r="AR1" s="10" t="s">
        <v>373</v>
      </c>
      <c r="AS1" s="10" t="s">
        <v>345</v>
      </c>
    </row>
    <row r="2" spans="1:45" ht="13.5" customHeight="1" x14ac:dyDescent="0.2">
      <c r="A2" s="836"/>
      <c r="B2" s="1322"/>
      <c r="C2" s="1322"/>
      <c r="D2" s="1322"/>
      <c r="E2" s="1322"/>
      <c r="F2" s="1322"/>
      <c r="G2" s="1322"/>
      <c r="H2" s="1322"/>
      <c r="I2" s="1322"/>
      <c r="J2" s="1322"/>
      <c r="K2" s="1322"/>
      <c r="L2" s="1322"/>
      <c r="M2" s="1322"/>
      <c r="N2" s="1322"/>
      <c r="O2" s="1322"/>
      <c r="P2" s="1322"/>
      <c r="Q2" s="1322"/>
      <c r="R2" s="1322"/>
      <c r="S2" s="1322"/>
      <c r="T2" s="1322"/>
      <c r="U2" s="1322"/>
      <c r="V2" s="1322"/>
      <c r="W2" s="1322"/>
      <c r="X2" s="1322"/>
      <c r="Y2" s="1322"/>
      <c r="Z2" s="1322"/>
      <c r="AA2" s="1322"/>
      <c r="AB2" s="1322"/>
      <c r="AC2" s="1322"/>
      <c r="AD2" s="1322"/>
      <c r="AE2" s="1322"/>
      <c r="AF2" s="1322"/>
      <c r="AG2" s="1322"/>
      <c r="AH2" s="1322"/>
      <c r="AI2" s="1322"/>
      <c r="AJ2" s="1322"/>
      <c r="AK2" s="1322"/>
      <c r="AL2" s="1322"/>
      <c r="AM2" s="1322"/>
      <c r="AN2" s="1322"/>
      <c r="AO2" s="1322"/>
      <c r="AP2" s="1324"/>
      <c r="AQ2" s="25"/>
      <c r="AR2" s="31"/>
      <c r="AS2" s="822"/>
    </row>
    <row r="3" spans="1:45" ht="12.75" customHeight="1" x14ac:dyDescent="0.2">
      <c r="A3" s="836"/>
      <c r="B3" s="859"/>
      <c r="C3" s="837"/>
      <c r="D3" s="837"/>
      <c r="E3" s="837"/>
      <c r="F3" s="837"/>
      <c r="G3" s="837"/>
      <c r="H3" s="837"/>
      <c r="I3" s="837"/>
      <c r="J3" s="837"/>
      <c r="K3" s="837"/>
      <c r="L3" s="837"/>
      <c r="M3" s="837"/>
      <c r="N3" s="837"/>
      <c r="O3" s="837"/>
      <c r="P3" s="837"/>
      <c r="Q3" s="837"/>
      <c r="R3" s="837"/>
      <c r="S3" s="837"/>
      <c r="T3" s="837"/>
      <c r="U3" s="837"/>
      <c r="V3" s="837"/>
      <c r="W3" s="837"/>
      <c r="X3" s="837"/>
      <c r="Y3" s="837"/>
      <c r="Z3" s="837"/>
      <c r="AA3" s="837"/>
      <c r="AB3" s="837"/>
      <c r="AC3" s="837"/>
      <c r="AD3" s="837"/>
      <c r="AE3" s="837"/>
      <c r="AF3" s="837"/>
      <c r="AG3" s="837"/>
      <c r="AH3" s="837"/>
      <c r="AI3" s="837"/>
      <c r="AJ3" s="837"/>
      <c r="AK3" s="837"/>
      <c r="AL3" s="837"/>
      <c r="AM3" s="837"/>
      <c r="AN3" s="837"/>
      <c r="AO3" s="837"/>
      <c r="AP3" s="999"/>
      <c r="AQ3" s="26"/>
      <c r="AR3" s="24"/>
      <c r="AS3" s="217"/>
    </row>
    <row r="4" spans="1:45" ht="12.75" customHeight="1" x14ac:dyDescent="0.2">
      <c r="A4" s="836"/>
      <c r="B4" s="1000" t="s">
        <v>65</v>
      </c>
      <c r="C4" s="838">
        <v>0.6</v>
      </c>
      <c r="D4" s="838">
        <v>0.9</v>
      </c>
      <c r="E4" s="838">
        <v>1.2</v>
      </c>
      <c r="F4" s="838">
        <v>1.5</v>
      </c>
      <c r="G4" s="838">
        <v>1.8</v>
      </c>
      <c r="H4" s="838">
        <v>2.1</v>
      </c>
      <c r="I4" s="838">
        <v>2.4</v>
      </c>
      <c r="J4" s="838">
        <v>2.7</v>
      </c>
      <c r="K4" s="838">
        <v>3</v>
      </c>
      <c r="L4" s="838">
        <v>3.3</v>
      </c>
      <c r="M4" s="838">
        <v>3.6</v>
      </c>
      <c r="N4" s="838">
        <v>3.9</v>
      </c>
      <c r="O4" s="838">
        <v>4.2</v>
      </c>
      <c r="P4" s="838">
        <v>4.5</v>
      </c>
      <c r="Q4" s="838">
        <v>4.8</v>
      </c>
      <c r="R4" s="838">
        <v>5.0999999999999996</v>
      </c>
      <c r="S4" s="838">
        <v>5.4</v>
      </c>
      <c r="T4" s="838">
        <v>5.7</v>
      </c>
      <c r="U4" s="838">
        <v>6</v>
      </c>
      <c r="V4" s="838">
        <v>6.3</v>
      </c>
      <c r="W4" s="838">
        <v>6.6</v>
      </c>
      <c r="X4" s="838">
        <v>6.9</v>
      </c>
      <c r="Y4" s="838">
        <v>7.2</v>
      </c>
      <c r="Z4" s="838">
        <v>7.5</v>
      </c>
      <c r="AA4" s="838">
        <v>7.8</v>
      </c>
      <c r="AB4" s="838">
        <v>8.1</v>
      </c>
      <c r="AC4" s="838">
        <v>8.4</v>
      </c>
      <c r="AD4" s="838">
        <v>8.6999999999999993</v>
      </c>
      <c r="AE4" s="838">
        <v>9</v>
      </c>
      <c r="AF4" s="838">
        <v>9.3000000000000007</v>
      </c>
      <c r="AG4" s="838">
        <v>9.6</v>
      </c>
      <c r="AH4" s="838">
        <v>9.9</v>
      </c>
      <c r="AI4" s="838">
        <v>10.199999999999999</v>
      </c>
      <c r="AJ4" s="838">
        <v>10.5</v>
      </c>
      <c r="AK4" s="838">
        <v>10.8</v>
      </c>
      <c r="AL4" s="838">
        <v>11.1</v>
      </c>
      <c r="AM4" s="838">
        <v>11.4</v>
      </c>
      <c r="AN4" s="838">
        <v>11.7</v>
      </c>
      <c r="AO4" s="838">
        <v>12</v>
      </c>
      <c r="AP4" s="1001" t="s">
        <v>233</v>
      </c>
      <c r="AQ4" s="323"/>
      <c r="AR4" s="24"/>
      <c r="AS4" s="217"/>
    </row>
    <row r="5" spans="1:45" ht="12.75" customHeight="1" x14ac:dyDescent="0.2">
      <c r="A5" s="839" t="s">
        <v>171</v>
      </c>
      <c r="B5" s="1002"/>
      <c r="C5" s="840"/>
      <c r="D5" s="1002"/>
      <c r="E5" s="1002"/>
      <c r="F5" s="1002"/>
      <c r="G5" s="1002"/>
      <c r="H5" s="1002"/>
      <c r="I5" s="1002"/>
      <c r="J5" s="1002"/>
      <c r="K5" s="1002"/>
      <c r="L5" s="1002"/>
      <c r="M5" s="1002"/>
      <c r="N5" s="1002"/>
      <c r="O5" s="1002"/>
      <c r="P5" s="1002"/>
      <c r="Q5" s="1002"/>
      <c r="R5" s="1002"/>
      <c r="S5" s="1002"/>
      <c r="T5" s="1002"/>
      <c r="U5" s="1002"/>
      <c r="V5" s="1002"/>
      <c r="W5" s="1002"/>
      <c r="X5" s="1002"/>
      <c r="Y5" s="1002"/>
      <c r="Z5" s="1002"/>
      <c r="AA5" s="1002"/>
      <c r="AB5" s="1002"/>
      <c r="AC5" s="1002"/>
      <c r="AD5" s="1002"/>
      <c r="AE5" s="1002"/>
      <c r="AF5" s="1002"/>
      <c r="AG5" s="1002"/>
      <c r="AH5" s="1002"/>
      <c r="AI5" s="1002"/>
      <c r="AJ5" s="1002"/>
      <c r="AK5" s="1002"/>
      <c r="AL5" s="1002"/>
      <c r="AM5" s="1002"/>
      <c r="AN5" s="1002"/>
      <c r="AO5" s="1002"/>
      <c r="AP5" s="1003"/>
      <c r="AQ5" s="323"/>
      <c r="AR5" s="24"/>
      <c r="AS5" s="217"/>
    </row>
    <row r="6" spans="1:45" ht="12.75" customHeight="1" x14ac:dyDescent="0.2">
      <c r="A6" s="840" t="s">
        <v>162</v>
      </c>
      <c r="B6" s="1000" t="s">
        <v>311</v>
      </c>
      <c r="C6" s="841"/>
      <c r="D6" s="841"/>
      <c r="E6" s="841"/>
      <c r="F6" s="841"/>
      <c r="G6" s="841"/>
      <c r="H6" s="841"/>
      <c r="I6" s="841"/>
      <c r="J6" s="841"/>
      <c r="K6" s="841"/>
      <c r="L6" s="841"/>
      <c r="M6" s="841"/>
      <c r="N6" s="841"/>
      <c r="O6" s="841"/>
      <c r="P6" s="841">
        <f>'Roof Formulas FF'!B11</f>
        <v>0</v>
      </c>
      <c r="Q6" s="842">
        <f>'Roof Formulas FF'!B7</f>
        <v>0</v>
      </c>
      <c r="R6" s="841"/>
      <c r="S6" s="841"/>
      <c r="T6" s="841"/>
      <c r="U6" s="841"/>
      <c r="V6" s="843"/>
      <c r="W6" s="843"/>
      <c r="X6" s="843"/>
      <c r="Y6" s="843"/>
      <c r="Z6" s="843"/>
      <c r="AA6" s="843"/>
      <c r="AB6" s="843"/>
      <c r="AC6" s="843"/>
      <c r="AD6" s="843"/>
      <c r="AE6" s="843"/>
      <c r="AF6" s="843"/>
      <c r="AG6" s="843"/>
      <c r="AH6" s="843"/>
      <c r="AI6" s="843"/>
      <c r="AJ6" s="843"/>
      <c r="AK6" s="843"/>
      <c r="AL6" s="843"/>
      <c r="AM6" s="843"/>
      <c r="AN6" s="843"/>
      <c r="AO6" s="843"/>
      <c r="AP6" s="844">
        <f>SUMPRODUCT($C$4:$AO$4,C6:AO6)</f>
        <v>0</v>
      </c>
      <c r="AQ6" s="323"/>
      <c r="AR6" s="24"/>
      <c r="AS6" s="217"/>
    </row>
    <row r="7" spans="1:45" ht="12.75" customHeight="1" x14ac:dyDescent="0.2">
      <c r="A7" s="840" t="s">
        <v>327</v>
      </c>
      <c r="B7" s="1000" t="s">
        <v>311</v>
      </c>
      <c r="C7" s="842" cm="1">
        <f t="array" ref="C7">SUMPRODUCT(('CSV FF'!$A$1:$A$904="Ceiling Joist")*('CSV FF'!$C$1:$C$904=C$4))</f>
        <v>0</v>
      </c>
      <c r="D7" s="842" cm="1">
        <f t="array" ref="D7">SUMPRODUCT(('CSV FF'!$A$1:$A$904="Ceiling Joist")*('CSV FF'!$C$1:$C$904=D$4))</f>
        <v>0</v>
      </c>
      <c r="E7" s="842" cm="1">
        <f t="array" ref="E7">SUMPRODUCT(('CSV FF'!$A$1:$A$904="Ceiling Joist")*('CSV FF'!$C$1:$C$904=E$4))</f>
        <v>0</v>
      </c>
      <c r="F7" s="842" cm="1">
        <f t="array" ref="F7">SUMPRODUCT(('CSV FF'!$A$1:$A$904="Ceiling Joist")*('CSV FF'!$C$1:$C$904=F$4))</f>
        <v>0</v>
      </c>
      <c r="G7" s="842" cm="1">
        <f t="array" ref="G7">SUMPRODUCT(('CSV FF'!$A$1:$A$904="Ceiling Joist")*('CSV FF'!$C$1:$C$904=G$4))</f>
        <v>0</v>
      </c>
      <c r="H7" s="842" cm="1">
        <f t="array" ref="H7">SUMPRODUCT(('CSV FF'!$A$1:$A$904="Ceiling Joist")*('CSV FF'!$C$1:$C$904=H$4))</f>
        <v>0</v>
      </c>
      <c r="I7" s="842" cm="1">
        <f t="array" ref="I7">SUMPRODUCT(('CSV FF'!$A$1:$A$904="Ceiling Joist")*('CSV FF'!$C$1:$C$904=I$4))</f>
        <v>0</v>
      </c>
      <c r="J7" s="842" cm="1">
        <f t="array" ref="J7">SUMPRODUCT(('CSV FF'!$A$1:$A$904="Ceiling Joist")*('CSV FF'!$C$1:$C$904=J$4))</f>
        <v>0</v>
      </c>
      <c r="K7" s="842" cm="1">
        <f t="array" ref="K7">SUMPRODUCT(('CSV FF'!$A$1:$A$904="Ceiling Joist")*('CSV FF'!$C$1:$C$904=K$4))</f>
        <v>0</v>
      </c>
      <c r="L7" s="842" cm="1">
        <f t="array" ref="L7">SUMPRODUCT(('CSV FF'!$A$1:$A$904="Ceiling Joist")*('CSV FF'!$C$1:$C$904=L$4))</f>
        <v>0</v>
      </c>
      <c r="M7" s="842" cm="1">
        <f t="array" ref="M7">SUMPRODUCT(('CSV FF'!$A$1:$A$904="Ceiling Joist")*('CSV FF'!$C$1:$C$904=M$4))</f>
        <v>0</v>
      </c>
      <c r="N7" s="842" cm="1">
        <f t="array" ref="N7">SUMPRODUCT(('CSV FF'!$A$1:$A$904="Ceiling Joist")*('CSV FF'!$C$1:$C$904=N$4))</f>
        <v>0</v>
      </c>
      <c r="O7" s="842" cm="1">
        <f t="array" ref="O7">SUMPRODUCT(('CSV FF'!$A$1:$A$904="Ceiling Joist")*('CSV FF'!$C$1:$C$904=O$4))</f>
        <v>0</v>
      </c>
      <c r="P7" s="842" cm="1">
        <f t="array" ref="P7">SUMPRODUCT(('CSV FF'!$A$1:$A$904="Ceiling Joist")*('CSV FF'!$C$1:$C$904=P$4))</f>
        <v>0</v>
      </c>
      <c r="Q7" s="842" cm="1">
        <f t="array" ref="Q7">SUMPRODUCT(('CSV FF'!$A$1:$A$904="Ceiling Joist")*('CSV FF'!$C$1:$C$904=Q$4))</f>
        <v>0</v>
      </c>
      <c r="R7" s="842" cm="1">
        <f t="array" ref="R7">SUMPRODUCT(('CSV FF'!$A$1:$A$904="Ceiling Joist")*('CSV FF'!$C$1:$C$904=R$4))</f>
        <v>0</v>
      </c>
      <c r="S7" s="842" cm="1">
        <f t="array" ref="S7">SUMPRODUCT(('CSV FF'!$A$1:$A$904="Ceiling Joist")*('CSV FF'!$C$1:$C$904=S$4))</f>
        <v>0</v>
      </c>
      <c r="T7" s="842" cm="1">
        <f t="array" ref="T7">SUMPRODUCT(('CSV FF'!$A$1:$A$904="Ceiling Joist")*('CSV FF'!$C$1:$C$904=T$4))</f>
        <v>0</v>
      </c>
      <c r="U7" s="835" cm="1">
        <f t="array" ref="U7">SUMPRODUCT(('CSV FF'!$A$1:$A$904="Ceiling Joist")*('CSV FF'!$C$1:$C$904=U4))+'Roof Formulas FF'!B37</f>
        <v>0</v>
      </c>
      <c r="V7" s="843"/>
      <c r="W7" s="843"/>
      <c r="X7" s="843"/>
      <c r="Y7" s="843"/>
      <c r="Z7" s="843"/>
      <c r="AA7" s="843"/>
      <c r="AB7" s="843"/>
      <c r="AC7" s="843"/>
      <c r="AD7" s="843"/>
      <c r="AE7" s="843"/>
      <c r="AF7" s="843"/>
      <c r="AG7" s="843"/>
      <c r="AH7" s="843"/>
      <c r="AI7" s="843"/>
      <c r="AJ7" s="843"/>
      <c r="AK7" s="843"/>
      <c r="AL7" s="843"/>
      <c r="AM7" s="843"/>
      <c r="AN7" s="843"/>
      <c r="AO7" s="843"/>
      <c r="AP7" s="844">
        <f t="shared" ref="AP7:AP14" si="0">SUMPRODUCT($C$4:$AO$4,C7:AO7)</f>
        <v>0</v>
      </c>
      <c r="AQ7" s="323" t="str">
        <f>IF(FF_Area&gt;0,IF(SUMIF('CSV FF'!A:A,"Ceiling Joist",'CSV FF'!C:C)&lt;=36,"Ceiling Joists Not Imported",),"")</f>
        <v/>
      </c>
      <c r="AR7" s="24"/>
      <c r="AS7" s="217"/>
    </row>
    <row r="8" spans="1:45" ht="12.75" customHeight="1" x14ac:dyDescent="0.2">
      <c r="A8" s="840" t="s">
        <v>328</v>
      </c>
      <c r="B8" s="1000" t="s">
        <v>311</v>
      </c>
      <c r="C8" s="843"/>
      <c r="D8" s="843"/>
      <c r="E8" s="843"/>
      <c r="F8" s="843"/>
      <c r="G8" s="843"/>
      <c r="H8" s="843"/>
      <c r="I8" s="843"/>
      <c r="J8" s="843"/>
      <c r="K8" s="843"/>
      <c r="L8" s="843"/>
      <c r="M8" s="843"/>
      <c r="N8" s="843"/>
      <c r="O8" s="843"/>
      <c r="P8" s="843"/>
      <c r="Q8" s="843"/>
      <c r="R8" s="843"/>
      <c r="S8" s="843"/>
      <c r="T8" s="843"/>
      <c r="U8" s="843"/>
      <c r="V8" s="842" cm="1">
        <f t="array" ref="V8">SUMPRODUCT(('CSV FF'!$A$1:$A$904="Ceiling Joist")*('CSV FF'!$C$1:$C$904=V$4))</f>
        <v>0</v>
      </c>
      <c r="W8" s="842" cm="1">
        <f t="array" ref="W8">SUMPRODUCT(('CSV FF'!$A$1:$A$904="Ceiling Joist")*('CSV FF'!$C$1:$C$904=W$4))</f>
        <v>0</v>
      </c>
      <c r="X8" s="842" cm="1">
        <f t="array" ref="X8">SUMPRODUCT(('CSV FF'!$A$1:$A$904="Ceiling Joist")*('CSV FF'!$C$1:$C$904=X$4))</f>
        <v>0</v>
      </c>
      <c r="Y8" s="842" cm="1">
        <f t="array" ref="Y8">SUMPRODUCT(('CSV FF'!$A$1:$A$904="Ceiling Joist")*('CSV FF'!$C$1:$C$904=Y$4))</f>
        <v>0</v>
      </c>
      <c r="Z8" s="842" cm="1">
        <f t="array" ref="Z8">SUMPRODUCT(('CSV FF'!$A$1:$A$904="Ceiling Joist")*('CSV FF'!$C$1:$C$904=Z$4))</f>
        <v>0</v>
      </c>
      <c r="AA8" s="842" cm="1">
        <f t="array" ref="AA8">SUMPRODUCT(('CSV FF'!$A$1:$A$904="Ceiling Joist")*('CSV FF'!$C$1:$C$904=AA$4))</f>
        <v>0</v>
      </c>
      <c r="AB8" s="842" cm="1">
        <f t="array" ref="AB8">SUMPRODUCT(('CSV FF'!$A$1:$A$904="Ceiling Joist")*('CSV FF'!$C$1:$C$904=AB$4))</f>
        <v>0</v>
      </c>
      <c r="AC8" s="842" cm="1">
        <f t="array" ref="AC8">SUMPRODUCT(('CSV FF'!$A$1:$A$904="Ceiling Joist")*('CSV FF'!$C$1:$C$904=AC$4))</f>
        <v>0</v>
      </c>
      <c r="AD8" s="842" cm="1">
        <f t="array" ref="AD8">SUMPRODUCT(('CSV FF'!$A$1:$A$904="Ceiling Joist")*('CSV FF'!$C$1:$C$904=AD$4))</f>
        <v>0</v>
      </c>
      <c r="AE8" s="842" cm="1">
        <f t="array" ref="AE8">SUMPRODUCT(('CSV FF'!$A$1:$A$904="Ceiling Joist")*('CSV FF'!$C$1:$C$904=AE$4))</f>
        <v>0</v>
      </c>
      <c r="AF8" s="842" cm="1">
        <f t="array" ref="AF8">SUMPRODUCT(('CSV FF'!$A$1:$A$904="Ceiling Joist")*('CSV FF'!$C$1:$C$904=AF$4))</f>
        <v>0</v>
      </c>
      <c r="AG8" s="842" cm="1">
        <f t="array" ref="AG8">SUMPRODUCT(('CSV FF'!$A$1:$A$904="Ceiling Joist")*('CSV FF'!$C$1:$C$904=AG$4))</f>
        <v>0</v>
      </c>
      <c r="AH8" s="842" cm="1">
        <f t="array" ref="AH8">SUMPRODUCT(('CSV FF'!$A$1:$A$904="Ceiling Joist")*('CSV FF'!$C$1:$C$904=AH$4))</f>
        <v>0</v>
      </c>
      <c r="AI8" s="842" cm="1">
        <f t="array" ref="AI8">SUMPRODUCT(('CSV FF'!$A$1:$A$904="Ceiling Joist")*('CSV FF'!$C$1:$C$904=AI$4))</f>
        <v>0</v>
      </c>
      <c r="AJ8" s="842" cm="1">
        <f t="array" ref="AJ8">SUMPRODUCT(('CSV FF'!$A$1:$A$904="Ceiling Joist")*('CSV FF'!$C$1:$C$904=AJ$4))</f>
        <v>0</v>
      </c>
      <c r="AK8" s="842" cm="1">
        <f t="array" ref="AK8">SUMPRODUCT(('CSV FF'!$A$1:$A$904="Ceiling Joist")*('CSV FF'!$C$1:$C$904=AK$4))</f>
        <v>0</v>
      </c>
      <c r="AL8" s="842" cm="1">
        <f t="array" ref="AL8">SUMPRODUCT(('CSV FF'!$A$1:$A$904="Ceiling Joist")*('CSV FF'!$C$1:$C$904=AL$4))</f>
        <v>0</v>
      </c>
      <c r="AM8" s="842" cm="1">
        <f t="array" ref="AM8">SUMPRODUCT(('CSV FF'!$A$1:$A$904="Ceiling Joist")*('CSV FF'!$C$1:$C$904=AM$4))</f>
        <v>0</v>
      </c>
      <c r="AN8" s="842" cm="1">
        <f t="array" ref="AN8">SUMPRODUCT(('CSV FF'!$A$1:$A$904="Ceiling Joist")*('CSV FF'!$C$1:$C$904=AN$4))</f>
        <v>0</v>
      </c>
      <c r="AO8" s="842" cm="1">
        <f t="array" ref="AO8">SUMPRODUCT(('CSV FF'!$A$1:$A$904="Ceiling Joist")*('CSV FF'!$C$1:$C$904=AO$4))</f>
        <v>0</v>
      </c>
      <c r="AP8" s="844">
        <f t="shared" si="0"/>
        <v>0</v>
      </c>
      <c r="AQ8" s="323"/>
      <c r="AR8" s="24"/>
      <c r="AS8" s="217"/>
    </row>
    <row r="9" spans="1:45" ht="12.75" customHeight="1" x14ac:dyDescent="0.2">
      <c r="A9" s="840" t="s">
        <v>175</v>
      </c>
      <c r="B9" s="1000" t="s">
        <v>313</v>
      </c>
      <c r="C9" s="842" cm="1">
        <f t="array" ref="C9">SUMPRODUCT(('CSV FF'!$A$1:$A$904="Rafter")*('CSV FF'!$E$1:$E$904=0)*('CSV FF'!$C$1:$C$904=C$4))</f>
        <v>0</v>
      </c>
      <c r="D9" s="842" cm="1">
        <f t="array" ref="D9">SUMPRODUCT(('CSV FF'!$A$1:$A$904="Rafter")*('CSV FF'!$E$1:$E$904=0)*('CSV FF'!$C$1:$C$904=D$4))</f>
        <v>0</v>
      </c>
      <c r="E9" s="842" cm="1">
        <f t="array" ref="E9">SUMPRODUCT(('CSV FF'!$A$1:$A$904="Rafter")*('CSV FF'!$E$1:$E$904=0)*('CSV FF'!$C$1:$C$904=E$4))</f>
        <v>0</v>
      </c>
      <c r="F9" s="842" cm="1">
        <f t="array" ref="F9">SUMPRODUCT(('CSV FF'!$A$1:$A$904="Rafter")*('CSV FF'!$E$1:$E$904=0)*('CSV FF'!$C$1:$C$904=F$4))</f>
        <v>0</v>
      </c>
      <c r="G9" s="842" cm="1">
        <f t="array" ref="G9">SUMPRODUCT(('CSV FF'!$A$1:$A$904="Rafter")*('CSV FF'!$E$1:$E$904=0)*('CSV FF'!$C$1:$C$904=G$4))</f>
        <v>0</v>
      </c>
      <c r="H9" s="842" cm="1">
        <f t="array" ref="H9">SUMPRODUCT(('CSV FF'!$A$1:$A$904="Rafter")*('CSV FF'!$E$1:$E$904=0)*('CSV FF'!$C$1:$C$904=H$4))</f>
        <v>0</v>
      </c>
      <c r="I9" s="842" cm="1">
        <f t="array" ref="I9">SUMPRODUCT(('CSV FF'!$A$1:$A$904="Rafter")*('CSV FF'!$E$1:$E$904=0)*('CSV FF'!$C$1:$C$904=I$4))</f>
        <v>0</v>
      </c>
      <c r="J9" s="842" cm="1">
        <f t="array" ref="J9">SUMPRODUCT(('CSV FF'!$A$1:$A$904="Rafter")*('CSV FF'!$E$1:$E$904=0)*('CSV FF'!$C$1:$C$904=J$4))</f>
        <v>0</v>
      </c>
      <c r="K9" s="842" cm="1">
        <f t="array" ref="K9">SUMPRODUCT(('CSV FF'!$A$1:$A$904="Rafter")*('CSV FF'!$E$1:$E$904=0)*('CSV FF'!$C$1:$C$904=K$4))</f>
        <v>0</v>
      </c>
      <c r="L9" s="842" cm="1">
        <f t="array" ref="L9">SUMPRODUCT(('CSV FF'!$A$1:$A$904="Rafter")*('CSV FF'!$E$1:$E$904=0)*('CSV FF'!$C$1:$C$904=L$4))</f>
        <v>0</v>
      </c>
      <c r="M9" s="842" cm="1">
        <f t="array" ref="M9">SUMPRODUCT(('CSV FF'!$A$1:$A$904="Rafter")*('CSV FF'!$E$1:$E$904=0)*('CSV FF'!$C$1:$C$904=M$4))</f>
        <v>0</v>
      </c>
      <c r="N9" s="842" cm="1">
        <f t="array" ref="N9">SUMPRODUCT(('CSV FF'!$A$1:$A$904="Rafter")*('CSV FF'!$E$1:$E$904=0)*('CSV FF'!$C$1:$C$904=N$4))</f>
        <v>0</v>
      </c>
      <c r="O9" s="842" cm="1">
        <f t="array" ref="O9">SUMPRODUCT(('CSV FF'!$A$1:$A$904="Rafter")*('CSV FF'!$E$1:$E$904=0)*('CSV FF'!$C$1:$C$904=O$4))</f>
        <v>0</v>
      </c>
      <c r="P9" s="842" cm="1">
        <f t="array" ref="P9">SUMPRODUCT(('CSV FF'!$A$1:$A$904="Rafter")*('CSV FF'!$E$1:$E$904=0)*('CSV FF'!$C$1:$C$904=P$4))</f>
        <v>0</v>
      </c>
      <c r="Q9" s="842" cm="1">
        <f t="array" ref="Q9">SUMPRODUCT(('CSV FF'!$A$1:$A$904="Rafter")*('CSV FF'!$E$1:$E$904=0)*('CSV FF'!$C$1:$C$904=Q$4))</f>
        <v>0</v>
      </c>
      <c r="R9" s="842" cm="1">
        <f t="array" ref="R9">SUMPRODUCT(('CSV FF'!$A$1:$A$904="Rafter")*('CSV FF'!$E$1:$E$904=0)*('CSV FF'!$C$1:$C$904=R$4))</f>
        <v>0</v>
      </c>
      <c r="S9" s="842" cm="1">
        <f t="array" ref="S9">SUMPRODUCT(('CSV FF'!$A$1:$A$904="Rafter")*('CSV FF'!$E$1:$E$904=0)*('CSV FF'!$C$1:$C$904=S$4))</f>
        <v>0</v>
      </c>
      <c r="T9" s="842" cm="1">
        <f t="array" ref="T9">SUMPRODUCT(('CSV FF'!$A$1:$A$904="Rafter")*('CSV FF'!$E$1:$E$904=0)*('CSV FF'!$C$1:$C$904=T$4))</f>
        <v>0</v>
      </c>
      <c r="U9" s="842" cm="1">
        <f t="array" ref="U9">SUMPRODUCT(('CSV FF'!$A$1:$A$904="Rafter")*('CSV FF'!$E$1:$E$904=0)*('CSV FF'!$C$1:$C$904=U$4))</f>
        <v>0</v>
      </c>
      <c r="V9" s="843"/>
      <c r="W9" s="843"/>
      <c r="X9" s="843"/>
      <c r="Y9" s="843"/>
      <c r="Z9" s="843"/>
      <c r="AA9" s="843"/>
      <c r="AB9" s="843"/>
      <c r="AC9" s="843"/>
      <c r="AD9" s="843"/>
      <c r="AE9" s="843"/>
      <c r="AF9" s="843"/>
      <c r="AG9" s="843"/>
      <c r="AH9" s="843"/>
      <c r="AI9" s="843"/>
      <c r="AJ9" s="843"/>
      <c r="AK9" s="843"/>
      <c r="AL9" s="843"/>
      <c r="AM9" s="843"/>
      <c r="AN9" s="843"/>
      <c r="AO9" s="843"/>
      <c r="AP9" s="844">
        <f t="shared" si="0"/>
        <v>0</v>
      </c>
      <c r="AQ9" s="323">
        <f>IF(FF_Area&gt;0,IF(SUMIF('CSV FF'!A:A,"Rafter",'CSV FF'!C:C)&lt;=36,"Rafters Not Imported",),0)</f>
        <v>0</v>
      </c>
      <c r="AR9" s="24"/>
      <c r="AS9" s="217"/>
    </row>
    <row r="10" spans="1:45" ht="12.75" customHeight="1" x14ac:dyDescent="0.2">
      <c r="A10" s="840" t="s">
        <v>176</v>
      </c>
      <c r="B10" s="1000" t="s">
        <v>313</v>
      </c>
      <c r="C10" s="843"/>
      <c r="D10" s="843"/>
      <c r="E10" s="843"/>
      <c r="F10" s="843"/>
      <c r="G10" s="843"/>
      <c r="H10" s="843"/>
      <c r="I10" s="843"/>
      <c r="J10" s="843"/>
      <c r="K10" s="843"/>
      <c r="L10" s="843"/>
      <c r="M10" s="843"/>
      <c r="N10" s="843"/>
      <c r="O10" s="843"/>
      <c r="P10" s="843"/>
      <c r="Q10" s="843"/>
      <c r="R10" s="843"/>
      <c r="S10" s="843"/>
      <c r="T10" s="843"/>
      <c r="U10" s="843"/>
      <c r="V10" s="842" cm="1">
        <f t="array" ref="V10">SUMPRODUCT(('CSV FF'!$A$1:$A$904="Rafter")*('CSV FF'!$E$1:$E$904=0)*('CSV FF'!$C$1:$C$904=V$4))</f>
        <v>0</v>
      </c>
      <c r="W10" s="842" cm="1">
        <f t="array" ref="W10">SUMPRODUCT(('CSV FF'!$A$1:$A$904="Rafter")*('CSV FF'!$E$1:$E$904=0)*('CSV FF'!$C$1:$C$904=W$4))</f>
        <v>0</v>
      </c>
      <c r="X10" s="842" cm="1">
        <f t="array" ref="X10">SUMPRODUCT(('CSV FF'!$A$1:$A$904="Rafter")*('CSV FF'!$E$1:$E$904=0)*('CSV FF'!$C$1:$C$904=X$4))</f>
        <v>0</v>
      </c>
      <c r="Y10" s="842" cm="1">
        <f t="array" ref="Y10">SUMPRODUCT(('CSV FF'!$A$1:$A$904="Rafter")*('CSV FF'!$E$1:$E$904=0)*('CSV FF'!$C$1:$C$904=Y$4))</f>
        <v>0</v>
      </c>
      <c r="Z10" s="842" cm="1">
        <f t="array" ref="Z10">SUMPRODUCT(('CSV FF'!$A$1:$A$904="Rafter")*('CSV FF'!$E$1:$E$904=0)*('CSV FF'!$C$1:$C$904=Z$4))</f>
        <v>0</v>
      </c>
      <c r="AA10" s="842" cm="1">
        <f t="array" ref="AA10">SUMPRODUCT(('CSV FF'!$A$1:$A$904="Rafter")*('CSV FF'!$E$1:$E$904=0)*('CSV FF'!$C$1:$C$904=AA$4))</f>
        <v>0</v>
      </c>
      <c r="AB10" s="842" cm="1">
        <f t="array" ref="AB10">SUMPRODUCT(('CSV FF'!$A$1:$A$904="Rafter")*('CSV FF'!$E$1:$E$904=0)*('CSV FF'!$C$1:$C$904=AB$4))</f>
        <v>0</v>
      </c>
      <c r="AC10" s="842" cm="1">
        <f t="array" ref="AC10">SUMPRODUCT(('CSV FF'!$A$1:$A$904="Rafter")*('CSV FF'!$E$1:$E$904=0)*('CSV FF'!$C$1:$C$904=AC$4))</f>
        <v>0</v>
      </c>
      <c r="AD10" s="842" cm="1">
        <f t="array" ref="AD10">SUMPRODUCT(('CSV FF'!$A$1:$A$904="Rafter")*('CSV FF'!$E$1:$E$904=0)*('CSV FF'!$C$1:$C$904=AD$4))</f>
        <v>0</v>
      </c>
      <c r="AE10" s="842" cm="1">
        <f t="array" ref="AE10">SUMPRODUCT(('CSV FF'!$A$1:$A$904="Rafter")*('CSV FF'!$E$1:$E$904=0)*('CSV FF'!$C$1:$C$904=AE$4))</f>
        <v>0</v>
      </c>
      <c r="AF10" s="842" cm="1">
        <f t="array" ref="AF10">SUMPRODUCT(('CSV FF'!$A$1:$A$904="Rafter")*('CSV FF'!$E$1:$E$904=0)*('CSV FF'!$C$1:$C$904=AF$4))</f>
        <v>0</v>
      </c>
      <c r="AG10" s="842" cm="1">
        <f t="array" ref="AG10">SUMPRODUCT(('CSV FF'!$A$1:$A$904="Rafter")*('CSV FF'!$E$1:$E$904=0)*('CSV FF'!$C$1:$C$904=AG$4))</f>
        <v>0</v>
      </c>
      <c r="AH10" s="842" cm="1">
        <f t="array" ref="AH10">SUMPRODUCT(('CSV FF'!$A$1:$A$904="Rafter")*('CSV FF'!$E$1:$E$904=0)*('CSV FF'!$C$1:$C$904=AH$4))</f>
        <v>0</v>
      </c>
      <c r="AI10" s="842" cm="1">
        <f t="array" ref="AI10">SUMPRODUCT(('CSV FF'!$A$1:$A$904="Rafter")*('CSV FF'!$E$1:$E$904=0)*('CSV FF'!$C$1:$C$904=AI$4))</f>
        <v>0</v>
      </c>
      <c r="AJ10" s="842" cm="1">
        <f t="array" ref="AJ10">SUMPRODUCT(('CSV FF'!$A$1:$A$904="Rafter")*('CSV FF'!$E$1:$E$904=0)*('CSV FF'!$C$1:$C$904=AJ$4))</f>
        <v>0</v>
      </c>
      <c r="AK10" s="842" cm="1">
        <f t="array" ref="AK10">SUMPRODUCT(('CSV FF'!$A$1:$A$904="Rafter")*('CSV FF'!$E$1:$E$904=0)*('CSV FF'!$C$1:$C$904=AK$4))</f>
        <v>0</v>
      </c>
      <c r="AL10" s="842" cm="1">
        <f t="array" ref="AL10">SUMPRODUCT(('CSV FF'!$A$1:$A$904="Rafter")*('CSV FF'!$E$1:$E$904=0)*('CSV FF'!$C$1:$C$904=AL$4))</f>
        <v>0</v>
      </c>
      <c r="AM10" s="842" cm="1">
        <f t="array" ref="AM10">SUMPRODUCT(('CSV FF'!$A$1:$A$904="Rafter")*('CSV FF'!$E$1:$E$904=0)*('CSV FF'!$C$1:$C$904=AM$4))</f>
        <v>0</v>
      </c>
      <c r="AN10" s="842" cm="1">
        <f t="array" ref="AN10">SUMPRODUCT(('CSV FF'!$A$1:$A$904="Rafter")*('CSV FF'!$E$1:$E$904=0)*('CSV FF'!$C$1:$C$904=AN$4))</f>
        <v>0</v>
      </c>
      <c r="AO10" s="842" cm="1">
        <f t="array" ref="AO10">SUMPRODUCT(('CSV FF'!$A$1:$A$904="Rafter")*('CSV FF'!$E$1:$E$904=0)*('CSV FF'!$C$1:$C$904=AO$4))</f>
        <v>0</v>
      </c>
      <c r="AP10" s="844">
        <f t="shared" si="0"/>
        <v>0</v>
      </c>
      <c r="AQ10" s="323"/>
      <c r="AR10" s="24"/>
      <c r="AS10" s="217"/>
    </row>
    <row r="11" spans="1:45" ht="12.75" customHeight="1" x14ac:dyDescent="0.2">
      <c r="A11" s="840" t="s">
        <v>173</v>
      </c>
      <c r="B11" s="1000" t="s">
        <v>314</v>
      </c>
      <c r="C11" s="842" cm="1">
        <f t="array" ref="C11">SUMPRODUCT(('CSV FF'!$A$1:$A$904="Hip")*('CSV FF'!$C$1:$C$904=C$4))</f>
        <v>0</v>
      </c>
      <c r="D11" s="842" cm="1">
        <f t="array" ref="D11">SUMPRODUCT(('CSV FF'!$A$1:$A$904="Hip")*('CSV FF'!$C$1:$C$904=D$4))</f>
        <v>0</v>
      </c>
      <c r="E11" s="842" cm="1">
        <f t="array" ref="E11">SUMPRODUCT(('CSV FF'!$A$1:$A$904="Hip")*('CSV FF'!$C$1:$C$904=E$4))</f>
        <v>0</v>
      </c>
      <c r="F11" s="842" cm="1">
        <f t="array" ref="F11">SUMPRODUCT(('CSV FF'!$A$1:$A$904="Hip")*('CSV FF'!$C$1:$C$904=F$4))</f>
        <v>0</v>
      </c>
      <c r="G11" s="842" cm="1">
        <f t="array" ref="G11">SUMPRODUCT(('CSV FF'!$A$1:$A$904="Hip")*('CSV FF'!$C$1:$C$904=G$4))</f>
        <v>0</v>
      </c>
      <c r="H11" s="842" cm="1">
        <f t="array" ref="H11">SUMPRODUCT(('CSV FF'!$A$1:$A$904="Hip")*('CSV FF'!$C$1:$C$904=H$4))</f>
        <v>0</v>
      </c>
      <c r="I11" s="842" cm="1">
        <f t="array" ref="I11">SUMPRODUCT(('CSV FF'!$A$1:$A$904="Hip")*('CSV FF'!$C$1:$C$904=I$4))</f>
        <v>0</v>
      </c>
      <c r="J11" s="842" cm="1">
        <f t="array" ref="J11">SUMPRODUCT(('CSV FF'!$A$1:$A$904="Hip")*('CSV FF'!$C$1:$C$904=J$4))</f>
        <v>0</v>
      </c>
      <c r="K11" s="842" cm="1">
        <f t="array" ref="K11">SUMPRODUCT(('CSV FF'!$A$1:$A$904="Hip")*('CSV FF'!$C$1:$C$904=K$4))</f>
        <v>0</v>
      </c>
      <c r="L11" s="842" cm="1">
        <f t="array" ref="L11">SUMPRODUCT(('CSV FF'!$A$1:$A$904="Hip")*('CSV FF'!$C$1:$C$904=L$4))</f>
        <v>0</v>
      </c>
      <c r="M11" s="842" cm="1">
        <f t="array" ref="M11">SUMPRODUCT(('CSV FF'!$A$1:$A$904="Hip")*('CSV FF'!$C$1:$C$904=M$4))</f>
        <v>0</v>
      </c>
      <c r="N11" s="842" cm="1">
        <f t="array" ref="N11">SUMPRODUCT(('CSV FF'!$A$1:$A$904="Hip")*('CSV FF'!$C$1:$C$904=N$4))</f>
        <v>0</v>
      </c>
      <c r="O11" s="842" cm="1">
        <f t="array" ref="O11">SUMPRODUCT(('CSV FF'!$A$1:$A$904="Hip")*('CSV FF'!$C$1:$C$904=O$4))</f>
        <v>0</v>
      </c>
      <c r="P11" s="842" cm="1">
        <f t="array" ref="P11">SUMPRODUCT(('CSV FF'!$A$1:$A$904="Hip")*('CSV FF'!$C$1:$C$904=P$4))</f>
        <v>0</v>
      </c>
      <c r="Q11" s="842" cm="1">
        <f t="array" ref="Q11">SUMPRODUCT(('CSV FF'!$A$1:$A$904="Hip")*('CSV FF'!$C$1:$C$904=Q$4))</f>
        <v>0</v>
      </c>
      <c r="R11" s="842" cm="1">
        <f t="array" ref="R11">SUMPRODUCT(('CSV FF'!$A$1:$A$904="Hip")*('CSV FF'!$C$1:$C$904=R$4))</f>
        <v>0</v>
      </c>
      <c r="S11" s="842" cm="1">
        <f t="array" ref="S11">SUMPRODUCT(('CSV FF'!$A$1:$A$904="Hip")*('CSV FF'!$C$1:$C$904=S$4))</f>
        <v>0</v>
      </c>
      <c r="T11" s="842" cm="1">
        <f t="array" ref="T11">SUMPRODUCT(('CSV FF'!$A$1:$A$904="Hip")*('CSV FF'!$C$1:$C$904=T$4))</f>
        <v>0</v>
      </c>
      <c r="U11" s="842" cm="1">
        <f t="array" ref="U11">SUMPRODUCT(('CSV FF'!$A$1:$A$904="Hip")*('CSV FF'!$C$1:$C$904=U$4))</f>
        <v>0</v>
      </c>
      <c r="V11" s="843"/>
      <c r="W11" s="843"/>
      <c r="X11" s="843"/>
      <c r="Y11" s="843"/>
      <c r="Z11" s="843"/>
      <c r="AA11" s="843"/>
      <c r="AB11" s="843"/>
      <c r="AC11" s="843"/>
      <c r="AD11" s="843"/>
      <c r="AE11" s="843"/>
      <c r="AF11" s="843"/>
      <c r="AG11" s="843"/>
      <c r="AH11" s="843"/>
      <c r="AI11" s="843"/>
      <c r="AJ11" s="843"/>
      <c r="AK11" s="843"/>
      <c r="AL11" s="843"/>
      <c r="AM11" s="843"/>
      <c r="AN11" s="843"/>
      <c r="AO11" s="843"/>
      <c r="AP11" s="844">
        <f t="shared" si="0"/>
        <v>0</v>
      </c>
      <c r="AQ11" s="323"/>
      <c r="AR11" s="24"/>
      <c r="AS11" s="217"/>
    </row>
    <row r="12" spans="1:45" ht="12.75" customHeight="1" x14ac:dyDescent="0.2">
      <c r="A12" s="840" t="s">
        <v>174</v>
      </c>
      <c r="B12" s="1000" t="s">
        <v>314</v>
      </c>
      <c r="C12" s="843"/>
      <c r="D12" s="843"/>
      <c r="E12" s="843"/>
      <c r="F12" s="843"/>
      <c r="G12" s="843"/>
      <c r="H12" s="843"/>
      <c r="I12" s="843"/>
      <c r="J12" s="843"/>
      <c r="K12" s="843"/>
      <c r="L12" s="843"/>
      <c r="M12" s="843"/>
      <c r="N12" s="843"/>
      <c r="O12" s="843"/>
      <c r="P12" s="843"/>
      <c r="Q12" s="843"/>
      <c r="R12" s="843"/>
      <c r="S12" s="843"/>
      <c r="T12" s="843"/>
      <c r="U12" s="843"/>
      <c r="V12" s="842" cm="1">
        <f t="array" ref="V12">SUMPRODUCT(('CSV FF'!$A$1:$A$904="Hip")*('CSV FF'!$C$1:$C$904=V$4))</f>
        <v>0</v>
      </c>
      <c r="W12" s="842" cm="1">
        <f t="array" ref="W12">SUMPRODUCT(('CSV FF'!$A$1:$A$904="Hip")*('CSV FF'!$C$1:$C$904=W$4))</f>
        <v>0</v>
      </c>
      <c r="X12" s="842" cm="1">
        <f t="array" ref="X12">SUMPRODUCT(('CSV FF'!$A$1:$A$904="Hip")*('CSV FF'!$C$1:$C$904=X$4))</f>
        <v>0</v>
      </c>
      <c r="Y12" s="842" cm="1">
        <f t="array" ref="Y12">SUMPRODUCT(('CSV FF'!$A$1:$A$904="Hip")*('CSV FF'!$C$1:$C$904=Y$4))</f>
        <v>0</v>
      </c>
      <c r="Z12" s="842" cm="1">
        <f t="array" ref="Z12">SUMPRODUCT(('CSV FF'!$A$1:$A$904="Hip")*('CSV FF'!$C$1:$C$904=Z$4))</f>
        <v>0</v>
      </c>
      <c r="AA12" s="842" cm="1">
        <f t="array" ref="AA12">SUMPRODUCT(('CSV FF'!$A$1:$A$904="Hip")*('CSV FF'!$C$1:$C$904=AA$4))</f>
        <v>0</v>
      </c>
      <c r="AB12" s="842" cm="1">
        <f t="array" ref="AB12">SUMPRODUCT(('CSV FF'!$A$1:$A$904="Hip")*('CSV FF'!$C$1:$C$904=AB$4))</f>
        <v>0</v>
      </c>
      <c r="AC12" s="842" cm="1">
        <f t="array" ref="AC12">SUMPRODUCT(('CSV FF'!$A$1:$A$904="Hip")*('CSV FF'!$C$1:$C$904=AC$4))</f>
        <v>0</v>
      </c>
      <c r="AD12" s="842" cm="1">
        <f t="array" ref="AD12">SUMPRODUCT(('CSV FF'!$A$1:$A$904="Hip")*('CSV FF'!$C$1:$C$904=AD$4))</f>
        <v>0</v>
      </c>
      <c r="AE12" s="842" cm="1">
        <f t="array" ref="AE12">SUMPRODUCT(('CSV FF'!$A$1:$A$904="Hip")*('CSV FF'!$C$1:$C$904=AE$4))</f>
        <v>0</v>
      </c>
      <c r="AF12" s="842" cm="1">
        <f t="array" ref="AF12">SUMPRODUCT(('CSV FF'!$A$1:$A$904="Hip")*('CSV FF'!$C$1:$C$904=AF$4))</f>
        <v>0</v>
      </c>
      <c r="AG12" s="842" cm="1">
        <f t="array" ref="AG12">SUMPRODUCT(('CSV FF'!$A$1:$A$904="Hip")*('CSV FF'!$C$1:$C$904=AG$4))</f>
        <v>0</v>
      </c>
      <c r="AH12" s="842" cm="1">
        <f t="array" ref="AH12">SUMPRODUCT(('CSV FF'!$A$1:$A$904="Hip")*('CSV FF'!$C$1:$C$904=AH$4))</f>
        <v>0</v>
      </c>
      <c r="AI12" s="842" cm="1">
        <f t="array" ref="AI12">SUMPRODUCT(('CSV FF'!$A$1:$A$904="Hip")*('CSV FF'!$C$1:$C$904=AI$4))</f>
        <v>0</v>
      </c>
      <c r="AJ12" s="842" cm="1">
        <f t="array" ref="AJ12">SUMPRODUCT(('CSV FF'!$A$1:$A$904="Hip")*('CSV FF'!$C$1:$C$904=AJ$4))</f>
        <v>0</v>
      </c>
      <c r="AK12" s="842" cm="1">
        <f t="array" ref="AK12">SUMPRODUCT(('CSV FF'!$A$1:$A$904="Hip")*('CSV FF'!$C$1:$C$904=AK$4))</f>
        <v>0</v>
      </c>
      <c r="AL12" s="842" cm="1">
        <f t="array" ref="AL12">SUMPRODUCT(('CSV FF'!$A$1:$A$904="Hip")*('CSV FF'!$C$1:$C$904=AL$4))</f>
        <v>0</v>
      </c>
      <c r="AM12" s="842" cm="1">
        <f t="array" ref="AM12">SUMPRODUCT(('CSV FF'!$A$1:$A$904="Hip")*('CSV FF'!$C$1:$C$904=AM$4))</f>
        <v>0</v>
      </c>
      <c r="AN12" s="842" cm="1">
        <f t="array" ref="AN12">SUMPRODUCT(('CSV FF'!$A$1:$A$904="Hip")*('CSV FF'!$C$1:$C$904=AN$4))</f>
        <v>0</v>
      </c>
      <c r="AO12" s="842" cm="1">
        <f t="array" ref="AO12">SUMPRODUCT(('CSV FF'!$A$1:$A$904="Hip")*('CSV FF'!$C$1:$C$904=AO$4))</f>
        <v>0</v>
      </c>
      <c r="AP12" s="844">
        <f t="shared" si="0"/>
        <v>0</v>
      </c>
      <c r="AQ12" s="323"/>
      <c r="AR12" s="24"/>
      <c r="AS12" s="217"/>
    </row>
    <row r="13" spans="1:45" ht="12.75" customHeight="1" x14ac:dyDescent="0.2">
      <c r="A13" s="840" t="s">
        <v>177</v>
      </c>
      <c r="B13" s="1000" t="s">
        <v>314</v>
      </c>
      <c r="C13" s="842" cm="1">
        <f t="array" ref="C13">SUMPRODUCT(('CSV FF'!$A$1:$A$904="Valley")*('CSV FF'!$C$1:$C$904=C$4))</f>
        <v>0</v>
      </c>
      <c r="D13" s="842" cm="1">
        <f t="array" ref="D13">SUMPRODUCT(('CSV FF'!$A$1:$A$904="Valley")*('CSV FF'!$C$1:$C$904=D$4))</f>
        <v>0</v>
      </c>
      <c r="E13" s="842" cm="1">
        <f t="array" ref="E13">SUMPRODUCT(('CSV FF'!$A$1:$A$904="Valley")*('CSV FF'!$C$1:$C$904=E$4))</f>
        <v>0</v>
      </c>
      <c r="F13" s="842" cm="1">
        <f t="array" ref="F13">SUMPRODUCT(('CSV FF'!$A$1:$A$904="Valley")*('CSV FF'!$C$1:$C$904=F$4))</f>
        <v>0</v>
      </c>
      <c r="G13" s="842" cm="1">
        <f t="array" ref="G13">SUMPRODUCT(('CSV FF'!$A$1:$A$904="Valley")*('CSV FF'!$C$1:$C$904=G$4))</f>
        <v>0</v>
      </c>
      <c r="H13" s="842" cm="1">
        <f t="array" ref="H13">SUMPRODUCT(('CSV FF'!$A$1:$A$904="Valley")*('CSV FF'!$C$1:$C$904=H$4))</f>
        <v>0</v>
      </c>
      <c r="I13" s="842" cm="1">
        <f t="array" ref="I13">SUMPRODUCT(('CSV FF'!$A$1:$A$904="Valley")*('CSV FF'!$C$1:$C$904=I$4))</f>
        <v>0</v>
      </c>
      <c r="J13" s="842" cm="1">
        <f t="array" ref="J13">SUMPRODUCT(('CSV FF'!$A$1:$A$904="Valley")*('CSV FF'!$C$1:$C$904=J$4))</f>
        <v>0</v>
      </c>
      <c r="K13" s="842" cm="1">
        <f t="array" ref="K13">SUMPRODUCT(('CSV FF'!$A$1:$A$904="Valley")*('CSV FF'!$C$1:$C$904=K$4))</f>
        <v>0</v>
      </c>
      <c r="L13" s="842" cm="1">
        <f t="array" ref="L13">SUMPRODUCT(('CSV FF'!$A$1:$A$904="Valley")*('CSV FF'!$C$1:$C$904=L$4))</f>
        <v>0</v>
      </c>
      <c r="M13" s="842" cm="1">
        <f t="array" ref="M13">SUMPRODUCT(('CSV FF'!$A$1:$A$904="Valley")*('CSV FF'!$C$1:$C$904=M$4))</f>
        <v>0</v>
      </c>
      <c r="N13" s="842" cm="1">
        <f t="array" ref="N13">SUMPRODUCT(('CSV FF'!$A$1:$A$904="Valley")*('CSV FF'!$C$1:$C$904=N$4))</f>
        <v>0</v>
      </c>
      <c r="O13" s="842" cm="1">
        <f t="array" ref="O13">SUMPRODUCT(('CSV FF'!$A$1:$A$904="Valley")*('CSV FF'!$C$1:$C$904=O$4))</f>
        <v>0</v>
      </c>
      <c r="P13" s="842" cm="1">
        <f t="array" ref="P13">SUMPRODUCT(('CSV FF'!$A$1:$A$904="Valley")*('CSV FF'!$C$1:$C$904=P$4))</f>
        <v>0</v>
      </c>
      <c r="Q13" s="842" cm="1">
        <f t="array" ref="Q13">SUMPRODUCT(('CSV FF'!$A$1:$A$904="Valley")*('CSV FF'!$C$1:$C$904=Q$4))</f>
        <v>0</v>
      </c>
      <c r="R13" s="842" cm="1">
        <f t="array" ref="R13">SUMPRODUCT(('CSV FF'!$A$1:$A$904="Valley")*('CSV FF'!$C$1:$C$904=R$4))</f>
        <v>0</v>
      </c>
      <c r="S13" s="842" cm="1">
        <f t="array" ref="S13">SUMPRODUCT(('CSV FF'!$A$1:$A$904="Valley")*('CSV FF'!$C$1:$C$904=S$4))</f>
        <v>0</v>
      </c>
      <c r="T13" s="842" cm="1">
        <f t="array" ref="T13">SUMPRODUCT(('CSV FF'!$A$1:$A$904="Valley")*('CSV FF'!$C$1:$C$904=T$4))</f>
        <v>0</v>
      </c>
      <c r="U13" s="842" cm="1">
        <f t="array" ref="U13">SUMPRODUCT(('CSV FF'!$A$1:$A$904="Valley")*('CSV FF'!$C$1:$C$904=U$4))</f>
        <v>0</v>
      </c>
      <c r="V13" s="843"/>
      <c r="W13" s="843"/>
      <c r="X13" s="843"/>
      <c r="Y13" s="843"/>
      <c r="Z13" s="843"/>
      <c r="AA13" s="843"/>
      <c r="AB13" s="843"/>
      <c r="AC13" s="843"/>
      <c r="AD13" s="843"/>
      <c r="AE13" s="843"/>
      <c r="AF13" s="843"/>
      <c r="AG13" s="843"/>
      <c r="AH13" s="843"/>
      <c r="AI13" s="843"/>
      <c r="AJ13" s="843"/>
      <c r="AK13" s="843"/>
      <c r="AL13" s="843"/>
      <c r="AM13" s="843"/>
      <c r="AN13" s="843"/>
      <c r="AO13" s="843"/>
      <c r="AP13" s="844">
        <f t="shared" si="0"/>
        <v>0</v>
      </c>
      <c r="AQ13" s="323"/>
      <c r="AR13" s="24"/>
      <c r="AS13" s="217"/>
    </row>
    <row r="14" spans="1:45" ht="12.75" customHeight="1" x14ac:dyDescent="0.2">
      <c r="A14" s="840" t="s">
        <v>178</v>
      </c>
      <c r="B14" s="1000" t="s">
        <v>314</v>
      </c>
      <c r="C14" s="845"/>
      <c r="D14" s="845"/>
      <c r="E14" s="845"/>
      <c r="F14" s="845"/>
      <c r="G14" s="845"/>
      <c r="H14" s="845"/>
      <c r="I14" s="845"/>
      <c r="J14" s="845"/>
      <c r="K14" s="845"/>
      <c r="L14" s="845"/>
      <c r="M14" s="845"/>
      <c r="N14" s="845"/>
      <c r="O14" s="845"/>
      <c r="P14" s="845"/>
      <c r="Q14" s="845"/>
      <c r="R14" s="845"/>
      <c r="S14" s="845"/>
      <c r="T14" s="845"/>
      <c r="U14" s="845"/>
      <c r="V14" s="846" cm="1">
        <f t="array" ref="V14">SUMPRODUCT(('CSV FF'!$A$1:$A$904="Valley")*('CSV FF'!$C$1:$C$904=V$4))</f>
        <v>0</v>
      </c>
      <c r="W14" s="846" cm="1">
        <f t="array" ref="W14">SUMPRODUCT(('CSV FF'!$A$1:$A$904="Valley")*('CSV FF'!$C$1:$C$904=W$4))</f>
        <v>0</v>
      </c>
      <c r="X14" s="846" cm="1">
        <f t="array" ref="X14">SUMPRODUCT(('CSV FF'!$A$1:$A$904="Valley")*('CSV FF'!$C$1:$C$904=X$4))</f>
        <v>0</v>
      </c>
      <c r="Y14" s="846" cm="1">
        <f t="array" ref="Y14">SUMPRODUCT(('CSV FF'!$A$1:$A$904="Valley")*('CSV FF'!$C$1:$C$904=Y$4))</f>
        <v>0</v>
      </c>
      <c r="Z14" s="846" cm="1">
        <f t="array" ref="Z14">SUMPRODUCT(('CSV FF'!$A$1:$A$904="Valley")*('CSV FF'!$C$1:$C$904=Z$4))</f>
        <v>0</v>
      </c>
      <c r="AA14" s="846" cm="1">
        <f t="array" ref="AA14">SUMPRODUCT(('CSV FF'!$A$1:$A$904="Valley")*('CSV FF'!$C$1:$C$904=AA$4))</f>
        <v>0</v>
      </c>
      <c r="AB14" s="846" cm="1">
        <f t="array" ref="AB14">SUMPRODUCT(('CSV FF'!$A$1:$A$904="Valley")*('CSV FF'!$C$1:$C$904=AB$4))</f>
        <v>0</v>
      </c>
      <c r="AC14" s="846" cm="1">
        <f t="array" ref="AC14">SUMPRODUCT(('CSV FF'!$A$1:$A$904="Valley")*('CSV FF'!$C$1:$C$904=AC$4))</f>
        <v>0</v>
      </c>
      <c r="AD14" s="846" cm="1">
        <f t="array" ref="AD14">SUMPRODUCT(('CSV FF'!$A$1:$A$904="Valley")*('CSV FF'!$C$1:$C$904=AD$4))</f>
        <v>0</v>
      </c>
      <c r="AE14" s="846" cm="1">
        <f t="array" ref="AE14">SUMPRODUCT(('CSV FF'!$A$1:$A$904="Valley")*('CSV FF'!$C$1:$C$904=AE$4))</f>
        <v>0</v>
      </c>
      <c r="AF14" s="846" cm="1">
        <f t="array" ref="AF14">SUMPRODUCT(('CSV FF'!$A$1:$A$904="Valley")*('CSV FF'!$C$1:$C$904=AF$4))</f>
        <v>0</v>
      </c>
      <c r="AG14" s="846" cm="1">
        <f t="array" ref="AG14">SUMPRODUCT(('CSV FF'!$A$1:$A$904="Valley")*('CSV FF'!$C$1:$C$904=AG$4))</f>
        <v>0</v>
      </c>
      <c r="AH14" s="846" cm="1">
        <f t="array" ref="AH14">SUMPRODUCT(('CSV FF'!$A$1:$A$904="Valley")*('CSV FF'!$C$1:$C$904=AH$4))</f>
        <v>0</v>
      </c>
      <c r="AI14" s="846" cm="1">
        <f t="array" ref="AI14">SUMPRODUCT(('CSV FF'!$A$1:$A$904="Valley")*('CSV FF'!$C$1:$C$904=AI$4))</f>
        <v>0</v>
      </c>
      <c r="AJ14" s="846" cm="1">
        <f t="array" ref="AJ14">SUMPRODUCT(('CSV FF'!$A$1:$A$904="Valley")*('CSV FF'!$C$1:$C$904=AJ$4))</f>
        <v>0</v>
      </c>
      <c r="AK14" s="846" cm="1">
        <f t="array" ref="AK14">SUMPRODUCT(('CSV FF'!$A$1:$A$904="Valley")*('CSV FF'!$C$1:$C$904=AK$4))</f>
        <v>0</v>
      </c>
      <c r="AL14" s="846" cm="1">
        <f t="array" ref="AL14">SUMPRODUCT(('CSV FF'!$A$1:$A$904="Valley")*('CSV FF'!$C$1:$C$904=AL$4))</f>
        <v>0</v>
      </c>
      <c r="AM14" s="846" cm="1">
        <f t="array" ref="AM14">SUMPRODUCT(('CSV FF'!$A$1:$A$904="Valley")*('CSV FF'!$C$1:$C$904=AM$4))</f>
        <v>0</v>
      </c>
      <c r="AN14" s="846" cm="1">
        <f t="array" ref="AN14">SUMPRODUCT(('CSV FF'!$A$1:$A$904="Valley")*('CSV FF'!$C$1:$C$904=AN$4))</f>
        <v>0</v>
      </c>
      <c r="AO14" s="846" cm="1">
        <f t="array" ref="AO14">SUMPRODUCT(('CSV FF'!$A$1:$A$904="Valley")*('CSV FF'!$C$1:$C$904=AO$4))</f>
        <v>0</v>
      </c>
      <c r="AP14" s="844">
        <f t="shared" si="0"/>
        <v>0</v>
      </c>
      <c r="AQ14" s="323"/>
      <c r="AR14" s="24"/>
      <c r="AS14" s="217"/>
    </row>
    <row r="15" spans="1:45" ht="12.75" customHeight="1" x14ac:dyDescent="0.2">
      <c r="A15" s="840" t="s">
        <v>160</v>
      </c>
      <c r="B15" s="1000" t="s">
        <v>1826</v>
      </c>
      <c r="C15" s="847"/>
      <c r="D15" s="847"/>
      <c r="E15" s="847"/>
      <c r="F15" s="847"/>
      <c r="G15" s="847"/>
      <c r="H15" s="847"/>
      <c r="I15" s="847"/>
      <c r="J15" s="847"/>
      <c r="K15" s="847"/>
      <c r="L15" s="847"/>
      <c r="M15" s="847"/>
      <c r="N15" s="847"/>
      <c r="O15" s="847"/>
      <c r="P15" s="847"/>
      <c r="Q15" s="842">
        <f>ROUNDUP(SUMIFS(LengthFF,NameFF,"Underpurlin",LengthFF,"&lt;=4.8")/4.8,0)</f>
        <v>0</v>
      </c>
      <c r="R15" s="847"/>
      <c r="S15" s="842" cm="1">
        <f t="array" ref="S15">SUMPRODUCT(('CSV FF'!$A$1:$A$904="Underpurlin")*('CSV FF'!$C$1:$C$904=S$4))</f>
        <v>0</v>
      </c>
      <c r="T15" s="847"/>
      <c r="U15" s="842" cm="1">
        <f t="array" ref="U15">SUMPRODUCT(('CSV FF'!$A$1:$A$904="Underpurlin")*('CSV FF'!$C$1:$C$904=U$4))</f>
        <v>0</v>
      </c>
      <c r="V15" s="847"/>
      <c r="W15" s="842" cm="1">
        <f t="array" ref="W15">SUMPRODUCT(('CSV FF'!$A$1:$A$904="Underpurlin")*('CSV FF'!$C$1:$C$904=W$4))</f>
        <v>0</v>
      </c>
      <c r="X15" s="847"/>
      <c r="Y15" s="842" cm="1">
        <f t="array" ref="Y15">SUMPRODUCT(('CSV FF'!$A$1:$A$904="Underpurlin")*('CSV FF'!$C$1:$C$904=Y$4))</f>
        <v>0</v>
      </c>
      <c r="Z15" s="843"/>
      <c r="AA15" s="843"/>
      <c r="AB15" s="843"/>
      <c r="AC15" s="843"/>
      <c r="AD15" s="843"/>
      <c r="AE15" s="843"/>
      <c r="AF15" s="843"/>
      <c r="AG15" s="843"/>
      <c r="AH15" s="843"/>
      <c r="AI15" s="843"/>
      <c r="AJ15" s="843"/>
      <c r="AK15" s="843"/>
      <c r="AL15" s="843"/>
      <c r="AM15" s="843"/>
      <c r="AN15" s="843"/>
      <c r="AO15" s="843"/>
      <c r="AP15" s="844">
        <f>SUMPRODUCT($O$4:$AO$4,O15:AO15)</f>
        <v>0</v>
      </c>
      <c r="AQ15" s="323"/>
      <c r="AR15" s="24"/>
      <c r="AS15" s="217"/>
    </row>
    <row r="16" spans="1:45" ht="12.75" customHeight="1" x14ac:dyDescent="0.2">
      <c r="A16" s="840" t="s">
        <v>179</v>
      </c>
      <c r="B16" s="1000" t="s">
        <v>316</v>
      </c>
      <c r="C16" s="843"/>
      <c r="D16" s="843"/>
      <c r="E16" s="843"/>
      <c r="F16" s="843"/>
      <c r="G16" s="843"/>
      <c r="H16" s="843"/>
      <c r="I16" s="843"/>
      <c r="J16" s="843"/>
      <c r="K16" s="843"/>
      <c r="L16" s="843"/>
      <c r="M16" s="843"/>
      <c r="N16" s="843"/>
      <c r="O16" s="843"/>
      <c r="P16" s="848">
        <f>IF('Roof Formulas FF'!B16&gt;0,'Roof Formulas FF'!B16+2,0)</f>
        <v>0</v>
      </c>
      <c r="Q16" s="843"/>
      <c r="R16" s="843"/>
      <c r="S16" s="843"/>
      <c r="T16" s="843"/>
      <c r="U16" s="843"/>
      <c r="V16" s="843"/>
      <c r="W16" s="843"/>
      <c r="X16" s="843"/>
      <c r="Y16" s="843"/>
      <c r="Z16" s="843"/>
      <c r="AA16" s="843"/>
      <c r="AB16" s="843"/>
      <c r="AC16" s="843"/>
      <c r="AD16" s="843"/>
      <c r="AE16" s="843"/>
      <c r="AF16" s="843"/>
      <c r="AG16" s="843"/>
      <c r="AH16" s="843"/>
      <c r="AI16" s="843"/>
      <c r="AJ16" s="843"/>
      <c r="AK16" s="843"/>
      <c r="AL16" s="843"/>
      <c r="AM16" s="843"/>
      <c r="AN16" s="843"/>
      <c r="AO16" s="843"/>
      <c r="AP16" s="844">
        <f t="shared" ref="AP16:AP27" si="1">SUMPRODUCT($C$4:$AO$4,C16:AO16)</f>
        <v>0</v>
      </c>
      <c r="AQ16" s="323"/>
      <c r="AR16" s="24"/>
      <c r="AS16" s="217"/>
    </row>
    <row r="17" spans="1:45" ht="12.75" customHeight="1" x14ac:dyDescent="0.2">
      <c r="A17" s="840" t="s">
        <v>161</v>
      </c>
      <c r="B17" s="1000" t="s">
        <v>313</v>
      </c>
      <c r="C17" s="842" cm="1">
        <f t="array" ref="C17">SUMPRODUCT(('CSV FF'!$A$1:$A$904="Hanger")*('CSV FF'!$E$1:$E$904=$B$17)*('CSV FF'!$C$1:$C$904=C$4))</f>
        <v>0</v>
      </c>
      <c r="D17" s="842" cm="1">
        <f t="array" ref="D17">SUMPRODUCT(('CSV FF'!$A$1:$A$904="Hanger")*('CSV FF'!$E$1:$E$904=$B$17)*('CSV FF'!$C$1:$C$904=D$4))</f>
        <v>0</v>
      </c>
      <c r="E17" s="842" cm="1">
        <f t="array" ref="E17">SUMPRODUCT(('CSV FF'!$A$1:$A$904="Hanger")*('CSV FF'!$E$1:$E$904=$B$17)*('CSV FF'!$C$1:$C$904=E$4))</f>
        <v>0</v>
      </c>
      <c r="F17" s="842" cm="1">
        <f t="array" ref="F17">SUMPRODUCT(('CSV FF'!$A$1:$A$904="Hanger")*('CSV FF'!$E$1:$E$904=$B$17)*('CSV FF'!$C$1:$C$904=F$4))</f>
        <v>0</v>
      </c>
      <c r="G17" s="842" cm="1">
        <f t="array" ref="G17">SUMPRODUCT(('CSV FF'!$A$1:$A$904="Hanger")*('CSV FF'!$E$1:$E$904=$B$17)*('CSV FF'!$C$1:$C$904=G$4))</f>
        <v>0</v>
      </c>
      <c r="H17" s="842" cm="1">
        <f t="array" ref="H17">SUMPRODUCT(('CSV FF'!$A$1:$A$904="Hanger")*('CSV FF'!$E$1:$E$904=$B$17)*('CSV FF'!$C$1:$C$904=H$4))</f>
        <v>0</v>
      </c>
      <c r="I17" s="842" cm="1">
        <f t="array" ref="I17">SUMPRODUCT(('CSV FF'!$A$1:$A$904="Hanger")*('CSV FF'!$E$1:$E$904=$B$17)*('CSV FF'!$C$1:$C$904=I$4))</f>
        <v>0</v>
      </c>
      <c r="J17" s="842" cm="1">
        <f t="array" ref="J17">SUMPRODUCT(('CSV FF'!$A$1:$A$904="Hanger")*('CSV FF'!$E$1:$E$904=$B$17)*('CSV FF'!$C$1:$C$904=J$4))</f>
        <v>0</v>
      </c>
      <c r="K17" s="842" cm="1">
        <f t="array" ref="K17">SUMPRODUCT(('CSV FF'!$A$1:$A$904="Hanger")*('CSV FF'!$E$1:$E$904=$B$17)*('CSV FF'!$C$1:$C$904=K$4))</f>
        <v>0</v>
      </c>
      <c r="L17" s="842" cm="1">
        <f t="array" ref="L17">SUMPRODUCT(('CSV FF'!$A$1:$A$904="Hanger")*('CSV FF'!$E$1:$E$904=$B$17)*('CSV FF'!$C$1:$C$904=L$4))</f>
        <v>0</v>
      </c>
      <c r="M17" s="842" cm="1">
        <f t="array" ref="M17">SUMPRODUCT(('CSV FF'!$A$1:$A$904="Hanger")*('CSV FF'!$E$1:$E$904=$B$17)*('CSV FF'!$C$1:$C$904=M$4))</f>
        <v>0</v>
      </c>
      <c r="N17" s="842" cm="1">
        <f t="array" ref="N17">SUMPRODUCT(('CSV FF'!$A$1:$A$904="Hanger")*('CSV FF'!$E$1:$E$904=$B$17)*('CSV FF'!$C$1:$C$904=N$4))</f>
        <v>0</v>
      </c>
      <c r="O17" s="842" cm="1">
        <f t="array" ref="O17">SUMPRODUCT(('CSV FF'!$A$1:$A$904="Hanger")*('CSV FF'!$E$1:$E$904=$B$17)*('CSV FF'!$C$1:$C$904=O$4))</f>
        <v>0</v>
      </c>
      <c r="P17" s="842" cm="1">
        <f t="array" ref="P17">SUMPRODUCT(('CSV FF'!$A$1:$A$904="Hanger")*('CSV FF'!$E$1:$E$904=$B$17)*('CSV FF'!$C$1:$C$904=P$4))</f>
        <v>0</v>
      </c>
      <c r="Q17" s="842" cm="1">
        <f t="array" ref="Q17">SUMPRODUCT(('CSV FF'!$A$1:$A$904="Hanger")*('CSV FF'!$E$1:$E$904=$B$17)*('CSV FF'!$C$1:$C$904=Q$4))</f>
        <v>0</v>
      </c>
      <c r="R17" s="842" cm="1">
        <f t="array" ref="R17">SUMPRODUCT(('CSV FF'!$A$1:$A$904="Hanger")*('CSV FF'!$E$1:$E$904=$B$17)*('CSV FF'!$C$1:$C$904=R$4))</f>
        <v>0</v>
      </c>
      <c r="S17" s="842" cm="1">
        <f t="array" ref="S17">SUMPRODUCT(('CSV FF'!$A$1:$A$904="Hanger")*('CSV FF'!$E$1:$E$904=$B$17)*('CSV FF'!$C$1:$C$904=S$4))</f>
        <v>0</v>
      </c>
      <c r="T17" s="842" cm="1">
        <f t="array" ref="T17">SUMPRODUCT(('CSV FF'!$A$1:$A$904="Hanger")*('CSV FF'!$E$1:$E$904=$B$17)*('CSV FF'!$C$1:$C$904=T$4))</f>
        <v>0</v>
      </c>
      <c r="U17" s="842" cm="1">
        <f t="array" ref="U17">SUMPRODUCT(('CSV FF'!$A$1:$A$904="Hanger")*('CSV FF'!$E$1:$E$904=$B$17)*('CSV FF'!$C$1:$C$904=U$4))</f>
        <v>0</v>
      </c>
      <c r="V17" s="847"/>
      <c r="W17" s="847"/>
      <c r="X17" s="847"/>
      <c r="Y17" s="847"/>
      <c r="Z17" s="847"/>
      <c r="AA17" s="847"/>
      <c r="AB17" s="847"/>
      <c r="AC17" s="847"/>
      <c r="AD17" s="847"/>
      <c r="AE17" s="847"/>
      <c r="AF17" s="847"/>
      <c r="AG17" s="847"/>
      <c r="AH17" s="847"/>
      <c r="AI17" s="847"/>
      <c r="AJ17" s="847"/>
      <c r="AK17" s="847"/>
      <c r="AL17" s="847"/>
      <c r="AM17" s="847"/>
      <c r="AN17" s="847"/>
      <c r="AO17" s="847"/>
      <c r="AP17" s="844">
        <f t="shared" si="1"/>
        <v>0</v>
      </c>
      <c r="AQ17" s="323">
        <f>IF(FF_Area&gt;0,IF(SUM(AP17:AP21)=0,A17&amp;" Not Imported",),0)</f>
        <v>0</v>
      </c>
      <c r="AR17" s="24"/>
      <c r="AS17" s="217"/>
    </row>
    <row r="18" spans="1:45" ht="12.75" customHeight="1" x14ac:dyDescent="0.2">
      <c r="A18" s="840" t="s">
        <v>161</v>
      </c>
      <c r="B18" s="1000" t="s">
        <v>314</v>
      </c>
      <c r="C18" s="842" cm="1">
        <f t="array" ref="C18">SUMPRODUCT(('CSV FF'!$A$1:$A$904="Hanger")*('CSV FF'!$E$1:$E$904=$B$18)*('CSV FF'!$C$1:$C$904=C$4))</f>
        <v>0</v>
      </c>
      <c r="D18" s="842" cm="1">
        <f t="array" ref="D18">SUMPRODUCT(('CSV FF'!$A$1:$A$904="Hanger")*('CSV FF'!$E$1:$E$904=$B$18)*('CSV FF'!$C$1:$C$904=D$4))</f>
        <v>0</v>
      </c>
      <c r="E18" s="842" cm="1">
        <f t="array" ref="E18">SUMPRODUCT(('CSV FF'!$A$1:$A$904="Hanger")*('CSV FF'!$E$1:$E$904=$B$18)*('CSV FF'!$C$1:$C$904=E$4))</f>
        <v>0</v>
      </c>
      <c r="F18" s="842" cm="1">
        <f t="array" ref="F18">SUMPRODUCT(('CSV FF'!$A$1:$A$904="Hanger")*('CSV FF'!$E$1:$E$904=$B$18)*('CSV FF'!$C$1:$C$904=F$4))</f>
        <v>0</v>
      </c>
      <c r="G18" s="842" cm="1">
        <f t="array" ref="G18">SUMPRODUCT(('CSV FF'!$A$1:$A$904="Hanger")*('CSV FF'!$E$1:$E$904=$B$18)*('CSV FF'!$C$1:$C$904=G$4))</f>
        <v>0</v>
      </c>
      <c r="H18" s="842" cm="1">
        <f t="array" ref="H18">SUMPRODUCT(('CSV FF'!$A$1:$A$904="Hanger")*('CSV FF'!$E$1:$E$904=$B$18)*('CSV FF'!$C$1:$C$904=H$4))</f>
        <v>0</v>
      </c>
      <c r="I18" s="842" cm="1">
        <f t="array" ref="I18">SUMPRODUCT(('CSV FF'!$A$1:$A$904="Hanger")*('CSV FF'!$E$1:$E$904=$B$18)*('CSV FF'!$C$1:$C$904=I$4))</f>
        <v>0</v>
      </c>
      <c r="J18" s="842" cm="1">
        <f t="array" ref="J18">SUMPRODUCT(('CSV FF'!$A$1:$A$904="Hanger")*('CSV FF'!$E$1:$E$904=$B$18)*('CSV FF'!$C$1:$C$904=J$4))</f>
        <v>0</v>
      </c>
      <c r="K18" s="842" cm="1">
        <f t="array" ref="K18">SUMPRODUCT(('CSV FF'!$A$1:$A$904="Hanger")*('CSV FF'!$E$1:$E$904=$B$18)*('CSV FF'!$C$1:$C$904=K$4))</f>
        <v>0</v>
      </c>
      <c r="L18" s="842" cm="1">
        <f t="array" ref="L18">SUMPRODUCT(('CSV FF'!$A$1:$A$904="Hanger")*('CSV FF'!$E$1:$E$904=$B$18)*('CSV FF'!$C$1:$C$904=L$4))</f>
        <v>0</v>
      </c>
      <c r="M18" s="842" cm="1">
        <f t="array" ref="M18">SUMPRODUCT(('CSV FF'!$A$1:$A$904="Hanger")*('CSV FF'!$E$1:$E$904=$B$18)*('CSV FF'!$C$1:$C$904=M$4))</f>
        <v>0</v>
      </c>
      <c r="N18" s="842" cm="1">
        <f t="array" ref="N18">SUMPRODUCT(('CSV FF'!$A$1:$A$904="Hanger")*('CSV FF'!$E$1:$E$904=$B$18)*('CSV FF'!$C$1:$C$904=N$4))</f>
        <v>0</v>
      </c>
      <c r="O18" s="842" cm="1">
        <f t="array" ref="O18">SUMPRODUCT(('CSV FF'!$A$1:$A$904="Hanger")*('CSV FF'!$E$1:$E$904=$B$18)*('CSV FF'!$C$1:$C$904=O$4))</f>
        <v>0</v>
      </c>
      <c r="P18" s="842" cm="1">
        <f t="array" ref="P18">SUMPRODUCT(('CSV FF'!$A$1:$A$904="Hanger")*('CSV FF'!$E$1:$E$904=$B$18)*('CSV FF'!$C$1:$C$904=P$4))</f>
        <v>0</v>
      </c>
      <c r="Q18" s="842" cm="1">
        <f t="array" ref="Q18">SUMPRODUCT(('CSV FF'!$A$1:$A$904="Hanger")*('CSV FF'!$E$1:$E$904=$B$18)*('CSV FF'!$C$1:$C$904=Q$4))</f>
        <v>0</v>
      </c>
      <c r="R18" s="842" cm="1">
        <f t="array" ref="R18">SUMPRODUCT(('CSV FF'!$A$1:$A$904="Hanger")*('CSV FF'!$E$1:$E$904=$B$18)*('CSV FF'!$C$1:$C$904=R$4))</f>
        <v>0</v>
      </c>
      <c r="S18" s="842" cm="1">
        <f t="array" ref="S18">SUMPRODUCT(('CSV FF'!$A$1:$A$904="Hanger")*('CSV FF'!$E$1:$E$904=$B$18)*('CSV FF'!$C$1:$C$904=S$4))</f>
        <v>0</v>
      </c>
      <c r="T18" s="842" cm="1">
        <f t="array" ref="T18">SUMPRODUCT(('CSV FF'!$A$1:$A$904="Hanger")*('CSV FF'!$E$1:$E$904=$B$18)*('CSV FF'!$C$1:$C$904=T$4))</f>
        <v>0</v>
      </c>
      <c r="U18" s="842" cm="1">
        <f t="array" ref="U18">SUMPRODUCT(('CSV FF'!$A$1:$A$904="Hanger")*('CSV FF'!$E$1:$E$904=$B$18)*('CSV FF'!$C$1:$C$904=U$4))</f>
        <v>0</v>
      </c>
      <c r="V18" s="847"/>
      <c r="W18" s="847"/>
      <c r="X18" s="847"/>
      <c r="Y18" s="847"/>
      <c r="Z18" s="847"/>
      <c r="AA18" s="847"/>
      <c r="AB18" s="847"/>
      <c r="AC18" s="847"/>
      <c r="AD18" s="847"/>
      <c r="AE18" s="847"/>
      <c r="AF18" s="847"/>
      <c r="AG18" s="847"/>
      <c r="AH18" s="847"/>
      <c r="AI18" s="847"/>
      <c r="AJ18" s="847"/>
      <c r="AK18" s="847"/>
      <c r="AL18" s="847"/>
      <c r="AM18" s="847"/>
      <c r="AN18" s="847"/>
      <c r="AO18" s="847"/>
      <c r="AP18" s="844">
        <f t="shared" si="1"/>
        <v>0</v>
      </c>
      <c r="AQ18" s="323"/>
      <c r="AR18" s="24"/>
      <c r="AS18" s="217"/>
    </row>
    <row r="19" spans="1:45" ht="12.75" customHeight="1" x14ac:dyDescent="0.2">
      <c r="A19" s="840" t="s">
        <v>161</v>
      </c>
      <c r="B19" s="1000" t="s">
        <v>317</v>
      </c>
      <c r="C19" s="842" cm="1">
        <f t="array" ref="C19">SUMPRODUCT(('CSV FF'!$A$1:$A$904="Hanger")*('CSV FF'!$E$1:$E$904=$B$19)*('CSV FF'!$C$1:$C$904=C$4))</f>
        <v>0</v>
      </c>
      <c r="D19" s="842" cm="1">
        <f t="array" ref="D19">SUMPRODUCT(('CSV FF'!$A$1:$A$904="Hanger")*('CSV FF'!$E$1:$E$904=$B$19)*('CSV FF'!$C$1:$C$904=D$4))</f>
        <v>0</v>
      </c>
      <c r="E19" s="842" cm="1">
        <f t="array" ref="E19">SUMPRODUCT(('CSV FF'!$A$1:$A$904="Hanger")*('CSV FF'!$E$1:$E$904=$B$19)*('CSV FF'!$C$1:$C$904=E$4))</f>
        <v>0</v>
      </c>
      <c r="F19" s="842" cm="1">
        <f t="array" ref="F19">SUMPRODUCT(('CSV FF'!$A$1:$A$904="Hanger")*('CSV FF'!$E$1:$E$904=$B$19)*('CSV FF'!$C$1:$C$904=F$4))</f>
        <v>0</v>
      </c>
      <c r="G19" s="842" cm="1">
        <f t="array" ref="G19">SUMPRODUCT(('CSV FF'!$A$1:$A$904="Hanger")*('CSV FF'!$E$1:$E$904=$B$19)*('CSV FF'!$C$1:$C$904=G$4))</f>
        <v>0</v>
      </c>
      <c r="H19" s="842" cm="1">
        <f t="array" ref="H19">SUMPRODUCT(('CSV FF'!$A$1:$A$904="Hanger")*('CSV FF'!$E$1:$E$904=$B$19)*('CSV FF'!$C$1:$C$904=H$4))</f>
        <v>0</v>
      </c>
      <c r="I19" s="842" cm="1">
        <f t="array" ref="I19">SUMPRODUCT(('CSV FF'!$A$1:$A$904="Hanger")*('CSV FF'!$E$1:$E$904=$B$19)*('CSV FF'!$C$1:$C$904=I$4))</f>
        <v>0</v>
      </c>
      <c r="J19" s="842" cm="1">
        <f t="array" ref="J19">SUMPRODUCT(('CSV FF'!$A$1:$A$904="Hanger")*('CSV FF'!$E$1:$E$904=$B$19)*('CSV FF'!$C$1:$C$904=J$4))</f>
        <v>0</v>
      </c>
      <c r="K19" s="842" cm="1">
        <f t="array" ref="K19">SUMPRODUCT(('CSV FF'!$A$1:$A$904="Hanger")*('CSV FF'!$E$1:$E$904=$B$19)*('CSV FF'!$C$1:$C$904=K$4))</f>
        <v>0</v>
      </c>
      <c r="L19" s="842" cm="1">
        <f t="array" ref="L19">SUMPRODUCT(('CSV FF'!$A$1:$A$904="Hanger")*('CSV FF'!$E$1:$E$904=$B$19)*('CSV FF'!$C$1:$C$904=L$4))</f>
        <v>0</v>
      </c>
      <c r="M19" s="842" cm="1">
        <f t="array" ref="M19">SUMPRODUCT(('CSV FF'!$A$1:$A$904="Hanger")*('CSV FF'!$E$1:$E$904=$B$19)*('CSV FF'!$C$1:$C$904=M$4))</f>
        <v>0</v>
      </c>
      <c r="N19" s="842" cm="1">
        <f t="array" ref="N19">SUMPRODUCT(('CSV FF'!$A$1:$A$904="Hanger")*('CSV FF'!$E$1:$E$904=$B$19)*('CSV FF'!$C$1:$C$904=N$4))</f>
        <v>0</v>
      </c>
      <c r="O19" s="842" cm="1">
        <f t="array" ref="O19">SUMPRODUCT(('CSV FF'!$A$1:$A$904="Hanger")*('CSV FF'!$E$1:$E$904=$B$19)*('CSV FF'!$C$1:$C$904=O$4))</f>
        <v>0</v>
      </c>
      <c r="P19" s="842" cm="1">
        <f t="array" ref="P19">SUMPRODUCT(('CSV FF'!$A$1:$A$904="Hanger")*('CSV FF'!$E$1:$E$904=$B$19)*('CSV FF'!$C$1:$C$904=P$4))</f>
        <v>0</v>
      </c>
      <c r="Q19" s="842" cm="1">
        <f t="array" ref="Q19">SUMPRODUCT(('CSV FF'!$A$1:$A$904="Hanger")*('CSV FF'!$E$1:$E$904=$B$19)*('CSV FF'!$C$1:$C$904=Q$4))</f>
        <v>0</v>
      </c>
      <c r="R19" s="842" cm="1">
        <f t="array" ref="R19">SUMPRODUCT(('CSV FF'!$A$1:$A$904="Hanger")*('CSV FF'!$E$1:$E$904=$B$19)*('CSV FF'!$C$1:$C$904=R$4))</f>
        <v>0</v>
      </c>
      <c r="S19" s="842" cm="1">
        <f t="array" ref="S19">SUMPRODUCT(('CSV FF'!$A$1:$A$904="Hanger")*('CSV FF'!$E$1:$E$904=$B$19)*('CSV FF'!$C$1:$C$904=S$4))</f>
        <v>0</v>
      </c>
      <c r="T19" s="842" cm="1">
        <f t="array" ref="T19">SUMPRODUCT(('CSV FF'!$A$1:$A$904="Hanger")*('CSV FF'!$E$1:$E$904=$B$19)*('CSV FF'!$C$1:$C$904=T$4))</f>
        <v>0</v>
      </c>
      <c r="U19" s="842" cm="1">
        <f t="array" ref="U19">SUMPRODUCT(('CSV FF'!$A$1:$A$904="Hanger")*('CSV FF'!$E$1:$E$904=$B$19)*('CSV FF'!$C$1:$C$904=U$4))</f>
        <v>0</v>
      </c>
      <c r="V19" s="847"/>
      <c r="W19" s="847"/>
      <c r="X19" s="847"/>
      <c r="Y19" s="847"/>
      <c r="Z19" s="847"/>
      <c r="AA19" s="847"/>
      <c r="AB19" s="847"/>
      <c r="AC19" s="847"/>
      <c r="AD19" s="847"/>
      <c r="AE19" s="847"/>
      <c r="AF19" s="847"/>
      <c r="AG19" s="847"/>
      <c r="AH19" s="847"/>
      <c r="AI19" s="847"/>
      <c r="AJ19" s="847"/>
      <c r="AK19" s="847"/>
      <c r="AL19" s="847"/>
      <c r="AM19" s="847"/>
      <c r="AN19" s="847"/>
      <c r="AO19" s="847"/>
      <c r="AP19" s="844">
        <f t="shared" si="1"/>
        <v>0</v>
      </c>
      <c r="AQ19" s="323"/>
      <c r="AR19" s="24"/>
      <c r="AS19" s="217"/>
    </row>
    <row r="20" spans="1:45" ht="12.75" customHeight="1" x14ac:dyDescent="0.2">
      <c r="A20" s="840" t="s">
        <v>161</v>
      </c>
      <c r="B20" s="1000" t="s">
        <v>318</v>
      </c>
      <c r="C20" s="849" cm="1">
        <f t="array" ref="C20">SUMPRODUCT(('CSV FF'!$A$1:$A$904="Hanger")*('CSV FF'!$E$1:$E$904=$B$20)*('CSV FF'!$C$1:$C$904=C$4))</f>
        <v>0</v>
      </c>
      <c r="D20" s="849" cm="1">
        <f t="array" ref="D20">SUMPRODUCT(('CSV FF'!$A$1:$A$904="Hanger")*('CSV FF'!$E$1:$E$904=$B$20)*('CSV FF'!$C$1:$C$904=D$4))</f>
        <v>0</v>
      </c>
      <c r="E20" s="849" cm="1">
        <f t="array" ref="E20">SUMPRODUCT(('CSV FF'!$A$1:$A$904="Hanger")*('CSV FF'!$E$1:$E$904=$B$20)*('CSV FF'!$C$1:$C$904=E$4))</f>
        <v>0</v>
      </c>
      <c r="F20" s="849" cm="1">
        <f t="array" ref="F20">SUMPRODUCT(('CSV FF'!$A$1:$A$904="Hanger")*('CSV FF'!$E$1:$E$904=$B$20)*('CSV FF'!$C$1:$C$904=F$4))</f>
        <v>0</v>
      </c>
      <c r="G20" s="849" cm="1">
        <f t="array" ref="G20">SUMPRODUCT(('CSV FF'!$A$1:$A$904="Hanger")*('CSV FF'!$E$1:$E$904=$B$20)*('CSV FF'!$C$1:$C$904=G$4))</f>
        <v>0</v>
      </c>
      <c r="H20" s="849" cm="1">
        <f t="array" ref="H20">SUMPRODUCT(('CSV FF'!$A$1:$A$904="Hanger")*('CSV FF'!$E$1:$E$904=$B$20)*('CSV FF'!$C$1:$C$904=H$4))</f>
        <v>0</v>
      </c>
      <c r="I20" s="849" cm="1">
        <f t="array" ref="I20">SUMPRODUCT(('CSV FF'!$A$1:$A$904="Hanger")*('CSV FF'!$E$1:$E$904=$B$20)*('CSV FF'!$C$1:$C$904=I$4))</f>
        <v>0</v>
      </c>
      <c r="J20" s="849" cm="1">
        <f t="array" ref="J20">SUMPRODUCT(('CSV FF'!$A$1:$A$904="Hanger")*('CSV FF'!$E$1:$E$904=$B$20)*('CSV FF'!$C$1:$C$904=J$4))</f>
        <v>0</v>
      </c>
      <c r="K20" s="849" cm="1">
        <f t="array" ref="K20">SUMPRODUCT(('CSV FF'!$A$1:$A$904="Hanger")*('CSV FF'!$E$1:$E$904=$B$20)*('CSV FF'!$C$1:$C$904=K$4))</f>
        <v>0</v>
      </c>
      <c r="L20" s="849" cm="1">
        <f t="array" ref="L20">SUMPRODUCT(('CSV FF'!$A$1:$A$904="Hanger")*('CSV FF'!$E$1:$E$904=$B$20)*('CSV FF'!$C$1:$C$904=L$4))</f>
        <v>0</v>
      </c>
      <c r="M20" s="849" cm="1">
        <f t="array" ref="M20">SUMPRODUCT(('CSV FF'!$A$1:$A$904="Hanger")*('CSV FF'!$E$1:$E$904=$B$20)*('CSV FF'!$C$1:$C$904=M$4))</f>
        <v>0</v>
      </c>
      <c r="N20" s="849" cm="1">
        <f t="array" ref="N20">SUMPRODUCT(('CSV FF'!$A$1:$A$904="Hanger")*('CSV FF'!$E$1:$E$904=$B$20)*('CSV FF'!$C$1:$C$904=N$4))</f>
        <v>0</v>
      </c>
      <c r="O20" s="849" cm="1">
        <f t="array" ref="O20">SUMPRODUCT(('CSV FF'!$A$1:$A$904="Hanger")*('CSV FF'!$E$1:$E$904=$B$20)*('CSV FF'!$C$1:$C$904=O$4))</f>
        <v>0</v>
      </c>
      <c r="P20" s="849" cm="1">
        <f t="array" ref="P20">SUMPRODUCT(('CSV FF'!$A$1:$A$904="Hanger")*('CSV FF'!$E$1:$E$904=$B$20)*('CSV FF'!$C$1:$C$904=P$4))</f>
        <v>0</v>
      </c>
      <c r="Q20" s="849" cm="1">
        <f t="array" ref="Q20">SUMPRODUCT(('CSV FF'!$A$1:$A$904="Hanger")*('CSV FF'!$E$1:$E$904=$B$20)*('CSV FF'!$C$1:$C$904=Q$4))</f>
        <v>0</v>
      </c>
      <c r="R20" s="849" cm="1">
        <f t="array" ref="R20">SUMPRODUCT(('CSV FF'!$A$1:$A$904="Hanger")*('CSV FF'!$E$1:$E$904=$B$20)*('CSV FF'!$C$1:$C$904=R$4))</f>
        <v>0</v>
      </c>
      <c r="S20" s="849" cm="1">
        <f t="array" ref="S20">SUMPRODUCT(('CSV FF'!$A$1:$A$904="Hanger")*('CSV FF'!$E$1:$E$904=$B$20)*('CSV FF'!$C$1:$C$904=S$4))</f>
        <v>0</v>
      </c>
      <c r="T20" s="849" cm="1">
        <f t="array" ref="T20">SUMPRODUCT(('CSV FF'!$A$1:$A$904="Hanger")*('CSV FF'!$E$1:$E$904=$B$20)*('CSV FF'!$C$1:$C$904=T$4))</f>
        <v>0</v>
      </c>
      <c r="U20" s="849" cm="1">
        <f t="array" ref="U20">SUMPRODUCT(('CSV FF'!$A$1:$A$904="Hanger")*('CSV FF'!$E$1:$E$904=$B$20)*('CSV FF'!$C$1:$C$904=U$4))</f>
        <v>0</v>
      </c>
      <c r="V20" s="850"/>
      <c r="W20" s="850"/>
      <c r="X20" s="850"/>
      <c r="Y20" s="850"/>
      <c r="Z20" s="850"/>
      <c r="AA20" s="850"/>
      <c r="AB20" s="850"/>
      <c r="AC20" s="850"/>
      <c r="AD20" s="850"/>
      <c r="AE20" s="850"/>
      <c r="AF20" s="850"/>
      <c r="AG20" s="850"/>
      <c r="AH20" s="850"/>
      <c r="AI20" s="850"/>
      <c r="AJ20" s="850"/>
      <c r="AK20" s="850"/>
      <c r="AL20" s="850"/>
      <c r="AM20" s="850"/>
      <c r="AN20" s="850"/>
      <c r="AO20" s="850"/>
      <c r="AP20" s="844">
        <f t="shared" si="1"/>
        <v>0</v>
      </c>
      <c r="AQ20" s="323"/>
      <c r="AR20" s="24"/>
      <c r="AS20" s="217"/>
    </row>
    <row r="21" spans="1:45" ht="12.75" customHeight="1" x14ac:dyDescent="0.2">
      <c r="A21" s="840" t="s">
        <v>161</v>
      </c>
      <c r="B21" s="1000" t="s">
        <v>320</v>
      </c>
      <c r="C21" s="851" cm="1">
        <f t="array" ref="C21">SUMPRODUCT(('CSV FF'!$A$1:$A$831="Hanger")*('CSV FF'!$E$1:$E$831=$B$21)*('CSV FF'!$C$1:$C$831=C$4))</f>
        <v>0</v>
      </c>
      <c r="D21" s="852"/>
      <c r="E21" s="851" cm="1">
        <f t="array" ref="E21">SUMPRODUCT(('CSV FF'!$A$1:$A$831="Hanger")*('CSV FF'!$E$1:$E$831=$B$21)*('CSV FF'!$C$1:$C$831=E$4))+SUMPRODUCT(('CSV FF'!$A$1:$A$831="Hanger")*('CSV FF'!$E$1:$E$831=$B$21)*('CSV FF'!$C$1:$C$831=D$4))</f>
        <v>0</v>
      </c>
      <c r="F21" s="852"/>
      <c r="G21" s="851" cm="1">
        <f t="array" ref="G21">SUMPRODUCT(('CSV FF'!$A$1:$A$831="Hanger")*('CSV FF'!$E$1:$E$831=$B$21)*('CSV FF'!$C$1:$C$831=G$4))+SUMPRODUCT(('CSV FF'!$A$1:$A$831="Hanger")*('CSV FF'!$E$1:$E$831=$B$21)*('CSV FF'!$C$1:$C$831=F$4))</f>
        <v>0</v>
      </c>
      <c r="H21" s="852"/>
      <c r="I21" s="851" cm="1">
        <f t="array" ref="I21">SUMPRODUCT(('CSV FF'!$A$1:$A$831="Hanger")*('CSV FF'!$E$1:$E$831=$B$21)*('CSV FF'!$C$1:$C$831=I$4))+SUMPRODUCT(('CSV FF'!$A$1:$A$831="Hanger")*('CSV FF'!$E$1:$E$831=$B$21)*('CSV FF'!$C$1:$C$831=H$4))</f>
        <v>0</v>
      </c>
      <c r="J21" s="852"/>
      <c r="K21" s="851" cm="1">
        <f t="array" ref="K21">SUMPRODUCT(('CSV FF'!$A$1:$A$831="Hanger")*('CSV FF'!$E$1:$E$831=$B$21)*('CSV FF'!$C$1:$C$831=K$4))+SUMPRODUCT(('CSV FF'!$A$1:$A$831="Hanger")*('CSV FF'!$E$1:$E$831=$B$21)*('CSV FF'!$C$1:$C$831=J$4))</f>
        <v>0</v>
      </c>
      <c r="L21" s="852"/>
      <c r="M21" s="851" cm="1">
        <f t="array" ref="M21">SUMPRODUCT(('CSV FF'!$A$1:$A$831="Hanger")*('CSV FF'!$E$1:$E$831=$B$21)*('CSV FF'!$C$1:$C$831=M$4))+SUMPRODUCT(('CSV FF'!$A$1:$A$831="Hanger")*('CSV FF'!$E$1:$E$831=$B$21)*('CSV FF'!$C$1:$C$831=L$4))</f>
        <v>0</v>
      </c>
      <c r="N21" s="852"/>
      <c r="O21" s="851" cm="1">
        <f t="array" ref="O21">SUMPRODUCT(('CSV FF'!$A$1:$A$831="Hanger")*('CSV FF'!$E$1:$E$831=$B$21)*('CSV FF'!$C$1:$C$831=O$4))+SUMPRODUCT(('CSV FF'!$A$1:$A$831="Hanger")*('CSV FF'!$E$1:$E$831=$B$21)*('CSV FF'!$C$1:$C$831=N$4))</f>
        <v>0</v>
      </c>
      <c r="P21" s="852"/>
      <c r="Q21" s="851" cm="1">
        <f t="array" ref="Q21">SUMPRODUCT(('CSV FF'!$A$1:$A$831="Hanger")*('CSV FF'!$E$1:$E$831=$B$21)*('CSV FF'!$C$1:$C$831=Q$4))+SUMPRODUCT(('CSV FF'!$A$1:$A$831="Hanger")*('CSV FF'!$E$1:$E$831=$B$21)*('CSV FF'!$C$1:$C$831=P$4))</f>
        <v>0</v>
      </c>
      <c r="R21" s="852"/>
      <c r="S21" s="851" cm="1">
        <f t="array" ref="S21">SUMPRODUCT(('CSV FF'!$A$1:$A$831="Hanger")*('CSV FF'!$E$1:$E$831=$B$21)*('CSV FF'!$C$1:$C$831=S$4))+SUMPRODUCT(('CSV FF'!$A$1:$A$831="Hanger")*('CSV FF'!$E$1:$E$831=$B$21)*('CSV FF'!$C$1:$C$831=R$4))</f>
        <v>0</v>
      </c>
      <c r="T21" s="852"/>
      <c r="U21" s="851" cm="1">
        <f t="array" ref="U21">SUMPRODUCT(('CSV FF'!$A$1:$A$831="Hanger")*('CSV FF'!$E$1:$E$831=$B$21)*('CSV FF'!$C$1:$C$831=U$4))+SUMPRODUCT(('CSV FF'!$A$1:$A$831="Hanger")*('CSV FF'!$E$1:$E$831=$B$21)*('CSV FF'!$C$1:$C$831=T$4))</f>
        <v>0</v>
      </c>
      <c r="V21" s="852"/>
      <c r="W21" s="852"/>
      <c r="X21" s="852"/>
      <c r="Y21" s="852"/>
      <c r="Z21" s="852"/>
      <c r="AA21" s="852"/>
      <c r="AB21" s="852"/>
      <c r="AC21" s="852"/>
      <c r="AD21" s="852"/>
      <c r="AE21" s="852"/>
      <c r="AF21" s="852"/>
      <c r="AG21" s="852"/>
      <c r="AH21" s="852"/>
      <c r="AI21" s="852"/>
      <c r="AJ21" s="852"/>
      <c r="AK21" s="852"/>
      <c r="AL21" s="852"/>
      <c r="AM21" s="852"/>
      <c r="AN21" s="852"/>
      <c r="AO21" s="852"/>
      <c r="AP21" s="844">
        <f t="shared" si="1"/>
        <v>0</v>
      </c>
      <c r="AQ21" s="323"/>
      <c r="AR21" s="24"/>
      <c r="AS21" s="217"/>
    </row>
    <row r="22" spans="1:45" ht="12.75" customHeight="1" x14ac:dyDescent="0.2">
      <c r="A22" s="840" t="s">
        <v>163</v>
      </c>
      <c r="B22" s="1000" t="s">
        <v>321</v>
      </c>
      <c r="C22" s="843"/>
      <c r="D22" s="843"/>
      <c r="E22" s="843"/>
      <c r="F22" s="843"/>
      <c r="G22" s="843"/>
      <c r="H22" s="843"/>
      <c r="I22" s="843"/>
      <c r="J22" s="843"/>
      <c r="K22" s="843"/>
      <c r="L22" s="843"/>
      <c r="M22" s="843"/>
      <c r="N22" s="843"/>
      <c r="O22" s="843"/>
      <c r="P22" s="843"/>
      <c r="Q22" s="843"/>
      <c r="R22" s="843"/>
      <c r="S22" s="843"/>
      <c r="T22" s="843"/>
      <c r="U22" s="842">
        <f>'Roof Formulas FF'!B23+'Roof Formulas FF'!B21</f>
        <v>0</v>
      </c>
      <c r="V22" s="843"/>
      <c r="W22" s="843"/>
      <c r="X22" s="843"/>
      <c r="Y22" s="843"/>
      <c r="Z22" s="843"/>
      <c r="AA22" s="843"/>
      <c r="AB22" s="843"/>
      <c r="AC22" s="843"/>
      <c r="AD22" s="843"/>
      <c r="AE22" s="843"/>
      <c r="AF22" s="843"/>
      <c r="AG22" s="843"/>
      <c r="AH22" s="843"/>
      <c r="AI22" s="843"/>
      <c r="AJ22" s="843"/>
      <c r="AK22" s="843"/>
      <c r="AL22" s="843"/>
      <c r="AM22" s="843"/>
      <c r="AN22" s="843"/>
      <c r="AO22" s="843"/>
      <c r="AP22" s="844">
        <f t="shared" si="1"/>
        <v>0</v>
      </c>
      <c r="AQ22" s="323"/>
      <c r="AR22" s="24"/>
      <c r="AS22" s="217"/>
    </row>
    <row r="23" spans="1:45" ht="12.75" customHeight="1" x14ac:dyDescent="0.2">
      <c r="A23" s="840" t="s">
        <v>1327</v>
      </c>
      <c r="B23" s="1000" t="s">
        <v>313</v>
      </c>
      <c r="C23" s="842" cm="1">
        <f t="array" ref="C23">SUMPRODUCT(('CSV FF'!$A$1:$A$904="Collar Tie")*('CSV FF'!$C$1:$C$904=C$4))</f>
        <v>0</v>
      </c>
      <c r="D23" s="842" cm="1">
        <f t="array" ref="D23">SUMPRODUCT(('CSV FF'!$A$1:$A$904="Collar Tie")*('CSV FF'!$C$1:$C$904=D$4))</f>
        <v>0</v>
      </c>
      <c r="E23" s="842" cm="1">
        <f t="array" ref="E23">SUMPRODUCT(('CSV FF'!$A$1:$A$904="Collar Tie")*('CSV FF'!$C$1:$C$904=E$4))</f>
        <v>0</v>
      </c>
      <c r="F23" s="842" cm="1">
        <f t="array" ref="F23">SUMPRODUCT(('CSV FF'!$A$1:$A$904="Collar Tie")*('CSV FF'!$C$1:$C$904=F$4))</f>
        <v>0</v>
      </c>
      <c r="G23" s="842" cm="1">
        <f t="array" ref="G23">SUMPRODUCT(('CSV FF'!$A$1:$A$904="Collar Tie")*('CSV FF'!$C$1:$C$904=G$4))</f>
        <v>0</v>
      </c>
      <c r="H23" s="842" cm="1">
        <f t="array" ref="H23">SUMPRODUCT(('CSV FF'!$A$1:$A$904="Collar Tie")*('CSV FF'!$C$1:$C$904=H$4))</f>
        <v>0</v>
      </c>
      <c r="I23" s="842" cm="1">
        <f t="array" ref="I23">SUMPRODUCT(('CSV FF'!$A$1:$A$904="Collar Tie")*('CSV FF'!$C$1:$C$904=I$4))</f>
        <v>0</v>
      </c>
      <c r="J23" s="842" cm="1">
        <f t="array" ref="J23">SUMPRODUCT(('CSV FF'!$A$1:$A$904="Collar Tie")*('CSV FF'!$C$1:$C$904=J$4))</f>
        <v>0</v>
      </c>
      <c r="K23" s="842" cm="1">
        <f t="array" ref="K23">SUMPRODUCT(('CSV FF'!$A$1:$A$904="Collar Tie")*('CSV FF'!$C$1:$C$904=K$4))</f>
        <v>0</v>
      </c>
      <c r="L23" s="842" cm="1">
        <f t="array" ref="L23">SUMPRODUCT(('CSV FF'!$A$1:$A$904="Collar Tie")*('CSV FF'!$C$1:$C$904=L$4))</f>
        <v>0</v>
      </c>
      <c r="M23" s="842" cm="1">
        <f t="array" ref="M23">SUMPRODUCT(('CSV FF'!$A$1:$A$904="Collar Tie")*('CSV FF'!$C$1:$C$904=M$4))</f>
        <v>0</v>
      </c>
      <c r="N23" s="842" cm="1">
        <f t="array" ref="N23">SUMPRODUCT(('CSV FF'!$A$1:$A$904="Collar Tie")*('CSV FF'!$C$1:$C$904=N$4))</f>
        <v>0</v>
      </c>
      <c r="O23" s="842" cm="1">
        <f t="array" ref="O23">SUMPRODUCT(('CSV FF'!$A$1:$A$904="Collar Tie")*('CSV FF'!$C$1:$C$904=O$4))</f>
        <v>0</v>
      </c>
      <c r="P23" s="842" cm="1">
        <f t="array" ref="P23">SUMPRODUCT(('CSV FF'!$A$1:$A$904="Collar Tie")*('CSV FF'!$C$1:$C$904=P$4))</f>
        <v>0</v>
      </c>
      <c r="Q23" s="842" cm="1">
        <f t="array" ref="Q23">SUMPRODUCT(('CSV FF'!$A$1:$A$904="Collar Tie")*('CSV FF'!$C$1:$C$904=Q$4))</f>
        <v>0</v>
      </c>
      <c r="R23" s="842" cm="1">
        <f t="array" ref="R23">SUMPRODUCT(('CSV FF'!$A$1:$A$904="Collar Tie")*('CSV FF'!$C$1:$C$904=R$4))</f>
        <v>0</v>
      </c>
      <c r="S23" s="842" cm="1">
        <f t="array" ref="S23">SUMPRODUCT(('CSV FF'!$A$1:$A$904="Collar Tie")*('CSV FF'!$C$1:$C$904=S$4))</f>
        <v>0</v>
      </c>
      <c r="T23" s="842" cm="1">
        <f t="array" ref="T23">SUMPRODUCT(('CSV FF'!$A$1:$A$904="Collar Tie")*('CSV FF'!$C$1:$C$904=T$4))</f>
        <v>0</v>
      </c>
      <c r="U23" s="842" cm="1">
        <f t="array" ref="U23">SUMPRODUCT(('CSV FF'!$A$1:$A$904="Collar Tie")*('CSV FF'!$C$1:$C$904=U$4))</f>
        <v>0</v>
      </c>
      <c r="V23" s="847"/>
      <c r="W23" s="847"/>
      <c r="X23" s="847"/>
      <c r="Y23" s="847"/>
      <c r="Z23" s="847"/>
      <c r="AA23" s="847"/>
      <c r="AB23" s="847"/>
      <c r="AC23" s="847"/>
      <c r="AD23" s="847"/>
      <c r="AE23" s="847"/>
      <c r="AF23" s="847"/>
      <c r="AG23" s="847"/>
      <c r="AH23" s="847"/>
      <c r="AI23" s="847"/>
      <c r="AJ23" s="847"/>
      <c r="AK23" s="847"/>
      <c r="AL23" s="847"/>
      <c r="AM23" s="847"/>
      <c r="AN23" s="847"/>
      <c r="AO23" s="847"/>
      <c r="AP23" s="844">
        <f t="shared" si="1"/>
        <v>0</v>
      </c>
      <c r="AQ23" s="323"/>
      <c r="AR23" s="24"/>
      <c r="AS23" s="217"/>
    </row>
    <row r="24" spans="1:45" ht="12.75" customHeight="1" x14ac:dyDescent="0.2">
      <c r="A24" s="840" t="s">
        <v>1328</v>
      </c>
      <c r="B24" s="1000" t="s">
        <v>313</v>
      </c>
      <c r="C24" s="845"/>
      <c r="D24" s="845"/>
      <c r="E24" s="845"/>
      <c r="F24" s="845"/>
      <c r="G24" s="845"/>
      <c r="H24" s="845"/>
      <c r="I24" s="845"/>
      <c r="J24" s="845"/>
      <c r="K24" s="845"/>
      <c r="L24" s="845"/>
      <c r="M24" s="845"/>
      <c r="N24" s="845"/>
      <c r="O24" s="845"/>
      <c r="P24" s="845"/>
      <c r="Q24" s="845"/>
      <c r="R24" s="845"/>
      <c r="S24" s="845"/>
      <c r="T24" s="845"/>
      <c r="U24" s="845"/>
      <c r="V24" s="846" cm="1">
        <f t="array" ref="V24">SUMPRODUCT(('CSV FF'!$A$1:$A$904="Collar Tie")*('CSV FF'!$C$1:$C$904=V$4))</f>
        <v>0</v>
      </c>
      <c r="W24" s="846" cm="1">
        <f t="array" ref="W24">SUMPRODUCT(('CSV FF'!$A$1:$A$904="Collar Tie")*('CSV FF'!$C$1:$C$904=W$4))</f>
        <v>0</v>
      </c>
      <c r="X24" s="846" cm="1">
        <f t="array" ref="X24">SUMPRODUCT(('CSV FF'!$A$1:$A$904="Collar Tie")*('CSV FF'!$C$1:$C$904=X$4))</f>
        <v>0</v>
      </c>
      <c r="Y24" s="846" cm="1">
        <f t="array" ref="Y24">SUMPRODUCT(('CSV FF'!$A$1:$A$904="Collar Tie")*('CSV FF'!$C$1:$C$904=Y$4))</f>
        <v>0</v>
      </c>
      <c r="Z24" s="846" cm="1">
        <f t="array" ref="Z24">SUMPRODUCT(('CSV FF'!$A$1:$A$904="Collar Tie")*('CSV FF'!$C$1:$C$904=Z$4))</f>
        <v>0</v>
      </c>
      <c r="AA24" s="846" cm="1">
        <f t="array" ref="AA24">SUMPRODUCT(('CSV FF'!$A$1:$A$904="Collar Tie")*('CSV FF'!$C$1:$C$904=AA$4))</f>
        <v>0</v>
      </c>
      <c r="AB24" s="846" cm="1">
        <f t="array" ref="AB24">SUMPRODUCT(('CSV FF'!$A$1:$A$904="Collar Tie")*('CSV FF'!$C$1:$C$904=AB$4))</f>
        <v>0</v>
      </c>
      <c r="AC24" s="846" cm="1">
        <f t="array" ref="AC24">SUMPRODUCT(('CSV FF'!$A$1:$A$904="Collar Tie")*('CSV FF'!$C$1:$C$904=AC$4))</f>
        <v>0</v>
      </c>
      <c r="AD24" s="846" cm="1">
        <f t="array" ref="AD24">SUMPRODUCT(('CSV FF'!$A$1:$A$904="Collar Tie")*('CSV FF'!$C$1:$C$904=AD$4))</f>
        <v>0</v>
      </c>
      <c r="AE24" s="846" cm="1">
        <f t="array" ref="AE24">SUMPRODUCT(('CSV FF'!$A$1:$A$904="Collar Tie")*('CSV FF'!$C$1:$C$904=AE$4))</f>
        <v>0</v>
      </c>
      <c r="AF24" s="846" cm="1">
        <f t="array" ref="AF24">SUMPRODUCT(('CSV FF'!$A$1:$A$904="Collar Tie")*('CSV FF'!$C$1:$C$904=AF$4))</f>
        <v>0</v>
      </c>
      <c r="AG24" s="846" cm="1">
        <f t="array" ref="AG24">SUMPRODUCT(('CSV FF'!$A$1:$A$904="Collar Tie")*('CSV FF'!$C$1:$C$904=AG$4))</f>
        <v>0</v>
      </c>
      <c r="AH24" s="846" cm="1">
        <f t="array" ref="AH24">SUMPRODUCT(('CSV FF'!$A$1:$A$904="Collar Tie")*('CSV FF'!$C$1:$C$904=AH$4))</f>
        <v>0</v>
      </c>
      <c r="AI24" s="846" cm="1">
        <f t="array" ref="AI24">SUMPRODUCT(('CSV FF'!$A$1:$A$904="Collar Tie")*('CSV FF'!$C$1:$C$904=AI$4))</f>
        <v>0</v>
      </c>
      <c r="AJ24" s="846" cm="1">
        <f t="array" ref="AJ24">SUMPRODUCT(('CSV FF'!$A$1:$A$904="Collar Tie")*('CSV FF'!$C$1:$C$904=AJ$4))</f>
        <v>0</v>
      </c>
      <c r="AK24" s="846" cm="1">
        <f t="array" ref="AK24">SUMPRODUCT(('CSV FF'!$A$1:$A$904="Collar Tie")*('CSV FF'!$C$1:$C$904=AK$4))</f>
        <v>0</v>
      </c>
      <c r="AL24" s="846" cm="1">
        <f t="array" ref="AL24">SUMPRODUCT(('CSV FF'!$A$1:$A$904="Collar Tie")*('CSV FF'!$C$1:$C$904=AL$4))</f>
        <v>0</v>
      </c>
      <c r="AM24" s="846" cm="1">
        <f t="array" ref="AM24">SUMPRODUCT(('CSV FF'!$A$1:$A$904="Collar Tie")*('CSV FF'!$C$1:$C$904=AM$4))</f>
        <v>0</v>
      </c>
      <c r="AN24" s="846" cm="1">
        <f t="array" ref="AN24">SUMPRODUCT(('CSV FF'!$A$1:$A$904="Collar Tie")*('CSV FF'!$C$1:$C$904=AN$4))</f>
        <v>0</v>
      </c>
      <c r="AO24" s="846" cm="1">
        <f t="array" ref="AO24">SUMPRODUCT(('CSV FF'!$A$1:$A$904="Collar Tie")*('CSV FF'!$C$1:$C$904=AO$4))</f>
        <v>0</v>
      </c>
      <c r="AP24" s="844">
        <f t="shared" si="1"/>
        <v>0</v>
      </c>
      <c r="AQ24" s="323"/>
      <c r="AR24" s="24"/>
      <c r="AS24" s="217"/>
    </row>
    <row r="25" spans="1:45" ht="12.75" customHeight="1" x14ac:dyDescent="0.2">
      <c r="A25" s="840" t="s">
        <v>167</v>
      </c>
      <c r="B25" s="1000" t="s">
        <v>1446</v>
      </c>
      <c r="C25" s="843"/>
      <c r="D25" s="843"/>
      <c r="E25" s="843"/>
      <c r="F25" s="843"/>
      <c r="G25" s="843"/>
      <c r="H25" s="843"/>
      <c r="I25" s="843"/>
      <c r="J25" s="843"/>
      <c r="K25" s="843"/>
      <c r="L25" s="843"/>
      <c r="M25" s="843"/>
      <c r="N25" s="843"/>
      <c r="O25" s="843"/>
      <c r="P25" s="843"/>
      <c r="Q25" s="843"/>
      <c r="R25" s="843"/>
      <c r="S25" s="843"/>
      <c r="T25" s="843"/>
      <c r="U25" s="858">
        <f>'Roof Formulas FF'!B35</f>
        <v>0</v>
      </c>
      <c r="V25" s="843"/>
      <c r="W25" s="843"/>
      <c r="X25" s="843"/>
      <c r="Y25" s="843"/>
      <c r="Z25" s="843"/>
      <c r="AA25" s="843"/>
      <c r="AB25" s="843"/>
      <c r="AC25" s="843"/>
      <c r="AD25" s="843"/>
      <c r="AE25" s="843"/>
      <c r="AF25" s="843"/>
      <c r="AG25" s="843"/>
      <c r="AH25" s="843"/>
      <c r="AI25" s="843"/>
      <c r="AJ25" s="843"/>
      <c r="AK25" s="843"/>
      <c r="AL25" s="843"/>
      <c r="AM25" s="843"/>
      <c r="AN25" s="843"/>
      <c r="AO25" s="843"/>
      <c r="AP25" s="844">
        <f t="shared" si="1"/>
        <v>0</v>
      </c>
      <c r="AQ25" s="323"/>
      <c r="AR25" s="24"/>
      <c r="AS25" s="217"/>
    </row>
    <row r="26" spans="1:45" ht="12.75" customHeight="1" x14ac:dyDescent="0.2">
      <c r="A26" s="840" t="s">
        <v>168</v>
      </c>
      <c r="B26" s="1000" t="s">
        <v>1446</v>
      </c>
      <c r="C26" s="843"/>
      <c r="D26" s="843"/>
      <c r="E26" s="843"/>
      <c r="F26" s="843"/>
      <c r="G26" s="843"/>
      <c r="H26" s="843"/>
      <c r="I26" s="843"/>
      <c r="J26" s="843"/>
      <c r="K26" s="843"/>
      <c r="L26" s="843"/>
      <c r="M26" s="843"/>
      <c r="N26" s="843"/>
      <c r="O26" s="843"/>
      <c r="P26" s="843"/>
      <c r="Q26" s="843"/>
      <c r="R26" s="843"/>
      <c r="S26" s="843"/>
      <c r="T26" s="843"/>
      <c r="U26" s="842">
        <f>ROUNDUP(SUMIF(NameFF,"Ridge",LengthFF)/6,0)</f>
        <v>0</v>
      </c>
      <c r="V26" s="847"/>
      <c r="W26" s="847"/>
      <c r="X26" s="847"/>
      <c r="Y26" s="847"/>
      <c r="Z26" s="847"/>
      <c r="AA26" s="847"/>
      <c r="AB26" s="847"/>
      <c r="AC26" s="847"/>
      <c r="AD26" s="847"/>
      <c r="AE26" s="847"/>
      <c r="AF26" s="847"/>
      <c r="AG26" s="847"/>
      <c r="AH26" s="847"/>
      <c r="AI26" s="847"/>
      <c r="AJ26" s="847"/>
      <c r="AK26" s="847"/>
      <c r="AL26" s="847"/>
      <c r="AM26" s="847"/>
      <c r="AN26" s="847"/>
      <c r="AO26" s="847"/>
      <c r="AP26" s="844">
        <f t="shared" si="1"/>
        <v>0</v>
      </c>
      <c r="AQ26" s="323"/>
      <c r="AR26" s="24"/>
      <c r="AS26" s="217"/>
    </row>
    <row r="27" spans="1:45" ht="12.75" customHeight="1" x14ac:dyDescent="0.2">
      <c r="A27" s="840" t="s">
        <v>166</v>
      </c>
      <c r="B27" s="1000" t="s">
        <v>324</v>
      </c>
      <c r="C27" s="853"/>
      <c r="D27" s="853"/>
      <c r="E27" s="853"/>
      <c r="F27" s="853"/>
      <c r="G27" s="853"/>
      <c r="H27" s="853"/>
      <c r="I27" s="853"/>
      <c r="J27" s="853"/>
      <c r="K27" s="853"/>
      <c r="L27" s="853"/>
      <c r="M27" s="854">
        <f>'Roof Formulas FF'!B29</f>
        <v>0</v>
      </c>
      <c r="N27" s="853"/>
      <c r="O27" s="853"/>
      <c r="P27" s="853"/>
      <c r="Q27" s="853"/>
      <c r="R27" s="853"/>
      <c r="S27" s="853"/>
      <c r="T27" s="853"/>
      <c r="U27" s="853"/>
      <c r="V27" s="853"/>
      <c r="W27" s="853"/>
      <c r="X27" s="853"/>
      <c r="Y27" s="853"/>
      <c r="Z27" s="853"/>
      <c r="AA27" s="853"/>
      <c r="AB27" s="853"/>
      <c r="AC27" s="853"/>
      <c r="AD27" s="853"/>
      <c r="AE27" s="853"/>
      <c r="AF27" s="853"/>
      <c r="AG27" s="853"/>
      <c r="AH27" s="853"/>
      <c r="AI27" s="853"/>
      <c r="AJ27" s="853"/>
      <c r="AK27" s="853"/>
      <c r="AL27" s="853"/>
      <c r="AM27" s="853"/>
      <c r="AN27" s="853"/>
      <c r="AO27" s="853"/>
      <c r="AP27" s="844">
        <f t="shared" si="1"/>
        <v>0</v>
      </c>
      <c r="AQ27" s="323"/>
      <c r="AR27" s="24"/>
      <c r="AS27" s="217"/>
    </row>
    <row r="28" spans="1:45" ht="12.75" customHeight="1" x14ac:dyDescent="0.2">
      <c r="A28" s="839" t="s">
        <v>170</v>
      </c>
      <c r="B28" s="1000"/>
      <c r="C28" s="855"/>
      <c r="D28" s="856"/>
      <c r="E28" s="856"/>
      <c r="F28" s="856"/>
      <c r="G28" s="856"/>
      <c r="H28" s="856"/>
      <c r="I28" s="856"/>
      <c r="J28" s="856"/>
      <c r="K28" s="856"/>
      <c r="L28" s="856"/>
      <c r="M28" s="856"/>
      <c r="N28" s="856"/>
      <c r="O28" s="856"/>
      <c r="P28" s="856"/>
      <c r="Q28" s="856"/>
      <c r="R28" s="856"/>
      <c r="S28" s="856"/>
      <c r="T28" s="856"/>
      <c r="U28" s="856"/>
      <c r="V28" s="856"/>
      <c r="W28" s="856"/>
      <c r="X28" s="856"/>
      <c r="Y28" s="856"/>
      <c r="Z28" s="856"/>
      <c r="AA28" s="856"/>
      <c r="AB28" s="856"/>
      <c r="AC28" s="856"/>
      <c r="AD28" s="856"/>
      <c r="AE28" s="856"/>
      <c r="AF28" s="856"/>
      <c r="AG28" s="856"/>
      <c r="AH28" s="856"/>
      <c r="AI28" s="856"/>
      <c r="AJ28" s="856"/>
      <c r="AK28" s="856"/>
      <c r="AL28" s="856"/>
      <c r="AM28" s="856"/>
      <c r="AN28" s="856"/>
      <c r="AO28" s="857"/>
      <c r="AP28" s="844"/>
      <c r="AQ28" s="323"/>
      <c r="AR28" s="24"/>
      <c r="AS28" s="217"/>
    </row>
    <row r="29" spans="1:45" ht="12.75" customHeight="1" x14ac:dyDescent="0.2">
      <c r="A29" s="840" t="s">
        <v>164</v>
      </c>
      <c r="B29" s="1000" t="s">
        <v>511</v>
      </c>
      <c r="C29" s="851" cm="1">
        <f t="array" ref="C29">SUMPRODUCT(('CSV FF'!$A$1:$A$904="LVL Beam")*('CSV FF'!$E$1:$E$904=$B$29)*('CSV FF'!$C$1:$C$904=C$4))</f>
        <v>0</v>
      </c>
      <c r="D29" s="851" cm="1">
        <f t="array" ref="D29">SUMPRODUCT(('CSV FF'!$A$1:$A$904="LVL Beam")*('CSV FF'!$E$1:$E$904=$B$29)*('CSV FF'!$C$1:$C$904=D$4))</f>
        <v>0</v>
      </c>
      <c r="E29" s="851" cm="1">
        <f t="array" ref="E29">SUMPRODUCT(('CSV FF'!$A$1:$A$904="LVL Beam")*('CSV FF'!$E$1:$E$904=$B$29)*('CSV FF'!$C$1:$C$904=E$4))</f>
        <v>0</v>
      </c>
      <c r="F29" s="851" cm="1">
        <f t="array" ref="F29">SUMPRODUCT(('CSV FF'!$A$1:$A$904="LVL Beam")*('CSV FF'!$E$1:$E$904=$B$29)*('CSV FF'!$C$1:$C$904=F$4))</f>
        <v>0</v>
      </c>
      <c r="G29" s="851" cm="1">
        <f t="array" ref="G29">SUMPRODUCT(('CSV FF'!$A$1:$A$904="LVL Beam")*('CSV FF'!$E$1:$E$904=$B$29)*('CSV FF'!$C$1:$C$904=G$4))</f>
        <v>0</v>
      </c>
      <c r="H29" s="851" cm="1">
        <f t="array" ref="H29">SUMPRODUCT(('CSV FF'!$A$1:$A$904="LVL Beam")*('CSV FF'!$E$1:$E$904=$B$29)*('CSV FF'!$C$1:$C$904=H$4))</f>
        <v>0</v>
      </c>
      <c r="I29" s="851" cm="1">
        <f t="array" ref="I29">SUMPRODUCT(('CSV FF'!$A$1:$A$904="LVL Beam")*('CSV FF'!$E$1:$E$904=$B$29)*('CSV FF'!$C$1:$C$904=I$4))</f>
        <v>0</v>
      </c>
      <c r="J29" s="851" cm="1">
        <f t="array" ref="J29">SUMPRODUCT(('CSV FF'!$A$1:$A$904="LVL Beam")*('CSV FF'!$E$1:$E$904=$B$29)*('CSV FF'!$C$1:$C$904=J$4))</f>
        <v>0</v>
      </c>
      <c r="K29" s="851" cm="1">
        <f t="array" ref="K29">SUMPRODUCT(('CSV FF'!$A$1:$A$904="LVL Beam")*('CSV FF'!$E$1:$E$904=$B$29)*('CSV FF'!$C$1:$C$904=K$4))</f>
        <v>0</v>
      </c>
      <c r="L29" s="851" cm="1">
        <f t="array" ref="L29">SUMPRODUCT(('CSV FF'!$A$1:$A$904="LVL Beam")*('CSV FF'!$E$1:$E$904=$B$29)*('CSV FF'!$C$1:$C$904=L$4))</f>
        <v>0</v>
      </c>
      <c r="M29" s="851" cm="1">
        <f t="array" ref="M29">SUMPRODUCT(('CSV FF'!$A$1:$A$904="LVL Beam")*('CSV FF'!$E$1:$E$904=$B$29)*('CSV FF'!$C$1:$C$904=M$4))</f>
        <v>0</v>
      </c>
      <c r="N29" s="851" cm="1">
        <f t="array" ref="N29">SUMPRODUCT(('CSV FF'!$A$1:$A$904="LVL Beam")*('CSV FF'!$E$1:$E$904=$B$29)*('CSV FF'!$C$1:$C$904=N$4))</f>
        <v>0</v>
      </c>
      <c r="O29" s="851" cm="1">
        <f t="array" ref="O29">SUMPRODUCT(('CSV FF'!$A$1:$A$904="LVL Beam")*('CSV FF'!$E$1:$E$904=$B$29)*('CSV FF'!$C$1:$C$904=O$4))</f>
        <v>0</v>
      </c>
      <c r="P29" s="851" cm="1">
        <f t="array" ref="P29">SUMPRODUCT(('CSV FF'!$A$1:$A$904="LVL Beam")*('CSV FF'!$E$1:$E$904=$B$29)*('CSV FF'!$C$1:$C$904=P$4))</f>
        <v>0</v>
      </c>
      <c r="Q29" s="851" cm="1">
        <f t="array" ref="Q29">SUMPRODUCT(('CSV FF'!$A$1:$A$904="LVL Beam")*('CSV FF'!$E$1:$E$904=$B$29)*('CSV FF'!$C$1:$C$904=Q$4))</f>
        <v>0</v>
      </c>
      <c r="R29" s="851" cm="1">
        <f t="array" ref="R29">SUMPRODUCT(('CSV FF'!$A$1:$A$904="LVL Beam")*('CSV FF'!$E$1:$E$904=$B$29)*('CSV FF'!$C$1:$C$904=R$4))</f>
        <v>0</v>
      </c>
      <c r="S29" s="851" cm="1">
        <f t="array" ref="S29">SUMPRODUCT(('CSV FF'!$A$1:$A$904="LVL Beam")*('CSV FF'!$E$1:$E$904=$B$29)*('CSV FF'!$C$1:$C$904=S$4))</f>
        <v>0</v>
      </c>
      <c r="T29" s="851" cm="1">
        <f t="array" ref="T29">SUMPRODUCT(('CSV FF'!$A$1:$A$904="LVL Beam")*('CSV FF'!$E$1:$E$904=$B$29)*('CSV FF'!$C$1:$C$904=T$4))</f>
        <v>0</v>
      </c>
      <c r="U29" s="851" cm="1">
        <f t="array" ref="U29">SUMPRODUCT(('CSV FF'!$A$1:$A$904="LVL Beam")*('CSV FF'!$E$1:$E$904=$B$29)*('CSV FF'!$C$1:$C$904=U$4))</f>
        <v>0</v>
      </c>
      <c r="V29" s="851" cm="1">
        <f t="array" ref="V29">SUMPRODUCT(('CSV FF'!$A$1:$A$904="LVL Beam")*('CSV FF'!$E$1:$E$904=$B$29)*('CSV FF'!$C$1:$C$904=V$4))</f>
        <v>0</v>
      </c>
      <c r="W29" s="851" cm="1">
        <f t="array" ref="W29">SUMPRODUCT(('CSV FF'!$A$1:$A$904="LVL Beam")*('CSV FF'!$E$1:$E$904=$B$29)*('CSV FF'!$C$1:$C$904=W$4))</f>
        <v>0</v>
      </c>
      <c r="X29" s="851" cm="1">
        <f t="array" ref="X29">SUMPRODUCT(('CSV FF'!$A$1:$A$904="LVL Beam")*('CSV FF'!$E$1:$E$904=$B$29)*('CSV FF'!$C$1:$C$904=X$4))</f>
        <v>0</v>
      </c>
      <c r="Y29" s="851" cm="1">
        <f t="array" ref="Y29">SUMPRODUCT(('CSV FF'!$A$1:$A$904="LVL Beam")*('CSV FF'!$E$1:$E$904=$B$29)*('CSV FF'!$C$1:$C$904=Y$4))</f>
        <v>0</v>
      </c>
      <c r="Z29" s="851" cm="1">
        <f t="array" ref="Z29">SUMPRODUCT(('CSV FF'!$A$1:$A$904="LVL Beam")*('CSV FF'!$E$1:$E$904=$B$29)*('CSV FF'!$C$1:$C$904=Z$4))</f>
        <v>0</v>
      </c>
      <c r="AA29" s="851" cm="1">
        <f t="array" ref="AA29">SUMPRODUCT(('CSV FF'!$A$1:$A$904="LVL Beam")*('CSV FF'!$E$1:$E$904=$B$29)*('CSV FF'!$C$1:$C$904=AA$4))</f>
        <v>0</v>
      </c>
      <c r="AB29" s="851" cm="1">
        <f t="array" ref="AB29">SUMPRODUCT(('CSV FF'!$A$1:$A$904="LVL Beam")*('CSV FF'!$E$1:$E$904=$B$29)*('CSV FF'!$C$1:$C$904=AB$4))</f>
        <v>0</v>
      </c>
      <c r="AC29" s="851" cm="1">
        <f t="array" ref="AC29">SUMPRODUCT(('CSV FF'!$A$1:$A$904="LVL Beam")*('CSV FF'!$E$1:$E$904=$B$29)*('CSV FF'!$C$1:$C$904=AC$4))</f>
        <v>0</v>
      </c>
      <c r="AD29" s="851" cm="1">
        <f t="array" ref="AD29">SUMPRODUCT(('CSV FF'!$A$1:$A$904="LVL Beam")*('CSV FF'!$E$1:$E$904=$B$29)*('CSV FF'!$C$1:$C$904=AD$4))</f>
        <v>0</v>
      </c>
      <c r="AE29" s="851" cm="1">
        <f t="array" ref="AE29">SUMPRODUCT(('CSV FF'!$A$1:$A$904="LVL Beam")*('CSV FF'!$E$1:$E$904=$B$29)*('CSV FF'!$C$1:$C$904=AE$4))</f>
        <v>0</v>
      </c>
      <c r="AF29" s="851" cm="1">
        <f t="array" ref="AF29">SUMPRODUCT(('CSV FF'!$A$1:$A$904="LVL Beam")*('CSV FF'!$E$1:$E$904=$B$29)*('CSV FF'!$C$1:$C$904=AF$4))</f>
        <v>0</v>
      </c>
      <c r="AG29" s="851" cm="1">
        <f t="array" ref="AG29">SUMPRODUCT(('CSV FF'!$A$1:$A$904="LVL Beam")*('CSV FF'!$E$1:$E$904=$B$29)*('CSV FF'!$C$1:$C$904=AG$4))</f>
        <v>0</v>
      </c>
      <c r="AH29" s="851" cm="1">
        <f t="array" ref="AH29">SUMPRODUCT(('CSV FF'!$A$1:$A$904="LVL Beam")*('CSV FF'!$E$1:$E$904=$B$29)*('CSV FF'!$C$1:$C$904=AH$4))</f>
        <v>0</v>
      </c>
      <c r="AI29" s="851" cm="1">
        <f t="array" ref="AI29">SUMPRODUCT(('CSV FF'!$A$1:$A$904="LVL Beam")*('CSV FF'!$E$1:$E$904=$B$29)*('CSV FF'!$C$1:$C$904=AI$4))</f>
        <v>0</v>
      </c>
      <c r="AJ29" s="851" cm="1">
        <f t="array" ref="AJ29">SUMPRODUCT(('CSV FF'!$A$1:$A$904="LVL Beam")*('CSV FF'!$E$1:$E$904=$B$29)*('CSV FF'!$C$1:$C$904=AJ$4))</f>
        <v>0</v>
      </c>
      <c r="AK29" s="851" cm="1">
        <f t="array" ref="AK29">SUMPRODUCT(('CSV FF'!$A$1:$A$904="LVL Beam")*('CSV FF'!$E$1:$E$904=$B$29)*('CSV FF'!$C$1:$C$904=AK$4))</f>
        <v>0</v>
      </c>
      <c r="AL29" s="851" cm="1">
        <f t="array" ref="AL29">SUMPRODUCT(('CSV FF'!$A$1:$A$904="LVL Beam")*('CSV FF'!$E$1:$E$904=$B$29)*('CSV FF'!$C$1:$C$904=AL$4))</f>
        <v>0</v>
      </c>
      <c r="AM29" s="851" cm="1">
        <f t="array" ref="AM29">SUMPRODUCT(('CSV FF'!$A$1:$A$904="LVL Beam")*('CSV FF'!$E$1:$E$904=$B$29)*('CSV FF'!$C$1:$C$904=AM$4))</f>
        <v>0</v>
      </c>
      <c r="AN29" s="851" cm="1">
        <f t="array" ref="AN29">SUMPRODUCT(('CSV FF'!$A$1:$A$904="LVL Beam")*('CSV FF'!$E$1:$E$904=$B$29)*('CSV FF'!$C$1:$C$904=AN$4))</f>
        <v>0</v>
      </c>
      <c r="AO29" s="851" cm="1">
        <f t="array" ref="AO29">SUMPRODUCT(('CSV FF'!$A$1:$A$904="LVL Beam")*('CSV FF'!$E$1:$E$904=$B$29)*('CSV FF'!$C$1:$C$904=AO$4))</f>
        <v>0</v>
      </c>
      <c r="AP29" s="844">
        <f t="shared" ref="AP29:AP37" si="2">SUMPRODUCT($C$4:$AO$4,C29:AO29)</f>
        <v>0</v>
      </c>
      <c r="AQ29" s="323">
        <f>IF(FF_Area&gt;0,IF(SUM(AP29:AP34)=0,"LVL's Not Imported",),0)</f>
        <v>0</v>
      </c>
      <c r="AR29" s="24"/>
      <c r="AS29" s="217"/>
    </row>
    <row r="30" spans="1:45" ht="12.75" customHeight="1" x14ac:dyDescent="0.2">
      <c r="A30" s="840" t="s">
        <v>164</v>
      </c>
      <c r="B30" s="1000" t="s">
        <v>512</v>
      </c>
      <c r="C30" s="842" cm="1">
        <f t="array" ref="C30">SUMPRODUCT(('CSV FF'!$A$1:$A$904="LVL Beam")*('CSV FF'!$E$1:$E$904=$B$30)*('CSV FF'!$C$1:$C$904=C$4))</f>
        <v>0</v>
      </c>
      <c r="D30" s="842" cm="1">
        <f t="array" ref="D30">SUMPRODUCT(('CSV FF'!$A$1:$A$904="LVL Beam")*('CSV FF'!$E$1:$E$904=$B$30)*('CSV FF'!$C$1:$C$904=D$4))</f>
        <v>0</v>
      </c>
      <c r="E30" s="842" cm="1">
        <f t="array" ref="E30">SUMPRODUCT(('CSV FF'!$A$1:$A$904="LVL Beam")*('CSV FF'!$E$1:$E$904=$B$30)*('CSV FF'!$C$1:$C$904=E$4))</f>
        <v>0</v>
      </c>
      <c r="F30" s="842" cm="1">
        <f t="array" ref="F30">SUMPRODUCT(('CSV FF'!$A$1:$A$904="LVL Beam")*('CSV FF'!$E$1:$E$904=$B$30)*('CSV FF'!$C$1:$C$904=F$4))</f>
        <v>0</v>
      </c>
      <c r="G30" s="842" cm="1">
        <f t="array" ref="G30">SUMPRODUCT(('CSV FF'!$A$1:$A$904="LVL Beam")*('CSV FF'!$E$1:$E$904=$B$30)*('CSV FF'!$C$1:$C$904=G$4))</f>
        <v>0</v>
      </c>
      <c r="H30" s="842" cm="1">
        <f t="array" ref="H30">SUMPRODUCT(('CSV FF'!$A$1:$A$904="LVL Beam")*('CSV FF'!$E$1:$E$904=$B$30)*('CSV FF'!$C$1:$C$904=H$4))</f>
        <v>0</v>
      </c>
      <c r="I30" s="842" cm="1">
        <f t="array" ref="I30">SUMPRODUCT(('CSV FF'!$A$1:$A$904="LVL Beam")*('CSV FF'!$E$1:$E$904=$B$30)*('CSV FF'!$C$1:$C$904=I$4))</f>
        <v>0</v>
      </c>
      <c r="J30" s="842" cm="1">
        <f t="array" ref="J30">SUMPRODUCT(('CSV FF'!$A$1:$A$904="LVL Beam")*('CSV FF'!$E$1:$E$904=$B$30)*('CSV FF'!$C$1:$C$904=J$4))</f>
        <v>0</v>
      </c>
      <c r="K30" s="842" cm="1">
        <f t="array" ref="K30">SUMPRODUCT(('CSV FF'!$A$1:$A$904="LVL Beam")*('CSV FF'!$E$1:$E$904=$B$30)*('CSV FF'!$C$1:$C$904=K$4))</f>
        <v>0</v>
      </c>
      <c r="L30" s="842" cm="1">
        <f t="array" ref="L30">SUMPRODUCT(('CSV FF'!$A$1:$A$904="LVL Beam")*('CSV FF'!$E$1:$E$904=$B$30)*('CSV FF'!$C$1:$C$904=L$4))</f>
        <v>0</v>
      </c>
      <c r="M30" s="842" cm="1">
        <f t="array" ref="M30">SUMPRODUCT(('CSV FF'!$A$1:$A$904="LVL Beam")*('CSV FF'!$E$1:$E$904=$B$30)*('CSV FF'!$C$1:$C$904=M$4))</f>
        <v>0</v>
      </c>
      <c r="N30" s="842" cm="1">
        <f t="array" ref="N30">SUMPRODUCT(('CSV FF'!$A$1:$A$904="LVL Beam")*('CSV FF'!$E$1:$E$904=$B$30)*('CSV FF'!$C$1:$C$904=N$4))</f>
        <v>0</v>
      </c>
      <c r="O30" s="842" cm="1">
        <f t="array" ref="O30">SUMPRODUCT(('CSV FF'!$A$1:$A$904="LVL Beam")*('CSV FF'!$E$1:$E$904=$B$30)*('CSV FF'!$C$1:$C$904=O$4))</f>
        <v>0</v>
      </c>
      <c r="P30" s="842" cm="1">
        <f t="array" ref="P30">SUMPRODUCT(('CSV FF'!$A$1:$A$904="LVL Beam")*('CSV FF'!$E$1:$E$904=$B$30)*('CSV FF'!$C$1:$C$904=P$4))</f>
        <v>0</v>
      </c>
      <c r="Q30" s="842" cm="1">
        <f t="array" ref="Q30">SUMPRODUCT(('CSV FF'!$A$1:$A$904="LVL Beam")*('CSV FF'!$E$1:$E$904=$B$30)*('CSV FF'!$C$1:$C$904=Q$4))</f>
        <v>0</v>
      </c>
      <c r="R30" s="842" cm="1">
        <f t="array" ref="R30">SUMPRODUCT(('CSV FF'!$A$1:$A$904="LVL Beam")*('CSV FF'!$E$1:$E$904=$B$30)*('CSV FF'!$C$1:$C$904=R$4))</f>
        <v>0</v>
      </c>
      <c r="S30" s="842" cm="1">
        <f t="array" ref="S30">SUMPRODUCT(('CSV FF'!$A$1:$A$904="LVL Beam")*('CSV FF'!$E$1:$E$904=$B$30)*('CSV FF'!$C$1:$C$904=S$4))</f>
        <v>0</v>
      </c>
      <c r="T30" s="842" cm="1">
        <f t="array" ref="T30">SUMPRODUCT(('CSV FF'!$A$1:$A$904="LVL Beam")*('CSV FF'!$E$1:$E$904=$B$30)*('CSV FF'!$C$1:$C$904=T$4))</f>
        <v>0</v>
      </c>
      <c r="U30" s="842" cm="1">
        <f t="array" ref="U30">SUMPRODUCT(('CSV FF'!$A$1:$A$904="LVL Beam")*('CSV FF'!$E$1:$E$904=$B$30)*('CSV FF'!$C$1:$C$904=U$4))</f>
        <v>0</v>
      </c>
      <c r="V30" s="842" cm="1">
        <f t="array" ref="V30">SUMPRODUCT(('CSV FF'!$A$1:$A$904="LVL Beam")*('CSV FF'!$E$1:$E$904=$B$30)*('CSV FF'!$C$1:$C$904=V$4))</f>
        <v>0</v>
      </c>
      <c r="W30" s="842" cm="1">
        <f t="array" ref="W30">SUMPRODUCT(('CSV FF'!$A$1:$A$904="LVL Beam")*('CSV FF'!$E$1:$E$904=$B$30)*('CSV FF'!$C$1:$C$904=W$4))</f>
        <v>0</v>
      </c>
      <c r="X30" s="842" cm="1">
        <f t="array" ref="X30">SUMPRODUCT(('CSV FF'!$A$1:$A$904="LVL Beam")*('CSV FF'!$E$1:$E$904=$B$30)*('CSV FF'!$C$1:$C$904=X$4))</f>
        <v>0</v>
      </c>
      <c r="Y30" s="842" cm="1">
        <f t="array" ref="Y30">SUMPRODUCT(('CSV FF'!$A$1:$A$904="LVL Beam")*('CSV FF'!$E$1:$E$904=$B$30)*('CSV FF'!$C$1:$C$904=Y$4))</f>
        <v>0</v>
      </c>
      <c r="Z30" s="842" cm="1">
        <f t="array" ref="Z30">SUMPRODUCT(('CSV FF'!$A$1:$A$904="LVL Beam")*('CSV FF'!$E$1:$E$904=$B$30)*('CSV FF'!$C$1:$C$904=Z$4))</f>
        <v>0</v>
      </c>
      <c r="AA30" s="842" cm="1">
        <f t="array" ref="AA30">SUMPRODUCT(('CSV FF'!$A$1:$A$904="LVL Beam")*('CSV FF'!$E$1:$E$904=$B$30)*('CSV FF'!$C$1:$C$904=AA$4))</f>
        <v>0</v>
      </c>
      <c r="AB30" s="842" cm="1">
        <f t="array" ref="AB30">SUMPRODUCT(('CSV FF'!$A$1:$A$904="LVL Beam")*('CSV FF'!$E$1:$E$904=$B$30)*('CSV FF'!$C$1:$C$904=AB$4))</f>
        <v>0</v>
      </c>
      <c r="AC30" s="842" cm="1">
        <f t="array" ref="AC30">SUMPRODUCT(('CSV FF'!$A$1:$A$904="LVL Beam")*('CSV FF'!$E$1:$E$904=$B$30)*('CSV FF'!$C$1:$C$904=AC$4))</f>
        <v>0</v>
      </c>
      <c r="AD30" s="842" cm="1">
        <f t="array" ref="AD30">SUMPRODUCT(('CSV FF'!$A$1:$A$904="LVL Beam")*('CSV FF'!$E$1:$E$904=$B$30)*('CSV FF'!$C$1:$C$904=AD$4))</f>
        <v>0</v>
      </c>
      <c r="AE30" s="842" cm="1">
        <f t="array" ref="AE30">SUMPRODUCT(('CSV FF'!$A$1:$A$904="LVL Beam")*('CSV FF'!$E$1:$E$904=$B$30)*('CSV FF'!$C$1:$C$904=AE$4))</f>
        <v>0</v>
      </c>
      <c r="AF30" s="842" cm="1">
        <f t="array" ref="AF30">SUMPRODUCT(('CSV FF'!$A$1:$A$904="LVL Beam")*('CSV FF'!$E$1:$E$904=$B$30)*('CSV FF'!$C$1:$C$904=AF$4))</f>
        <v>0</v>
      </c>
      <c r="AG30" s="842" cm="1">
        <f t="array" ref="AG30">SUMPRODUCT(('CSV FF'!$A$1:$A$904="LVL Beam")*('CSV FF'!$E$1:$E$904=$B$30)*('CSV FF'!$C$1:$C$904=AG$4))</f>
        <v>0</v>
      </c>
      <c r="AH30" s="842" cm="1">
        <f t="array" ref="AH30">SUMPRODUCT(('CSV FF'!$A$1:$A$904="LVL Beam")*('CSV FF'!$E$1:$E$904=$B$30)*('CSV FF'!$C$1:$C$904=AH$4))</f>
        <v>0</v>
      </c>
      <c r="AI30" s="842" cm="1">
        <f t="array" ref="AI30">SUMPRODUCT(('CSV FF'!$A$1:$A$904="LVL Beam")*('CSV FF'!$E$1:$E$904=$B$30)*('CSV FF'!$C$1:$C$904=AI$4))</f>
        <v>0</v>
      </c>
      <c r="AJ30" s="842" cm="1">
        <f t="array" ref="AJ30">SUMPRODUCT(('CSV FF'!$A$1:$A$904="LVL Beam")*('CSV FF'!$E$1:$E$904=$B$30)*('CSV FF'!$C$1:$C$904=AJ$4))</f>
        <v>0</v>
      </c>
      <c r="AK30" s="842" cm="1">
        <f t="array" ref="AK30">SUMPRODUCT(('CSV FF'!$A$1:$A$904="LVL Beam")*('CSV FF'!$E$1:$E$904=$B$30)*('CSV FF'!$C$1:$C$904=AK$4))</f>
        <v>0</v>
      </c>
      <c r="AL30" s="842" cm="1">
        <f t="array" ref="AL30">SUMPRODUCT(('CSV FF'!$A$1:$A$904="LVL Beam")*('CSV FF'!$E$1:$E$904=$B$30)*('CSV FF'!$C$1:$C$904=AL$4))</f>
        <v>0</v>
      </c>
      <c r="AM30" s="842" cm="1">
        <f t="array" ref="AM30">SUMPRODUCT(('CSV FF'!$A$1:$A$904="LVL Beam")*('CSV FF'!$E$1:$E$904=$B$30)*('CSV FF'!$C$1:$C$904=AM$4))</f>
        <v>0</v>
      </c>
      <c r="AN30" s="842" cm="1">
        <f t="array" ref="AN30">SUMPRODUCT(('CSV FF'!$A$1:$A$904="LVL Beam")*('CSV FF'!$E$1:$E$904=$B$30)*('CSV FF'!$C$1:$C$904=AN$4))</f>
        <v>0</v>
      </c>
      <c r="AO30" s="842" cm="1">
        <f t="array" ref="AO30">SUMPRODUCT(('CSV FF'!$A$1:$A$904="LVL Beam")*('CSV FF'!$E$1:$E$904=$B$30)*('CSV FF'!$C$1:$C$904=AO$4))</f>
        <v>0</v>
      </c>
      <c r="AP30" s="844">
        <f t="shared" si="2"/>
        <v>0</v>
      </c>
      <c r="AQ30" s="323"/>
      <c r="AR30" s="24"/>
      <c r="AS30" s="217"/>
    </row>
    <row r="31" spans="1:45" ht="12.75" customHeight="1" x14ac:dyDescent="0.2">
      <c r="A31" s="840" t="s">
        <v>164</v>
      </c>
      <c r="B31" s="1000" t="s">
        <v>513</v>
      </c>
      <c r="C31" s="842" cm="1">
        <f t="array" ref="C31">SUMPRODUCT(('CSV FF'!$A$1:$A$904="LVL Beam")*('CSV FF'!$E$1:$E$904=$B$31)*('CSV FF'!$C$1:$C$904=C$4))</f>
        <v>0</v>
      </c>
      <c r="D31" s="842" cm="1">
        <f t="array" ref="D31">SUMPRODUCT(('CSV FF'!$A$1:$A$904="LVL Beam")*('CSV FF'!$E$1:$E$904=$B$31)*('CSV FF'!$C$1:$C$904=D$4))</f>
        <v>0</v>
      </c>
      <c r="E31" s="842" cm="1">
        <f t="array" ref="E31">SUMPRODUCT(('CSV FF'!$A$1:$A$904="LVL Beam")*('CSV FF'!$E$1:$E$904=$B$31)*('CSV FF'!$C$1:$C$904=E$4))</f>
        <v>0</v>
      </c>
      <c r="F31" s="842" cm="1">
        <f t="array" ref="F31">SUMPRODUCT(('CSV FF'!$A$1:$A$904="LVL Beam")*('CSV FF'!$E$1:$E$904=$B$31)*('CSV FF'!$C$1:$C$904=F$4))</f>
        <v>0</v>
      </c>
      <c r="G31" s="842" cm="1">
        <f t="array" ref="G31">SUMPRODUCT(('CSV FF'!$A$1:$A$904="LVL Beam")*('CSV FF'!$E$1:$E$904=$B$31)*('CSV FF'!$C$1:$C$904=G$4))</f>
        <v>0</v>
      </c>
      <c r="H31" s="842" cm="1">
        <f t="array" ref="H31">SUMPRODUCT(('CSV FF'!$A$1:$A$904="LVL Beam")*('CSV FF'!$E$1:$E$904=$B$31)*('CSV FF'!$C$1:$C$904=H$4))</f>
        <v>0</v>
      </c>
      <c r="I31" s="842" cm="1">
        <f t="array" ref="I31">SUMPRODUCT(('CSV FF'!$A$1:$A$904="LVL Beam")*('CSV FF'!$E$1:$E$904=$B$31)*('CSV FF'!$C$1:$C$904=I$4))</f>
        <v>0</v>
      </c>
      <c r="J31" s="842" cm="1">
        <f t="array" ref="J31">SUMPRODUCT(('CSV FF'!$A$1:$A$904="LVL Beam")*('CSV FF'!$E$1:$E$904=$B$31)*('CSV FF'!$C$1:$C$904=J$4))</f>
        <v>0</v>
      </c>
      <c r="K31" s="842" cm="1">
        <f t="array" ref="K31">SUMPRODUCT(('CSV FF'!$A$1:$A$904="LVL Beam")*('CSV FF'!$E$1:$E$904=$B$31)*('CSV FF'!$C$1:$C$904=K$4))</f>
        <v>0</v>
      </c>
      <c r="L31" s="842" cm="1">
        <f t="array" ref="L31">SUMPRODUCT(('CSV FF'!$A$1:$A$904="LVL Beam")*('CSV FF'!$E$1:$E$904=$B$31)*('CSV FF'!$C$1:$C$904=L$4))</f>
        <v>0</v>
      </c>
      <c r="M31" s="842" cm="1">
        <f t="array" ref="M31">SUMPRODUCT(('CSV FF'!$A$1:$A$904="LVL Beam")*('CSV FF'!$E$1:$E$904=$B$31)*('CSV FF'!$C$1:$C$904=M$4))</f>
        <v>0</v>
      </c>
      <c r="N31" s="842" cm="1">
        <f t="array" ref="N31">SUMPRODUCT(('CSV FF'!$A$1:$A$904="LVL Beam")*('CSV FF'!$E$1:$E$904=$B$31)*('CSV FF'!$C$1:$C$904=N$4))</f>
        <v>0</v>
      </c>
      <c r="O31" s="842" cm="1">
        <f t="array" ref="O31">SUMPRODUCT(('CSV FF'!$A$1:$A$904="LVL Beam")*('CSV FF'!$E$1:$E$904=$B$31)*('CSV FF'!$C$1:$C$904=O$4))</f>
        <v>0</v>
      </c>
      <c r="P31" s="842" cm="1">
        <f t="array" ref="P31">SUMPRODUCT(('CSV FF'!$A$1:$A$904="LVL Beam")*('CSV FF'!$E$1:$E$904=$B$31)*('CSV FF'!$C$1:$C$904=P$4))</f>
        <v>0</v>
      </c>
      <c r="Q31" s="842" cm="1">
        <f t="array" ref="Q31">SUMPRODUCT(('CSV FF'!$A$1:$A$904="LVL Beam")*('CSV FF'!$E$1:$E$904=$B$31)*('CSV FF'!$C$1:$C$904=Q$4))</f>
        <v>0</v>
      </c>
      <c r="R31" s="842" cm="1">
        <f t="array" ref="R31">SUMPRODUCT(('CSV FF'!$A$1:$A$904="LVL Beam")*('CSV FF'!$E$1:$E$904=$B$31)*('CSV FF'!$C$1:$C$904=R$4))</f>
        <v>0</v>
      </c>
      <c r="S31" s="842" cm="1">
        <f t="array" ref="S31">SUMPRODUCT(('CSV FF'!$A$1:$A$904="LVL Beam")*('CSV FF'!$E$1:$E$904=$B$31)*('CSV FF'!$C$1:$C$904=S$4))</f>
        <v>0</v>
      </c>
      <c r="T31" s="842" cm="1">
        <f t="array" ref="T31">SUMPRODUCT(('CSV FF'!$A$1:$A$904="LVL Beam")*('CSV FF'!$E$1:$E$904=$B$31)*('CSV FF'!$C$1:$C$904=T$4))</f>
        <v>0</v>
      </c>
      <c r="U31" s="842" cm="1">
        <f t="array" ref="U31">SUMPRODUCT(('CSV FF'!$A$1:$A$904="LVL Beam")*('CSV FF'!$E$1:$E$904=$B$31)*('CSV FF'!$C$1:$C$904=U$4))</f>
        <v>0</v>
      </c>
      <c r="V31" s="842" cm="1">
        <f t="array" ref="V31">SUMPRODUCT(('CSV FF'!$A$1:$A$904="LVL Beam")*('CSV FF'!$E$1:$E$904=$B$31)*('CSV FF'!$C$1:$C$904=V$4))</f>
        <v>0</v>
      </c>
      <c r="W31" s="842" cm="1">
        <f t="array" ref="W31">SUMPRODUCT(('CSV FF'!$A$1:$A$904="LVL Beam")*('CSV FF'!$E$1:$E$904=$B$31)*('CSV FF'!$C$1:$C$904=W$4))</f>
        <v>0</v>
      </c>
      <c r="X31" s="842" cm="1">
        <f t="array" ref="X31">SUMPRODUCT(('CSV FF'!$A$1:$A$904="LVL Beam")*('CSV FF'!$E$1:$E$904=$B$31)*('CSV FF'!$C$1:$C$904=X$4))</f>
        <v>0</v>
      </c>
      <c r="Y31" s="842" cm="1">
        <f t="array" ref="Y31">SUMPRODUCT(('CSV FF'!$A$1:$A$904="LVL Beam")*('CSV FF'!$E$1:$E$904=$B$31)*('CSV FF'!$C$1:$C$904=Y$4))</f>
        <v>0</v>
      </c>
      <c r="Z31" s="842" cm="1">
        <f t="array" ref="Z31">SUMPRODUCT(('CSV FF'!$A$1:$A$904="LVL Beam")*('CSV FF'!$E$1:$E$904=$B$31)*('CSV FF'!$C$1:$C$904=Z$4))</f>
        <v>0</v>
      </c>
      <c r="AA31" s="842" cm="1">
        <f t="array" ref="AA31">SUMPRODUCT(('CSV FF'!$A$1:$A$904="LVL Beam")*('CSV FF'!$E$1:$E$904=$B$31)*('CSV FF'!$C$1:$C$904=AA$4))</f>
        <v>0</v>
      </c>
      <c r="AB31" s="842" cm="1">
        <f t="array" ref="AB31">SUMPRODUCT(('CSV FF'!$A$1:$A$904="LVL Beam")*('CSV FF'!$E$1:$E$904=$B$31)*('CSV FF'!$C$1:$C$904=AB$4))</f>
        <v>0</v>
      </c>
      <c r="AC31" s="842" cm="1">
        <f t="array" ref="AC31">SUMPRODUCT(('CSV FF'!$A$1:$A$904="LVL Beam")*('CSV FF'!$E$1:$E$904=$B$31)*('CSV FF'!$C$1:$C$904=AC$4))</f>
        <v>0</v>
      </c>
      <c r="AD31" s="842" cm="1">
        <f t="array" ref="AD31">SUMPRODUCT(('CSV FF'!$A$1:$A$904="LVL Beam")*('CSV FF'!$E$1:$E$904=$B$31)*('CSV FF'!$C$1:$C$904=AD$4))</f>
        <v>0</v>
      </c>
      <c r="AE31" s="842" cm="1">
        <f t="array" ref="AE31">SUMPRODUCT(('CSV FF'!$A$1:$A$904="LVL Beam")*('CSV FF'!$E$1:$E$904=$B$31)*('CSV FF'!$C$1:$C$904=AE$4))</f>
        <v>0</v>
      </c>
      <c r="AF31" s="842" cm="1">
        <f t="array" ref="AF31">SUMPRODUCT(('CSV FF'!$A$1:$A$904="LVL Beam")*('CSV FF'!$E$1:$E$904=$B$31)*('CSV FF'!$C$1:$C$904=AF$4))</f>
        <v>0</v>
      </c>
      <c r="AG31" s="842" cm="1">
        <f t="array" ref="AG31">SUMPRODUCT(('CSV FF'!$A$1:$A$904="LVL Beam")*('CSV FF'!$E$1:$E$904=$B$31)*('CSV FF'!$C$1:$C$904=AG$4))</f>
        <v>0</v>
      </c>
      <c r="AH31" s="842" cm="1">
        <f t="array" ref="AH31">SUMPRODUCT(('CSV FF'!$A$1:$A$904="LVL Beam")*('CSV FF'!$E$1:$E$904=$B$31)*('CSV FF'!$C$1:$C$904=AH$4))</f>
        <v>0</v>
      </c>
      <c r="AI31" s="842" cm="1">
        <f t="array" ref="AI31">SUMPRODUCT(('CSV FF'!$A$1:$A$904="LVL Beam")*('CSV FF'!$E$1:$E$904=$B$31)*('CSV FF'!$C$1:$C$904=AI$4))</f>
        <v>0</v>
      </c>
      <c r="AJ31" s="842" cm="1">
        <f t="array" ref="AJ31">SUMPRODUCT(('CSV FF'!$A$1:$A$904="LVL Beam")*('CSV FF'!$E$1:$E$904=$B$31)*('CSV FF'!$C$1:$C$904=AJ$4))</f>
        <v>0</v>
      </c>
      <c r="AK31" s="842" cm="1">
        <f t="array" ref="AK31">SUMPRODUCT(('CSV FF'!$A$1:$A$904="LVL Beam")*('CSV FF'!$E$1:$E$904=$B$31)*('CSV FF'!$C$1:$C$904=AK$4))</f>
        <v>0</v>
      </c>
      <c r="AL31" s="842" cm="1">
        <f t="array" ref="AL31">SUMPRODUCT(('CSV FF'!$A$1:$A$904="LVL Beam")*('CSV FF'!$E$1:$E$904=$B$31)*('CSV FF'!$C$1:$C$904=AL$4))</f>
        <v>0</v>
      </c>
      <c r="AM31" s="842" cm="1">
        <f t="array" ref="AM31">SUMPRODUCT(('CSV FF'!$A$1:$A$904="LVL Beam")*('CSV FF'!$E$1:$E$904=$B$31)*('CSV FF'!$C$1:$C$904=AM$4))</f>
        <v>0</v>
      </c>
      <c r="AN31" s="842" cm="1">
        <f t="array" ref="AN31">SUMPRODUCT(('CSV FF'!$A$1:$A$904="LVL Beam")*('CSV FF'!$E$1:$E$904=$B$31)*('CSV FF'!$C$1:$C$904=AN$4))</f>
        <v>0</v>
      </c>
      <c r="AO31" s="842" cm="1">
        <f t="array" ref="AO31">SUMPRODUCT(('CSV FF'!$A$1:$A$904="LVL Beam")*('CSV FF'!$E$1:$E$904=$B$31)*('CSV FF'!$C$1:$C$904=AO$4))</f>
        <v>0</v>
      </c>
      <c r="AP31" s="844">
        <f t="shared" si="2"/>
        <v>0</v>
      </c>
      <c r="AQ31" s="323"/>
      <c r="AR31" s="24"/>
      <c r="AS31" s="217"/>
    </row>
    <row r="32" spans="1:45" ht="12.75" customHeight="1" x14ac:dyDescent="0.2">
      <c r="A32" s="840" t="s">
        <v>164</v>
      </c>
      <c r="B32" s="1000" t="s">
        <v>514</v>
      </c>
      <c r="C32" s="842" cm="1">
        <f t="array" ref="C32">SUMPRODUCT(('CSV FF'!$A$1:$A$904="LVL Beam")*('CSV FF'!$E$1:$E$904=$B$32)*('CSV FF'!$C$1:$C$904=C$4))</f>
        <v>0</v>
      </c>
      <c r="D32" s="842" cm="1">
        <f t="array" ref="D32">SUMPRODUCT(('CSV FF'!$A$1:$A$904="LVL Beam")*('CSV FF'!$E$1:$E$904=$B$32)*('CSV FF'!$C$1:$C$904=D$4))</f>
        <v>0</v>
      </c>
      <c r="E32" s="842" cm="1">
        <f t="array" ref="E32">SUMPRODUCT(('CSV FF'!$A$1:$A$904="LVL Beam")*('CSV FF'!$E$1:$E$904=$B$32)*('CSV FF'!$C$1:$C$904=E$4))</f>
        <v>0</v>
      </c>
      <c r="F32" s="842" cm="1">
        <f t="array" ref="F32">SUMPRODUCT(('CSV FF'!$A$1:$A$904="LVL Beam")*('CSV FF'!$E$1:$E$904=$B$32)*('CSV FF'!$C$1:$C$904=F$4))</f>
        <v>0</v>
      </c>
      <c r="G32" s="842" cm="1">
        <f t="array" ref="G32">SUMPRODUCT(('CSV FF'!$A$1:$A$904="LVL Beam")*('CSV FF'!$E$1:$E$904=$B$32)*('CSV FF'!$C$1:$C$904=G$4))</f>
        <v>0</v>
      </c>
      <c r="H32" s="842" cm="1">
        <f t="array" ref="H32">SUMPRODUCT(('CSV FF'!$A$1:$A$904="LVL Beam")*('CSV FF'!$E$1:$E$904=$B$32)*('CSV FF'!$C$1:$C$904=H$4))</f>
        <v>0</v>
      </c>
      <c r="I32" s="842" cm="1">
        <f t="array" ref="I32">SUMPRODUCT(('CSV FF'!$A$1:$A$904="LVL Beam")*('CSV FF'!$E$1:$E$904=$B$32)*('CSV FF'!$C$1:$C$904=I$4))</f>
        <v>0</v>
      </c>
      <c r="J32" s="842" cm="1">
        <f t="array" ref="J32">SUMPRODUCT(('CSV FF'!$A$1:$A$904="LVL Beam")*('CSV FF'!$E$1:$E$904=$B$32)*('CSV FF'!$C$1:$C$904=J$4))</f>
        <v>0</v>
      </c>
      <c r="K32" s="842" cm="1">
        <f t="array" ref="K32">SUMPRODUCT(('CSV FF'!$A$1:$A$904="LVL Beam")*('CSV FF'!$E$1:$E$904=$B$32)*('CSV FF'!$C$1:$C$904=K$4))</f>
        <v>0</v>
      </c>
      <c r="L32" s="842" cm="1">
        <f t="array" ref="L32">SUMPRODUCT(('CSV FF'!$A$1:$A$904="LVL Beam")*('CSV FF'!$E$1:$E$904=$B$32)*('CSV FF'!$C$1:$C$904=L$4))</f>
        <v>0</v>
      </c>
      <c r="M32" s="842" cm="1">
        <f t="array" ref="M32">SUMPRODUCT(('CSV FF'!$A$1:$A$904="LVL Beam")*('CSV FF'!$E$1:$E$904=$B$32)*('CSV FF'!$C$1:$C$904=M$4))</f>
        <v>0</v>
      </c>
      <c r="N32" s="842" cm="1">
        <f t="array" ref="N32">SUMPRODUCT(('CSV FF'!$A$1:$A$904="LVL Beam")*('CSV FF'!$E$1:$E$904=$B$32)*('CSV FF'!$C$1:$C$904=N$4))</f>
        <v>0</v>
      </c>
      <c r="O32" s="842" cm="1">
        <f t="array" ref="O32">SUMPRODUCT(('CSV FF'!$A$1:$A$904="LVL Beam")*('CSV FF'!$E$1:$E$904=$B$32)*('CSV FF'!$C$1:$C$904=O$4))</f>
        <v>0</v>
      </c>
      <c r="P32" s="842" cm="1">
        <f t="array" ref="P32">SUMPRODUCT(('CSV FF'!$A$1:$A$904="LVL Beam")*('CSV FF'!$E$1:$E$904=$B$32)*('CSV FF'!$C$1:$C$904=P$4))</f>
        <v>0</v>
      </c>
      <c r="Q32" s="842" cm="1">
        <f t="array" ref="Q32">SUMPRODUCT(('CSV FF'!$A$1:$A$904="LVL Beam")*('CSV FF'!$E$1:$E$904=$B$32)*('CSV FF'!$C$1:$C$904=Q$4))</f>
        <v>0</v>
      </c>
      <c r="R32" s="842" cm="1">
        <f t="array" ref="R32">SUMPRODUCT(('CSV FF'!$A$1:$A$904="LVL Beam")*('CSV FF'!$E$1:$E$904=$B$32)*('CSV FF'!$C$1:$C$904=R$4))</f>
        <v>0</v>
      </c>
      <c r="S32" s="842" cm="1">
        <f t="array" ref="S32">SUMPRODUCT(('CSV FF'!$A$1:$A$904="LVL Beam")*('CSV FF'!$E$1:$E$904=$B$32)*('CSV FF'!$C$1:$C$904=S$4))</f>
        <v>0</v>
      </c>
      <c r="T32" s="842" cm="1">
        <f t="array" ref="T32">SUMPRODUCT(('CSV FF'!$A$1:$A$904="LVL Beam")*('CSV FF'!$E$1:$E$904=$B$32)*('CSV FF'!$C$1:$C$904=T$4))</f>
        <v>0</v>
      </c>
      <c r="U32" s="842" cm="1">
        <f t="array" ref="U32">SUMPRODUCT(('CSV FF'!$A$1:$A$904="LVL Beam")*('CSV FF'!$E$1:$E$904=$B$32)*('CSV FF'!$C$1:$C$904=U$4))</f>
        <v>0</v>
      </c>
      <c r="V32" s="842" cm="1">
        <f t="array" ref="V32">SUMPRODUCT(('CSV FF'!$A$1:$A$904="LVL Beam")*('CSV FF'!$E$1:$E$904=$B$32)*('CSV FF'!$C$1:$C$904=V$4))</f>
        <v>0</v>
      </c>
      <c r="W32" s="842" cm="1">
        <f t="array" ref="W32">SUMPRODUCT(('CSV FF'!$A$1:$A$904="LVL Beam")*('CSV FF'!$E$1:$E$904=$B$32)*('CSV FF'!$C$1:$C$904=W$4))</f>
        <v>0</v>
      </c>
      <c r="X32" s="842" cm="1">
        <f t="array" ref="X32">SUMPRODUCT(('CSV FF'!$A$1:$A$904="LVL Beam")*('CSV FF'!$E$1:$E$904=$B$32)*('CSV FF'!$C$1:$C$904=X$4))</f>
        <v>0</v>
      </c>
      <c r="Y32" s="842" cm="1">
        <f t="array" ref="Y32">SUMPRODUCT(('CSV FF'!$A$1:$A$904="LVL Beam")*('CSV FF'!$E$1:$E$904=$B$32)*('CSV FF'!$C$1:$C$904=Y$4))</f>
        <v>0</v>
      </c>
      <c r="Z32" s="842" cm="1">
        <f t="array" ref="Z32">SUMPRODUCT(('CSV FF'!$A$1:$A$904="LVL Beam")*('CSV FF'!$E$1:$E$904=$B$32)*('CSV FF'!$C$1:$C$904=Z$4))</f>
        <v>0</v>
      </c>
      <c r="AA32" s="842" cm="1">
        <f t="array" ref="AA32">SUMPRODUCT(('CSV FF'!$A$1:$A$904="LVL Beam")*('CSV FF'!$E$1:$E$904=$B$32)*('CSV FF'!$C$1:$C$904=AA$4))</f>
        <v>0</v>
      </c>
      <c r="AB32" s="842" cm="1">
        <f t="array" ref="AB32">SUMPRODUCT(('CSV FF'!$A$1:$A$904="LVL Beam")*('CSV FF'!$E$1:$E$904=$B$32)*('CSV FF'!$C$1:$C$904=AB$4))</f>
        <v>0</v>
      </c>
      <c r="AC32" s="842" cm="1">
        <f t="array" ref="AC32">SUMPRODUCT(('CSV FF'!$A$1:$A$904="LVL Beam")*('CSV FF'!$E$1:$E$904=$B$32)*('CSV FF'!$C$1:$C$904=AC$4))</f>
        <v>0</v>
      </c>
      <c r="AD32" s="842" cm="1">
        <f t="array" ref="AD32">SUMPRODUCT(('CSV FF'!$A$1:$A$904="LVL Beam")*('CSV FF'!$E$1:$E$904=$B$32)*('CSV FF'!$C$1:$C$904=AD$4))</f>
        <v>0</v>
      </c>
      <c r="AE32" s="842" cm="1">
        <f t="array" ref="AE32">SUMPRODUCT(('CSV FF'!$A$1:$A$904="LVL Beam")*('CSV FF'!$E$1:$E$904=$B$32)*('CSV FF'!$C$1:$C$904=AE$4))</f>
        <v>0</v>
      </c>
      <c r="AF32" s="842" cm="1">
        <f t="array" ref="AF32">SUMPRODUCT(('CSV FF'!$A$1:$A$904="LVL Beam")*('CSV FF'!$E$1:$E$904=$B$32)*('CSV FF'!$C$1:$C$904=AF$4))</f>
        <v>0</v>
      </c>
      <c r="AG32" s="842" cm="1">
        <f t="array" ref="AG32">SUMPRODUCT(('CSV FF'!$A$1:$A$904="LVL Beam")*('CSV FF'!$E$1:$E$904=$B$32)*('CSV FF'!$C$1:$C$904=AG$4))</f>
        <v>0</v>
      </c>
      <c r="AH32" s="842" cm="1">
        <f t="array" ref="AH32">SUMPRODUCT(('CSV FF'!$A$1:$A$904="LVL Beam")*('CSV FF'!$E$1:$E$904=$B$32)*('CSV FF'!$C$1:$C$904=AH$4))</f>
        <v>0</v>
      </c>
      <c r="AI32" s="842" cm="1">
        <f t="array" ref="AI32">SUMPRODUCT(('CSV FF'!$A$1:$A$904="LVL Beam")*('CSV FF'!$E$1:$E$904=$B$32)*('CSV FF'!$C$1:$C$904=AI$4))</f>
        <v>0</v>
      </c>
      <c r="AJ32" s="842" cm="1">
        <f t="array" ref="AJ32">SUMPRODUCT(('CSV FF'!$A$1:$A$904="LVL Beam")*('CSV FF'!$E$1:$E$904=$B$32)*('CSV FF'!$C$1:$C$904=AJ$4))</f>
        <v>0</v>
      </c>
      <c r="AK32" s="842" cm="1">
        <f t="array" ref="AK32">SUMPRODUCT(('CSV FF'!$A$1:$A$904="LVL Beam")*('CSV FF'!$E$1:$E$904=$B$32)*('CSV FF'!$C$1:$C$904=AK$4))</f>
        <v>0</v>
      </c>
      <c r="AL32" s="842" cm="1">
        <f t="array" ref="AL32">SUMPRODUCT(('CSV FF'!$A$1:$A$904="LVL Beam")*('CSV FF'!$E$1:$E$904=$B$32)*('CSV FF'!$C$1:$C$904=AL$4))</f>
        <v>0</v>
      </c>
      <c r="AM32" s="842" cm="1">
        <f t="array" ref="AM32">SUMPRODUCT(('CSV FF'!$A$1:$A$904="LVL Beam")*('CSV FF'!$E$1:$E$904=$B$32)*('CSV FF'!$C$1:$C$904=AM$4))</f>
        <v>0</v>
      </c>
      <c r="AN32" s="842" cm="1">
        <f t="array" ref="AN32">SUMPRODUCT(('CSV FF'!$A$1:$A$904="LVL Beam")*('CSV FF'!$E$1:$E$904=$B$32)*('CSV FF'!$C$1:$C$904=AN$4))</f>
        <v>0</v>
      </c>
      <c r="AO32" s="842" cm="1">
        <f t="array" ref="AO32">SUMPRODUCT(('CSV FF'!$A$1:$A$904="LVL Beam")*('CSV FF'!$E$1:$E$904=$B$32)*('CSV FF'!$C$1:$C$904=AO$4))</f>
        <v>0</v>
      </c>
      <c r="AP32" s="844">
        <f t="shared" si="2"/>
        <v>0</v>
      </c>
      <c r="AQ32" s="323"/>
      <c r="AR32" s="24"/>
      <c r="AS32" s="217"/>
    </row>
    <row r="33" spans="1:45" ht="12.75" customHeight="1" x14ac:dyDescent="0.2">
      <c r="A33" s="840" t="s">
        <v>164</v>
      </c>
      <c r="B33" s="1000" t="s">
        <v>515</v>
      </c>
      <c r="C33" s="842" cm="1">
        <f t="array" ref="C33">SUMPRODUCT(('CSV FF'!$A$1:$A$904="LVL Beam")*('CSV FF'!$E$1:$E$904=$B$33)*('CSV FF'!$C$1:$C$904=C$4))</f>
        <v>0</v>
      </c>
      <c r="D33" s="842" cm="1">
        <f t="array" ref="D33">SUMPRODUCT(('CSV FF'!$A$1:$A$904="LVL Beam")*('CSV FF'!$E$1:$E$904=$B$33)*('CSV FF'!$C$1:$C$904=D$4))</f>
        <v>0</v>
      </c>
      <c r="E33" s="842" cm="1">
        <f t="array" ref="E33">SUMPRODUCT(('CSV FF'!$A$1:$A$904="LVL Beam")*('CSV FF'!$E$1:$E$904=$B$33)*('CSV FF'!$C$1:$C$904=E$4))</f>
        <v>0</v>
      </c>
      <c r="F33" s="842" cm="1">
        <f t="array" ref="F33">SUMPRODUCT(('CSV FF'!$A$1:$A$904="LVL Beam")*('CSV FF'!$E$1:$E$904=$B$33)*('CSV FF'!$C$1:$C$904=F$4))</f>
        <v>0</v>
      </c>
      <c r="G33" s="842" cm="1">
        <f t="array" ref="G33">SUMPRODUCT(('CSV FF'!$A$1:$A$904="LVL Beam")*('CSV FF'!$E$1:$E$904=$B$33)*('CSV FF'!$C$1:$C$904=G$4))</f>
        <v>0</v>
      </c>
      <c r="H33" s="842" cm="1">
        <f t="array" ref="H33">SUMPRODUCT(('CSV FF'!$A$1:$A$904="LVL Beam")*('CSV FF'!$E$1:$E$904=$B$33)*('CSV FF'!$C$1:$C$904=H$4))</f>
        <v>0</v>
      </c>
      <c r="I33" s="842" cm="1">
        <f t="array" ref="I33">SUMPRODUCT(('CSV FF'!$A$1:$A$904="LVL Beam")*('CSV FF'!$E$1:$E$904=$B$33)*('CSV FF'!$C$1:$C$904=I$4))</f>
        <v>0</v>
      </c>
      <c r="J33" s="842" cm="1">
        <f t="array" ref="J33">SUMPRODUCT(('CSV FF'!$A$1:$A$904="LVL Beam")*('CSV FF'!$E$1:$E$904=$B$33)*('CSV FF'!$C$1:$C$904=J$4))</f>
        <v>0</v>
      </c>
      <c r="K33" s="842" cm="1">
        <f t="array" ref="K33">SUMPRODUCT(('CSV FF'!$A$1:$A$904="LVL Beam")*('CSV FF'!$E$1:$E$904=$B$33)*('CSV FF'!$C$1:$C$904=K$4))</f>
        <v>0</v>
      </c>
      <c r="L33" s="842" cm="1">
        <f t="array" ref="L33">SUMPRODUCT(('CSV FF'!$A$1:$A$904="LVL Beam")*('CSV FF'!$E$1:$E$904=$B$33)*('CSV FF'!$C$1:$C$904=L$4))</f>
        <v>0</v>
      </c>
      <c r="M33" s="842" cm="1">
        <f t="array" ref="M33">SUMPRODUCT(('CSV FF'!$A$1:$A$904="LVL Beam")*('CSV FF'!$E$1:$E$904=$B$33)*('CSV FF'!$C$1:$C$904=M$4))</f>
        <v>0</v>
      </c>
      <c r="N33" s="842" cm="1">
        <f t="array" ref="N33">SUMPRODUCT(('CSV FF'!$A$1:$A$904="LVL Beam")*('CSV FF'!$E$1:$E$904=$B$33)*('CSV FF'!$C$1:$C$904=N$4))</f>
        <v>0</v>
      </c>
      <c r="O33" s="842" cm="1">
        <f t="array" ref="O33">SUMPRODUCT(('CSV FF'!$A$1:$A$904="LVL Beam")*('CSV FF'!$E$1:$E$904=$B$33)*('CSV FF'!$C$1:$C$904=O$4))</f>
        <v>0</v>
      </c>
      <c r="P33" s="842" cm="1">
        <f t="array" ref="P33">SUMPRODUCT(('CSV FF'!$A$1:$A$904="LVL Beam")*('CSV FF'!$E$1:$E$904=$B$33)*('CSV FF'!$C$1:$C$904=P$4))</f>
        <v>0</v>
      </c>
      <c r="Q33" s="842" cm="1">
        <f t="array" ref="Q33">SUMPRODUCT(('CSV FF'!$A$1:$A$904="LVL Beam")*('CSV FF'!$E$1:$E$904=$B$33)*('CSV FF'!$C$1:$C$904=Q$4))</f>
        <v>0</v>
      </c>
      <c r="R33" s="842" cm="1">
        <f t="array" ref="R33">SUMPRODUCT(('CSV FF'!$A$1:$A$904="LVL Beam")*('CSV FF'!$E$1:$E$904=$B$33)*('CSV FF'!$C$1:$C$904=R$4))</f>
        <v>0</v>
      </c>
      <c r="S33" s="842" cm="1">
        <f t="array" ref="S33">SUMPRODUCT(('CSV FF'!$A$1:$A$904="LVL Beam")*('CSV FF'!$E$1:$E$904=$B$33)*('CSV FF'!$C$1:$C$904=S$4))</f>
        <v>0</v>
      </c>
      <c r="T33" s="842" cm="1">
        <f t="array" ref="T33">SUMPRODUCT(('CSV FF'!$A$1:$A$904="LVL Beam")*('CSV FF'!$E$1:$E$904=$B$33)*('CSV FF'!$C$1:$C$904=T$4))</f>
        <v>0</v>
      </c>
      <c r="U33" s="842" cm="1">
        <f t="array" ref="U33">SUMPRODUCT(('CSV FF'!$A$1:$A$904="LVL Beam")*('CSV FF'!$E$1:$E$904=$B$33)*('CSV FF'!$C$1:$C$904=U$4))</f>
        <v>0</v>
      </c>
      <c r="V33" s="842" cm="1">
        <f t="array" ref="V33">SUMPRODUCT(('CSV FF'!$A$1:$A$904="LVL Beam")*('CSV FF'!$E$1:$E$904=$B$33)*('CSV FF'!$C$1:$C$904=V$4))</f>
        <v>0</v>
      </c>
      <c r="W33" s="842" cm="1">
        <f t="array" ref="W33">SUMPRODUCT(('CSV FF'!$A$1:$A$904="LVL Beam")*('CSV FF'!$E$1:$E$904=$B$33)*('CSV FF'!$C$1:$C$904=W$4))</f>
        <v>0</v>
      </c>
      <c r="X33" s="842" cm="1">
        <f t="array" ref="X33">SUMPRODUCT(('CSV FF'!$A$1:$A$904="LVL Beam")*('CSV FF'!$E$1:$E$904=$B$33)*('CSV FF'!$C$1:$C$904=X$4))</f>
        <v>0</v>
      </c>
      <c r="Y33" s="842" cm="1">
        <f t="array" ref="Y33">SUMPRODUCT(('CSV FF'!$A$1:$A$904="LVL Beam")*('CSV FF'!$E$1:$E$904=$B$33)*('CSV FF'!$C$1:$C$904=Y$4))</f>
        <v>0</v>
      </c>
      <c r="Z33" s="842" cm="1">
        <f t="array" ref="Z33">SUMPRODUCT(('CSV FF'!$A$1:$A$904="LVL Beam")*('CSV FF'!$E$1:$E$904=$B$33)*('CSV FF'!$C$1:$C$904=Z$4))</f>
        <v>0</v>
      </c>
      <c r="AA33" s="842" cm="1">
        <f t="array" ref="AA33">SUMPRODUCT(('CSV FF'!$A$1:$A$904="LVL Beam")*('CSV FF'!$E$1:$E$904=$B$33)*('CSV FF'!$C$1:$C$904=AA$4))</f>
        <v>0</v>
      </c>
      <c r="AB33" s="842" cm="1">
        <f t="array" ref="AB33">SUMPRODUCT(('CSV FF'!$A$1:$A$904="LVL Beam")*('CSV FF'!$E$1:$E$904=$B$33)*('CSV FF'!$C$1:$C$904=AB$4))</f>
        <v>0</v>
      </c>
      <c r="AC33" s="842" cm="1">
        <f t="array" ref="AC33">SUMPRODUCT(('CSV FF'!$A$1:$A$904="LVL Beam")*('CSV FF'!$E$1:$E$904=$B$33)*('CSV FF'!$C$1:$C$904=AC$4))</f>
        <v>0</v>
      </c>
      <c r="AD33" s="842" cm="1">
        <f t="array" ref="AD33">SUMPRODUCT(('CSV FF'!$A$1:$A$904="LVL Beam")*('CSV FF'!$E$1:$E$904=$B$33)*('CSV FF'!$C$1:$C$904=AD$4))</f>
        <v>0</v>
      </c>
      <c r="AE33" s="842" cm="1">
        <f t="array" ref="AE33">SUMPRODUCT(('CSV FF'!$A$1:$A$904="LVL Beam")*('CSV FF'!$E$1:$E$904=$B$33)*('CSV FF'!$C$1:$C$904=AE$4))</f>
        <v>0</v>
      </c>
      <c r="AF33" s="842" cm="1">
        <f t="array" ref="AF33">SUMPRODUCT(('CSV FF'!$A$1:$A$904="LVL Beam")*('CSV FF'!$E$1:$E$904=$B$33)*('CSV FF'!$C$1:$C$904=AF$4))</f>
        <v>0</v>
      </c>
      <c r="AG33" s="842" cm="1">
        <f t="array" ref="AG33">SUMPRODUCT(('CSV FF'!$A$1:$A$904="LVL Beam")*('CSV FF'!$E$1:$E$904=$B$33)*('CSV FF'!$C$1:$C$904=AG$4))</f>
        <v>0</v>
      </c>
      <c r="AH33" s="842" cm="1">
        <f t="array" ref="AH33">SUMPRODUCT(('CSV FF'!$A$1:$A$904="LVL Beam")*('CSV FF'!$E$1:$E$904=$B$33)*('CSV FF'!$C$1:$C$904=AH$4))</f>
        <v>0</v>
      </c>
      <c r="AI33" s="842" cm="1">
        <f t="array" ref="AI33">SUMPRODUCT(('CSV FF'!$A$1:$A$904="LVL Beam")*('CSV FF'!$E$1:$E$904=$B$33)*('CSV FF'!$C$1:$C$904=AI$4))</f>
        <v>0</v>
      </c>
      <c r="AJ33" s="842" cm="1">
        <f t="array" ref="AJ33">SUMPRODUCT(('CSV FF'!$A$1:$A$904="LVL Beam")*('CSV FF'!$E$1:$E$904=$B$33)*('CSV FF'!$C$1:$C$904=AJ$4))</f>
        <v>0</v>
      </c>
      <c r="AK33" s="842" cm="1">
        <f t="array" ref="AK33">SUMPRODUCT(('CSV FF'!$A$1:$A$904="LVL Beam")*('CSV FF'!$E$1:$E$904=$B$33)*('CSV FF'!$C$1:$C$904=AK$4))</f>
        <v>0</v>
      </c>
      <c r="AL33" s="842" cm="1">
        <f t="array" ref="AL33">SUMPRODUCT(('CSV FF'!$A$1:$A$904="LVL Beam")*('CSV FF'!$E$1:$E$904=$B$33)*('CSV FF'!$C$1:$C$904=AL$4))</f>
        <v>0</v>
      </c>
      <c r="AM33" s="842" cm="1">
        <f t="array" ref="AM33">SUMPRODUCT(('CSV FF'!$A$1:$A$904="LVL Beam")*('CSV FF'!$E$1:$E$904=$B$33)*('CSV FF'!$C$1:$C$904=AM$4))</f>
        <v>0</v>
      </c>
      <c r="AN33" s="842" cm="1">
        <f t="array" ref="AN33">SUMPRODUCT(('CSV FF'!$A$1:$A$904="LVL Beam")*('CSV FF'!$E$1:$E$904=$B$33)*('CSV FF'!$C$1:$C$904=AN$4))</f>
        <v>0</v>
      </c>
      <c r="AO33" s="842" cm="1">
        <f t="array" ref="AO33">SUMPRODUCT(('CSV FF'!$A$1:$A$904="LVL Beam")*('CSV FF'!$E$1:$E$904=$B$33)*('CSV FF'!$C$1:$C$904=AO$4))</f>
        <v>0</v>
      </c>
      <c r="AP33" s="844">
        <f t="shared" si="2"/>
        <v>0</v>
      </c>
      <c r="AQ33" s="323"/>
      <c r="AR33" s="24"/>
      <c r="AS33" s="217"/>
    </row>
    <row r="34" spans="1:45" ht="12.75" customHeight="1" x14ac:dyDescent="0.2">
      <c r="A34" s="840" t="s">
        <v>164</v>
      </c>
      <c r="B34" s="1000" t="s">
        <v>372</v>
      </c>
      <c r="C34" s="842" cm="1">
        <f t="array" ref="C34">SUMPRODUCT(('CSV FF'!$A$1:$A$904="LVL Beam")*('CSV FF'!$E$1:$E$904=$B$34)*('CSV FF'!$C$1:$C$904=C$4))</f>
        <v>0</v>
      </c>
      <c r="D34" s="842" cm="1">
        <f t="array" ref="D34">SUMPRODUCT(('CSV FF'!$A$1:$A$904="LVL Beam")*('CSV FF'!$E$1:$E$904=$B$34)*('CSV FF'!$C$1:$C$904=D$4))</f>
        <v>0</v>
      </c>
      <c r="E34" s="842" cm="1">
        <f t="array" ref="E34">SUMPRODUCT(('CSV FF'!$A$1:$A$904="LVL Beam")*('CSV FF'!$E$1:$E$904=$B$34)*('CSV FF'!$C$1:$C$904=E$4))</f>
        <v>0</v>
      </c>
      <c r="F34" s="842" cm="1">
        <f t="array" ref="F34">SUMPRODUCT(('CSV FF'!$A$1:$A$904="LVL Beam")*('CSV FF'!$E$1:$E$904=$B$34)*('CSV FF'!$C$1:$C$904=F$4))</f>
        <v>0</v>
      </c>
      <c r="G34" s="842" cm="1">
        <f t="array" ref="G34">SUMPRODUCT(('CSV FF'!$A$1:$A$904="LVL Beam")*('CSV FF'!$E$1:$E$904=$B$34)*('CSV FF'!$C$1:$C$904=G$4))</f>
        <v>0</v>
      </c>
      <c r="H34" s="842" cm="1">
        <f t="array" ref="H34">SUMPRODUCT(('CSV FF'!$A$1:$A$904="LVL Beam")*('CSV FF'!$E$1:$E$904=$B$34)*('CSV FF'!$C$1:$C$904=H$4))</f>
        <v>0</v>
      </c>
      <c r="I34" s="842" cm="1">
        <f t="array" ref="I34">SUMPRODUCT(('CSV FF'!$A$1:$A$904="LVL Beam")*('CSV FF'!$E$1:$E$904=$B$34)*('CSV FF'!$C$1:$C$904=I$4))</f>
        <v>0</v>
      </c>
      <c r="J34" s="842" cm="1">
        <f t="array" ref="J34">SUMPRODUCT(('CSV FF'!$A$1:$A$904="LVL Beam")*('CSV FF'!$E$1:$E$904=$B$34)*('CSV FF'!$C$1:$C$904=J$4))</f>
        <v>0</v>
      </c>
      <c r="K34" s="842" cm="1">
        <f t="array" ref="K34">SUMPRODUCT(('CSV FF'!$A$1:$A$904="LVL Beam")*('CSV FF'!$E$1:$E$904=$B$34)*('CSV FF'!$C$1:$C$904=K$4))</f>
        <v>0</v>
      </c>
      <c r="L34" s="842" cm="1">
        <f t="array" ref="L34">SUMPRODUCT(('CSV FF'!$A$1:$A$904="LVL Beam")*('CSV FF'!$E$1:$E$904=$B$34)*('CSV FF'!$C$1:$C$904=L$4))</f>
        <v>0</v>
      </c>
      <c r="M34" s="842" cm="1">
        <f t="array" ref="M34">SUMPRODUCT(('CSV FF'!$A$1:$A$904="LVL Beam")*('CSV FF'!$E$1:$E$904=$B$34)*('CSV FF'!$C$1:$C$904=M$4))</f>
        <v>0</v>
      </c>
      <c r="N34" s="842" cm="1">
        <f t="array" ref="N34">SUMPRODUCT(('CSV FF'!$A$1:$A$904="LVL Beam")*('CSV FF'!$E$1:$E$904=$B$34)*('CSV FF'!$C$1:$C$904=N$4))</f>
        <v>0</v>
      </c>
      <c r="O34" s="842" cm="1">
        <f t="array" ref="O34">SUMPRODUCT(('CSV FF'!$A$1:$A$904="LVL Beam")*('CSV FF'!$E$1:$E$904=$B$34)*('CSV FF'!$C$1:$C$904=O$4))</f>
        <v>0</v>
      </c>
      <c r="P34" s="842" cm="1">
        <f t="array" ref="P34">SUMPRODUCT(('CSV FF'!$A$1:$A$904="LVL Beam")*('CSV FF'!$E$1:$E$904=$B$34)*('CSV FF'!$C$1:$C$904=P$4))</f>
        <v>0</v>
      </c>
      <c r="Q34" s="842" cm="1">
        <f t="array" ref="Q34">SUMPRODUCT(('CSV FF'!$A$1:$A$904="LVL Beam")*('CSV FF'!$E$1:$E$904=$B$34)*('CSV FF'!$C$1:$C$904=Q$4))</f>
        <v>0</v>
      </c>
      <c r="R34" s="842" cm="1">
        <f t="array" ref="R34">SUMPRODUCT(('CSV FF'!$A$1:$A$904="LVL Beam")*('CSV FF'!$E$1:$E$904=$B$34)*('CSV FF'!$C$1:$C$904=R$4))</f>
        <v>0</v>
      </c>
      <c r="S34" s="842" cm="1">
        <f t="array" ref="S34">SUMPRODUCT(('CSV FF'!$A$1:$A$904="LVL Beam")*('CSV FF'!$E$1:$E$904=$B$34)*('CSV FF'!$C$1:$C$904=S$4))</f>
        <v>0</v>
      </c>
      <c r="T34" s="842" cm="1">
        <f t="array" ref="T34">SUMPRODUCT(('CSV FF'!$A$1:$A$904="LVL Beam")*('CSV FF'!$E$1:$E$904=$B$34)*('CSV FF'!$C$1:$C$904=T$4))</f>
        <v>0</v>
      </c>
      <c r="U34" s="842" cm="1">
        <f t="array" ref="U34">SUMPRODUCT(('CSV FF'!$A$1:$A$904="LVL Beam")*('CSV FF'!$E$1:$E$904=$B$34)*('CSV FF'!$C$1:$C$904=U$4))</f>
        <v>0</v>
      </c>
      <c r="V34" s="842" cm="1">
        <f t="array" ref="V34">SUMPRODUCT(('CSV FF'!$A$1:$A$904="LVL Beam")*('CSV FF'!$E$1:$E$904=$B$34)*('CSV FF'!$C$1:$C$904=V$4))</f>
        <v>0</v>
      </c>
      <c r="W34" s="842" cm="1">
        <f t="array" ref="W34">SUMPRODUCT(('CSV FF'!$A$1:$A$904="LVL Beam")*('CSV FF'!$E$1:$E$904=$B$34)*('CSV FF'!$C$1:$C$904=W$4))</f>
        <v>0</v>
      </c>
      <c r="X34" s="842" cm="1">
        <f t="array" ref="X34">SUMPRODUCT(('CSV FF'!$A$1:$A$904="LVL Beam")*('CSV FF'!$E$1:$E$904=$B$34)*('CSV FF'!$C$1:$C$904=X$4))</f>
        <v>0</v>
      </c>
      <c r="Y34" s="842" cm="1">
        <f t="array" ref="Y34">SUMPRODUCT(('CSV FF'!$A$1:$A$904="LVL Beam")*('CSV FF'!$E$1:$E$904=$B$34)*('CSV FF'!$C$1:$C$904=Y$4))</f>
        <v>0</v>
      </c>
      <c r="Z34" s="842" cm="1">
        <f t="array" ref="Z34">SUMPRODUCT(('CSV FF'!$A$1:$A$904="LVL Beam")*('CSV FF'!$E$1:$E$904=$B$34)*('CSV FF'!$C$1:$C$904=Z$4))</f>
        <v>0</v>
      </c>
      <c r="AA34" s="842" cm="1">
        <f t="array" ref="AA34">SUMPRODUCT(('CSV FF'!$A$1:$A$904="LVL Beam")*('CSV FF'!$E$1:$E$904=$B$34)*('CSV FF'!$C$1:$C$904=AA$4))</f>
        <v>0</v>
      </c>
      <c r="AB34" s="842" cm="1">
        <f t="array" ref="AB34">SUMPRODUCT(('CSV FF'!$A$1:$A$904="LVL Beam")*('CSV FF'!$E$1:$E$904=$B$34)*('CSV FF'!$C$1:$C$904=AB$4))</f>
        <v>0</v>
      </c>
      <c r="AC34" s="842" cm="1">
        <f t="array" ref="AC34">SUMPRODUCT(('CSV FF'!$A$1:$A$904="LVL Beam")*('CSV FF'!$E$1:$E$904=$B$34)*('CSV FF'!$C$1:$C$904=AC$4))</f>
        <v>0</v>
      </c>
      <c r="AD34" s="842" cm="1">
        <f t="array" ref="AD34">SUMPRODUCT(('CSV FF'!$A$1:$A$904="LVL Beam")*('CSV FF'!$E$1:$E$904=$B$34)*('CSV FF'!$C$1:$C$904=AD$4))</f>
        <v>0</v>
      </c>
      <c r="AE34" s="842" cm="1">
        <f t="array" ref="AE34">SUMPRODUCT(('CSV FF'!$A$1:$A$904="LVL Beam")*('CSV FF'!$E$1:$E$904=$B$34)*('CSV FF'!$C$1:$C$904=AE$4))</f>
        <v>0</v>
      </c>
      <c r="AF34" s="842" cm="1">
        <f t="array" ref="AF34">SUMPRODUCT(('CSV FF'!$A$1:$A$904="LVL Beam")*('CSV FF'!$E$1:$E$904=$B$34)*('CSV FF'!$C$1:$C$904=AF$4))</f>
        <v>0</v>
      </c>
      <c r="AG34" s="842" cm="1">
        <f t="array" ref="AG34">SUMPRODUCT(('CSV FF'!$A$1:$A$904="LVL Beam")*('CSV FF'!$E$1:$E$904=$B$34)*('CSV FF'!$C$1:$C$904=AG$4))</f>
        <v>0</v>
      </c>
      <c r="AH34" s="842" cm="1">
        <f t="array" ref="AH34">SUMPRODUCT(('CSV FF'!$A$1:$A$904="LVL Beam")*('CSV FF'!$E$1:$E$904=$B$34)*('CSV FF'!$C$1:$C$904=AH$4))</f>
        <v>0</v>
      </c>
      <c r="AI34" s="842" cm="1">
        <f t="array" ref="AI34">SUMPRODUCT(('CSV FF'!$A$1:$A$904="LVL Beam")*('CSV FF'!$E$1:$E$904=$B$34)*('CSV FF'!$C$1:$C$904=AI$4))</f>
        <v>0</v>
      </c>
      <c r="AJ34" s="842" cm="1">
        <f t="array" ref="AJ34">SUMPRODUCT(('CSV FF'!$A$1:$A$904="LVL Beam")*('CSV FF'!$E$1:$E$904=$B$34)*('CSV FF'!$C$1:$C$904=AJ$4))</f>
        <v>0</v>
      </c>
      <c r="AK34" s="842" cm="1">
        <f t="array" ref="AK34">SUMPRODUCT(('CSV FF'!$A$1:$A$904="LVL Beam")*('CSV FF'!$E$1:$E$904=$B$34)*('CSV FF'!$C$1:$C$904=AK$4))</f>
        <v>0</v>
      </c>
      <c r="AL34" s="842" cm="1">
        <f t="array" ref="AL34">SUMPRODUCT(('CSV FF'!$A$1:$A$904="LVL Beam")*('CSV FF'!$E$1:$E$904=$B$34)*('CSV FF'!$C$1:$C$904=AL$4))</f>
        <v>0</v>
      </c>
      <c r="AM34" s="842" cm="1">
        <f t="array" ref="AM34">SUMPRODUCT(('CSV FF'!$A$1:$A$904="LVL Beam")*('CSV FF'!$E$1:$E$904=$B$34)*('CSV FF'!$C$1:$C$904=AM$4))</f>
        <v>0</v>
      </c>
      <c r="AN34" s="842" cm="1">
        <f t="array" ref="AN34">SUMPRODUCT(('CSV FF'!$A$1:$A$904="LVL Beam")*('CSV FF'!$E$1:$E$904=$B$34)*('CSV FF'!$C$1:$C$904=AN$4))</f>
        <v>0</v>
      </c>
      <c r="AO34" s="842" cm="1">
        <f t="array" ref="AO34">SUMPRODUCT(('CSV FF'!$A$1:$A$904="LVL Beam")*('CSV FF'!$E$1:$E$904=$B$34)*('CSV FF'!$C$1:$C$904=AO$4))</f>
        <v>0</v>
      </c>
      <c r="AP34" s="844">
        <f t="shared" si="2"/>
        <v>0</v>
      </c>
      <c r="AQ34" s="323"/>
      <c r="AR34" s="24"/>
      <c r="AS34" s="217"/>
    </row>
    <row r="35" spans="1:45" ht="12.75" customHeight="1" x14ac:dyDescent="0.2">
      <c r="A35" s="840" t="s">
        <v>417</v>
      </c>
      <c r="B35" s="1000" t="s">
        <v>415</v>
      </c>
      <c r="C35" s="842" cm="1">
        <f t="array" ref="C35">SUMPRODUCT(('CSV FF'!$E$1:$E$904=$B$35)*('CSV FF'!$C$1:$C$904=C$4))</f>
        <v>0</v>
      </c>
      <c r="D35" s="842" cm="1">
        <f t="array" ref="D35">SUMPRODUCT(('CSV FF'!$E$1:$E$904=$B$35)*('CSV FF'!$C$1:$C$904=D$4))</f>
        <v>0</v>
      </c>
      <c r="E35" s="842" cm="1">
        <f t="array" ref="E35">SUMPRODUCT(('CSV FF'!$E$1:$E$904=$B$35)*('CSV FF'!$C$1:$C$904=E$4))</f>
        <v>0</v>
      </c>
      <c r="F35" s="842" cm="1">
        <f t="array" ref="F35">SUMPRODUCT(('CSV FF'!$E$1:$E$904=$B$35)*('CSV FF'!$C$1:$C$904=F$4))</f>
        <v>0</v>
      </c>
      <c r="G35" s="842" cm="1">
        <f t="array" ref="G35">SUMPRODUCT(('CSV FF'!$E$1:$E$904=$B$35)*('CSV FF'!$C$1:$C$904=G$4))</f>
        <v>0</v>
      </c>
      <c r="H35" s="842" cm="1">
        <f t="array" ref="H35">SUMPRODUCT(('CSV FF'!$E$1:$E$904=$B$35)*('CSV FF'!$C$1:$C$904=H$4))</f>
        <v>0</v>
      </c>
      <c r="I35" s="842" cm="1">
        <f t="array" ref="I35">SUMPRODUCT(('CSV FF'!$E$1:$E$904=$B$35)*('CSV FF'!$C$1:$C$904=I$4))</f>
        <v>0</v>
      </c>
      <c r="J35" s="842" cm="1">
        <f t="array" ref="J35">SUMPRODUCT(('CSV FF'!$E$1:$E$904=$B$35)*('CSV FF'!$C$1:$C$904=J$4))</f>
        <v>0</v>
      </c>
      <c r="K35" s="842" cm="1">
        <f t="array" ref="K35">SUMPRODUCT(('CSV FF'!$E$1:$E$904=$B$35)*('CSV FF'!$C$1:$C$904=K$4))</f>
        <v>0</v>
      </c>
      <c r="L35" s="842" cm="1">
        <f t="array" ref="L35">SUMPRODUCT(('CSV FF'!$E$1:$E$904=$B$35)*('CSV FF'!$C$1:$C$904=L$4))</f>
        <v>0</v>
      </c>
      <c r="M35" s="842" cm="1">
        <f t="array" ref="M35">SUMPRODUCT(('CSV FF'!$E$1:$E$904=$B$35)*('CSV FF'!$C$1:$C$904=M$4))</f>
        <v>0</v>
      </c>
      <c r="N35" s="842" cm="1">
        <f t="array" ref="N35">SUMPRODUCT(('CSV FF'!$E$1:$E$904=$B$35)*('CSV FF'!$C$1:$C$904=N$4))</f>
        <v>0</v>
      </c>
      <c r="O35" s="842" cm="1">
        <f t="array" ref="O35">SUMPRODUCT(('CSV FF'!$E$1:$E$904=$B$35)*('CSV FF'!$C$1:$C$904=O$4))</f>
        <v>0</v>
      </c>
      <c r="P35" s="842" cm="1">
        <f t="array" ref="P35">SUMPRODUCT(('CSV FF'!$E$1:$E$904=$B$35)*('CSV FF'!$C$1:$C$904=P$4))</f>
        <v>0</v>
      </c>
      <c r="Q35" s="842" cm="1">
        <f t="array" ref="Q35">SUMPRODUCT(('CSV FF'!$E$1:$E$904=$B$35)*('CSV FF'!$C$1:$C$904=Q$4))</f>
        <v>0</v>
      </c>
      <c r="R35" s="842" cm="1">
        <f t="array" ref="R35">SUMPRODUCT(('CSV FF'!$E$1:$E$904=$B$35)*('CSV FF'!$C$1:$C$904=R$4))</f>
        <v>0</v>
      </c>
      <c r="S35" s="842" cm="1">
        <f t="array" ref="S35">SUMPRODUCT(('CSV FF'!$E$1:$E$904=$B$35)*('CSV FF'!$C$1:$C$904=S$4))</f>
        <v>0</v>
      </c>
      <c r="T35" s="842" cm="1">
        <f t="array" ref="T35">SUMPRODUCT(('CSV FF'!$E$1:$E$904=$B$35)*('CSV FF'!$C$1:$C$904=T$4))</f>
        <v>0</v>
      </c>
      <c r="U35" s="842" cm="1">
        <f t="array" ref="U35">SUMPRODUCT(('CSV FF'!$E$1:$E$904=$B$35)*('CSV FF'!$C$1:$C$904=U$4))</f>
        <v>0</v>
      </c>
      <c r="V35" s="842" cm="1">
        <f t="array" ref="V35">SUMPRODUCT(('CSV FF'!$E$1:$E$904=$B$35)*('CSV FF'!$C$1:$C$904=V$4))</f>
        <v>0</v>
      </c>
      <c r="W35" s="842" cm="1">
        <f t="array" ref="W35">SUMPRODUCT(('CSV FF'!$E$1:$E$904=$B$35)*('CSV FF'!$C$1:$C$904=W$4))</f>
        <v>0</v>
      </c>
      <c r="X35" s="842" cm="1">
        <f t="array" ref="X35">SUMPRODUCT(('CSV FF'!$E$1:$E$904=$B$35)*('CSV FF'!$C$1:$C$904=X$4))</f>
        <v>0</v>
      </c>
      <c r="Y35" s="842" cm="1">
        <f t="array" ref="Y35">SUMPRODUCT(('CSV FF'!$E$1:$E$904=$B$35)*('CSV FF'!$C$1:$C$904=Y$4))</f>
        <v>0</v>
      </c>
      <c r="Z35" s="842" cm="1">
        <f t="array" ref="Z35">SUMPRODUCT(('CSV FF'!$E$1:$E$904=$B$35)*('CSV FF'!$C$1:$C$904=Z$4))</f>
        <v>0</v>
      </c>
      <c r="AA35" s="842" cm="1">
        <f t="array" ref="AA35">SUMPRODUCT(('CSV FF'!$E$1:$E$904=$B$35)*('CSV FF'!$C$1:$C$904=AA$4))</f>
        <v>0</v>
      </c>
      <c r="AB35" s="842" cm="1">
        <f t="array" ref="AB35">SUMPRODUCT(('CSV FF'!$E$1:$E$904=$B$35)*('CSV FF'!$C$1:$C$904=AB$4))</f>
        <v>0</v>
      </c>
      <c r="AC35" s="842" cm="1">
        <f t="array" ref="AC35">SUMPRODUCT(('CSV FF'!$E$1:$E$904=$B$35)*('CSV FF'!$C$1:$C$904=AC$4))</f>
        <v>0</v>
      </c>
      <c r="AD35" s="842" cm="1">
        <f t="array" ref="AD35">SUMPRODUCT(('CSV FF'!$E$1:$E$904=$B$35)*('CSV FF'!$C$1:$C$904=AD$4))</f>
        <v>0</v>
      </c>
      <c r="AE35" s="842" cm="1">
        <f t="array" ref="AE35">SUMPRODUCT(('CSV FF'!$E$1:$E$904=$B$35)*('CSV FF'!$C$1:$C$904=AE$4))</f>
        <v>0</v>
      </c>
      <c r="AF35" s="842" cm="1">
        <f t="array" ref="AF35">SUMPRODUCT(('CSV FF'!$E$1:$E$904=$B$35)*('CSV FF'!$C$1:$C$904=AF$4))</f>
        <v>0</v>
      </c>
      <c r="AG35" s="842" cm="1">
        <f t="array" ref="AG35">SUMPRODUCT(('CSV FF'!$E$1:$E$904=$B$35)*('CSV FF'!$C$1:$C$904=AG$4))</f>
        <v>0</v>
      </c>
      <c r="AH35" s="842" cm="1">
        <f t="array" ref="AH35">SUMPRODUCT(('CSV FF'!$E$1:$E$904=$B$35)*('CSV FF'!$C$1:$C$904=AH$4))</f>
        <v>0</v>
      </c>
      <c r="AI35" s="842" cm="1">
        <f t="array" ref="AI35">SUMPRODUCT(('CSV FF'!$E$1:$E$904=$B$35)*('CSV FF'!$C$1:$C$904=AI$4))</f>
        <v>0</v>
      </c>
      <c r="AJ35" s="842" cm="1">
        <f t="array" ref="AJ35">SUMPRODUCT(('CSV FF'!$E$1:$E$904=$B$35)*('CSV FF'!$C$1:$C$904=AJ$4))</f>
        <v>0</v>
      </c>
      <c r="AK35" s="842" cm="1">
        <f t="array" ref="AK35">SUMPRODUCT(('CSV FF'!$E$1:$E$904=$B$35)*('CSV FF'!$C$1:$C$904=AK$4))</f>
        <v>0</v>
      </c>
      <c r="AL35" s="842" cm="1">
        <f t="array" ref="AL35">SUMPRODUCT(('CSV FF'!$E$1:$E$904=$B$35)*('CSV FF'!$C$1:$C$904=AL$4))</f>
        <v>0</v>
      </c>
      <c r="AM35" s="842" cm="1">
        <f t="array" ref="AM35">SUMPRODUCT(('CSV FF'!$E$1:$E$904=$B$35)*('CSV FF'!$C$1:$C$904=AM$4))</f>
        <v>0</v>
      </c>
      <c r="AN35" s="842" cm="1">
        <f t="array" ref="AN35">SUMPRODUCT(('CSV FF'!$E$1:$E$904=$B$35)*('CSV FF'!$C$1:$C$904=AN$4))</f>
        <v>0</v>
      </c>
      <c r="AO35" s="842" cm="1">
        <f t="array" ref="AO35">SUMPRODUCT(('CSV FF'!$E$1:$E$904=$B$35)*('CSV FF'!$C$1:$C$904=AO$4))</f>
        <v>0</v>
      </c>
      <c r="AP35" s="844">
        <f t="shared" si="2"/>
        <v>0</v>
      </c>
      <c r="AQ35" s="323"/>
      <c r="AR35" s="24"/>
      <c r="AS35" s="217"/>
    </row>
    <row r="36" spans="1:45" ht="12.75" customHeight="1" x14ac:dyDescent="0.2">
      <c r="A36" s="840" t="s">
        <v>417</v>
      </c>
      <c r="B36" s="1000" t="s">
        <v>1539</v>
      </c>
      <c r="C36" s="842" cm="1">
        <f t="array" ref="C36">SUMPRODUCT(('CSV FF'!$E$1:$E$904=$B$36)*('CSV FF'!$C$1:$C$904=C$4))</f>
        <v>0</v>
      </c>
      <c r="D36" s="842" cm="1">
        <f t="array" ref="D36">SUMPRODUCT(('CSV FF'!$E$1:$E$904=$B$36)*('CSV FF'!$C$1:$C$904=D$4))</f>
        <v>0</v>
      </c>
      <c r="E36" s="842" cm="1">
        <f t="array" ref="E36">SUMPRODUCT(('CSV FF'!$E$1:$E$904=$B$36)*('CSV FF'!$C$1:$C$904=E$4))</f>
        <v>0</v>
      </c>
      <c r="F36" s="842" cm="1">
        <f t="array" ref="F36">SUMPRODUCT(('CSV FF'!$E$1:$E$904=$B$36)*('CSV FF'!$C$1:$C$904=F$4))</f>
        <v>0</v>
      </c>
      <c r="G36" s="842" cm="1">
        <f t="array" ref="G36">SUMPRODUCT(('CSV FF'!$E$1:$E$904=$B$36)*('CSV FF'!$C$1:$C$904=G$4))</f>
        <v>0</v>
      </c>
      <c r="H36" s="842" cm="1">
        <f t="array" ref="H36">SUMPRODUCT(('CSV FF'!$E$1:$E$904=$B$36)*('CSV FF'!$C$1:$C$904=H$4))</f>
        <v>0</v>
      </c>
      <c r="I36" s="842" cm="1">
        <f t="array" ref="I36">SUMPRODUCT(('CSV FF'!$E$1:$E$904=$B$36)*('CSV FF'!$C$1:$C$904=I$4))</f>
        <v>0</v>
      </c>
      <c r="J36" s="842" cm="1">
        <f t="array" ref="J36">SUMPRODUCT(('CSV FF'!$E$1:$E$904=$B$36)*('CSV FF'!$C$1:$C$904=J$4))</f>
        <v>0</v>
      </c>
      <c r="K36" s="842" cm="1">
        <f t="array" ref="K36">SUMPRODUCT(('CSV FF'!$E$1:$E$904=$B$36)*('CSV FF'!$C$1:$C$904=K$4))</f>
        <v>0</v>
      </c>
      <c r="L36" s="842" cm="1">
        <f t="array" ref="L36">SUMPRODUCT(('CSV FF'!$E$1:$E$904=$B$36)*('CSV FF'!$C$1:$C$904=L$4))</f>
        <v>0</v>
      </c>
      <c r="M36" s="842" cm="1">
        <f t="array" ref="M36">SUMPRODUCT(('CSV FF'!$E$1:$E$904=$B$36)*('CSV FF'!$C$1:$C$904=M$4))</f>
        <v>0</v>
      </c>
      <c r="N36" s="842" cm="1">
        <f t="array" ref="N36">SUMPRODUCT(('CSV FF'!$E$1:$E$904=$B$36)*('CSV FF'!$C$1:$C$904=N$4))</f>
        <v>0</v>
      </c>
      <c r="O36" s="842" cm="1">
        <f t="array" ref="O36">SUMPRODUCT(('CSV FF'!$E$1:$E$904=$B$36)*('CSV FF'!$C$1:$C$904=O$4))</f>
        <v>0</v>
      </c>
      <c r="P36" s="842" cm="1">
        <f t="array" ref="P36">SUMPRODUCT(('CSV FF'!$E$1:$E$904=$B$36)*('CSV FF'!$C$1:$C$904=P$4))</f>
        <v>0</v>
      </c>
      <c r="Q36" s="842" cm="1">
        <f t="array" ref="Q36">SUMPRODUCT(('CSV FF'!$E$1:$E$904=$B$36)*('CSV FF'!$C$1:$C$904=Q$4))</f>
        <v>0</v>
      </c>
      <c r="R36" s="842" cm="1">
        <f t="array" ref="R36">SUMPRODUCT(('CSV FF'!$E$1:$E$904=$B$36)*('CSV FF'!$C$1:$C$904=R$4))</f>
        <v>0</v>
      </c>
      <c r="S36" s="842" cm="1">
        <f t="array" ref="S36">SUMPRODUCT(('CSV FF'!$E$1:$E$904=$B$36)*('CSV FF'!$C$1:$C$904=S$4))</f>
        <v>0</v>
      </c>
      <c r="T36" s="842" cm="1">
        <f t="array" ref="T36">SUMPRODUCT(('CSV FF'!$E$1:$E$904=$B$36)*('CSV FF'!$C$1:$C$904=T$4))</f>
        <v>0</v>
      </c>
      <c r="U36" s="842" cm="1">
        <f t="array" ref="U36">SUMPRODUCT(('CSV FF'!$E$1:$E$904=$B$36)*('CSV FF'!$C$1:$C$904=U$4))</f>
        <v>0</v>
      </c>
      <c r="V36" s="842" cm="1">
        <f t="array" ref="V36">SUMPRODUCT(('CSV FF'!$E$1:$E$904=$B$36)*('CSV FF'!$C$1:$C$904=V$4))</f>
        <v>0</v>
      </c>
      <c r="W36" s="842" cm="1">
        <f t="array" ref="W36">SUMPRODUCT(('CSV FF'!$E$1:$E$904=$B$36)*('CSV FF'!$C$1:$C$904=W$4))</f>
        <v>0</v>
      </c>
      <c r="X36" s="842" cm="1">
        <f t="array" ref="X36">SUMPRODUCT(('CSV FF'!$E$1:$E$904=$B$36)*('CSV FF'!$C$1:$C$904=X$4))</f>
        <v>0</v>
      </c>
      <c r="Y36" s="842" cm="1">
        <f t="array" ref="Y36">SUMPRODUCT(('CSV FF'!$E$1:$E$904=$B$36)*('CSV FF'!$C$1:$C$904=Y$4))</f>
        <v>0</v>
      </c>
      <c r="Z36" s="842" cm="1">
        <f t="array" ref="Z36">SUMPRODUCT(('CSV FF'!$E$1:$E$904=$B$36)*('CSV FF'!$C$1:$C$904=Z$4))</f>
        <v>0</v>
      </c>
      <c r="AA36" s="842" cm="1">
        <f t="array" ref="AA36">SUMPRODUCT(('CSV FF'!$E$1:$E$904=$B$36)*('CSV FF'!$C$1:$C$904=AA$4))</f>
        <v>0</v>
      </c>
      <c r="AB36" s="842" cm="1">
        <f t="array" ref="AB36">SUMPRODUCT(('CSV FF'!$E$1:$E$904=$B$36)*('CSV FF'!$C$1:$C$904=AB$4))</f>
        <v>0</v>
      </c>
      <c r="AC36" s="842" cm="1">
        <f t="array" ref="AC36">SUMPRODUCT(('CSV FF'!$E$1:$E$904=$B$36)*('CSV FF'!$C$1:$C$904=AC$4))</f>
        <v>0</v>
      </c>
      <c r="AD36" s="842" cm="1">
        <f t="array" ref="AD36">SUMPRODUCT(('CSV FF'!$E$1:$E$904=$B$36)*('CSV FF'!$C$1:$C$904=AD$4))</f>
        <v>0</v>
      </c>
      <c r="AE36" s="842" cm="1">
        <f t="array" ref="AE36">SUMPRODUCT(('CSV FF'!$E$1:$E$904=$B$36)*('CSV FF'!$C$1:$C$904=AE$4))</f>
        <v>0</v>
      </c>
      <c r="AF36" s="842" cm="1">
        <f t="array" ref="AF36">SUMPRODUCT(('CSV FF'!$E$1:$E$904=$B$36)*('CSV FF'!$C$1:$C$904=AF$4))</f>
        <v>0</v>
      </c>
      <c r="AG36" s="842" cm="1">
        <f t="array" ref="AG36">SUMPRODUCT(('CSV FF'!$E$1:$E$904=$B$36)*('CSV FF'!$C$1:$C$904=AG$4))</f>
        <v>0</v>
      </c>
      <c r="AH36" s="842" cm="1">
        <f t="array" ref="AH36">SUMPRODUCT(('CSV FF'!$E$1:$E$904=$B$36)*('CSV FF'!$C$1:$C$904=AH$4))</f>
        <v>0</v>
      </c>
      <c r="AI36" s="842" cm="1">
        <f t="array" ref="AI36">SUMPRODUCT(('CSV FF'!$E$1:$E$904=$B$36)*('CSV FF'!$C$1:$C$904=AI$4))</f>
        <v>0</v>
      </c>
      <c r="AJ36" s="842" cm="1">
        <f t="array" ref="AJ36">SUMPRODUCT(('CSV FF'!$E$1:$E$904=$B$36)*('CSV FF'!$C$1:$C$904=AJ$4))</f>
        <v>0</v>
      </c>
      <c r="AK36" s="842" cm="1">
        <f t="array" ref="AK36">SUMPRODUCT(('CSV FF'!$E$1:$E$904=$B$36)*('CSV FF'!$C$1:$C$904=AK$4))</f>
        <v>0</v>
      </c>
      <c r="AL36" s="842" cm="1">
        <f t="array" ref="AL36">SUMPRODUCT(('CSV FF'!$E$1:$E$904=$B$36)*('CSV FF'!$C$1:$C$904=AL$4))</f>
        <v>0</v>
      </c>
      <c r="AM36" s="842" cm="1">
        <f t="array" ref="AM36">SUMPRODUCT(('CSV FF'!$E$1:$E$904=$B$36)*('CSV FF'!$C$1:$C$904=AM$4))</f>
        <v>0</v>
      </c>
      <c r="AN36" s="842" cm="1">
        <f t="array" ref="AN36">SUMPRODUCT(('CSV FF'!$E$1:$E$904=$B$36)*('CSV FF'!$C$1:$C$904=AN$4))</f>
        <v>0</v>
      </c>
      <c r="AO36" s="842" cm="1">
        <f t="array" ref="AO36">SUMPRODUCT(('CSV FF'!$E$1:$E$904=$B$36)*('CSV FF'!$C$1:$C$904=AO$4))</f>
        <v>0</v>
      </c>
      <c r="AP36" s="844">
        <f t="shared" si="2"/>
        <v>0</v>
      </c>
      <c r="AQ36" s="323"/>
      <c r="AR36" s="24"/>
      <c r="AS36" s="217"/>
    </row>
    <row r="37" spans="1:45" ht="12.75" customHeight="1" x14ac:dyDescent="0.2">
      <c r="A37" s="840" t="s">
        <v>417</v>
      </c>
      <c r="B37" s="1000" t="s">
        <v>1744</v>
      </c>
      <c r="C37" s="842" cm="1">
        <f t="array" ref="C37">SUMPRODUCT(('CSV FF'!$E$1:$E$904=$B$37)*('CSV FF'!$C$1:$C$904=C$4))</f>
        <v>0</v>
      </c>
      <c r="D37" s="842" cm="1">
        <f t="array" ref="D37">SUMPRODUCT(('CSV FF'!$E$1:$E$904=$B$37)*('CSV FF'!$C$1:$C$904=D$4))</f>
        <v>0</v>
      </c>
      <c r="E37" s="842" cm="1">
        <f t="array" ref="E37">SUMPRODUCT(('CSV FF'!$E$1:$E$904=$B$37)*('CSV FF'!$C$1:$C$904=E$4))</f>
        <v>0</v>
      </c>
      <c r="F37" s="842" cm="1">
        <f t="array" ref="F37">SUMPRODUCT(('CSV FF'!$E$1:$E$904=$B$37)*('CSV FF'!$C$1:$C$904=F$4))</f>
        <v>0</v>
      </c>
      <c r="G37" s="842" cm="1">
        <f t="array" ref="G37">SUMPRODUCT(('CSV FF'!$E$1:$E$904=$B$37)*('CSV FF'!$C$1:$C$904=G$4))</f>
        <v>0</v>
      </c>
      <c r="H37" s="842" cm="1">
        <f t="array" ref="H37">SUMPRODUCT(('CSV FF'!$E$1:$E$904=$B$37)*('CSV FF'!$C$1:$C$904=H$4))</f>
        <v>0</v>
      </c>
      <c r="I37" s="842" cm="1">
        <f t="array" ref="I37">SUMPRODUCT(('CSV FF'!$E$1:$E$904=$B$37)*('CSV FF'!$C$1:$C$904=I$4))</f>
        <v>0</v>
      </c>
      <c r="J37" s="842" cm="1">
        <f t="array" ref="J37">SUMPRODUCT(('CSV FF'!$E$1:$E$904=$B$37)*('CSV FF'!$C$1:$C$904=J$4))</f>
        <v>0</v>
      </c>
      <c r="K37" s="842" cm="1">
        <f t="array" ref="K37">SUMPRODUCT(('CSV FF'!$E$1:$E$904=$B$37)*('CSV FF'!$C$1:$C$904=K$4))</f>
        <v>0</v>
      </c>
      <c r="L37" s="842" cm="1">
        <f t="array" ref="L37">SUMPRODUCT(('CSV FF'!$E$1:$E$904=$B$37)*('CSV FF'!$C$1:$C$904=L$4))</f>
        <v>0</v>
      </c>
      <c r="M37" s="842" cm="1">
        <f t="array" ref="M37">SUMPRODUCT(('CSV FF'!$E$1:$E$904=$B$37)*('CSV FF'!$C$1:$C$904=M$4))</f>
        <v>0</v>
      </c>
      <c r="N37" s="842" cm="1">
        <f t="array" ref="N37">SUMPRODUCT(('CSV FF'!$E$1:$E$904=$B$37)*('CSV FF'!$C$1:$C$904=N$4))</f>
        <v>0</v>
      </c>
      <c r="O37" s="842" cm="1">
        <f t="array" ref="O37">SUMPRODUCT(('CSV FF'!$E$1:$E$904=$B$37)*('CSV FF'!$C$1:$C$904=O$4))</f>
        <v>0</v>
      </c>
      <c r="P37" s="842" cm="1">
        <f t="array" ref="P37">SUMPRODUCT(('CSV FF'!$E$1:$E$904=$B$37)*('CSV FF'!$C$1:$C$904=P$4))</f>
        <v>0</v>
      </c>
      <c r="Q37" s="842" cm="1">
        <f t="array" ref="Q37">SUMPRODUCT(('CSV FF'!$E$1:$E$904=$B$37)*('CSV FF'!$C$1:$C$904=Q$4))</f>
        <v>0</v>
      </c>
      <c r="R37" s="842" cm="1">
        <f t="array" ref="R37">SUMPRODUCT(('CSV FF'!$E$1:$E$904=$B$37)*('CSV FF'!$C$1:$C$904=R$4))</f>
        <v>0</v>
      </c>
      <c r="S37" s="842" cm="1">
        <f t="array" ref="S37">SUMPRODUCT(('CSV FF'!$E$1:$E$904=$B$37)*('CSV FF'!$C$1:$C$904=S$4))</f>
        <v>0</v>
      </c>
      <c r="T37" s="842" cm="1">
        <f t="array" ref="T37">SUMPRODUCT(('CSV FF'!$E$1:$E$904=$B$37)*('CSV FF'!$C$1:$C$904=T$4))</f>
        <v>0</v>
      </c>
      <c r="U37" s="842" cm="1">
        <f t="array" ref="U37">SUMPRODUCT(('CSV FF'!$E$1:$E$904=$B$37)*('CSV FF'!$C$1:$C$904=U$4))</f>
        <v>0</v>
      </c>
      <c r="V37" s="842" cm="1">
        <f t="array" ref="V37">SUMPRODUCT(('CSV FF'!$E$1:$E$904=$B$37)*('CSV FF'!$C$1:$C$904=V$4))</f>
        <v>0</v>
      </c>
      <c r="W37" s="842" cm="1">
        <f t="array" ref="W37">SUMPRODUCT(('CSV FF'!$E$1:$E$904=$B$37)*('CSV FF'!$C$1:$C$904=W$4))</f>
        <v>0</v>
      </c>
      <c r="X37" s="842" cm="1">
        <f t="array" ref="X37">SUMPRODUCT(('CSV FF'!$E$1:$E$904=$B$37)*('CSV FF'!$C$1:$C$904=X$4))</f>
        <v>0</v>
      </c>
      <c r="Y37" s="842" cm="1">
        <f t="array" ref="Y37">SUMPRODUCT(('CSV FF'!$E$1:$E$904=$B$37)*('CSV FF'!$C$1:$C$904=Y$4))</f>
        <v>0</v>
      </c>
      <c r="Z37" s="842" cm="1">
        <f t="array" ref="Z37">SUMPRODUCT(('CSV FF'!$E$1:$E$904=$B$37)*('CSV FF'!$C$1:$C$904=Z$4))</f>
        <v>0</v>
      </c>
      <c r="AA37" s="842" cm="1">
        <f t="array" ref="AA37">SUMPRODUCT(('CSV FF'!$E$1:$E$904=$B$37)*('CSV FF'!$C$1:$C$904=AA$4))</f>
        <v>0</v>
      </c>
      <c r="AB37" s="842" cm="1">
        <f t="array" ref="AB37">SUMPRODUCT(('CSV FF'!$E$1:$E$904=$B$37)*('CSV FF'!$C$1:$C$904=AB$4))</f>
        <v>0</v>
      </c>
      <c r="AC37" s="842" cm="1">
        <f t="array" ref="AC37">SUMPRODUCT(('CSV FF'!$E$1:$E$904=$B$37)*('CSV FF'!$C$1:$C$904=AC$4))</f>
        <v>0</v>
      </c>
      <c r="AD37" s="842" cm="1">
        <f t="array" ref="AD37">SUMPRODUCT(('CSV FF'!$E$1:$E$904=$B$37)*('CSV FF'!$C$1:$C$904=AD$4))</f>
        <v>0</v>
      </c>
      <c r="AE37" s="842" cm="1">
        <f t="array" ref="AE37">SUMPRODUCT(('CSV FF'!$E$1:$E$904=$B$37)*('CSV FF'!$C$1:$C$904=AE$4))</f>
        <v>0</v>
      </c>
      <c r="AF37" s="842" cm="1">
        <f t="array" ref="AF37">SUMPRODUCT(('CSV FF'!$E$1:$E$904=$B$37)*('CSV FF'!$C$1:$C$904=AF$4))</f>
        <v>0</v>
      </c>
      <c r="AG37" s="842" cm="1">
        <f t="array" ref="AG37">SUMPRODUCT(('CSV FF'!$E$1:$E$904=$B$37)*('CSV FF'!$C$1:$C$904=AG$4))</f>
        <v>0</v>
      </c>
      <c r="AH37" s="842" cm="1">
        <f t="array" ref="AH37">SUMPRODUCT(('CSV FF'!$E$1:$E$904=$B$37)*('CSV FF'!$C$1:$C$904=AH$4))</f>
        <v>0</v>
      </c>
      <c r="AI37" s="842" cm="1">
        <f t="array" ref="AI37">SUMPRODUCT(('CSV FF'!$E$1:$E$904=$B$37)*('CSV FF'!$C$1:$C$904=AI$4))</f>
        <v>0</v>
      </c>
      <c r="AJ37" s="842" cm="1">
        <f t="array" ref="AJ37">SUMPRODUCT(('CSV FF'!$E$1:$E$904=$B$37)*('CSV FF'!$C$1:$C$904=AJ$4))</f>
        <v>0</v>
      </c>
      <c r="AK37" s="842" cm="1">
        <f t="array" ref="AK37">SUMPRODUCT(('CSV FF'!$E$1:$E$904=$B$37)*('CSV FF'!$C$1:$C$904=AK$4))</f>
        <v>0</v>
      </c>
      <c r="AL37" s="842" cm="1">
        <f t="array" ref="AL37">SUMPRODUCT(('CSV FF'!$E$1:$E$904=$B$37)*('CSV FF'!$C$1:$C$904=AL$4))</f>
        <v>0</v>
      </c>
      <c r="AM37" s="842" cm="1">
        <f t="array" ref="AM37">SUMPRODUCT(('CSV FF'!$E$1:$E$904=$B$37)*('CSV FF'!$C$1:$C$904=AM$4))</f>
        <v>0</v>
      </c>
      <c r="AN37" s="842" cm="1">
        <f t="array" ref="AN37">SUMPRODUCT(('CSV FF'!$E$1:$E$904=$B$37)*('CSV FF'!$C$1:$C$904=AN$4))</f>
        <v>0</v>
      </c>
      <c r="AO37" s="842" cm="1">
        <f t="array" ref="AO37">SUMPRODUCT(('CSV FF'!$E$1:$E$904=$B$37)*('CSV FF'!$C$1:$C$904=AO$4))</f>
        <v>0</v>
      </c>
      <c r="AP37" s="844">
        <f t="shared" si="2"/>
        <v>0</v>
      </c>
      <c r="AQ37" s="323"/>
      <c r="AR37" s="24"/>
      <c r="AS37" s="217"/>
    </row>
    <row r="38" spans="1:45" ht="12.75" customHeight="1" x14ac:dyDescent="0.2">
      <c r="A38" s="840" t="s">
        <v>368</v>
      </c>
      <c r="B38" s="1000" t="s">
        <v>367</v>
      </c>
      <c r="C38" s="842" cm="1">
        <f t="array" ref="C38">SUMPRODUCT(('CSV FF'!$E$3:$E$870&lt;=C$4)*('CSV FF'!$A$3:$A$870="Posts")*('CSV FF'!$B$3:$B$870="Timber 90"))</f>
        <v>0</v>
      </c>
      <c r="D38" s="842" cm="1">
        <f t="array" ref="D38">SUMPRODUCT(('CSV FF'!$E$3:$E$870&lt;=D$4)*('CSV FF'!$E$3:$E$870&gt;C$4)*('CSV FF'!$A$3:$A$870="Posts")*('CSV FF'!$B$3:$B$870="Timber 90"))</f>
        <v>0</v>
      </c>
      <c r="E38" s="842" cm="1">
        <f t="array" ref="E38">SUMPRODUCT(('CSV FF'!$E$3:$E$870&lt;=E$4)*('CSV FF'!$E$3:$E$870&gt;D$4)*('CSV FF'!$A$3:$A$870="Posts")*('CSV FF'!$B$3:$B$870="Timber 90"))</f>
        <v>0</v>
      </c>
      <c r="F38" s="842" cm="1">
        <f t="array" ref="F38">SUMPRODUCT(('CSV FF'!$E$3:$E$870&lt;=F$4)*('CSV FF'!$E$3:$E$870&gt;E$4)*('CSV FF'!$A$3:$A$870="Posts")*('CSV FF'!$B$3:$B$870="Timber 90"))</f>
        <v>0</v>
      </c>
      <c r="G38" s="842" cm="1">
        <f t="array" ref="G38">SUMPRODUCT(('CSV FF'!$E$3:$E$870&lt;=G$4)*('CSV FF'!$E$3:$E$870&gt;F$4)*('CSV FF'!$A$3:$A$870="Posts")*('CSV FF'!$B$3:$B$870="Timber 90"))</f>
        <v>0</v>
      </c>
      <c r="H38" s="842" cm="1">
        <f t="array" ref="H38">SUMPRODUCT(('CSV FF'!$E$3:$E$870&lt;=H$4)*('CSV FF'!$E$3:$E$870&gt;G$4)*('CSV FF'!$A$3:$A$870="Posts")*('CSV FF'!$B$3:$B$870="Timber 90"))</f>
        <v>0</v>
      </c>
      <c r="I38" s="842" cm="1">
        <f t="array" ref="I38">SUMPRODUCT(('CSV FF'!$E$3:$E$870&lt;=I$4)*('CSV FF'!$E$3:$E$870&gt;H$4)*('CSV FF'!$A$3:$A$870="Posts")*('CSV FF'!$B$3:$B$870="Timber 90"))</f>
        <v>0</v>
      </c>
      <c r="J38" s="842" cm="1">
        <f t="array" ref="J38">SUMPRODUCT(('CSV FF'!$E$3:$E$870&lt;=J$4)*('CSV FF'!$E$3:$E$870&gt;I$4)*('CSV FF'!$A$3:$A$870="Posts")*('CSV FF'!$B$3:$B$870="Timber 90"))</f>
        <v>0</v>
      </c>
      <c r="K38" s="842" cm="1">
        <f t="array" ref="K38">SUMPRODUCT(('CSV FF'!$E$3:$E$870&lt;=K$4)*('CSV FF'!$E$3:$E$870&gt;J$4)*('CSV FF'!$A$3:$A$870="Posts")*('CSV FF'!$B$3:$B$870="Timber 90"))</f>
        <v>0</v>
      </c>
      <c r="L38" s="842" cm="1">
        <f t="array" ref="L38">SUMPRODUCT(('CSV FF'!$E$3:$E$870&lt;=L$4)*('CSV FF'!$E$3:$E$870&gt;K$4)*('CSV FF'!$A$3:$A$870="Posts")*('CSV FF'!$B$3:$B$870="Timber 90"))</f>
        <v>0</v>
      </c>
      <c r="M38" s="842" cm="1">
        <f t="array" ref="M38">SUMPRODUCT(('CSV FF'!$E$3:$E$870&lt;=M$4)*('CSV FF'!$E$3:$E$870&gt;L$4)*('CSV FF'!$A$3:$A$870="Posts")*('CSV FF'!$B$3:$B$870="Timber 90"))</f>
        <v>0</v>
      </c>
      <c r="N38" s="842" cm="1">
        <f t="array" ref="N38">SUMPRODUCT(('CSV FF'!$E$3:$E$870&lt;=N$4)*('CSV FF'!$E$3:$E$870&gt;M$4)*('CSV FF'!$A$3:$A$870="Posts")*('CSV FF'!$B$3:$B$870="Timber 90"))</f>
        <v>0</v>
      </c>
      <c r="O38" s="842" cm="1">
        <f t="array" ref="O38">SUMPRODUCT(('CSV FF'!$E$3:$E$870&lt;=O$4)*('CSV FF'!$E$3:$E$870&gt;N$4)*('CSV FF'!$A$3:$A$870="Posts")*('CSV FF'!$B$3:$B$870="Timber 90"))</f>
        <v>0</v>
      </c>
      <c r="P38" s="842" cm="1">
        <f t="array" ref="P38">SUMPRODUCT(('CSV FF'!$E$3:$E$870&lt;=P$4)*('CSV FF'!$E$3:$E$870&gt;O$4)*('CSV FF'!$A$3:$A$870="Posts")*('CSV FF'!$B$3:$B$870="Timber 90"))</f>
        <v>0</v>
      </c>
      <c r="Q38" s="842" cm="1">
        <f t="array" ref="Q38">SUMPRODUCT(('CSV FF'!$E$3:$E$870&lt;=Q$4)*('CSV FF'!$E$3:$E$870&gt;P$4)*('CSV FF'!$A$3:$A$870="Posts")*('CSV FF'!$B$3:$B$870="Timber 90"))</f>
        <v>0</v>
      </c>
      <c r="R38" s="842" cm="1">
        <f t="array" ref="R38">SUMPRODUCT(('CSV FF'!$E$3:$E$870&lt;=R$4)*('CSV FF'!$E$3:$E$870&gt;Q$4)*('CSV FF'!$A$3:$A$870="Posts")*('CSV FF'!$B$3:$B$870="Timber 90"))</f>
        <v>0</v>
      </c>
      <c r="S38" s="842" cm="1">
        <f t="array" ref="S38">SUMPRODUCT(('CSV FF'!$E$3:$E$870&lt;=S$4)*('CSV FF'!$E$3:$E$870&gt;R$4)*('CSV FF'!$A$3:$A$870="Posts")*('CSV FF'!$B$3:$B$870="Timber 90"))</f>
        <v>0</v>
      </c>
      <c r="T38" s="842" cm="1">
        <f t="array" ref="T38">SUMPRODUCT(('CSV FF'!$E$3:$E$870&lt;=T$4)*('CSV FF'!$E$3:$E$870&gt;S$4)*('CSV FF'!$A$3:$A$870="Posts")*('CSV FF'!$B$3:$B$870="Timber 90"))</f>
        <v>0</v>
      </c>
      <c r="U38" s="842" cm="1">
        <f t="array" ref="U38">SUMPRODUCT(('CSV FF'!$E$3:$E$870&lt;=U$4)*('CSV FF'!$E$3:$E$870&gt;T$4)*('CSV FF'!$A$3:$A$870="Posts")*('CSV FF'!$B$3:$B$870="Timber 90"))</f>
        <v>0</v>
      </c>
      <c r="V38" s="842" cm="1">
        <f t="array" ref="V38">SUMPRODUCT(('CSV FF'!$E$3:$E$870&lt;=V$4)*('CSV FF'!$E$3:$E$870&gt;U$4)*('CSV FF'!$A$3:$A$870="Posts")*('CSV FF'!$B$3:$B$870="Timber 90"))</f>
        <v>0</v>
      </c>
      <c r="W38" s="842" cm="1">
        <f t="array" ref="W38">SUMPRODUCT(('CSV FF'!$E$3:$E$870&lt;=W$4)*('CSV FF'!$E$3:$E$870&gt;V$4)*('CSV FF'!$A$3:$A$870="Posts")*('CSV FF'!$B$3:$B$870="Timber 90"))</f>
        <v>0</v>
      </c>
      <c r="X38" s="842" cm="1">
        <f t="array" ref="X38">SUMPRODUCT(('CSV FF'!$E$3:$E$870&lt;=X$4)*('CSV FF'!$E$3:$E$870&gt;W$4)*('CSV FF'!$A$3:$A$870="Posts")*('CSV FF'!$B$3:$B$870="Timber 90"))</f>
        <v>0</v>
      </c>
      <c r="Y38" s="842" cm="1">
        <f t="array" ref="Y38">SUMPRODUCT(('CSV FF'!$E$3:$E$870&lt;=Y$4)*('CSV FF'!$E$3:$E$870&gt;X$4)*('CSV FF'!$A$3:$A$870="Posts")*('CSV FF'!$B$3:$B$870="Timber 90"))</f>
        <v>0</v>
      </c>
      <c r="Z38" s="842" cm="1">
        <f t="array" ref="Z38">SUMPRODUCT(('CSV FF'!$E$3:$E$870&lt;=Z$4)*('CSV FF'!$E$3:$E$870&gt;Y$4)*('CSV FF'!$A$3:$A$870="Posts")*('CSV FF'!$B$3:$B$870="Timber 90"))</f>
        <v>0</v>
      </c>
      <c r="AA38" s="842" cm="1">
        <f t="array" ref="AA38">SUMPRODUCT(('CSV FF'!$E$3:$E$870&lt;=AA$4)*('CSV FF'!$E$3:$E$870&gt;Z$4)*('CSV FF'!$A$3:$A$870="Posts")*('CSV FF'!$B$3:$B$870="Timber 90"))</f>
        <v>0</v>
      </c>
      <c r="AB38" s="842" cm="1">
        <f t="array" ref="AB38">SUMPRODUCT(('CSV FF'!$E$3:$E$870&lt;=AB$4)*('CSV FF'!$E$3:$E$870&gt;AA$4)*('CSV FF'!$A$3:$A$870="Posts")*('CSV FF'!$B$3:$B$870="Timber 90"))</f>
        <v>0</v>
      </c>
      <c r="AC38" s="842" cm="1">
        <f t="array" ref="AC38">SUMPRODUCT(('CSV FF'!$E$3:$E$870&lt;=AC$4)*('CSV FF'!$E$3:$E$870&gt;AB$4)*('CSV FF'!$A$3:$A$870="Posts")*('CSV FF'!$B$3:$B$870="Timber 90"))</f>
        <v>0</v>
      </c>
      <c r="AD38" s="842" cm="1">
        <f t="array" ref="AD38">SUMPRODUCT(('CSV FF'!$E$3:$E$870&lt;=AD$4)*('CSV FF'!$E$3:$E$870&gt;AC$4)*('CSV FF'!$A$3:$A$870="Posts")*('CSV FF'!$B$3:$B$870="Timber 90"))</f>
        <v>0</v>
      </c>
      <c r="AE38" s="842" cm="1">
        <f t="array" ref="AE38">SUMPRODUCT(('CSV FF'!$E$3:$E$870&lt;=AE$4)*('CSV FF'!$E$3:$E$870&gt;AD$4)*('CSV FF'!$A$3:$A$870="Posts")*('CSV FF'!$B$3:$B$870="Timber 90"))</f>
        <v>0</v>
      </c>
      <c r="AF38" s="842" cm="1">
        <f t="array" ref="AF38">SUMPRODUCT(('CSV FF'!$E$3:$E$870&lt;=AF$4)*('CSV FF'!$E$3:$E$870&gt;AE$4)*('CSV FF'!$A$3:$A$870="Posts")*('CSV FF'!$B$3:$B$870="Timber 90"))</f>
        <v>0</v>
      </c>
      <c r="AG38" s="842" cm="1">
        <f t="array" ref="AG38">SUMPRODUCT(('CSV FF'!$E$3:$E$870&lt;=AG$4)*('CSV FF'!$E$3:$E$870&gt;AF$4)*('CSV FF'!$A$3:$A$870="Posts")*('CSV FF'!$B$3:$B$870="Timber 90"))</f>
        <v>0</v>
      </c>
      <c r="AH38" s="842" cm="1">
        <f t="array" ref="AH38">SUMPRODUCT(('CSV FF'!$E$3:$E$870&lt;=AH$4)*('CSV FF'!$E$3:$E$870&gt;AG$4)*('CSV FF'!$A$3:$A$870="Posts")*('CSV FF'!$B$3:$B$870="Timber 90"))</f>
        <v>0</v>
      </c>
      <c r="AI38" s="842" cm="1">
        <f t="array" ref="AI38">SUMPRODUCT(('CSV FF'!$E$3:$E$870&lt;=AI$4)*('CSV FF'!$E$3:$E$870&gt;AH$4)*('CSV FF'!$A$3:$A$870="Posts")*('CSV FF'!$B$3:$B$870="Timber 90"))</f>
        <v>0</v>
      </c>
      <c r="AJ38" s="842" cm="1">
        <f t="array" ref="AJ38">SUMPRODUCT(('CSV FF'!$E$3:$E$870&lt;=AJ$4)*('CSV FF'!$E$3:$E$870&gt;AI$4)*('CSV FF'!$A$3:$A$870="Posts")*('CSV FF'!$B$3:$B$870="Timber 90"))</f>
        <v>0</v>
      </c>
      <c r="AK38" s="842" cm="1">
        <f t="array" ref="AK38">SUMPRODUCT(('CSV FF'!$E$3:$E$870&lt;=AK$4)*('CSV FF'!$E$3:$E$870&gt;AJ$4)*('CSV FF'!$A$3:$A$870="Posts")*('CSV FF'!$B$3:$B$870="Timber 90"))</f>
        <v>0</v>
      </c>
      <c r="AL38" s="842" cm="1">
        <f t="array" ref="AL38">SUMPRODUCT(('CSV FF'!$E$3:$E$870&lt;=AL$4)*('CSV FF'!$E$3:$E$870&gt;AK$4)*('CSV FF'!$A$3:$A$870="Posts")*('CSV FF'!$B$3:$B$870="Timber 90"))</f>
        <v>0</v>
      </c>
      <c r="AM38" s="842" cm="1">
        <f t="array" ref="AM38">SUMPRODUCT(('CSV FF'!$E$3:$E$870&lt;=AM$4)*('CSV FF'!$E$3:$E$870&gt;AL$4)*('CSV FF'!$A$3:$A$870="Posts")*('CSV FF'!$B$3:$B$870="Timber 90"))</f>
        <v>0</v>
      </c>
      <c r="AN38" s="842" cm="1">
        <f t="array" ref="AN38">SUMPRODUCT(('CSV FF'!$E$3:$E$870&lt;=AN$4)*('CSV FF'!$E$3:$E$870&gt;AM$4)*('CSV FF'!$A$3:$A$870="Posts")*('CSV FF'!$B$3:$B$870="Timber 90"))</f>
        <v>0</v>
      </c>
      <c r="AO38" s="842" cm="1">
        <f t="array" ref="AO38">SUMPRODUCT(('CSV FF'!$E$3:$E$870&lt;=AO$4)*('CSV FF'!$E$3:$E$870&gt;AN$4)*('CSV FF'!$A$3:$A$870="Posts")*('CSV FF'!$B$3:$B$870="Timber 90"))</f>
        <v>0</v>
      </c>
      <c r="AP38" s="844">
        <f>SUMPRODUCT($C$4:$AO$4,C38:AO38)</f>
        <v>0</v>
      </c>
      <c r="AQ38" s="323"/>
      <c r="AR38" s="24"/>
      <c r="AS38" s="217"/>
    </row>
    <row r="39" spans="1:45" ht="12.75" customHeight="1" x14ac:dyDescent="0.2">
      <c r="A39" s="840" t="s">
        <v>368</v>
      </c>
      <c r="B39" s="1000" t="s">
        <v>980</v>
      </c>
      <c r="C39" s="842" cm="1">
        <f t="array" ref="C39">SUMPRODUCT(('CSV FF'!$E$3:$E$870&lt;=C$4)*('CSV FF'!$E$3:$E$870&gt;B$4)*('CSV FF'!$A$3:$A$870="Posts")*('CSV FF'!$B$3:$B$870="Timber 112"))</f>
        <v>0</v>
      </c>
      <c r="D39" s="842" cm="1">
        <f t="array" ref="D39">SUMPRODUCT(('CSV FF'!$E$3:$E$870&lt;=D$4)*('CSV FF'!$E$3:$E$870&gt;C$4)*('CSV FF'!$A$3:$A$870="Posts")*('CSV FF'!$B$3:$B$870="Timber 112"))</f>
        <v>0</v>
      </c>
      <c r="E39" s="842" cm="1">
        <f t="array" ref="E39">SUMPRODUCT(('CSV FF'!$E$3:$E$870&lt;=E$4)*('CSV FF'!$E$3:$E$870&gt;D$4)*('CSV FF'!$A$3:$A$870="Posts")*('CSV FF'!$B$3:$B$870="Timber 112"))</f>
        <v>0</v>
      </c>
      <c r="F39" s="842" cm="1">
        <f t="array" ref="F39">SUMPRODUCT(('CSV FF'!$E$3:$E$870&lt;=F$4)*('CSV FF'!$E$3:$E$870&gt;E$4)*('CSV FF'!$A$3:$A$870="Posts")*('CSV FF'!$B$3:$B$870="Timber 112"))</f>
        <v>0</v>
      </c>
      <c r="G39" s="842" cm="1">
        <f t="array" ref="G39">SUMPRODUCT(('CSV FF'!$E$3:$E$870&lt;=G$4)*('CSV FF'!$E$3:$E$870&gt;F$4)*('CSV FF'!$A$3:$A$870="Posts")*('CSV FF'!$B$3:$B$870="Timber 112"))</f>
        <v>0</v>
      </c>
      <c r="H39" s="842" cm="1">
        <f t="array" ref="H39">SUMPRODUCT(('CSV FF'!$E$3:$E$870&lt;=H$4)*('CSV FF'!$E$3:$E$870&gt;G$4)*('CSV FF'!$A$3:$A$870="Posts")*('CSV FF'!$B$3:$B$870="Timber 112"))</f>
        <v>0</v>
      </c>
      <c r="I39" s="842" cm="1">
        <f t="array" ref="I39">SUMPRODUCT(('CSV FF'!$E$3:$E$870&lt;=I$4)*('CSV FF'!$E$3:$E$870&gt;H$4)*('CSV FF'!$A$3:$A$870="Posts")*('CSV FF'!$B$3:$B$870="Timber 112"))</f>
        <v>0</v>
      </c>
      <c r="J39" s="842" cm="1">
        <f t="array" ref="J39">SUMPRODUCT(('CSV FF'!$E$3:$E$870&lt;=J$4)*('CSV FF'!$E$3:$E$870&gt;I$4)*('CSV FF'!$A$3:$A$870="Posts")*('CSV FF'!$B$3:$B$870="Timber 112"))</f>
        <v>0</v>
      </c>
      <c r="K39" s="842" cm="1">
        <f t="array" ref="K39">SUMPRODUCT(('CSV FF'!$E$3:$E$870&lt;=K$4)*('CSV FF'!$E$3:$E$870&gt;J$4)*('CSV FF'!$A$3:$A$870="Posts")*('CSV FF'!$B$3:$B$870="Timber 112"))</f>
        <v>0</v>
      </c>
      <c r="L39" s="842" cm="1">
        <f t="array" ref="L39">SUMPRODUCT(('CSV FF'!$E$3:$E$870&lt;=L$4)*('CSV FF'!$E$3:$E$870&gt;K$4)*('CSV FF'!$A$3:$A$870="Posts")*('CSV FF'!$B$3:$B$870="Timber 112"))</f>
        <v>0</v>
      </c>
      <c r="M39" s="842" cm="1">
        <f t="array" ref="M39">SUMPRODUCT(('CSV FF'!$E$3:$E$870&lt;=M$4)*('CSV FF'!$E$3:$E$870&gt;L$4)*('CSV FF'!$A$3:$A$870="Posts")*('CSV FF'!$B$3:$B$870="Timber 112"))</f>
        <v>0</v>
      </c>
      <c r="N39" s="842" cm="1">
        <f t="array" ref="N39">SUMPRODUCT(('CSV FF'!$E$3:$E$870&lt;=N$4)*('CSV FF'!$E$3:$E$870&gt;M$4)*('CSV FF'!$A$3:$A$870="Posts")*('CSV FF'!$B$3:$B$870="Timber 112"))</f>
        <v>0</v>
      </c>
      <c r="O39" s="842" cm="1">
        <f t="array" ref="O39">SUMPRODUCT(('CSV FF'!$E$3:$E$870&lt;=O$4)*('CSV FF'!$E$3:$E$870&gt;N$4)*('CSV FF'!$A$3:$A$870="Posts")*('CSV FF'!$B$3:$B$870="Timber 112"))</f>
        <v>0</v>
      </c>
      <c r="P39" s="842" cm="1">
        <f t="array" ref="P39">SUMPRODUCT(('CSV FF'!$E$3:$E$870&lt;=P$4)*('CSV FF'!$E$3:$E$870&gt;O$4)*('CSV FF'!$A$3:$A$870="Posts")*('CSV FF'!$B$3:$B$870="Timber 112"))</f>
        <v>0</v>
      </c>
      <c r="Q39" s="842" cm="1">
        <f t="array" ref="Q39">SUMPRODUCT(('CSV FF'!$E$3:$E$870&lt;=Q$4)*('CSV FF'!$E$3:$E$870&gt;P$4)*('CSV FF'!$A$3:$A$870="Posts")*('CSV FF'!$B$3:$B$870="Timber 112"))</f>
        <v>0</v>
      </c>
      <c r="R39" s="842" cm="1">
        <f t="array" ref="R39">SUMPRODUCT(('CSV FF'!$E$3:$E$870&lt;=R$4)*('CSV FF'!$E$3:$E$870&gt;Q$4)*('CSV FF'!$A$3:$A$870="Posts")*('CSV FF'!$B$3:$B$870="Timber 112"))</f>
        <v>0</v>
      </c>
      <c r="S39" s="842" cm="1">
        <f t="array" ref="S39">SUMPRODUCT(('CSV FF'!$E$3:$E$870&lt;=S$4)*('CSV FF'!$E$3:$E$870&gt;R$4)*('CSV FF'!$A$3:$A$870="Posts")*('CSV FF'!$B$3:$B$870="Timber 112"))</f>
        <v>0</v>
      </c>
      <c r="T39" s="842" cm="1">
        <f t="array" ref="T39">SUMPRODUCT(('CSV FF'!$E$3:$E$870&lt;=T$4)*('CSV FF'!$E$3:$E$870&gt;S$4)*('CSV FF'!$A$3:$A$870="Posts")*('CSV FF'!$B$3:$B$870="Timber 112"))</f>
        <v>0</v>
      </c>
      <c r="U39" s="842" cm="1">
        <f t="array" ref="U39">SUMPRODUCT(('CSV FF'!$E$3:$E$870&lt;=U$4)*('CSV FF'!$E$3:$E$870&gt;T$4)*('CSV FF'!$A$3:$A$870="Posts")*('CSV FF'!$B$3:$B$870="Timber 112"))</f>
        <v>0</v>
      </c>
      <c r="V39" s="842" cm="1">
        <f t="array" ref="V39">SUMPRODUCT(('CSV FF'!$E$3:$E$870&lt;=V$4)*('CSV FF'!$E$3:$E$870&gt;U$4)*('CSV FF'!$A$3:$A$870="Posts")*('CSV FF'!$B$3:$B$870="Timber 112"))</f>
        <v>0</v>
      </c>
      <c r="W39" s="842" cm="1">
        <f t="array" ref="W39">SUMPRODUCT(('CSV FF'!$E$3:$E$870&lt;=W$4)*('CSV FF'!$E$3:$E$870&gt;V$4)*('CSV FF'!$A$3:$A$870="Posts")*('CSV FF'!$B$3:$B$870="Timber 112"))</f>
        <v>0</v>
      </c>
      <c r="X39" s="842" cm="1">
        <f t="array" ref="X39">SUMPRODUCT(('CSV FF'!$E$3:$E$870&lt;=X$4)*('CSV FF'!$E$3:$E$870&gt;W$4)*('CSV FF'!$A$3:$A$870="Posts")*('CSV FF'!$B$3:$B$870="Timber 112"))</f>
        <v>0</v>
      </c>
      <c r="Y39" s="842" cm="1">
        <f t="array" ref="Y39">SUMPRODUCT(('CSV FF'!$E$3:$E$870&lt;=Y$4)*('CSV FF'!$E$3:$E$870&gt;X$4)*('CSV FF'!$A$3:$A$870="Posts")*('CSV FF'!$B$3:$B$870="Timber 112"))</f>
        <v>0</v>
      </c>
      <c r="Z39" s="842" cm="1">
        <f t="array" ref="Z39">SUMPRODUCT(('CSV FF'!$E$3:$E$870&lt;=Z$4)*('CSV FF'!$E$3:$E$870&gt;Y$4)*('CSV FF'!$A$3:$A$870="Posts")*('CSV FF'!$B$3:$B$870="Timber 112"))</f>
        <v>0</v>
      </c>
      <c r="AA39" s="842" cm="1">
        <f t="array" ref="AA39">SUMPRODUCT(('CSV FF'!$E$3:$E$870&lt;=AA$4)*('CSV FF'!$E$3:$E$870&gt;Z$4)*('CSV FF'!$A$3:$A$870="Posts")*('CSV FF'!$B$3:$B$870="Timber 112"))</f>
        <v>0</v>
      </c>
      <c r="AB39" s="842" cm="1">
        <f t="array" ref="AB39">SUMPRODUCT(('CSV FF'!$E$3:$E$870&lt;=AB$4)*('CSV FF'!$E$3:$E$870&gt;AA$4)*('CSV FF'!$A$3:$A$870="Posts")*('CSV FF'!$B$3:$B$870="Timber 112"))</f>
        <v>0</v>
      </c>
      <c r="AC39" s="842" cm="1">
        <f t="array" ref="AC39">SUMPRODUCT(('CSV FF'!$E$3:$E$870&lt;=AC$4)*('CSV FF'!$E$3:$E$870&gt;AB$4)*('CSV FF'!$A$3:$A$870="Posts")*('CSV FF'!$B$3:$B$870="Timber 112"))</f>
        <v>0</v>
      </c>
      <c r="AD39" s="842" cm="1">
        <f t="array" ref="AD39">SUMPRODUCT(('CSV FF'!$E$3:$E$870&lt;=AD$4)*('CSV FF'!$E$3:$E$870&gt;AC$4)*('CSV FF'!$A$3:$A$870="Posts")*('CSV FF'!$B$3:$B$870="Timber 112"))</f>
        <v>0</v>
      </c>
      <c r="AE39" s="842" cm="1">
        <f t="array" ref="AE39">SUMPRODUCT(('CSV FF'!$E$3:$E$870&lt;=AE$4)*('CSV FF'!$E$3:$E$870&gt;AD$4)*('CSV FF'!$A$3:$A$870="Posts")*('CSV FF'!$B$3:$B$870="Timber 112"))</f>
        <v>0</v>
      </c>
      <c r="AF39" s="842" cm="1">
        <f t="array" ref="AF39">SUMPRODUCT(('CSV FF'!$E$3:$E$870&lt;=AF$4)*('CSV FF'!$E$3:$E$870&gt;AE$4)*('CSV FF'!$A$3:$A$870="Posts")*('CSV FF'!$B$3:$B$870="Timber 112"))</f>
        <v>0</v>
      </c>
      <c r="AG39" s="842" cm="1">
        <f t="array" ref="AG39">SUMPRODUCT(('CSV FF'!$E$3:$E$870&lt;=AG$4)*('CSV FF'!$E$3:$E$870&gt;AF$4)*('CSV FF'!$A$3:$A$870="Posts")*('CSV FF'!$B$3:$B$870="Timber 112"))</f>
        <v>0</v>
      </c>
      <c r="AH39" s="842" cm="1">
        <f t="array" ref="AH39">SUMPRODUCT(('CSV FF'!$E$3:$E$870&lt;=AH$4)*('CSV FF'!$E$3:$E$870&gt;AG$4)*('CSV FF'!$A$3:$A$870="Posts")*('CSV FF'!$B$3:$B$870="Timber 112"))</f>
        <v>0</v>
      </c>
      <c r="AI39" s="842" cm="1">
        <f t="array" ref="AI39">SUMPRODUCT(('CSV FF'!$E$3:$E$870&lt;=AI$4)*('CSV FF'!$E$3:$E$870&gt;AH$4)*('CSV FF'!$A$3:$A$870="Posts")*('CSV FF'!$B$3:$B$870="Timber 112"))</f>
        <v>0</v>
      </c>
      <c r="AJ39" s="842" cm="1">
        <f t="array" ref="AJ39">SUMPRODUCT(('CSV FF'!$E$3:$E$870&lt;=AJ$4)*('CSV FF'!$E$3:$E$870&gt;AI$4)*('CSV FF'!$A$3:$A$870="Posts")*('CSV FF'!$B$3:$B$870="Timber 112"))</f>
        <v>0</v>
      </c>
      <c r="AK39" s="842" cm="1">
        <f t="array" ref="AK39">SUMPRODUCT(('CSV FF'!$E$3:$E$870&lt;=AK$4)*('CSV FF'!$E$3:$E$870&gt;AJ$4)*('CSV FF'!$A$3:$A$870="Posts")*('CSV FF'!$B$3:$B$870="Timber 112"))</f>
        <v>0</v>
      </c>
      <c r="AL39" s="842" cm="1">
        <f t="array" ref="AL39">SUMPRODUCT(('CSV FF'!$E$3:$E$870&lt;=AL$4)*('CSV FF'!$E$3:$E$870&gt;AK$4)*('CSV FF'!$A$3:$A$870="Posts")*('CSV FF'!$B$3:$B$870="Timber 112"))</f>
        <v>0</v>
      </c>
      <c r="AM39" s="842" cm="1">
        <f t="array" ref="AM39">SUMPRODUCT(('CSV FF'!$E$3:$E$870&lt;=AM$4)*('CSV FF'!$E$3:$E$870&gt;AL$4)*('CSV FF'!$A$3:$A$870="Posts")*('CSV FF'!$B$3:$B$870="Timber 112"))</f>
        <v>0</v>
      </c>
      <c r="AN39" s="842" cm="1">
        <f t="array" ref="AN39">SUMPRODUCT(('CSV FF'!$E$3:$E$870&lt;=AN$4)*('CSV FF'!$E$3:$E$870&gt;AM$4)*('CSV FF'!$A$3:$A$870="Posts")*('CSV FF'!$B$3:$B$870="Timber 112"))</f>
        <v>0</v>
      </c>
      <c r="AO39" s="842" cm="1">
        <f t="array" ref="AO39">SUMPRODUCT(('CSV FF'!$E$3:$E$870&lt;=AO$4)*('CSV FF'!$E$3:$E$870&gt;AN$4)*('CSV FF'!$A$3:$A$870="Posts")*('CSV FF'!$B$3:$B$870="Timber 112"))</f>
        <v>0</v>
      </c>
      <c r="AP39" s="844">
        <f>SUMPRODUCT($C$4:$AO$4,C39:AO39)</f>
        <v>0</v>
      </c>
      <c r="AQ39" s="323"/>
      <c r="AR39" s="24"/>
      <c r="AS39" s="217"/>
    </row>
    <row r="40" spans="1:45" ht="12.75" customHeight="1" x14ac:dyDescent="0.2">
      <c r="A40" s="840" t="s">
        <v>1430</v>
      </c>
      <c r="B40" s="1000" t="s">
        <v>376</v>
      </c>
      <c r="C40" s="842" cm="1">
        <f t="array" ref="C40">SUMPRODUCT(('CSV FF'!$E$3:$E$870&lt;=C$4)*('CSV FF'!$E$3:$E$870&gt;B$4)*('CSV FF'!$A$3:$A$870="Posts")*('CSV FF'!$B$3:$B$870="Timber 120"))</f>
        <v>0</v>
      </c>
      <c r="D40" s="842" cm="1">
        <f t="array" ref="D40">SUMPRODUCT(('CSV FF'!$E$3:$E$870&lt;=D$4)*('CSV FF'!$E$3:$E$870&gt;C$4)*('CSV FF'!$A$3:$A$870="Posts")*('CSV FF'!$B$3:$B$870="Timber 120"))</f>
        <v>0</v>
      </c>
      <c r="E40" s="842" cm="1">
        <f t="array" ref="E40">SUMPRODUCT(('CSV FF'!$E$3:$E$870&lt;=E$4)*('CSV FF'!$E$3:$E$870&gt;D$4)*('CSV FF'!$A$3:$A$870="Posts")*('CSV FF'!$B$3:$B$870="Timber 120"))</f>
        <v>0</v>
      </c>
      <c r="F40" s="842" cm="1">
        <f t="array" ref="F40">SUMPRODUCT(('CSV FF'!$E$3:$E$870&lt;=F$4)*('CSV FF'!$E$3:$E$870&gt;E$4)*('CSV FF'!$A$3:$A$870="Posts")*('CSV FF'!$B$3:$B$870="Timber 120"))</f>
        <v>0</v>
      </c>
      <c r="G40" s="842" cm="1">
        <f t="array" ref="G40">SUMPRODUCT(('CSV FF'!$E$3:$E$870&lt;=G$4)*('CSV FF'!$E$3:$E$870&gt;F$4)*('CSV FF'!$A$3:$A$870="Posts")*('CSV FF'!$B$3:$B$870="Timber 120"))</f>
        <v>0</v>
      </c>
      <c r="H40" s="842" cm="1">
        <f t="array" ref="H40">SUMPRODUCT(('CSV FF'!$E$3:$E$870&lt;=H$4)*('CSV FF'!$E$3:$E$870&gt;G$4)*('CSV FF'!$A$3:$A$870="Posts")*('CSV FF'!$B$3:$B$870="Timber 120"))</f>
        <v>0</v>
      </c>
      <c r="I40" s="842" cm="1">
        <f t="array" ref="I40">SUMPRODUCT(('CSV FF'!$E$3:$E$870&lt;=I$4)*('CSV FF'!$E$3:$E$870&gt;H$4)*('CSV FF'!$A$3:$A$870="Posts")*('CSV FF'!$B$3:$B$870="Timber 120"))</f>
        <v>0</v>
      </c>
      <c r="J40" s="842" cm="1">
        <f t="array" ref="J40">SUMPRODUCT(('CSV FF'!$E$3:$E$870&lt;=J$4)*('CSV FF'!$E$3:$E$870&gt;I$4)*('CSV FF'!$A$3:$A$870="Posts")*('CSV FF'!$B$3:$B$870="Timber 120"))</f>
        <v>0</v>
      </c>
      <c r="K40" s="842" cm="1">
        <f t="array" ref="K40">SUMPRODUCT(('CSV FF'!$E$3:$E$870&lt;=K$4)*('CSV FF'!$E$3:$E$870&gt;J$4)*('CSV FF'!$A$3:$A$870="Posts")*('CSV FF'!$B$3:$B$870="Timber 120"))</f>
        <v>0</v>
      </c>
      <c r="L40" s="842" cm="1">
        <f t="array" ref="L40">SUMPRODUCT(('CSV FF'!$E$3:$E$870&lt;=L$4)*('CSV FF'!$E$3:$E$870&gt;K$4)*('CSV FF'!$A$3:$A$870="Posts")*('CSV FF'!$B$3:$B$870="Timber 120"))</f>
        <v>0</v>
      </c>
      <c r="M40" s="842" cm="1">
        <f t="array" ref="M40">SUMPRODUCT(('CSV FF'!$E$3:$E$870&lt;=M$4)*('CSV FF'!$E$3:$E$870&gt;L$4)*('CSV FF'!$A$3:$A$870="Posts")*('CSV FF'!$B$3:$B$870="Timber 120"))</f>
        <v>0</v>
      </c>
      <c r="N40" s="842" cm="1">
        <f t="array" ref="N40">SUMPRODUCT(('CSV FF'!$E$3:$E$870&lt;=N$4)*('CSV FF'!$E$3:$E$870&gt;M$4)*('CSV FF'!$A$3:$A$870="Posts")*('CSV FF'!$B$3:$B$870="Timber 120"))</f>
        <v>0</v>
      </c>
      <c r="O40" s="842" cm="1">
        <f t="array" ref="O40">SUMPRODUCT(('CSV FF'!$E$3:$E$870&lt;=O$4)*('CSV FF'!$E$3:$E$870&gt;N$4)*('CSV FF'!$A$3:$A$870="Posts")*('CSV FF'!$B$3:$B$870="Timber 120"))</f>
        <v>0</v>
      </c>
      <c r="P40" s="842" cm="1">
        <f t="array" ref="P40">SUMPRODUCT(('CSV FF'!$E$3:$E$870&lt;=P$4)*('CSV FF'!$E$3:$E$870&gt;O$4)*('CSV FF'!$A$3:$A$870="Posts")*('CSV FF'!$B$3:$B$870="Timber 120"))</f>
        <v>0</v>
      </c>
      <c r="Q40" s="842" cm="1">
        <f t="array" ref="Q40">SUMPRODUCT(('CSV FF'!$E$3:$E$870&lt;=Q$4)*('CSV FF'!$E$3:$E$870&gt;P$4)*('CSV FF'!$A$3:$A$870="Posts")*('CSV FF'!$B$3:$B$870="Timber 120"))</f>
        <v>0</v>
      </c>
      <c r="R40" s="842" cm="1">
        <f t="array" ref="R40">SUMPRODUCT(('CSV FF'!$E$3:$E$870&lt;=R$4)*('CSV FF'!$E$3:$E$870&gt;Q$4)*('CSV FF'!$A$3:$A$870="Posts")*('CSV FF'!$B$3:$B$870="Timber 120"))</f>
        <v>0</v>
      </c>
      <c r="S40" s="842" cm="1">
        <f t="array" ref="S40">SUMPRODUCT(('CSV FF'!$E$3:$E$870&lt;=S$4)*('CSV FF'!$E$3:$E$870&gt;R$4)*('CSV FF'!$A$3:$A$870="Posts")*('CSV FF'!$B$3:$B$870="Timber 120"))</f>
        <v>0</v>
      </c>
      <c r="T40" s="842" cm="1">
        <f t="array" ref="T40">SUMPRODUCT(('CSV FF'!$E$3:$E$870&lt;=T$4)*('CSV FF'!$E$3:$E$870&gt;S$4)*('CSV FF'!$A$3:$A$870="Posts")*('CSV FF'!$B$3:$B$870="Timber 120"))</f>
        <v>0</v>
      </c>
      <c r="U40" s="842" cm="1">
        <f t="array" ref="U40">SUMPRODUCT(('CSV FF'!$E$3:$E$870&lt;=U$4)*('CSV FF'!$E$3:$E$870&gt;T$4)*('CSV FF'!$A$3:$A$870="Posts")*('CSV FF'!$B$3:$B$870="Timber 120"))</f>
        <v>0</v>
      </c>
      <c r="V40" s="842" cm="1">
        <f t="array" ref="V40">SUMPRODUCT(('CSV FF'!$E$3:$E$870&lt;=V$4)*('CSV FF'!$E$3:$E$870&gt;U$4)*('CSV FF'!$A$3:$A$870="Posts")*('CSV FF'!$B$3:$B$870="Timber 120"))</f>
        <v>0</v>
      </c>
      <c r="W40" s="842" cm="1">
        <f t="array" ref="W40">SUMPRODUCT(('CSV FF'!$E$3:$E$870&lt;=W$4)*('CSV FF'!$E$3:$E$870&gt;V$4)*('CSV FF'!$A$3:$A$870="Posts")*('CSV FF'!$B$3:$B$870="Timber 120"))</f>
        <v>0</v>
      </c>
      <c r="X40" s="842" cm="1">
        <f t="array" ref="X40">SUMPRODUCT(('CSV FF'!$E$3:$E$870&lt;=X$4)*('CSV FF'!$E$3:$E$870&gt;W$4)*('CSV FF'!$A$3:$A$870="Posts")*('CSV FF'!$B$3:$B$870="Timber 120"))</f>
        <v>0</v>
      </c>
      <c r="Y40" s="842" cm="1">
        <f t="array" ref="Y40">SUMPRODUCT(('CSV FF'!$E$3:$E$870&lt;=Y$4)*('CSV FF'!$E$3:$E$870&gt;X$4)*('CSV FF'!$A$3:$A$870="Posts")*('CSV FF'!$B$3:$B$870="Timber 120"))</f>
        <v>0</v>
      </c>
      <c r="Z40" s="842" cm="1">
        <f t="array" ref="Z40">SUMPRODUCT(('CSV FF'!$E$3:$E$870&lt;=Z$4)*('CSV FF'!$E$3:$E$870&gt;Y$4)*('CSV FF'!$A$3:$A$870="Posts")*('CSV FF'!$B$3:$B$870="Timber 120"))</f>
        <v>0</v>
      </c>
      <c r="AA40" s="842" cm="1">
        <f t="array" ref="AA40">SUMPRODUCT(('CSV FF'!$E$3:$E$870&lt;=AA$4)*('CSV FF'!$E$3:$E$870&gt;Z$4)*('CSV FF'!$A$3:$A$870="Posts")*('CSV FF'!$B$3:$B$870="Timber 120"))</f>
        <v>0</v>
      </c>
      <c r="AB40" s="842" cm="1">
        <f t="array" ref="AB40">SUMPRODUCT(('CSV FF'!$E$3:$E$870&lt;=AB$4)*('CSV FF'!$E$3:$E$870&gt;AA$4)*('CSV FF'!$A$3:$A$870="Posts")*('CSV FF'!$B$3:$B$870="Timber 120"))</f>
        <v>0</v>
      </c>
      <c r="AC40" s="842" cm="1">
        <f t="array" ref="AC40">SUMPRODUCT(('CSV FF'!$E$3:$E$870&lt;=AC$4)*('CSV FF'!$E$3:$E$870&gt;AB$4)*('CSV FF'!$A$3:$A$870="Posts")*('CSV FF'!$B$3:$B$870="Timber 120"))</f>
        <v>0</v>
      </c>
      <c r="AD40" s="842" cm="1">
        <f t="array" ref="AD40">SUMPRODUCT(('CSV FF'!$E$3:$E$870&lt;=AD$4)*('CSV FF'!$E$3:$E$870&gt;AC$4)*('CSV FF'!$A$3:$A$870="Posts")*('CSV FF'!$B$3:$B$870="Timber 120"))</f>
        <v>0</v>
      </c>
      <c r="AE40" s="842" cm="1">
        <f t="array" ref="AE40">SUMPRODUCT(('CSV FF'!$E$3:$E$870&lt;=AE$4)*('CSV FF'!$E$3:$E$870&gt;AD$4)*('CSV FF'!$A$3:$A$870="Posts")*('CSV FF'!$B$3:$B$870="Timber 120"))</f>
        <v>0</v>
      </c>
      <c r="AF40" s="842" cm="1">
        <f t="array" ref="AF40">SUMPRODUCT(('CSV FF'!$E$3:$E$870&lt;=AF$4)*('CSV FF'!$E$3:$E$870&gt;AE$4)*('CSV FF'!$A$3:$A$870="Posts")*('CSV FF'!$B$3:$B$870="Timber 120"))</f>
        <v>0</v>
      </c>
      <c r="AG40" s="842" cm="1">
        <f t="array" ref="AG40">SUMPRODUCT(('CSV FF'!$E$3:$E$870&lt;=AG$4)*('CSV FF'!$E$3:$E$870&gt;AF$4)*('CSV FF'!$A$3:$A$870="Posts")*('CSV FF'!$B$3:$B$870="Timber 120"))</f>
        <v>0</v>
      </c>
      <c r="AH40" s="842" cm="1">
        <f t="array" ref="AH40">SUMPRODUCT(('CSV FF'!$E$3:$E$870&lt;=AH$4)*('CSV FF'!$E$3:$E$870&gt;AG$4)*('CSV FF'!$A$3:$A$870="Posts")*('CSV FF'!$B$3:$B$870="Timber 120"))</f>
        <v>0</v>
      </c>
      <c r="AI40" s="842" cm="1">
        <f t="array" ref="AI40">SUMPRODUCT(('CSV FF'!$E$3:$E$870&lt;=AI$4)*('CSV FF'!$E$3:$E$870&gt;AH$4)*('CSV FF'!$A$3:$A$870="Posts")*('CSV FF'!$B$3:$B$870="Timber 120"))</f>
        <v>0</v>
      </c>
      <c r="AJ40" s="842" cm="1">
        <f t="array" ref="AJ40">SUMPRODUCT(('CSV FF'!$E$3:$E$870&lt;=AJ$4)*('CSV FF'!$E$3:$E$870&gt;AI$4)*('CSV FF'!$A$3:$A$870="Posts")*('CSV FF'!$B$3:$B$870="Timber 120"))</f>
        <v>0</v>
      </c>
      <c r="AK40" s="842" cm="1">
        <f t="array" ref="AK40">SUMPRODUCT(('CSV FF'!$E$3:$E$870&lt;=AK$4)*('CSV FF'!$E$3:$E$870&gt;AJ$4)*('CSV FF'!$A$3:$A$870="Posts")*('CSV FF'!$B$3:$B$870="Timber 120"))</f>
        <v>0</v>
      </c>
      <c r="AL40" s="842" cm="1">
        <f t="array" ref="AL40">SUMPRODUCT(('CSV FF'!$E$3:$E$870&lt;=AL$4)*('CSV FF'!$E$3:$E$870&gt;AK$4)*('CSV FF'!$A$3:$A$870="Posts")*('CSV FF'!$B$3:$B$870="Timber 120"))</f>
        <v>0</v>
      </c>
      <c r="AM40" s="842" cm="1">
        <f t="array" ref="AM40">SUMPRODUCT(('CSV FF'!$E$3:$E$870&lt;=AM$4)*('CSV FF'!$E$3:$E$870&gt;AL$4)*('CSV FF'!$A$3:$A$870="Posts")*('CSV FF'!$B$3:$B$870="Timber 120"))</f>
        <v>0</v>
      </c>
      <c r="AN40" s="842" cm="1">
        <f t="array" ref="AN40">SUMPRODUCT(('CSV FF'!$E$3:$E$870&lt;=AN$4)*('CSV FF'!$E$3:$E$870&gt;AM$4)*('CSV FF'!$A$3:$A$870="Posts")*('CSV FF'!$B$3:$B$870="Timber 120"))</f>
        <v>0</v>
      </c>
      <c r="AO40" s="842" cm="1">
        <f t="array" ref="AO40">SUMPRODUCT(('CSV FF'!$E$3:$E$870&lt;=AO$4)*('CSV FF'!$E$3:$E$870&gt;AN$4)*('CSV FF'!$A$3:$A$870="Posts")*('CSV FF'!$B$3:$B$870="Timber 120"))</f>
        <v>0</v>
      </c>
      <c r="AP40" s="844"/>
      <c r="AQ40" s="323"/>
      <c r="AR40" s="24"/>
      <c r="AS40" s="217"/>
    </row>
    <row r="41" spans="1:45" ht="12.75" customHeight="1" x14ac:dyDescent="0.2">
      <c r="A41" s="840" t="s">
        <v>369</v>
      </c>
      <c r="B41" s="1000" t="s">
        <v>370</v>
      </c>
      <c r="C41" s="842" cm="1">
        <f t="array" ref="C41">SUMPRODUCT(('CSV FF'!$E$1:$E$904=$B$41)*('CSV FF'!$C$1:$C$904=C$4))</f>
        <v>0</v>
      </c>
      <c r="D41" s="842" cm="1">
        <f t="array" ref="D41">SUMPRODUCT(('CSV FF'!$E$1:$E$904=$B$41)*('CSV FF'!$C$1:$C$904=D$4))</f>
        <v>0</v>
      </c>
      <c r="E41" s="842" cm="1">
        <f t="array" ref="E41">SUMPRODUCT(('CSV FF'!$E$1:$E$904=$B$41)*('CSV FF'!$C$1:$C$904=E$4))</f>
        <v>0</v>
      </c>
      <c r="F41" s="842" cm="1">
        <f t="array" ref="F41">SUMPRODUCT(('CSV FF'!$E$1:$E$904=$B$41)*('CSV FF'!$C$1:$C$904=F$4))</f>
        <v>0</v>
      </c>
      <c r="G41" s="842" cm="1">
        <f t="array" ref="G41">SUMPRODUCT(('CSV FF'!$E$1:$E$904=$B$41)*('CSV FF'!$C$1:$C$904=G$4))</f>
        <v>0</v>
      </c>
      <c r="H41" s="842" cm="1">
        <f t="array" ref="H41">SUMPRODUCT(('CSV FF'!$E$1:$E$904=$B$41)*('CSV FF'!$C$1:$C$904=H$4))</f>
        <v>0</v>
      </c>
      <c r="I41" s="842" cm="1">
        <f t="array" ref="I41">SUMPRODUCT(('CSV FF'!$E$1:$E$904=$B$41)*('CSV FF'!$C$1:$C$904=I$4))</f>
        <v>0</v>
      </c>
      <c r="J41" s="842" cm="1">
        <f t="array" ref="J41">SUMPRODUCT(('CSV FF'!$E$1:$E$904=$B$41)*('CSV FF'!$C$1:$C$904=J$4))</f>
        <v>0</v>
      </c>
      <c r="K41" s="842" cm="1">
        <f t="array" ref="K41">SUMPRODUCT(('CSV FF'!$E$1:$E$904=$B$41)*('CSV FF'!$C$1:$C$904=K$4))</f>
        <v>0</v>
      </c>
      <c r="L41" s="842" cm="1">
        <f t="array" ref="L41">SUMPRODUCT(('CSV FF'!$E$1:$E$904=$B$41)*('CSV FF'!$C$1:$C$904=L$4))</f>
        <v>0</v>
      </c>
      <c r="M41" s="842" cm="1">
        <f t="array" ref="M41">SUMPRODUCT(('CSV FF'!$E$1:$E$904=$B$41)*('CSV FF'!$C$1:$C$904=M$4))</f>
        <v>0</v>
      </c>
      <c r="N41" s="842" cm="1">
        <f t="array" ref="N41">SUMPRODUCT(('CSV FF'!$E$1:$E$904=$B$41)*('CSV FF'!$C$1:$C$904=N$4))</f>
        <v>0</v>
      </c>
      <c r="O41" s="842" cm="1">
        <f t="array" ref="O41">SUMPRODUCT(('CSV FF'!$E$1:$E$904=$B$41)*('CSV FF'!$C$1:$C$904=O$4))</f>
        <v>0</v>
      </c>
      <c r="P41" s="842" cm="1">
        <f t="array" ref="P41">SUMPRODUCT(('CSV FF'!$E$1:$E$904=$B$41)*('CSV FF'!$C$1:$C$904=P$4))</f>
        <v>0</v>
      </c>
      <c r="Q41" s="842" cm="1">
        <f t="array" ref="Q41">SUMPRODUCT(('CSV FF'!$E$1:$E$904=$B$41)*('CSV FF'!$C$1:$C$904=Q$4))</f>
        <v>0</v>
      </c>
      <c r="R41" s="842" cm="1">
        <f t="array" ref="R41">SUMPRODUCT(('CSV FF'!$E$1:$E$904=$B$41)*('CSV FF'!$C$1:$C$904=R$4))</f>
        <v>0</v>
      </c>
      <c r="S41" s="842" cm="1">
        <f t="array" ref="S41">SUMPRODUCT(('CSV FF'!$E$1:$E$904=$B$41)*('CSV FF'!$C$1:$C$904=S$4))</f>
        <v>0</v>
      </c>
      <c r="T41" s="842" cm="1">
        <f t="array" ref="T41">SUMPRODUCT(('CSV FF'!$E$1:$E$904=$B$41)*('CSV FF'!$C$1:$C$904=T$4))</f>
        <v>0</v>
      </c>
      <c r="U41" s="842" cm="1">
        <f t="array" ref="U41">SUMPRODUCT(('CSV FF'!$E$1:$E$904=$B$41)*('CSV FF'!$C$1:$C$904=U$4))</f>
        <v>0</v>
      </c>
      <c r="V41" s="842" cm="1">
        <f t="array" ref="V41">SUMPRODUCT(('CSV FF'!$E$1:$E$904=$B$41)*('CSV FF'!$C$1:$C$904=V$4))</f>
        <v>0</v>
      </c>
      <c r="W41" s="842" cm="1">
        <f t="array" ref="W41">SUMPRODUCT(('CSV FF'!$E$1:$E$904=$B$41)*('CSV FF'!$C$1:$C$904=W$4))</f>
        <v>0</v>
      </c>
      <c r="X41" s="842" cm="1">
        <f t="array" ref="X41">SUMPRODUCT(('CSV FF'!$E$1:$E$904=$B$41)*('CSV FF'!$C$1:$C$904=X$4))</f>
        <v>0</v>
      </c>
      <c r="Y41" s="842" cm="1">
        <f t="array" ref="Y41">SUMPRODUCT(('CSV FF'!$E$1:$E$904=$B$41)*('CSV FF'!$C$1:$C$904=Y$4))</f>
        <v>0</v>
      </c>
      <c r="Z41" s="842" cm="1">
        <f t="array" ref="Z41">SUMPRODUCT(('CSV FF'!$E$1:$E$904=$B$41)*('CSV FF'!$C$1:$C$904=Z$4))</f>
        <v>0</v>
      </c>
      <c r="AA41" s="842" cm="1">
        <f t="array" ref="AA41">SUMPRODUCT(('CSV FF'!$E$1:$E$904=$B$41)*('CSV FF'!$C$1:$C$904=AA$4))</f>
        <v>0</v>
      </c>
      <c r="AB41" s="842" cm="1">
        <f t="array" ref="AB41">SUMPRODUCT(('CSV FF'!$E$1:$E$904=$B$41)*('CSV FF'!$C$1:$C$904=AB$4))</f>
        <v>0</v>
      </c>
      <c r="AC41" s="842" cm="1">
        <f t="array" ref="AC41">SUMPRODUCT(('CSV FF'!$E$1:$E$904=$B$41)*('CSV FF'!$C$1:$C$904=AC$4))</f>
        <v>0</v>
      </c>
      <c r="AD41" s="842" cm="1">
        <f t="array" ref="AD41">SUMPRODUCT(('CSV FF'!$E$1:$E$904=$B$41)*('CSV FF'!$C$1:$C$904=AD$4))</f>
        <v>0</v>
      </c>
      <c r="AE41" s="842" cm="1">
        <f t="array" ref="AE41">SUMPRODUCT(('CSV FF'!$E$1:$E$904=$B$41)*('CSV FF'!$C$1:$C$904=AE$4))</f>
        <v>0</v>
      </c>
      <c r="AF41" s="842" cm="1">
        <f t="array" ref="AF41">SUMPRODUCT(('CSV FF'!$E$1:$E$904=$B$41)*('CSV FF'!$C$1:$C$904=AF$4))</f>
        <v>0</v>
      </c>
      <c r="AG41" s="842" cm="1">
        <f t="array" ref="AG41">SUMPRODUCT(('CSV FF'!$E$1:$E$904=$B$41)*('CSV FF'!$C$1:$C$904=AG$4))</f>
        <v>0</v>
      </c>
      <c r="AH41" s="842" cm="1">
        <f t="array" ref="AH41">SUMPRODUCT(('CSV FF'!$E$1:$E$904=$B$41)*('CSV FF'!$C$1:$C$904=AH$4))</f>
        <v>0</v>
      </c>
      <c r="AI41" s="842" cm="1">
        <f t="array" ref="AI41">SUMPRODUCT(('CSV FF'!$E$1:$E$904=$B$41)*('CSV FF'!$C$1:$C$904=AI$4))</f>
        <v>0</v>
      </c>
      <c r="AJ41" s="842" cm="1">
        <f t="array" ref="AJ41">SUMPRODUCT(('CSV FF'!$E$1:$E$904=$B$41)*('CSV FF'!$C$1:$C$904=AJ$4))</f>
        <v>0</v>
      </c>
      <c r="AK41" s="842" cm="1">
        <f t="array" ref="AK41">SUMPRODUCT(('CSV FF'!$E$1:$E$904=$B$41)*('CSV FF'!$C$1:$C$904=AK$4))</f>
        <v>0</v>
      </c>
      <c r="AL41" s="842" cm="1">
        <f t="array" ref="AL41">SUMPRODUCT(('CSV FF'!$E$1:$E$904=$B$41)*('CSV FF'!$C$1:$C$904=AL$4))</f>
        <v>0</v>
      </c>
      <c r="AM41" s="842" cm="1">
        <f t="array" ref="AM41">SUMPRODUCT(('CSV FF'!$E$1:$E$904=$B$41)*('CSV FF'!$C$1:$C$904=AM$4))</f>
        <v>0</v>
      </c>
      <c r="AN41" s="842" cm="1">
        <f t="array" ref="AN41">SUMPRODUCT(('CSV FF'!$E$1:$E$904=$B$41)*('CSV FF'!$C$1:$C$904=AN$4))</f>
        <v>0</v>
      </c>
      <c r="AO41" s="842" cm="1">
        <f t="array" ref="AO41">SUMPRODUCT(('CSV FF'!$E$1:$E$904=$B$41)*('CSV FF'!$C$1:$C$904=AO$4))</f>
        <v>0</v>
      </c>
      <c r="AP41" s="844">
        <f>SUMPRODUCT($C$4:$AO$4,C41:AO41)</f>
        <v>0</v>
      </c>
      <c r="AQ41" s="323"/>
      <c r="AR41" s="24"/>
      <c r="AS41" s="217"/>
    </row>
    <row r="42" spans="1:45" ht="12.75" customHeight="1" x14ac:dyDescent="0.2">
      <c r="A42" s="840" t="s">
        <v>369</v>
      </c>
      <c r="B42" s="1000" t="s">
        <v>371</v>
      </c>
      <c r="C42" s="842" cm="1">
        <f t="array" ref="C42">SUMPRODUCT(('CSV FF'!$E$1:$E$904=$B$42)*('CSV FF'!$C$1:$C$904=C$4))</f>
        <v>0</v>
      </c>
      <c r="D42" s="842" cm="1">
        <f t="array" ref="D42">SUMPRODUCT(('CSV FF'!$E$1:$E$904=$B$42)*('CSV FF'!$C$1:$C$904=D$4))</f>
        <v>0</v>
      </c>
      <c r="E42" s="842" cm="1">
        <f t="array" ref="E42">SUMPRODUCT(('CSV FF'!$E$1:$E$904=$B$42)*('CSV FF'!$C$1:$C$904=E$4))</f>
        <v>0</v>
      </c>
      <c r="F42" s="842" cm="1">
        <f t="array" ref="F42">SUMPRODUCT(('CSV FF'!$E$1:$E$904=$B$42)*('CSV FF'!$C$1:$C$904=F$4))</f>
        <v>0</v>
      </c>
      <c r="G42" s="842" cm="1">
        <f t="array" ref="G42">SUMPRODUCT(('CSV FF'!$E$1:$E$904=$B$42)*('CSV FF'!$C$1:$C$904=G$4))</f>
        <v>0</v>
      </c>
      <c r="H42" s="842" cm="1">
        <f t="array" ref="H42">SUMPRODUCT(('CSV FF'!$E$1:$E$904=$B$42)*('CSV FF'!$C$1:$C$904=H$4))</f>
        <v>0</v>
      </c>
      <c r="I42" s="842" cm="1">
        <f t="array" ref="I42">SUMPRODUCT(('CSV FF'!$E$1:$E$904=$B$42)*('CSV FF'!$C$1:$C$904=I$4))</f>
        <v>0</v>
      </c>
      <c r="J42" s="842" cm="1">
        <f t="array" ref="J42">SUMPRODUCT(('CSV FF'!$E$1:$E$904=$B$42)*('CSV FF'!$C$1:$C$904=J$4))</f>
        <v>0</v>
      </c>
      <c r="K42" s="842" cm="1">
        <f t="array" ref="K42">SUMPRODUCT(('CSV FF'!$E$1:$E$904=$B$42)*('CSV FF'!$C$1:$C$904=K$4))</f>
        <v>0</v>
      </c>
      <c r="L42" s="842" cm="1">
        <f t="array" ref="L42">SUMPRODUCT(('CSV FF'!$E$1:$E$904=$B$42)*('CSV FF'!$C$1:$C$904=L$4))</f>
        <v>0</v>
      </c>
      <c r="M42" s="842" cm="1">
        <f t="array" ref="M42">SUMPRODUCT(('CSV FF'!$E$1:$E$904=$B$42)*('CSV FF'!$C$1:$C$904=M$4))</f>
        <v>0</v>
      </c>
      <c r="N42" s="842" cm="1">
        <f t="array" ref="N42">SUMPRODUCT(('CSV FF'!$E$1:$E$904=$B$42)*('CSV FF'!$C$1:$C$904=N$4))</f>
        <v>0</v>
      </c>
      <c r="O42" s="842" cm="1">
        <f t="array" ref="O42">SUMPRODUCT(('CSV FF'!$E$1:$E$904=$B$42)*('CSV FF'!$C$1:$C$904=O$4))</f>
        <v>0</v>
      </c>
      <c r="P42" s="842" cm="1">
        <f t="array" ref="P42">SUMPRODUCT(('CSV FF'!$E$1:$E$904=$B$42)*('CSV FF'!$C$1:$C$904=P$4))</f>
        <v>0</v>
      </c>
      <c r="Q42" s="842" cm="1">
        <f t="array" ref="Q42">SUMPRODUCT(('CSV FF'!$E$1:$E$904=$B$42)*('CSV FF'!$C$1:$C$904=Q$4))</f>
        <v>0</v>
      </c>
      <c r="R42" s="842" cm="1">
        <f t="array" ref="R42">SUMPRODUCT(('CSV FF'!$E$1:$E$904=$B$42)*('CSV FF'!$C$1:$C$904=R$4))</f>
        <v>0</v>
      </c>
      <c r="S42" s="842" cm="1">
        <f t="array" ref="S42">SUMPRODUCT(('CSV FF'!$E$1:$E$904=$B$42)*('CSV FF'!$C$1:$C$904=S$4))</f>
        <v>0</v>
      </c>
      <c r="T42" s="842" cm="1">
        <f t="array" ref="T42">SUMPRODUCT(('CSV FF'!$E$1:$E$904=$B$42)*('CSV FF'!$C$1:$C$904=T$4))</f>
        <v>0</v>
      </c>
      <c r="U42" s="842" cm="1">
        <f t="array" ref="U42">SUMPRODUCT(('CSV FF'!$E$1:$E$904=$B$42)*('CSV FF'!$C$1:$C$904=U$4))</f>
        <v>0</v>
      </c>
      <c r="V42" s="842" cm="1">
        <f t="array" ref="V42">SUMPRODUCT(('CSV FF'!$E$1:$E$904=$B$42)*('CSV FF'!$C$1:$C$904=V$4))</f>
        <v>0</v>
      </c>
      <c r="W42" s="842" cm="1">
        <f t="array" ref="W42">SUMPRODUCT(('CSV FF'!$E$1:$E$904=$B$42)*('CSV FF'!$C$1:$C$904=W$4))</f>
        <v>0</v>
      </c>
      <c r="X42" s="842" cm="1">
        <f t="array" ref="X42">SUMPRODUCT(('CSV FF'!$E$1:$E$904=$B$42)*('CSV FF'!$C$1:$C$904=X$4))</f>
        <v>0</v>
      </c>
      <c r="Y42" s="842" cm="1">
        <f t="array" ref="Y42">SUMPRODUCT(('CSV FF'!$E$1:$E$904=$B$42)*('CSV FF'!$C$1:$C$904=Y$4))</f>
        <v>0</v>
      </c>
      <c r="Z42" s="842" cm="1">
        <f t="array" ref="Z42">SUMPRODUCT(('CSV FF'!$E$1:$E$904=$B$42)*('CSV FF'!$C$1:$C$904=Z$4))</f>
        <v>0</v>
      </c>
      <c r="AA42" s="842" cm="1">
        <f t="array" ref="AA42">SUMPRODUCT(('CSV FF'!$E$1:$E$904=$B$42)*('CSV FF'!$C$1:$C$904=AA$4))</f>
        <v>0</v>
      </c>
      <c r="AB42" s="842" cm="1">
        <f t="array" ref="AB42">SUMPRODUCT(('CSV FF'!$E$1:$E$904=$B$42)*('CSV FF'!$C$1:$C$904=AB$4))</f>
        <v>0</v>
      </c>
      <c r="AC42" s="842" cm="1">
        <f t="array" ref="AC42">SUMPRODUCT(('CSV FF'!$E$1:$E$904=$B$42)*('CSV FF'!$C$1:$C$904=AC$4))</f>
        <v>0</v>
      </c>
      <c r="AD42" s="842" cm="1">
        <f t="array" ref="AD42">SUMPRODUCT(('CSV FF'!$E$1:$E$904=$B$42)*('CSV FF'!$C$1:$C$904=AD$4))</f>
        <v>0</v>
      </c>
      <c r="AE42" s="842" cm="1">
        <f t="array" ref="AE42">SUMPRODUCT(('CSV FF'!$E$1:$E$904=$B$42)*('CSV FF'!$C$1:$C$904=AE$4))</f>
        <v>0</v>
      </c>
      <c r="AF42" s="842" cm="1">
        <f t="array" ref="AF42">SUMPRODUCT(('CSV FF'!$E$1:$E$904=$B$42)*('CSV FF'!$C$1:$C$904=AF$4))</f>
        <v>0</v>
      </c>
      <c r="AG42" s="842" cm="1">
        <f t="array" ref="AG42">SUMPRODUCT(('CSV FF'!$E$1:$E$904=$B$42)*('CSV FF'!$C$1:$C$904=AG$4))</f>
        <v>0</v>
      </c>
      <c r="AH42" s="842" cm="1">
        <f t="array" ref="AH42">SUMPRODUCT(('CSV FF'!$E$1:$E$904=$B$42)*('CSV FF'!$C$1:$C$904=AH$4))</f>
        <v>0</v>
      </c>
      <c r="AI42" s="842" cm="1">
        <f t="array" ref="AI42">SUMPRODUCT(('CSV FF'!$E$1:$E$904=$B$42)*('CSV FF'!$C$1:$C$904=AI$4))</f>
        <v>0</v>
      </c>
      <c r="AJ42" s="842" cm="1">
        <f t="array" ref="AJ42">SUMPRODUCT(('CSV FF'!$E$1:$E$904=$B$42)*('CSV FF'!$C$1:$C$904=AJ$4))</f>
        <v>0</v>
      </c>
      <c r="AK42" s="842" cm="1">
        <f t="array" ref="AK42">SUMPRODUCT(('CSV FF'!$E$1:$E$904=$B$42)*('CSV FF'!$C$1:$C$904=AK$4))</f>
        <v>0</v>
      </c>
      <c r="AL42" s="842" cm="1">
        <f t="array" ref="AL42">SUMPRODUCT(('CSV FF'!$E$1:$E$904=$B$42)*('CSV FF'!$C$1:$C$904=AL$4))</f>
        <v>0</v>
      </c>
      <c r="AM42" s="842" cm="1">
        <f t="array" ref="AM42">SUMPRODUCT(('CSV FF'!$E$1:$E$904=$B$42)*('CSV FF'!$C$1:$C$904=AM$4))</f>
        <v>0</v>
      </c>
      <c r="AN42" s="842" cm="1">
        <f t="array" ref="AN42">SUMPRODUCT(('CSV FF'!$E$1:$E$904=$B$42)*('CSV FF'!$C$1:$C$904=AN$4))</f>
        <v>0</v>
      </c>
      <c r="AO42" s="842" cm="1">
        <f t="array" ref="AO42">SUMPRODUCT(('CSV FF'!$E$1:$E$904=$B$42)*('CSV FF'!$C$1:$C$904=AO$4))</f>
        <v>0</v>
      </c>
      <c r="AP42" s="844">
        <f>SUMPRODUCT($C$4:$AO$4,C42:AO42)</f>
        <v>0</v>
      </c>
      <c r="AQ42" s="323"/>
      <c r="AR42" s="24"/>
      <c r="AS42" s="823"/>
    </row>
    <row r="43" spans="1:45" ht="12.75" customHeight="1" x14ac:dyDescent="0.2">
      <c r="A43" s="840" t="s">
        <v>1614</v>
      </c>
      <c r="B43" s="1000" t="s">
        <v>331</v>
      </c>
      <c r="C43" s="842" cm="1">
        <f t="array" ref="C43">SUMPRODUCT(('CSV FF'!$E$1:$E$904=$B$43)*('CSV FF'!$C$1:$C$904=C$4))</f>
        <v>0</v>
      </c>
      <c r="D43" s="842" cm="1">
        <f t="array" ref="D43">SUMPRODUCT(('CSV FF'!$E$1:$E$904=$B$43)*('CSV FF'!$C$1:$C$904=D$4))</f>
        <v>0</v>
      </c>
      <c r="E43" s="842" cm="1">
        <f t="array" ref="E43">SUMPRODUCT(('CSV FF'!$E$1:$E$904=$B$43)*('CSV FF'!$C$1:$C$904=E$4))</f>
        <v>0</v>
      </c>
      <c r="F43" s="842" cm="1">
        <f t="array" ref="F43">SUMPRODUCT(('CSV FF'!$E$1:$E$904=$B$43)*('CSV FF'!$C$1:$C$904=F$4))</f>
        <v>0</v>
      </c>
      <c r="G43" s="842" cm="1">
        <f t="array" ref="G43">SUMPRODUCT(('CSV FF'!$E$1:$E$904=$B$43)*('CSV FF'!$C$1:$C$904=G$4))</f>
        <v>0</v>
      </c>
      <c r="H43" s="842" cm="1">
        <f t="array" ref="H43">SUMPRODUCT(('CSV FF'!$E$1:$E$904=$B$43)*('CSV FF'!$C$1:$C$904=H$4))</f>
        <v>0</v>
      </c>
      <c r="I43" s="842" cm="1">
        <f t="array" ref="I43">SUMPRODUCT(('CSV FF'!$E$1:$E$904=$B$43)*('CSV FF'!$C$1:$C$904=I$4))</f>
        <v>0</v>
      </c>
      <c r="J43" s="842" cm="1">
        <f t="array" ref="J43">SUMPRODUCT(('CSV FF'!$E$1:$E$904=$B$43)*('CSV FF'!$C$1:$C$904=J$4))</f>
        <v>0</v>
      </c>
      <c r="K43" s="842" cm="1">
        <f t="array" ref="K43">SUMPRODUCT(('CSV FF'!$E$1:$E$904=$B$43)*('CSV FF'!$C$1:$C$904=K$4))</f>
        <v>0</v>
      </c>
      <c r="L43" s="842" cm="1">
        <f t="array" ref="L43">SUMPRODUCT(('CSV FF'!$E$1:$E$904=$B$43)*('CSV FF'!$C$1:$C$904=L$4))</f>
        <v>0</v>
      </c>
      <c r="M43" s="842" cm="1">
        <f t="array" ref="M43">SUMPRODUCT(('CSV FF'!$E$1:$E$904=$B$43)*('CSV FF'!$C$1:$C$904=M$4))</f>
        <v>0</v>
      </c>
      <c r="N43" s="842" cm="1">
        <f t="array" ref="N43">SUMPRODUCT(('CSV FF'!$E$1:$E$904=$B$43)*('CSV FF'!$C$1:$C$904=N$4))</f>
        <v>0</v>
      </c>
      <c r="O43" s="842" cm="1">
        <f t="array" ref="O43">SUMPRODUCT(('CSV FF'!$E$1:$E$904=$B$43)*('CSV FF'!$C$1:$C$904=O$4))</f>
        <v>0</v>
      </c>
      <c r="P43" s="842" cm="1">
        <f t="array" ref="P43">SUMPRODUCT(('CSV FF'!$E$1:$E$904=$B$43)*('CSV FF'!$C$1:$C$904=P$4))</f>
        <v>0</v>
      </c>
      <c r="Q43" s="842" cm="1">
        <f t="array" ref="Q43">SUMPRODUCT(('CSV FF'!$E$1:$E$904=$B$43)*('CSV FF'!$C$1:$C$904=Q$4))</f>
        <v>0</v>
      </c>
      <c r="R43" s="842" cm="1">
        <f t="array" ref="R43">SUMPRODUCT(('CSV FF'!$E$1:$E$904=$B$43)*('CSV FF'!$C$1:$C$904=R$4))</f>
        <v>0</v>
      </c>
      <c r="S43" s="842" cm="1">
        <f t="array" ref="S43">SUMPRODUCT(('CSV FF'!$E$1:$E$904=$B$43)*('CSV FF'!$C$1:$C$904=S$4))</f>
        <v>0</v>
      </c>
      <c r="T43" s="842" cm="1">
        <f t="array" ref="T43">SUMPRODUCT(('CSV FF'!$E$1:$E$904=$B$43)*('CSV FF'!$C$1:$C$904=T$4))</f>
        <v>0</v>
      </c>
      <c r="U43" s="842" cm="1">
        <f t="array" ref="U43">SUMPRODUCT(('CSV FF'!$E$1:$E$904=$B$43)*('CSV FF'!$C$1:$C$904=U$4))</f>
        <v>0</v>
      </c>
      <c r="V43" s="842" cm="1">
        <f t="array" ref="V43">SUMPRODUCT(('CSV FF'!$E$1:$E$904=$B$43)*('CSV FF'!$C$1:$C$904=V$4))</f>
        <v>0</v>
      </c>
      <c r="W43" s="842" cm="1">
        <f t="array" ref="W43">SUMPRODUCT(('CSV FF'!$E$1:$E$904=$B$43)*('CSV FF'!$C$1:$C$904=W$4))</f>
        <v>0</v>
      </c>
      <c r="X43" s="842" cm="1">
        <f t="array" ref="X43">SUMPRODUCT(('CSV FF'!$E$1:$E$904=$B$43)*('CSV FF'!$C$1:$C$904=X$4))</f>
        <v>0</v>
      </c>
      <c r="Y43" s="842" cm="1">
        <f t="array" ref="Y43">SUMPRODUCT(('CSV FF'!$E$1:$E$904=$B$43)*('CSV FF'!$C$1:$C$904=Y$4))</f>
        <v>0</v>
      </c>
      <c r="Z43" s="842" cm="1">
        <f t="array" ref="Z43">SUMPRODUCT(('CSV FF'!$E$1:$E$904=$B$43)*('CSV FF'!$C$1:$C$904=Z$4))</f>
        <v>0</v>
      </c>
      <c r="AA43" s="842" cm="1">
        <f t="array" ref="AA43">SUMPRODUCT(('CSV FF'!$E$1:$E$904=$B$43)*('CSV FF'!$C$1:$C$904=AA$4))</f>
        <v>0</v>
      </c>
      <c r="AB43" s="842" cm="1">
        <f t="array" ref="AB43">SUMPRODUCT(('CSV FF'!$E$1:$E$904=$B$43)*('CSV FF'!$C$1:$C$904=AB$4))</f>
        <v>0</v>
      </c>
      <c r="AC43" s="842" cm="1">
        <f t="array" ref="AC43">SUMPRODUCT(('CSV FF'!$E$1:$E$904=$B$43)*('CSV FF'!$C$1:$C$904=AC$4))</f>
        <v>0</v>
      </c>
      <c r="AD43" s="842" cm="1">
        <f t="array" ref="AD43">SUMPRODUCT(('CSV FF'!$E$1:$E$904=$B$43)*('CSV FF'!$C$1:$C$904=AD$4))</f>
        <v>0</v>
      </c>
      <c r="AE43" s="842" cm="1">
        <f t="array" ref="AE43">SUMPRODUCT(('CSV FF'!$E$1:$E$904=$B$43)*('CSV FF'!$C$1:$C$904=AE$4))</f>
        <v>0</v>
      </c>
      <c r="AF43" s="842" cm="1">
        <f t="array" ref="AF43">SUMPRODUCT(('CSV FF'!$E$1:$E$904=$B$43)*('CSV FF'!$C$1:$C$904=AF$4))</f>
        <v>0</v>
      </c>
      <c r="AG43" s="842" cm="1">
        <f t="array" ref="AG43">SUMPRODUCT(('CSV FF'!$E$1:$E$904=$B$43)*('CSV FF'!$C$1:$C$904=AG$4))</f>
        <v>0</v>
      </c>
      <c r="AH43" s="842" cm="1">
        <f t="array" ref="AH43">SUMPRODUCT(('CSV FF'!$E$1:$E$904=$B$43)*('CSV FF'!$C$1:$C$904=AH$4))</f>
        <v>0</v>
      </c>
      <c r="AI43" s="842" cm="1">
        <f t="array" ref="AI43">SUMPRODUCT(('CSV FF'!$E$1:$E$904=$B$43)*('CSV FF'!$C$1:$C$904=AI$4))</f>
        <v>0</v>
      </c>
      <c r="AJ43" s="842" cm="1">
        <f t="array" ref="AJ43">SUMPRODUCT(('CSV FF'!$E$1:$E$904=$B$43)*('CSV FF'!$C$1:$C$904=AJ$4))</f>
        <v>0</v>
      </c>
      <c r="AK43" s="842" cm="1">
        <f t="array" ref="AK43">SUMPRODUCT(('CSV FF'!$E$1:$E$904=$B$43)*('CSV FF'!$C$1:$C$904=AK$4))</f>
        <v>0</v>
      </c>
      <c r="AL43" s="842" cm="1">
        <f t="array" ref="AL43">SUMPRODUCT(('CSV FF'!$E$1:$E$904=$B$43)*('CSV FF'!$C$1:$C$904=AL$4))</f>
        <v>0</v>
      </c>
      <c r="AM43" s="842" cm="1">
        <f t="array" ref="AM43">SUMPRODUCT(('CSV FF'!$E$1:$E$904=$B$43)*('CSV FF'!$C$1:$C$904=AM$4))</f>
        <v>0</v>
      </c>
      <c r="AN43" s="842" cm="1">
        <f t="array" ref="AN43">SUMPRODUCT(('CSV FF'!$E$1:$E$904=$B$43)*('CSV FF'!$C$1:$C$904=AN$4))</f>
        <v>0</v>
      </c>
      <c r="AO43" s="842" cm="1">
        <f t="array" ref="AO43">SUMPRODUCT(('CSV FF'!$E$1:$E$904=$B$43)*('CSV FF'!$C$1:$C$904=AO$4))</f>
        <v>0</v>
      </c>
      <c r="AP43" s="844">
        <f>SUMPRODUCT($C$4:$AO$4,C43:AO43)</f>
        <v>0</v>
      </c>
      <c r="AQ43" s="323"/>
      <c r="AR43" s="24"/>
      <c r="AS43" s="823"/>
    </row>
    <row r="44" spans="1:45" ht="12.75" customHeight="1" x14ac:dyDescent="0.2">
      <c r="A44" s="839" t="s">
        <v>375</v>
      </c>
      <c r="B44" s="1000"/>
      <c r="C44" s="1004"/>
      <c r="D44" s="1004"/>
      <c r="E44" s="1004"/>
      <c r="F44" s="1004"/>
      <c r="G44" s="1004"/>
      <c r="H44" s="1004"/>
      <c r="I44" s="1004"/>
      <c r="J44" s="1004"/>
      <c r="K44" s="1004"/>
      <c r="L44" s="1004"/>
      <c r="M44" s="1004"/>
      <c r="N44" s="1004"/>
      <c r="O44" s="1004"/>
      <c r="P44" s="1004"/>
      <c r="Q44" s="1004"/>
      <c r="R44" s="1004"/>
      <c r="S44" s="1004"/>
      <c r="T44" s="1004"/>
      <c r="U44" s="1004"/>
      <c r="V44" s="1004"/>
      <c r="W44" s="1004"/>
      <c r="X44" s="1004"/>
      <c r="Y44" s="1004"/>
      <c r="Z44" s="1004"/>
      <c r="AA44" s="1004"/>
      <c r="AB44" s="1004"/>
      <c r="AC44" s="1004"/>
      <c r="AD44" s="1004"/>
      <c r="AE44" s="1004"/>
      <c r="AF44" s="1004"/>
      <c r="AG44" s="1004"/>
      <c r="AH44" s="1004"/>
      <c r="AI44" s="1004"/>
      <c r="AJ44" s="1004"/>
      <c r="AK44" s="1004"/>
      <c r="AL44" s="1004"/>
      <c r="AM44" s="1004"/>
      <c r="AN44" s="1004"/>
      <c r="AO44" s="1004"/>
      <c r="AP44" s="1005"/>
      <c r="AQ44" s="323"/>
      <c r="AR44" s="24"/>
      <c r="AS44" s="217"/>
    </row>
    <row r="45" spans="1:45" ht="12.75" customHeight="1" x14ac:dyDescent="0.2">
      <c r="A45" s="840" t="s">
        <v>1220</v>
      </c>
      <c r="B45" s="1000" t="s">
        <v>317</v>
      </c>
      <c r="C45" s="842" cm="1">
        <f t="array" ref="C45">SUMPRODUCT(('CSV FF'!$A$1:$A$904="Rafter")*('CSV FF'!$E$1:$E$904=$B$45)*('CSV FF'!$C$1:$C$904=C$4))</f>
        <v>0</v>
      </c>
      <c r="D45" s="842" cm="1">
        <f t="array" ref="D45">SUMPRODUCT(('CSV FF'!$A$1:$A$904="Rafter")*('CSV FF'!$E$1:$E$904=$B$45)*('CSV FF'!$C$1:$C$904=D$4))</f>
        <v>0</v>
      </c>
      <c r="E45" s="842" cm="1">
        <f t="array" ref="E45">SUMPRODUCT(('CSV FF'!$A$1:$A$904="Rafter")*('CSV FF'!$E$1:$E$904=$B$45)*('CSV FF'!$C$1:$C$904=E$4))</f>
        <v>0</v>
      </c>
      <c r="F45" s="842" cm="1">
        <f t="array" ref="F45">SUMPRODUCT(('CSV FF'!$A$1:$A$904="Rafter")*('CSV FF'!$E$1:$E$904=$B$45)*('CSV FF'!$C$1:$C$904=F$4))</f>
        <v>0</v>
      </c>
      <c r="G45" s="842" cm="1">
        <f t="array" ref="G45">SUMPRODUCT(('CSV FF'!$A$1:$A$904="Rafter")*('CSV FF'!$E$1:$E$904=$B$45)*('CSV FF'!$C$1:$C$904=G$4))</f>
        <v>0</v>
      </c>
      <c r="H45" s="842" cm="1">
        <f t="array" ref="H45">SUMPRODUCT(('CSV FF'!$A$1:$A$904="Rafter")*('CSV FF'!$E$1:$E$904=$B$45)*('CSV FF'!$C$1:$C$904=H$4))</f>
        <v>0</v>
      </c>
      <c r="I45" s="842" cm="1">
        <f t="array" ref="I45">SUMPRODUCT(('CSV FF'!$A$1:$A$904="Rafter")*('CSV FF'!$E$1:$E$904=$B$45)*('CSV FF'!$C$1:$C$904=I$4))</f>
        <v>0</v>
      </c>
      <c r="J45" s="842" cm="1">
        <f t="array" ref="J45">SUMPRODUCT(('CSV FF'!$A$1:$A$904="Rafter")*('CSV FF'!$E$1:$E$904=$B$45)*('CSV FF'!$C$1:$C$904=J$4))</f>
        <v>0</v>
      </c>
      <c r="K45" s="842" cm="1">
        <f t="array" ref="K45">SUMPRODUCT(('CSV FF'!$A$1:$A$904="Rafter")*('CSV FF'!$E$1:$E$904=$B$45)*('CSV FF'!$C$1:$C$904=K$4))</f>
        <v>0</v>
      </c>
      <c r="L45" s="842" cm="1">
        <f t="array" ref="L45">SUMPRODUCT(('CSV FF'!$A$1:$A$904="Rafter")*('CSV FF'!$E$1:$E$904=$B$45)*('CSV FF'!$C$1:$C$904=L$4))</f>
        <v>0</v>
      </c>
      <c r="M45" s="842" cm="1">
        <f t="array" ref="M45">SUMPRODUCT(('CSV FF'!$A$1:$A$904="Rafter")*('CSV FF'!$E$1:$E$904=$B$45)*('CSV FF'!$C$1:$C$904=M$4))</f>
        <v>0</v>
      </c>
      <c r="N45" s="842" cm="1">
        <f t="array" ref="N45">SUMPRODUCT(('CSV FF'!$A$1:$A$904="Rafter")*('CSV FF'!$E$1:$E$904=$B$45)*('CSV FF'!$C$1:$C$904=N$4))</f>
        <v>0</v>
      </c>
      <c r="O45" s="842" cm="1">
        <f t="array" ref="O45">SUMPRODUCT(('CSV FF'!$A$1:$A$904="Rafter")*('CSV FF'!$E$1:$E$904=$B$45)*('CSV FF'!$C$1:$C$904=O$4))</f>
        <v>0</v>
      </c>
      <c r="P45" s="842" cm="1">
        <f t="array" ref="P45">SUMPRODUCT(('CSV FF'!$A$1:$A$904="Rafter")*('CSV FF'!$E$1:$E$904=$B$45)*('CSV FF'!$C$1:$C$904=P$4))</f>
        <v>0</v>
      </c>
      <c r="Q45" s="842" cm="1">
        <f t="array" ref="Q45">SUMPRODUCT(('CSV FF'!$A$1:$A$904="Rafter")*('CSV FF'!$E$1:$E$904=$B$45)*('CSV FF'!$C$1:$C$904=Q$4))</f>
        <v>0</v>
      </c>
      <c r="R45" s="842" cm="1">
        <f t="array" ref="R45">SUMPRODUCT(('CSV FF'!$A$1:$A$904="Rafter")*('CSV FF'!$E$1:$E$904=$B$45)*('CSV FF'!$C$1:$C$904=R$4))</f>
        <v>0</v>
      </c>
      <c r="S45" s="842" cm="1">
        <f t="array" ref="S45">SUMPRODUCT(('CSV FF'!$A$1:$A$904="Rafter")*('CSV FF'!$E$1:$E$904=$B$45)*('CSV FF'!$C$1:$C$904=S$4))</f>
        <v>0</v>
      </c>
      <c r="T45" s="842" cm="1">
        <f t="array" ref="T45">SUMPRODUCT(('CSV FF'!$A$1:$A$904="Rafter")*('CSV FF'!$E$1:$E$904=$B$45)*('CSV FF'!$C$1:$C$904=T$4))</f>
        <v>0</v>
      </c>
      <c r="U45" s="842" cm="1">
        <f t="array" ref="U45">SUMPRODUCT(('CSV FF'!$A$1:$A$904="Rafter")*('CSV FF'!$E$1:$E$904=$B$45)*('CSV FF'!$C$1:$C$904=U$4))</f>
        <v>0</v>
      </c>
      <c r="V45" s="843"/>
      <c r="W45" s="843"/>
      <c r="X45" s="843"/>
      <c r="Y45" s="843"/>
      <c r="Z45" s="843"/>
      <c r="AA45" s="843"/>
      <c r="AB45" s="843"/>
      <c r="AC45" s="843"/>
      <c r="AD45" s="843"/>
      <c r="AE45" s="843"/>
      <c r="AF45" s="843"/>
      <c r="AG45" s="843"/>
      <c r="AH45" s="843"/>
      <c r="AI45" s="843"/>
      <c r="AJ45" s="843"/>
      <c r="AK45" s="843"/>
      <c r="AL45" s="843"/>
      <c r="AM45" s="843"/>
      <c r="AN45" s="843"/>
      <c r="AO45" s="843"/>
      <c r="AP45" s="844">
        <f t="shared" ref="AP45:AP52" si="3">SUMPRODUCT($C$4:$AO$4,C45:AO45)</f>
        <v>0</v>
      </c>
      <c r="AQ45" s="323"/>
      <c r="AR45" s="24"/>
      <c r="AS45" s="217"/>
    </row>
    <row r="46" spans="1:45" ht="12.75" customHeight="1" x14ac:dyDescent="0.2">
      <c r="A46" s="840" t="s">
        <v>1221</v>
      </c>
      <c r="B46" s="1000" t="s">
        <v>317</v>
      </c>
      <c r="C46" s="843"/>
      <c r="D46" s="843"/>
      <c r="E46" s="843"/>
      <c r="F46" s="843"/>
      <c r="G46" s="843"/>
      <c r="H46" s="843"/>
      <c r="I46" s="843"/>
      <c r="J46" s="843"/>
      <c r="K46" s="843"/>
      <c r="L46" s="843"/>
      <c r="M46" s="843"/>
      <c r="N46" s="843"/>
      <c r="O46" s="843"/>
      <c r="P46" s="843"/>
      <c r="Q46" s="843"/>
      <c r="R46" s="843"/>
      <c r="S46" s="843"/>
      <c r="T46" s="843"/>
      <c r="U46" s="843"/>
      <c r="V46" s="842" cm="1">
        <f t="array" ref="V46">SUMPRODUCT(('CSV FF'!$A$1:$A$904="Rafter")*('CSV FF'!$E$1:$E$904=$B$46)*('CSV FF'!$C$1:$C$904=V$4))</f>
        <v>0</v>
      </c>
      <c r="W46" s="842" cm="1">
        <f t="array" ref="W46">SUMPRODUCT(('CSV FF'!$A$1:$A$904="Rafter")*('CSV FF'!$E$1:$E$904=$B$46)*('CSV FF'!$C$1:$C$904=W$4))</f>
        <v>0</v>
      </c>
      <c r="X46" s="842" cm="1">
        <f t="array" ref="X46">SUMPRODUCT(('CSV FF'!$A$1:$A$904="Rafter")*('CSV FF'!$E$1:$E$904=$B$46)*('CSV FF'!$C$1:$C$904=X$4))</f>
        <v>0</v>
      </c>
      <c r="Y46" s="842" cm="1">
        <f t="array" ref="Y46">SUMPRODUCT(('CSV FF'!$A$1:$A$904="Rafter")*('CSV FF'!$E$1:$E$904=$B$46)*('CSV FF'!$C$1:$C$904=Y$4))</f>
        <v>0</v>
      </c>
      <c r="Z46" s="842" cm="1">
        <f t="array" ref="Z46">SUMPRODUCT(('CSV FF'!$A$1:$A$904="Rafter")*('CSV FF'!$E$1:$E$904=$B$46)*('CSV FF'!$C$1:$C$904=Z$4))</f>
        <v>0</v>
      </c>
      <c r="AA46" s="842" cm="1">
        <f t="array" ref="AA46">SUMPRODUCT(('CSV FF'!$A$1:$A$904="Rafter")*('CSV FF'!$E$1:$E$904=$B$46)*('CSV FF'!$C$1:$C$904=AA$4))</f>
        <v>0</v>
      </c>
      <c r="AB46" s="842" cm="1">
        <f t="array" ref="AB46">SUMPRODUCT(('CSV FF'!$A$1:$A$904="Rafter")*('CSV FF'!$E$1:$E$904=$B$46)*('CSV FF'!$C$1:$C$904=AB$4))</f>
        <v>0</v>
      </c>
      <c r="AC46" s="842" cm="1">
        <f t="array" ref="AC46">SUMPRODUCT(('CSV FF'!$A$1:$A$904="Rafter")*('CSV FF'!$E$1:$E$904=$B$46)*('CSV FF'!$C$1:$C$904=AC$4))</f>
        <v>0</v>
      </c>
      <c r="AD46" s="842" cm="1">
        <f t="array" ref="AD46">SUMPRODUCT(('CSV FF'!$A$1:$A$904="Rafter")*('CSV FF'!$E$1:$E$904=$B$46)*('CSV FF'!$C$1:$C$904=AD$4))</f>
        <v>0</v>
      </c>
      <c r="AE46" s="842" cm="1">
        <f t="array" ref="AE46">SUMPRODUCT(('CSV FF'!$A$1:$A$904="Rafter")*('CSV FF'!$E$1:$E$904=$B$46)*('CSV FF'!$C$1:$C$904=AE$4))</f>
        <v>0</v>
      </c>
      <c r="AF46" s="842" cm="1">
        <f t="array" ref="AF46">SUMPRODUCT(('CSV FF'!$A$1:$A$904="Rafter")*('CSV FF'!$E$1:$E$904=$B$46)*('CSV FF'!$C$1:$C$904=AF$4))</f>
        <v>0</v>
      </c>
      <c r="AG46" s="842" cm="1">
        <f t="array" ref="AG46">SUMPRODUCT(('CSV FF'!$A$1:$A$904="Rafter")*('CSV FF'!$E$1:$E$904=$B$46)*('CSV FF'!$C$1:$C$904=AG$4))</f>
        <v>0</v>
      </c>
      <c r="AH46" s="842" cm="1">
        <f t="array" ref="AH46">SUMPRODUCT(('CSV FF'!$A$1:$A$904="Rafter")*('CSV FF'!$E$1:$E$904=$B$46)*('CSV FF'!$C$1:$C$904=AH$4))</f>
        <v>0</v>
      </c>
      <c r="AI46" s="842" cm="1">
        <f t="array" ref="AI46">SUMPRODUCT(('CSV FF'!$A$1:$A$904="Rafter")*('CSV FF'!$E$1:$E$904=$B$46)*('CSV FF'!$C$1:$C$904=AI$4))</f>
        <v>0</v>
      </c>
      <c r="AJ46" s="842" cm="1">
        <f t="array" ref="AJ46">SUMPRODUCT(('CSV FF'!$A$1:$A$904="Rafter")*('CSV FF'!$E$1:$E$904=$B$46)*('CSV FF'!$C$1:$C$904=AJ$4))</f>
        <v>0</v>
      </c>
      <c r="AK46" s="842" cm="1">
        <f t="array" ref="AK46">SUMPRODUCT(('CSV FF'!$A$1:$A$904="Rafter")*('CSV FF'!$E$1:$E$904=$B$46)*('CSV FF'!$C$1:$C$904=AK$4))</f>
        <v>0</v>
      </c>
      <c r="AL46" s="842" cm="1">
        <f t="array" ref="AL46">SUMPRODUCT(('CSV FF'!$A$1:$A$904="Rafter")*('CSV FF'!$E$1:$E$904=$B$46)*('CSV FF'!$C$1:$C$904=AL$4))</f>
        <v>0</v>
      </c>
      <c r="AM46" s="842" cm="1">
        <f t="array" ref="AM46">SUMPRODUCT(('CSV FF'!$A$1:$A$904="Rafter")*('CSV FF'!$E$1:$E$904=$B$46)*('CSV FF'!$C$1:$C$904=AM$4))</f>
        <v>0</v>
      </c>
      <c r="AN46" s="842" cm="1">
        <f t="array" ref="AN46">SUMPRODUCT(('CSV FF'!$A$1:$A$904="Rafter")*('CSV FF'!$E$1:$E$904=$B$46)*('CSV FF'!$C$1:$C$904=AN$4))</f>
        <v>0</v>
      </c>
      <c r="AO46" s="842" cm="1">
        <f t="array" ref="AO46">SUMPRODUCT(('CSV FF'!$A$1:$A$904="Rafter")*('CSV FF'!$E$1:$E$904=$B$46)*('CSV FF'!$C$1:$C$904=AO$4))</f>
        <v>0</v>
      </c>
      <c r="AP46" s="844">
        <f t="shared" si="3"/>
        <v>0</v>
      </c>
      <c r="AQ46" s="323"/>
      <c r="AR46" s="24"/>
      <c r="AS46" s="217"/>
    </row>
    <row r="47" spans="1:45" ht="12.75" customHeight="1" x14ac:dyDescent="0.2">
      <c r="A47" s="840" t="s">
        <v>1827</v>
      </c>
      <c r="B47" s="1000" t="s">
        <v>311</v>
      </c>
      <c r="C47" s="843"/>
      <c r="D47" s="843"/>
      <c r="E47" s="843"/>
      <c r="F47" s="843"/>
      <c r="G47" s="843"/>
      <c r="H47" s="843"/>
      <c r="I47" s="843"/>
      <c r="J47" s="843"/>
      <c r="K47" s="843"/>
      <c r="L47" s="843"/>
      <c r="M47" s="843"/>
      <c r="N47" s="843"/>
      <c r="O47" s="843"/>
      <c r="P47" s="843"/>
      <c r="Q47" s="843"/>
      <c r="R47" s="843"/>
      <c r="S47" s="843"/>
      <c r="T47" s="843"/>
      <c r="U47" s="842" cm="1">
        <f t="array" ref="U47">ROUNDUP(SUMPRODUCT(--('CSV FF'!A:A="Reverse Brick Veneer"),'CSV FF'!C:C)*4.5/6,0)</f>
        <v>0</v>
      </c>
      <c r="V47" s="843"/>
      <c r="W47" s="843"/>
      <c r="X47" s="843"/>
      <c r="Y47" s="843"/>
      <c r="Z47" s="843"/>
      <c r="AA47" s="843"/>
      <c r="AB47" s="843"/>
      <c r="AC47" s="843"/>
      <c r="AD47" s="843"/>
      <c r="AE47" s="843"/>
      <c r="AF47" s="843"/>
      <c r="AG47" s="843"/>
      <c r="AH47" s="843"/>
      <c r="AI47" s="843"/>
      <c r="AJ47" s="843"/>
      <c r="AK47" s="843"/>
      <c r="AL47" s="843"/>
      <c r="AM47" s="843"/>
      <c r="AN47" s="843"/>
      <c r="AO47" s="843"/>
      <c r="AP47" s="844">
        <f t="shared" si="3"/>
        <v>0</v>
      </c>
      <c r="AQ47" s="323"/>
      <c r="AR47" s="24"/>
      <c r="AS47" s="217"/>
    </row>
    <row r="48" spans="1:45" ht="12.75" customHeight="1" x14ac:dyDescent="0.2">
      <c r="A48" s="840" t="s">
        <v>1828</v>
      </c>
      <c r="B48" s="1000" t="s">
        <v>311</v>
      </c>
      <c r="C48" s="843"/>
      <c r="D48" s="843"/>
      <c r="E48" s="843"/>
      <c r="F48" s="843"/>
      <c r="G48" s="843"/>
      <c r="H48" s="843"/>
      <c r="I48" s="843"/>
      <c r="J48" s="843"/>
      <c r="K48" s="843"/>
      <c r="L48" s="843"/>
      <c r="M48" s="843"/>
      <c r="N48" s="843"/>
      <c r="O48" s="843"/>
      <c r="P48" s="843"/>
      <c r="Q48" s="843"/>
      <c r="R48" s="843"/>
      <c r="S48" s="843"/>
      <c r="T48" s="843"/>
      <c r="U48" s="842" cm="1">
        <f t="array" ref="U48">ROUNDUP(SUMPRODUCT(--('CSV FF'!A:A="Studwork"),'CSV FF'!C:C)*4.5/6,0)</f>
        <v>0</v>
      </c>
      <c r="V48" s="843"/>
      <c r="W48" s="843"/>
      <c r="X48" s="843"/>
      <c r="Y48" s="843"/>
      <c r="Z48" s="843"/>
      <c r="AA48" s="843"/>
      <c r="AB48" s="843"/>
      <c r="AC48" s="843"/>
      <c r="AD48" s="843"/>
      <c r="AE48" s="843"/>
      <c r="AF48" s="843"/>
      <c r="AG48" s="843"/>
      <c r="AH48" s="843"/>
      <c r="AI48" s="843"/>
      <c r="AJ48" s="843"/>
      <c r="AK48" s="843"/>
      <c r="AL48" s="843"/>
      <c r="AM48" s="843"/>
      <c r="AN48" s="843"/>
      <c r="AO48" s="843"/>
      <c r="AP48" s="844">
        <f t="shared" si="3"/>
        <v>0</v>
      </c>
      <c r="AQ48" s="323"/>
      <c r="AR48" s="24"/>
      <c r="AS48" s="217"/>
    </row>
    <row r="49" spans="1:45" ht="12.75" customHeight="1" x14ac:dyDescent="0.2">
      <c r="A49" s="840" t="s">
        <v>2341</v>
      </c>
      <c r="B49" s="1000" t="s">
        <v>312</v>
      </c>
      <c r="C49" s="843"/>
      <c r="D49" s="843"/>
      <c r="E49" s="843"/>
      <c r="F49" s="843"/>
      <c r="G49" s="843"/>
      <c r="H49" s="843"/>
      <c r="I49" s="843"/>
      <c r="J49" s="843"/>
      <c r="K49" s="843"/>
      <c r="L49" s="843"/>
      <c r="M49" s="843"/>
      <c r="N49" s="843"/>
      <c r="O49" s="843"/>
      <c r="P49" s="843"/>
      <c r="Q49" s="843"/>
      <c r="R49" s="843"/>
      <c r="S49" s="843"/>
      <c r="T49" s="843"/>
      <c r="U49" s="842">
        <f>ROUNDUP(SUMIF(NameFF,"Reverse Brick Veneer",LengthFF)/6,0)</f>
        <v>0</v>
      </c>
      <c r="V49" s="843"/>
      <c r="W49" s="843"/>
      <c r="X49" s="843"/>
      <c r="Y49" s="843"/>
      <c r="Z49" s="843"/>
      <c r="AA49" s="843"/>
      <c r="AB49" s="843"/>
      <c r="AC49" s="843"/>
      <c r="AD49" s="843"/>
      <c r="AE49" s="843"/>
      <c r="AF49" s="843"/>
      <c r="AG49" s="843"/>
      <c r="AH49" s="843"/>
      <c r="AI49" s="843"/>
      <c r="AJ49" s="843"/>
      <c r="AK49" s="843"/>
      <c r="AL49" s="843"/>
      <c r="AM49" s="843"/>
      <c r="AN49" s="843"/>
      <c r="AO49" s="843"/>
      <c r="AP49" s="844">
        <f t="shared" si="3"/>
        <v>0</v>
      </c>
      <c r="AQ49" s="323"/>
      <c r="AR49" s="24"/>
      <c r="AS49" s="217"/>
    </row>
    <row r="50" spans="1:45" ht="12.75" customHeight="1" x14ac:dyDescent="0.2">
      <c r="A50" s="840" t="s">
        <v>1220</v>
      </c>
      <c r="B50" s="1000" t="s">
        <v>314</v>
      </c>
      <c r="C50" s="842" cm="1">
        <f t="array" ref="C50">SUMPRODUCT(('CSV FF'!$A$1:$A$904="Rafter")*('CSV FF'!$E$1:$E$904=$B$50)*('CSV FF'!$C$1:$C$904=C$4))</f>
        <v>0</v>
      </c>
      <c r="D50" s="842" cm="1">
        <f t="array" ref="D50">SUMPRODUCT(('CSV FF'!$A$1:$A$904="Rafter")*('CSV FF'!$E$1:$E$904=$B$50)*('CSV FF'!$C$1:$C$904=D$4))</f>
        <v>0</v>
      </c>
      <c r="E50" s="842" cm="1">
        <f t="array" ref="E50">SUMPRODUCT(('CSV FF'!$A$1:$A$904="Rafter")*('CSV FF'!$E$1:$E$904=$B$50)*('CSV FF'!$C$1:$C$904=E$4))</f>
        <v>0</v>
      </c>
      <c r="F50" s="842" cm="1">
        <f t="array" ref="F50">SUMPRODUCT(('CSV FF'!$A$1:$A$904="Rafter")*('CSV FF'!$E$1:$E$904=$B$50)*('CSV FF'!$C$1:$C$904=F$4))</f>
        <v>0</v>
      </c>
      <c r="G50" s="842" cm="1">
        <f t="array" ref="G50">SUMPRODUCT(('CSV FF'!$A$1:$A$904="Rafter")*('CSV FF'!$E$1:$E$904=$B$50)*('CSV FF'!$C$1:$C$904=G$4))</f>
        <v>0</v>
      </c>
      <c r="H50" s="842" cm="1">
        <f t="array" ref="H50">SUMPRODUCT(('CSV FF'!$A$1:$A$904="Rafter")*('CSV FF'!$E$1:$E$904=$B$50)*('CSV FF'!$C$1:$C$904=H$4))</f>
        <v>0</v>
      </c>
      <c r="I50" s="842" cm="1">
        <f t="array" ref="I50">SUMPRODUCT(('CSV FF'!$A$1:$A$904="Rafter")*('CSV FF'!$E$1:$E$904=$B$50)*('CSV FF'!$C$1:$C$904=I$4))</f>
        <v>0</v>
      </c>
      <c r="J50" s="842" cm="1">
        <f t="array" ref="J50">SUMPRODUCT(('CSV FF'!$A$1:$A$904="Rafter")*('CSV FF'!$E$1:$E$904=$B$50)*('CSV FF'!$C$1:$C$904=J$4))</f>
        <v>0</v>
      </c>
      <c r="K50" s="842" cm="1">
        <f t="array" ref="K50">SUMPRODUCT(('CSV FF'!$A$1:$A$904="Rafter")*('CSV FF'!$E$1:$E$904=$B$50)*('CSV FF'!$C$1:$C$904=K$4))</f>
        <v>0</v>
      </c>
      <c r="L50" s="842" cm="1">
        <f t="array" ref="L50">SUMPRODUCT(('CSV FF'!$A$1:$A$904="Rafter")*('CSV FF'!$E$1:$E$904=$B$50)*('CSV FF'!$C$1:$C$904=L$4))</f>
        <v>0</v>
      </c>
      <c r="M50" s="842" cm="1">
        <f t="array" ref="M50">SUMPRODUCT(('CSV FF'!$A$1:$A$904="Rafter")*('CSV FF'!$E$1:$E$904=$B$50)*('CSV FF'!$C$1:$C$904=M$4))</f>
        <v>0</v>
      </c>
      <c r="N50" s="842" cm="1">
        <f t="array" ref="N50">SUMPRODUCT(('CSV FF'!$A$1:$A$904="Rafter")*('CSV FF'!$E$1:$E$904=$B$50)*('CSV FF'!$C$1:$C$904=N$4))</f>
        <v>0</v>
      </c>
      <c r="O50" s="842" cm="1">
        <f t="array" ref="O50">SUMPRODUCT(('CSV FF'!$A$1:$A$904="Rafter")*('CSV FF'!$E$1:$E$904=$B$50)*('CSV FF'!$C$1:$C$904=O$4))</f>
        <v>0</v>
      </c>
      <c r="P50" s="842" cm="1">
        <f t="array" ref="P50">SUMPRODUCT(('CSV FF'!$A$1:$A$904="Rafter")*('CSV FF'!$E$1:$E$904=$B$50)*('CSV FF'!$C$1:$C$904=P$4))</f>
        <v>0</v>
      </c>
      <c r="Q50" s="842" cm="1">
        <f t="array" ref="Q50">SUMPRODUCT(('CSV FF'!$A$1:$A$904="Rafter")*('CSV FF'!$E$1:$E$904=$B$50)*('CSV FF'!$C$1:$C$904=Q$4))</f>
        <v>0</v>
      </c>
      <c r="R50" s="842" cm="1">
        <f t="array" ref="R50">SUMPRODUCT(('CSV FF'!$A$1:$A$904="Rafter")*('CSV FF'!$E$1:$E$904=$B$50)*('CSV FF'!$C$1:$C$904=R$4))</f>
        <v>0</v>
      </c>
      <c r="S50" s="842" cm="1">
        <f t="array" ref="S50">SUMPRODUCT(('CSV FF'!$A$1:$A$904="Rafter")*('CSV FF'!$E$1:$E$904=$B$50)*('CSV FF'!$C$1:$C$904=S$4))</f>
        <v>0</v>
      </c>
      <c r="T50" s="842" cm="1">
        <f t="array" ref="T50">SUMPRODUCT(('CSV FF'!$A$1:$A$904="Rafter")*('CSV FF'!$E$1:$E$904=$B$50)*('CSV FF'!$C$1:$C$904=T$4))</f>
        <v>0</v>
      </c>
      <c r="U50" s="842" cm="1">
        <f t="array" ref="U50">SUMPRODUCT(('CSV FF'!$A$1:$A$904="Rafter")*('CSV FF'!$E$1:$E$904=$B$50)*('CSV FF'!$C$1:$C$904=U$4))</f>
        <v>0</v>
      </c>
      <c r="V50" s="843"/>
      <c r="W50" s="843"/>
      <c r="X50" s="843"/>
      <c r="Y50" s="843"/>
      <c r="Z50" s="843"/>
      <c r="AA50" s="843"/>
      <c r="AB50" s="843"/>
      <c r="AC50" s="843"/>
      <c r="AD50" s="843"/>
      <c r="AE50" s="843"/>
      <c r="AF50" s="843"/>
      <c r="AG50" s="843"/>
      <c r="AH50" s="843"/>
      <c r="AI50" s="843"/>
      <c r="AJ50" s="843"/>
      <c r="AK50" s="843"/>
      <c r="AL50" s="843"/>
      <c r="AM50" s="843"/>
      <c r="AN50" s="843"/>
      <c r="AO50" s="843"/>
      <c r="AP50" s="844">
        <f t="shared" si="3"/>
        <v>0</v>
      </c>
      <c r="AQ50" s="323"/>
      <c r="AR50" s="24"/>
      <c r="AS50" s="217"/>
    </row>
    <row r="51" spans="1:45" ht="12.75" customHeight="1" x14ac:dyDescent="0.2">
      <c r="A51" s="840" t="s">
        <v>1221</v>
      </c>
      <c r="B51" s="1000" t="s">
        <v>314</v>
      </c>
      <c r="C51" s="843"/>
      <c r="D51" s="843"/>
      <c r="E51" s="843"/>
      <c r="F51" s="843"/>
      <c r="G51" s="843"/>
      <c r="H51" s="843"/>
      <c r="I51" s="843"/>
      <c r="J51" s="843"/>
      <c r="K51" s="843"/>
      <c r="L51" s="843"/>
      <c r="M51" s="843"/>
      <c r="N51" s="843"/>
      <c r="O51" s="843"/>
      <c r="P51" s="843"/>
      <c r="Q51" s="843"/>
      <c r="R51" s="843"/>
      <c r="S51" s="843"/>
      <c r="T51" s="843"/>
      <c r="U51" s="843"/>
      <c r="V51" s="842" cm="1">
        <f t="array" ref="V51">SUMPRODUCT(('CSV FF'!$A$1:$A$904="Rafter")*('CSV FF'!$E$1:$E$904=$B$51)*('CSV FF'!$C$1:$C$904=V$4))</f>
        <v>0</v>
      </c>
      <c r="W51" s="842" cm="1">
        <f t="array" ref="W51">SUMPRODUCT(('CSV FF'!$A$1:$A$904="Rafter")*('CSV FF'!$E$1:$E$904=$B$51)*('CSV FF'!$C$1:$C$904=W$4))</f>
        <v>0</v>
      </c>
      <c r="X51" s="842" cm="1">
        <f t="array" ref="X51">SUMPRODUCT(('CSV FF'!$A$1:$A$904="Rafter")*('CSV FF'!$E$1:$E$904=$B$51)*('CSV FF'!$C$1:$C$904=X$4))</f>
        <v>0</v>
      </c>
      <c r="Y51" s="842" cm="1">
        <f t="array" ref="Y51">SUMPRODUCT(('CSV FF'!$A$1:$A$904="Rafter")*('CSV FF'!$E$1:$E$904=$B$51)*('CSV FF'!$C$1:$C$904=Y$4))</f>
        <v>0</v>
      </c>
      <c r="Z51" s="842" cm="1">
        <f t="array" ref="Z51">SUMPRODUCT(('CSV FF'!$A$1:$A$904="Rafter")*('CSV FF'!$E$1:$E$904=$B$51)*('CSV FF'!$C$1:$C$904=Z$4))</f>
        <v>0</v>
      </c>
      <c r="AA51" s="842" cm="1">
        <f t="array" ref="AA51">SUMPRODUCT(('CSV FF'!$A$1:$A$904="Rafter")*('CSV FF'!$E$1:$E$904=$B$51)*('CSV FF'!$C$1:$C$904=AA$4))</f>
        <v>0</v>
      </c>
      <c r="AB51" s="842" cm="1">
        <f t="array" ref="AB51">SUMPRODUCT(('CSV FF'!$A$1:$A$904="Rafter")*('CSV FF'!$E$1:$E$904=$B$51)*('CSV FF'!$C$1:$C$904=AB$4))</f>
        <v>0</v>
      </c>
      <c r="AC51" s="842" cm="1">
        <f t="array" ref="AC51">SUMPRODUCT(('CSV FF'!$A$1:$A$904="Rafter")*('CSV FF'!$E$1:$E$904=$B$51)*('CSV FF'!$C$1:$C$904=AC$4))</f>
        <v>0</v>
      </c>
      <c r="AD51" s="842" cm="1">
        <f t="array" ref="AD51">SUMPRODUCT(('CSV FF'!$A$1:$A$904="Rafter")*('CSV FF'!$E$1:$E$904=$B$51)*('CSV FF'!$C$1:$C$904=AD$4))</f>
        <v>0</v>
      </c>
      <c r="AE51" s="842" cm="1">
        <f t="array" ref="AE51">SUMPRODUCT(('CSV FF'!$A$1:$A$904="Rafter")*('CSV FF'!$E$1:$E$904=$B$51)*('CSV FF'!$C$1:$C$904=AE$4))</f>
        <v>0</v>
      </c>
      <c r="AF51" s="842" cm="1">
        <f t="array" ref="AF51">SUMPRODUCT(('CSV FF'!$A$1:$A$904="Rafter")*('CSV FF'!$E$1:$E$904=$B$51)*('CSV FF'!$C$1:$C$904=AF$4))</f>
        <v>0</v>
      </c>
      <c r="AG51" s="842" cm="1">
        <f t="array" ref="AG51">SUMPRODUCT(('CSV FF'!$A$1:$A$904="Rafter")*('CSV FF'!$E$1:$E$904=$B$51)*('CSV FF'!$C$1:$C$904=AG$4))</f>
        <v>0</v>
      </c>
      <c r="AH51" s="842" cm="1">
        <f t="array" ref="AH51">SUMPRODUCT(('CSV FF'!$A$1:$A$904="Rafter")*('CSV FF'!$E$1:$E$904=$B$51)*('CSV FF'!$C$1:$C$904=AH$4))</f>
        <v>0</v>
      </c>
      <c r="AI51" s="842" cm="1">
        <f t="array" ref="AI51">SUMPRODUCT(('CSV FF'!$A$1:$A$904="Rafter")*('CSV FF'!$E$1:$E$904=$B$51)*('CSV FF'!$C$1:$C$904=AI$4))</f>
        <v>0</v>
      </c>
      <c r="AJ51" s="842" cm="1">
        <f t="array" ref="AJ51">SUMPRODUCT(('CSV FF'!$A$1:$A$904="Rafter")*('CSV FF'!$E$1:$E$904=$B$51)*('CSV FF'!$C$1:$C$904=AJ$4))</f>
        <v>0</v>
      </c>
      <c r="AK51" s="842" cm="1">
        <f t="array" ref="AK51">SUMPRODUCT(('CSV FF'!$A$1:$A$904="Rafter")*('CSV FF'!$E$1:$E$904=$B$51)*('CSV FF'!$C$1:$C$904=AK$4))</f>
        <v>0</v>
      </c>
      <c r="AL51" s="842" cm="1">
        <f t="array" ref="AL51">SUMPRODUCT(('CSV FF'!$A$1:$A$904="Rafter")*('CSV FF'!$E$1:$E$904=$B$51)*('CSV FF'!$C$1:$C$904=AL$4))</f>
        <v>0</v>
      </c>
      <c r="AM51" s="842" cm="1">
        <f t="array" ref="AM51">SUMPRODUCT(('CSV FF'!$A$1:$A$904="Rafter")*('CSV FF'!$E$1:$E$904=$B$51)*('CSV FF'!$C$1:$C$904=AM$4))</f>
        <v>0</v>
      </c>
      <c r="AN51" s="842" cm="1">
        <f t="array" ref="AN51">SUMPRODUCT(('CSV FF'!$A$1:$A$904="Rafter")*('CSV FF'!$E$1:$E$904=$B$51)*('CSV FF'!$C$1:$C$904=AN$4))</f>
        <v>0</v>
      </c>
      <c r="AO51" s="842" cm="1">
        <f t="array" ref="AO51">SUMPRODUCT(('CSV FF'!$A$1:$A$904="Rafter")*('CSV FF'!$E$1:$E$904=$B$51)*('CSV FF'!$C$1:$C$904=AO$4))</f>
        <v>0</v>
      </c>
      <c r="AP51" s="844">
        <f t="shared" si="3"/>
        <v>0</v>
      </c>
      <c r="AQ51" s="323"/>
      <c r="AR51" s="24"/>
      <c r="AS51" s="217"/>
    </row>
    <row r="52" spans="1:45" ht="12.75" customHeight="1" x14ac:dyDescent="0.2">
      <c r="A52" s="840" t="s">
        <v>1829</v>
      </c>
      <c r="B52" s="1000" t="s">
        <v>1830</v>
      </c>
      <c r="C52" s="842" t="e" cm="1">
        <f t="array" ref="C52">SUMPRODUCT((NameFF=$A52)*(LengthFF=C$4))+SUMPRODUCT((Name="Gable")*(LengthFF=C$4))</f>
        <v>#N/A</v>
      </c>
      <c r="D52" s="842" t="e" cm="1">
        <f t="array" ref="D52">SUMPRODUCT((NameFF=$A52)*(LengthFF=D$4))+SUMPRODUCT((Name="Gable")*(LengthFF=D$4))</f>
        <v>#N/A</v>
      </c>
      <c r="E52" s="842" t="e" cm="1">
        <f t="array" ref="E52">SUMPRODUCT((NameFF=$A52)*(LengthFF=E$4))+SUMPRODUCT((Name="Gable")*(LengthFF=E$4))</f>
        <v>#N/A</v>
      </c>
      <c r="F52" s="842" t="e" cm="1">
        <f t="array" ref="F52">SUMPRODUCT((NameFF=$A52)*(LengthFF=F$4))+SUMPRODUCT((Name="Gable")*(LengthFF=F$4))</f>
        <v>#N/A</v>
      </c>
      <c r="G52" s="842" t="e" cm="1">
        <f t="array" ref="G52">SUMPRODUCT((NameFF=$A52)*(LengthFF=G$4))+SUMPRODUCT((Name="Gable")*(LengthFF=G$4))</f>
        <v>#N/A</v>
      </c>
      <c r="H52" s="842" t="e" cm="1">
        <f t="array" ref="H52">SUMPRODUCT((NameFF=$A52)*(LengthFF=H$4))+SUMPRODUCT((Name="Gable")*(LengthFF=H$4))</f>
        <v>#N/A</v>
      </c>
      <c r="I52" s="842" t="e" cm="1">
        <f t="array" ref="I52">SUMPRODUCT((NameFF=$A52)*(LengthFF=I$4))+SUMPRODUCT((Name="Gable")*(LengthFF=I$4))</f>
        <v>#N/A</v>
      </c>
      <c r="J52" s="842" t="e" cm="1">
        <f t="array" ref="J52">SUMPRODUCT((NameFF=$A52)*(LengthFF=J$4))+SUMPRODUCT((Name="Gable")*(LengthFF=J$4))</f>
        <v>#N/A</v>
      </c>
      <c r="K52" s="842" t="e" cm="1">
        <f t="array" ref="K52">SUMPRODUCT((NameFF=$A52)*(LengthFF=K$4))+SUMPRODUCT((Name="Gable")*(LengthFF=K$4))</f>
        <v>#N/A</v>
      </c>
      <c r="L52" s="842" t="e" cm="1">
        <f t="array" ref="L52">SUMPRODUCT((NameFF=$A52)*(LengthFF=L$4))+SUMPRODUCT((Name="Gable")*(LengthFF=L$4))</f>
        <v>#N/A</v>
      </c>
      <c r="M52" s="842" t="e" cm="1">
        <f t="array" ref="M52">SUMPRODUCT((NameFF=$A52)*(LengthFF=M$4))+SUMPRODUCT((Name="Gable")*(LengthFF=M$4))</f>
        <v>#N/A</v>
      </c>
      <c r="N52" s="842" t="e" cm="1">
        <f t="array" ref="N52">SUMPRODUCT((NameFF=$A52)*(LengthFF=N$4))+SUMPRODUCT((Name="Gable")*(LengthFF=N$4))</f>
        <v>#N/A</v>
      </c>
      <c r="O52" s="842" t="e" cm="1">
        <f t="array" ref="O52">SUMPRODUCT((NameFF=$A52)*(LengthFF=O$4))+SUMPRODUCT((Name="Gable")*(LengthFF=O$4))</f>
        <v>#N/A</v>
      </c>
      <c r="P52" s="842" t="e" cm="1">
        <f t="array" ref="P52">SUMPRODUCT((NameFF=$A52)*(LengthFF=P$4))+SUMPRODUCT((Name="Gable")*(LengthFF=P$4))</f>
        <v>#N/A</v>
      </c>
      <c r="Q52" s="842" t="e" cm="1">
        <f t="array" ref="Q52">SUMPRODUCT((NameFF=$A52)*(LengthFF=Q$4))+SUMPRODUCT((Name="Gable")*(LengthFF=Q$4))</f>
        <v>#N/A</v>
      </c>
      <c r="R52" s="842" t="e" cm="1">
        <f t="array" ref="R52">SUMPRODUCT((NameFF=$A52)*(LengthFF=R$4))+SUMPRODUCT((Name="Gable")*(LengthFF=R$4))</f>
        <v>#N/A</v>
      </c>
      <c r="S52" s="842" t="e" cm="1">
        <f t="array" ref="S52">SUMPRODUCT((NameFF=$A52)*(LengthFF=S$4))+SUMPRODUCT((Name="Gable")*(LengthFF=S$4))</f>
        <v>#N/A</v>
      </c>
      <c r="T52" s="842" t="e" cm="1">
        <f t="array" ref="T52">SUMPRODUCT((NameFF=$A52)*(LengthFF=T$4))+SUMPRODUCT((Name="Gable")*(LengthFF=T$4))</f>
        <v>#N/A</v>
      </c>
      <c r="U52" s="842" t="e" cm="1">
        <f t="array" ref="U52">SUMPRODUCT((NameFF=$A52)*(LengthFF=U$4))+SUMPRODUCT((Name="Gable")*(LengthFF=U$4))</f>
        <v>#N/A</v>
      </c>
      <c r="V52" s="842" t="e" cm="1">
        <f t="array" ref="V52">SUMPRODUCT((NameFF=$A52)*(LengthFF=V$4))+SUMPRODUCT((Name="Gable")*(LengthFF=V$4))</f>
        <v>#N/A</v>
      </c>
      <c r="W52" s="842" t="e" cm="1">
        <f t="array" ref="W52">SUMPRODUCT((NameFF=$A52)*(LengthFF=W$4))+SUMPRODUCT((Name="Gable")*(LengthFF=W$4))</f>
        <v>#N/A</v>
      </c>
      <c r="X52" s="842" t="e" cm="1">
        <f t="array" ref="X52">SUMPRODUCT((NameFF=$A52)*(LengthFF=X$4))+SUMPRODUCT((Name="Gable")*(LengthFF=X$4))</f>
        <v>#N/A</v>
      </c>
      <c r="Y52" s="842" t="e" cm="1">
        <f t="array" ref="Y52">SUMPRODUCT((NameFF=$A52)*(LengthFF=Y$4))+SUMPRODUCT((Name="Gable")*(LengthFF=Y$4))</f>
        <v>#N/A</v>
      </c>
      <c r="Z52" s="843"/>
      <c r="AA52" s="843"/>
      <c r="AB52" s="843"/>
      <c r="AC52" s="843"/>
      <c r="AD52" s="843"/>
      <c r="AE52" s="843"/>
      <c r="AF52" s="843"/>
      <c r="AG52" s="843"/>
      <c r="AH52" s="843"/>
      <c r="AI52" s="843"/>
      <c r="AJ52" s="843"/>
      <c r="AK52" s="843"/>
      <c r="AL52" s="843"/>
      <c r="AM52" s="843"/>
      <c r="AN52" s="843"/>
      <c r="AO52" s="843"/>
      <c r="AP52" s="844" t="e">
        <f t="shared" si="3"/>
        <v>#N/A</v>
      </c>
      <c r="AQ52" s="323"/>
      <c r="AR52" s="24"/>
      <c r="AS52" s="217"/>
    </row>
    <row r="53" spans="1:45" ht="12.75" customHeight="1" x14ac:dyDescent="0.2">
      <c r="A53" s="840" t="s">
        <v>2399</v>
      </c>
      <c r="B53" s="1000" t="s">
        <v>2400</v>
      </c>
      <c r="C53" s="843"/>
      <c r="D53" s="843"/>
      <c r="E53" s="843"/>
      <c r="F53" s="843"/>
      <c r="G53" s="843"/>
      <c r="H53" s="843"/>
      <c r="I53" s="843"/>
      <c r="J53" s="843"/>
      <c r="K53" s="843"/>
      <c r="L53" s="843"/>
      <c r="M53" s="843"/>
      <c r="N53" s="843"/>
      <c r="O53" s="842">
        <f>IF(BAL&gt;19,ROUNDUP(SUMIF(NameFF,"Barge",LengthFF)/4.2,0),0)</f>
        <v>0</v>
      </c>
      <c r="P53" s="843"/>
      <c r="Q53" s="843"/>
      <c r="R53" s="843"/>
      <c r="S53" s="843"/>
      <c r="T53" s="843"/>
      <c r="U53" s="843"/>
      <c r="V53" s="843"/>
      <c r="W53" s="843"/>
      <c r="X53" s="843"/>
      <c r="Y53" s="843"/>
      <c r="Z53" s="843"/>
      <c r="AA53" s="843"/>
      <c r="AB53" s="843"/>
      <c r="AC53" s="843"/>
      <c r="AD53" s="843"/>
      <c r="AE53" s="843"/>
      <c r="AF53" s="843"/>
      <c r="AG53" s="843"/>
      <c r="AH53" s="843"/>
      <c r="AI53" s="843"/>
      <c r="AJ53" s="843"/>
      <c r="AK53" s="843"/>
      <c r="AL53" s="843"/>
      <c r="AM53" s="843"/>
      <c r="AN53" s="843"/>
      <c r="AO53" s="843"/>
      <c r="AP53" s="844"/>
      <c r="AQ53" s="323"/>
      <c r="AR53" s="24"/>
      <c r="AS53" s="217"/>
    </row>
    <row r="54" spans="1:45" x14ac:dyDescent="0.2">
      <c r="A54" s="1006" t="s">
        <v>2338</v>
      </c>
      <c r="B54" s="1007" t="s">
        <v>2339</v>
      </c>
      <c r="C54" s="843"/>
      <c r="D54" s="843"/>
      <c r="E54" s="843"/>
      <c r="F54" s="843"/>
      <c r="G54" s="843"/>
      <c r="H54" s="843"/>
      <c r="I54" s="843"/>
      <c r="J54" s="843"/>
      <c r="K54" s="843"/>
      <c r="L54" s="843"/>
      <c r="M54" s="843"/>
      <c r="N54" s="843"/>
      <c r="O54" s="843"/>
      <c r="P54" s="843"/>
      <c r="Q54" s="843"/>
      <c r="R54" s="843"/>
      <c r="S54" s="843"/>
      <c r="T54" s="843"/>
      <c r="U54" s="843"/>
      <c r="V54" s="842">
        <f>IF(AND(Roof_Type="Steel Roof",Brick_type&lt;&gt;"Brick Veneer"),CEILING(FF_Perim/6.3,1),0)</f>
        <v>0</v>
      </c>
      <c r="W54" s="843"/>
      <c r="X54" s="843"/>
      <c r="Y54" s="843"/>
      <c r="Z54" s="843"/>
      <c r="AA54" s="843"/>
      <c r="AB54" s="843"/>
      <c r="AC54" s="843"/>
      <c r="AD54" s="843"/>
      <c r="AE54" s="843"/>
      <c r="AF54" s="843"/>
      <c r="AG54" s="843"/>
      <c r="AH54" s="843"/>
      <c r="AI54" s="843"/>
      <c r="AJ54" s="843"/>
      <c r="AK54" s="843"/>
      <c r="AL54" s="843"/>
      <c r="AM54" s="843"/>
      <c r="AN54" s="843"/>
      <c r="AO54" s="843"/>
      <c r="AP54" s="844">
        <f>V54*V4</f>
        <v>0</v>
      </c>
      <c r="AQ54" s="1008"/>
      <c r="AR54" s="12"/>
      <c r="AS54" s="1009"/>
    </row>
  </sheetData>
  <sheetProtection selectLockedCells="1"/>
  <mergeCells count="1">
    <mergeCell ref="B1:AP2"/>
  </mergeCells>
  <dataValidations count="1">
    <dataValidation type="whole" allowBlank="1" showInputMessage="1" showErrorMessage="1" error="Do not use decimal places" sqref="C27:K27 D28:K37 U27:U46 C6:T26 U6:U25 L27:T37 C28:C54 U50:U54 D38:T54 V6:AO54" xr:uid="{D5B31700-164B-4C7C-A227-4AF62B55C937}">
      <formula1>0</formula1>
      <formula2>200</formula2>
    </dataValidation>
  </dataValidations>
  <pageMargins left="0.19685039370078741" right="0.19685039370078741" top="0.39370078740157483" bottom="0.39370078740157483" header="0.51181102362204722" footer="0.51181102362204722"/>
  <pageSetup paperSize="9" scale="57" orientation="landscape" r:id="rId1"/>
  <headerFooter alignWithMargins="0">
    <oddFooter>Page &amp;P of &amp;N</oddFooter>
  </headerFooter>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6">
    <pageSetUpPr fitToPage="1"/>
  </sheetPr>
  <dimension ref="A1:AK1048576"/>
  <sheetViews>
    <sheetView zoomScale="85" zoomScaleNormal="85" workbookViewId="0">
      <selection sqref="A1:C1"/>
    </sheetView>
  </sheetViews>
  <sheetFormatPr defaultRowHeight="12.75" x14ac:dyDescent="0.2"/>
  <cols>
    <col min="1" max="1" width="20" style="41" bestFit="1" customWidth="1"/>
    <col min="2" max="2" width="3.7109375" style="41" customWidth="1"/>
    <col min="3" max="3" width="7.7109375" style="41" customWidth="1"/>
    <col min="4" max="4" width="3.7109375" style="41" customWidth="1"/>
    <col min="5" max="5" width="7.7109375" style="41" customWidth="1"/>
    <col min="6" max="6" width="3.7109375" style="41" customWidth="1"/>
    <col min="7" max="7" width="7.7109375" style="41" customWidth="1"/>
    <col min="8" max="8" width="3.7109375" style="41" customWidth="1"/>
    <col min="9" max="9" width="7.7109375" style="41" customWidth="1"/>
    <col min="10" max="10" width="3.7109375" style="41" customWidth="1"/>
    <col min="11" max="11" width="7.7109375" style="41" customWidth="1"/>
    <col min="12" max="12" width="3.7109375" style="41" customWidth="1"/>
    <col min="13" max="13" width="7.7109375" style="41" customWidth="1"/>
    <col min="14" max="14" width="3.7109375" style="41" customWidth="1"/>
    <col min="15" max="15" width="7.7109375" style="41" customWidth="1"/>
    <col min="16" max="16" width="3.7109375" style="41" customWidth="1"/>
    <col min="17" max="17" width="7.7109375" style="41" customWidth="1"/>
    <col min="18" max="18" width="3.7109375" style="41" customWidth="1"/>
    <col min="19" max="19" width="7.7109375" style="41" customWidth="1"/>
    <col min="20" max="20" width="3.7109375" style="41" customWidth="1"/>
    <col min="21" max="21" width="7.7109375" style="41" customWidth="1"/>
    <col min="22" max="22" width="3.7109375" style="41" customWidth="1"/>
    <col min="23" max="23" width="7.7109375" style="41" customWidth="1"/>
    <col min="24" max="24" width="3.7109375" style="41" customWidth="1"/>
    <col min="25" max="25" width="7.7109375" style="41" customWidth="1"/>
    <col min="26" max="26" width="3.7109375" style="41" customWidth="1"/>
    <col min="27" max="28" width="7.7109375" style="41" customWidth="1"/>
    <col min="29" max="29" width="4" style="41" bestFit="1" customWidth="1"/>
    <col min="30" max="30" width="3.7109375" style="41" customWidth="1"/>
    <col min="31" max="31" width="10.5703125" style="41" bestFit="1" customWidth="1"/>
    <col min="32" max="33" width="7.7109375" style="41" customWidth="1"/>
    <col min="34" max="34" width="1.140625" style="41" customWidth="1"/>
    <col min="35" max="35" width="13.7109375" style="41" customWidth="1"/>
    <col min="36" max="16384" width="9.140625" style="41"/>
  </cols>
  <sheetData>
    <row r="1" spans="1:34" ht="23.25" x14ac:dyDescent="0.2">
      <c r="A1" s="1337" t="s">
        <v>142</v>
      </c>
      <c r="B1" s="1338"/>
      <c r="C1" s="1338"/>
      <c r="D1" s="887"/>
      <c r="E1" s="887"/>
      <c r="F1" s="887"/>
      <c r="G1" s="887"/>
      <c r="H1" s="887"/>
      <c r="I1" s="887"/>
      <c r="J1" s="887"/>
      <c r="K1" s="887"/>
      <c r="L1" s="887"/>
      <c r="M1" s="887"/>
      <c r="N1" s="887"/>
      <c r="O1" s="887"/>
      <c r="P1" s="887"/>
      <c r="Q1" s="887"/>
      <c r="R1" s="887"/>
      <c r="S1" s="887"/>
      <c r="T1" s="887"/>
      <c r="U1" s="887"/>
      <c r="V1" s="887"/>
      <c r="W1" s="887"/>
      <c r="X1" s="887"/>
      <c r="Y1" s="887"/>
      <c r="Z1" s="887"/>
      <c r="AA1" s="887"/>
      <c r="AB1" s="887"/>
      <c r="AC1" s="887"/>
      <c r="AD1" s="887"/>
      <c r="AE1" s="887"/>
      <c r="AF1" s="887"/>
      <c r="AG1" s="887"/>
      <c r="AH1" s="888"/>
    </row>
    <row r="2" spans="1:34" ht="2.25" customHeight="1" thickBot="1" x14ac:dyDescent="0.25">
      <c r="A2" s="889"/>
      <c r="B2" s="890"/>
      <c r="C2" s="890"/>
      <c r="D2" s="890"/>
      <c r="E2" s="890"/>
      <c r="F2" s="890"/>
      <c r="G2" s="890"/>
      <c r="H2" s="890"/>
      <c r="I2" s="890"/>
      <c r="J2" s="890"/>
      <c r="K2" s="890"/>
      <c r="L2" s="891"/>
      <c r="M2" s="1341"/>
      <c r="N2" s="1341"/>
      <c r="O2" s="890"/>
      <c r="P2" s="890"/>
      <c r="Q2" s="890"/>
      <c r="R2" s="890"/>
      <c r="S2" s="890"/>
      <c r="T2" s="890"/>
      <c r="U2" s="890"/>
      <c r="V2" s="890"/>
      <c r="W2" s="890"/>
      <c r="X2" s="890"/>
      <c r="Y2" s="890"/>
      <c r="Z2" s="890"/>
      <c r="AA2" s="890"/>
      <c r="AB2" s="890"/>
      <c r="AC2" s="890"/>
      <c r="AD2" s="890"/>
      <c r="AE2" s="890"/>
      <c r="AF2" s="890"/>
      <c r="AG2" s="890"/>
      <c r="AH2" s="892"/>
    </row>
    <row r="3" spans="1:34" ht="13.5" thickBot="1" x14ac:dyDescent="0.25">
      <c r="A3" s="893" t="s">
        <v>143</v>
      </c>
      <c r="B3" s="890"/>
      <c r="C3" s="890"/>
      <c r="D3" s="1346">
        <f>Job_No</f>
        <v>304909</v>
      </c>
      <c r="E3" s="1347"/>
      <c r="F3" s="1348"/>
      <c r="G3" s="1349"/>
      <c r="H3" s="1334" t="str">
        <f>Address</f>
        <v/>
      </c>
      <c r="I3" s="1335"/>
      <c r="J3" s="1335"/>
      <c r="K3" s="1335"/>
      <c r="L3" s="1335"/>
      <c r="M3" s="1335"/>
      <c r="N3" s="1335"/>
      <c r="O3" s="1335"/>
      <c r="P3" s="1335"/>
      <c r="Q3" s="1335"/>
      <c r="R3" s="1335"/>
      <c r="S3" s="1335"/>
      <c r="T3" s="1335"/>
      <c r="U3" s="1335"/>
      <c r="V3" s="1335"/>
      <c r="W3" s="1335"/>
      <c r="X3" s="1335"/>
      <c r="Y3" s="1335"/>
      <c r="Z3" s="1335"/>
      <c r="AA3" s="1335"/>
      <c r="AB3" s="1335"/>
      <c r="AC3" s="1335"/>
      <c r="AD3" s="1335"/>
      <c r="AE3" s="1335"/>
      <c r="AF3" s="1336"/>
      <c r="AG3" s="890"/>
      <c r="AH3" s="892"/>
    </row>
    <row r="4" spans="1:34" ht="4.5" customHeight="1" x14ac:dyDescent="0.2">
      <c r="A4" s="889"/>
      <c r="B4" s="890"/>
      <c r="C4" s="890"/>
      <c r="D4" s="890"/>
      <c r="E4" s="890"/>
      <c r="F4" s="890"/>
      <c r="G4" s="890"/>
      <c r="H4" s="890"/>
      <c r="I4" s="890"/>
      <c r="J4" s="890"/>
      <c r="K4" s="890"/>
      <c r="L4" s="890"/>
      <c r="M4" s="890"/>
      <c r="N4" s="890"/>
      <c r="O4" s="890"/>
      <c r="P4" s="890"/>
      <c r="Q4" s="890"/>
      <c r="R4" s="890"/>
      <c r="S4" s="890"/>
      <c r="T4" s="890"/>
      <c r="U4" s="890"/>
      <c r="V4" s="890"/>
      <c r="W4" s="890"/>
      <c r="X4" s="890"/>
      <c r="Y4" s="890"/>
      <c r="Z4" s="890"/>
      <c r="AA4" s="890"/>
      <c r="AB4" s="890"/>
      <c r="AC4" s="890"/>
      <c r="AD4" s="890"/>
      <c r="AE4" s="890"/>
      <c r="AF4" s="890"/>
      <c r="AG4" s="890"/>
      <c r="AH4" s="892"/>
    </row>
    <row r="5" spans="1:34" x14ac:dyDescent="0.2">
      <c r="A5" s="513" t="s">
        <v>215</v>
      </c>
      <c r="B5" s="1342" t="s">
        <v>1195</v>
      </c>
      <c r="C5" s="1343"/>
      <c r="D5" s="1342" t="str">
        <f>IF(D7="Design Pine","42*19","42*19")</f>
        <v>42*19</v>
      </c>
      <c r="E5" s="1343"/>
      <c r="F5" s="1342" t="s">
        <v>1448</v>
      </c>
      <c r="G5" s="1343"/>
      <c r="H5" s="1342" t="str">
        <f>IF('Data Sheet'!B24="Timber Frame","66*18","12*12")</f>
        <v>12*12</v>
      </c>
      <c r="I5" s="1343"/>
      <c r="J5" s="1342" t="s">
        <v>1196</v>
      </c>
      <c r="K5" s="1343"/>
      <c r="L5" s="1342" t="s">
        <v>1196</v>
      </c>
      <c r="M5" s="1343"/>
      <c r="N5" s="1342" t="s">
        <v>1197</v>
      </c>
      <c r="O5" s="1343"/>
      <c r="P5" s="1342" t="s">
        <v>1198</v>
      </c>
      <c r="Q5" s="1343"/>
      <c r="R5" s="1342" t="s">
        <v>3120</v>
      </c>
      <c r="S5" s="1343"/>
      <c r="T5" s="1342" t="s">
        <v>217</v>
      </c>
      <c r="U5" s="1343"/>
      <c r="V5" s="1342" t="s">
        <v>218</v>
      </c>
      <c r="W5" s="1343"/>
      <c r="X5" s="1342" t="s">
        <v>219</v>
      </c>
      <c r="Y5" s="1353"/>
      <c r="Z5" s="1342" t="s">
        <v>220</v>
      </c>
      <c r="AA5" s="1353"/>
      <c r="AB5" s="896" t="s">
        <v>303</v>
      </c>
      <c r="AC5" s="896" t="s">
        <v>342</v>
      </c>
      <c r="AD5" s="1342" t="s">
        <v>222</v>
      </c>
      <c r="AE5" s="1353"/>
      <c r="AF5" s="897" t="s">
        <v>216</v>
      </c>
      <c r="AG5" s="898" t="s">
        <v>216</v>
      </c>
      <c r="AH5" s="899"/>
    </row>
    <row r="6" spans="1:34" x14ac:dyDescent="0.2">
      <c r="A6" s="514"/>
      <c r="B6" s="1339" t="s">
        <v>329</v>
      </c>
      <c r="C6" s="1340"/>
      <c r="D6" s="1339" t="s">
        <v>223</v>
      </c>
      <c r="E6" s="1340"/>
      <c r="F6" s="1339" t="s">
        <v>243</v>
      </c>
      <c r="G6" s="1340"/>
      <c r="H6" s="1339" t="str">
        <f>IF('Data Sheet'!B24="Timber Frame","Architrave","Quad")</f>
        <v>Quad</v>
      </c>
      <c r="I6" s="1340"/>
      <c r="J6" s="1344" t="s">
        <v>301</v>
      </c>
      <c r="K6" s="1345"/>
      <c r="L6" s="1339" t="s">
        <v>225</v>
      </c>
      <c r="M6" s="1340"/>
      <c r="N6" s="1339" t="s">
        <v>146</v>
      </c>
      <c r="O6" s="1340"/>
      <c r="P6" s="1339" t="s">
        <v>224</v>
      </c>
      <c r="Q6" s="1340"/>
      <c r="R6" s="1344" t="s">
        <v>217</v>
      </c>
      <c r="S6" s="1345"/>
      <c r="T6" s="1339"/>
      <c r="U6" s="1340"/>
      <c r="V6" s="1339" t="s">
        <v>241</v>
      </c>
      <c r="W6" s="1340"/>
      <c r="X6" s="1344" t="s">
        <v>226</v>
      </c>
      <c r="Y6" s="1356"/>
      <c r="Z6" s="1362" t="s">
        <v>227</v>
      </c>
      <c r="AA6" s="1363"/>
      <c r="AB6" s="900" t="s">
        <v>304</v>
      </c>
      <c r="AC6" s="900" t="s">
        <v>304</v>
      </c>
      <c r="AD6" s="1351"/>
      <c r="AE6" s="1352"/>
      <c r="AF6" s="901" t="s">
        <v>229</v>
      </c>
      <c r="AG6" s="902" t="s">
        <v>230</v>
      </c>
      <c r="AH6" s="899"/>
    </row>
    <row r="7" spans="1:34" x14ac:dyDescent="0.2">
      <c r="A7" s="513" t="s">
        <v>144</v>
      </c>
      <c r="B7" s="1364" t="s">
        <v>1106</v>
      </c>
      <c r="C7" s="1365"/>
      <c r="D7" s="1354" t="s">
        <v>231</v>
      </c>
      <c r="E7" s="1355"/>
      <c r="F7" s="1354" t="s">
        <v>1106</v>
      </c>
      <c r="G7" s="1355"/>
      <c r="H7" s="1354" t="s">
        <v>147</v>
      </c>
      <c r="I7" s="1355"/>
      <c r="J7" s="1354" t="s">
        <v>147</v>
      </c>
      <c r="K7" s="1366"/>
      <c r="L7" s="1354" t="s">
        <v>1106</v>
      </c>
      <c r="M7" s="1355"/>
      <c r="N7" s="1354" t="s">
        <v>147</v>
      </c>
      <c r="O7" s="1355"/>
      <c r="P7" s="1354" t="s">
        <v>1106</v>
      </c>
      <c r="Q7" s="1355"/>
      <c r="R7" s="1354" t="s">
        <v>147</v>
      </c>
      <c r="S7" s="1355"/>
      <c r="T7" s="1354" t="s">
        <v>8</v>
      </c>
      <c r="U7" s="1355"/>
      <c r="V7" s="1354" t="s">
        <v>147</v>
      </c>
      <c r="W7" s="1355"/>
      <c r="X7" s="1354" t="s">
        <v>232</v>
      </c>
      <c r="Y7" s="1361"/>
      <c r="Z7" s="903"/>
      <c r="AA7" s="904"/>
      <c r="AB7" s="905"/>
      <c r="AC7" s="905"/>
      <c r="AD7" s="905"/>
      <c r="AE7" s="906"/>
      <c r="AF7" s="905"/>
      <c r="AG7" s="907"/>
      <c r="AH7" s="899"/>
    </row>
    <row r="8" spans="1:34" x14ac:dyDescent="0.2">
      <c r="A8" s="908" t="s">
        <v>7</v>
      </c>
      <c r="B8" s="909" t="s">
        <v>233</v>
      </c>
      <c r="C8" s="909" t="s">
        <v>34</v>
      </c>
      <c r="D8" s="909" t="s">
        <v>233</v>
      </c>
      <c r="E8" s="909" t="s">
        <v>34</v>
      </c>
      <c r="F8" s="909" t="s">
        <v>233</v>
      </c>
      <c r="G8" s="909" t="s">
        <v>34</v>
      </c>
      <c r="H8" s="909" t="s">
        <v>233</v>
      </c>
      <c r="I8" s="909" t="s">
        <v>34</v>
      </c>
      <c r="J8" s="909" t="s">
        <v>233</v>
      </c>
      <c r="K8" s="909" t="s">
        <v>34</v>
      </c>
      <c r="L8" s="909" t="s">
        <v>233</v>
      </c>
      <c r="M8" s="909" t="s">
        <v>34</v>
      </c>
      <c r="N8" s="909" t="s">
        <v>233</v>
      </c>
      <c r="O8" s="909" t="s">
        <v>34</v>
      </c>
      <c r="P8" s="909" t="s">
        <v>233</v>
      </c>
      <c r="Q8" s="909" t="s">
        <v>34</v>
      </c>
      <c r="R8" s="909" t="s">
        <v>233</v>
      </c>
      <c r="S8" s="909" t="s">
        <v>34</v>
      </c>
      <c r="T8" s="909" t="s">
        <v>233</v>
      </c>
      <c r="U8" s="909" t="s">
        <v>34</v>
      </c>
      <c r="V8" s="909" t="s">
        <v>233</v>
      </c>
      <c r="W8" s="909" t="s">
        <v>34</v>
      </c>
      <c r="X8" s="909" t="s">
        <v>233</v>
      </c>
      <c r="Y8" s="909" t="s">
        <v>34</v>
      </c>
      <c r="Z8" s="909" t="s">
        <v>233</v>
      </c>
      <c r="AA8" s="909" t="s">
        <v>34</v>
      </c>
      <c r="AB8" s="910" t="s">
        <v>233</v>
      </c>
      <c r="AC8" s="910" t="s">
        <v>233</v>
      </c>
      <c r="AD8" s="910" t="s">
        <v>233</v>
      </c>
      <c r="AE8" s="909" t="s">
        <v>65</v>
      </c>
      <c r="AF8" s="909" t="s">
        <v>34</v>
      </c>
      <c r="AG8" s="910" t="s">
        <v>233</v>
      </c>
      <c r="AH8" s="911"/>
    </row>
    <row r="9" spans="1:34" ht="12.6" customHeight="1" x14ac:dyDescent="0.2">
      <c r="A9" s="912"/>
      <c r="B9" s="913"/>
      <c r="C9" s="914"/>
      <c r="D9" s="913"/>
      <c r="E9" s="914"/>
      <c r="F9" s="913"/>
      <c r="G9" s="914"/>
      <c r="H9" s="913"/>
      <c r="I9" s="914"/>
      <c r="J9" s="913"/>
      <c r="K9" s="914"/>
      <c r="L9" s="913"/>
      <c r="M9" s="914"/>
      <c r="N9" s="913"/>
      <c r="O9" s="914"/>
      <c r="P9" s="913"/>
      <c r="Q9" s="914"/>
      <c r="R9" s="1263">
        <f>COUNTIF(Name,"Door Shpr*")</f>
        <v>0</v>
      </c>
      <c r="S9" s="914">
        <f>_xlfn.CEILING.MATH(SUMIF(Name,"Door Shpr*",Length),0.3)</f>
        <v>0</v>
      </c>
      <c r="T9" s="913"/>
      <c r="U9" s="914"/>
      <c r="V9" s="913"/>
      <c r="W9" s="914"/>
      <c r="X9" s="913"/>
      <c r="Y9" s="914"/>
      <c r="Z9" s="913"/>
      <c r="AA9" s="914"/>
      <c r="AB9" s="915"/>
      <c r="AC9" s="916"/>
      <c r="AD9" s="913"/>
      <c r="AE9" s="917"/>
      <c r="AF9" s="918"/>
      <c r="AG9" s="919"/>
      <c r="AH9" s="892"/>
    </row>
    <row r="10" spans="1:34" ht="12.6" customHeight="1" x14ac:dyDescent="0.2">
      <c r="A10" s="912"/>
      <c r="B10" s="920"/>
      <c r="C10" s="921"/>
      <c r="D10" s="920"/>
      <c r="E10" s="921"/>
      <c r="F10" s="922"/>
      <c r="G10" s="921"/>
      <c r="H10" s="922"/>
      <c r="I10" s="921"/>
      <c r="J10" s="922"/>
      <c r="K10" s="921"/>
      <c r="L10" s="922"/>
      <c r="M10" s="921"/>
      <c r="N10" s="922"/>
      <c r="O10" s="921"/>
      <c r="P10" s="922"/>
      <c r="Q10" s="921"/>
      <c r="R10" s="922"/>
      <c r="S10" s="921"/>
      <c r="T10" s="922"/>
      <c r="U10" s="921"/>
      <c r="V10" s="922"/>
      <c r="W10" s="921"/>
      <c r="X10" s="922"/>
      <c r="Y10" s="921"/>
      <c r="Z10" s="920"/>
      <c r="AA10" s="921"/>
      <c r="AB10" s="923"/>
      <c r="AC10" s="924"/>
      <c r="AD10" s="922"/>
      <c r="AE10" s="925"/>
      <c r="AF10" s="926"/>
      <c r="AG10" s="924"/>
      <c r="AH10" s="892"/>
    </row>
    <row r="11" spans="1:34" ht="12.6" customHeight="1" x14ac:dyDescent="0.2">
      <c r="A11" s="912"/>
      <c r="B11" s="920"/>
      <c r="C11" s="921" t="str">
        <f t="shared" ref="C11:C19" si="0">IF(B11="","",(CEILING(ROUNDUP((AF11+0.01),1),0.3)))</f>
        <v/>
      </c>
      <c r="D11" s="920">
        <f t="shared" ref="D11:D19" si="1">B11</f>
        <v>0</v>
      </c>
      <c r="E11" s="921" t="str">
        <f t="shared" ref="E11:E19" si="2">IF(B11="","",C11+0.9)</f>
        <v/>
      </c>
      <c r="F11" s="922"/>
      <c r="G11" s="921"/>
      <c r="H11" s="922"/>
      <c r="I11" s="921"/>
      <c r="J11" s="922"/>
      <c r="K11" s="921"/>
      <c r="L11" s="922"/>
      <c r="M11" s="921"/>
      <c r="N11" s="922"/>
      <c r="O11" s="921"/>
      <c r="P11" s="922"/>
      <c r="Q11" s="921"/>
      <c r="R11" s="922"/>
      <c r="S11" s="921"/>
      <c r="T11" s="922"/>
      <c r="U11" s="921"/>
      <c r="V11" s="922"/>
      <c r="W11" s="921"/>
      <c r="X11" s="922"/>
      <c r="Y11" s="921"/>
      <c r="Z11" s="920">
        <f>B11</f>
        <v>0</v>
      </c>
      <c r="AA11" s="921" t="str">
        <f>IF(AF11&gt;0,CEILING(AF11,0.3),"")</f>
        <v/>
      </c>
      <c r="AB11" s="923" t="str">
        <f>IF(AF11&gt;1,1,"")</f>
        <v/>
      </c>
      <c r="AC11" s="924" t="str">
        <f>IF(AF11&gt;1.99,1,"")</f>
        <v/>
      </c>
      <c r="AD11" s="927" t="str">
        <f>IF(AND(AF11&gt;=3.6,AF11&lt;4.8),ROUNDUP(AF11/2.4,0)*AG11,IF(AND(AF11&gt;=4.8,AF11&lt;=7.2),ROUNDUP(AF11/3.6,0)*AG11,IF(AG11=0,"",AG11)))</f>
        <v/>
      </c>
      <c r="AE11" s="925" t="str">
        <f>IF(AND(AF11&gt;0,AF11&lt;1.8),"1.8*445",IF(AND(AF11&gt;=1.8,AF11&lt;2.4),"2.4*445",IF(AND(AF11&gt;=2.4,AF11&lt;3.6),"3.6*445",IF(AND(AF11&gt;=3.6,AF11&lt;4.8),"2.4*445",IF(AND(AF11&gt;=4.8,AF11&lt;=7.2),"3.6*445","")))))</f>
        <v/>
      </c>
      <c r="AF11" s="926"/>
      <c r="AG11" s="924"/>
      <c r="AH11" s="892"/>
    </row>
    <row r="12" spans="1:34" ht="12.6" customHeight="1" x14ac:dyDescent="0.2">
      <c r="A12" s="912"/>
      <c r="B12" s="920"/>
      <c r="C12" s="921" t="str">
        <f t="shared" si="0"/>
        <v/>
      </c>
      <c r="D12" s="920">
        <f t="shared" si="1"/>
        <v>0</v>
      </c>
      <c r="E12" s="921" t="str">
        <f t="shared" si="2"/>
        <v/>
      </c>
      <c r="F12" s="922"/>
      <c r="G12" s="921"/>
      <c r="H12" s="922"/>
      <c r="I12" s="921"/>
      <c r="J12" s="922"/>
      <c r="K12" s="921"/>
      <c r="L12" s="922"/>
      <c r="M12" s="921"/>
      <c r="N12" s="922"/>
      <c r="O12" s="921"/>
      <c r="P12" s="922"/>
      <c r="Q12" s="921"/>
      <c r="R12" s="922"/>
      <c r="S12" s="921"/>
      <c r="T12" s="922"/>
      <c r="U12" s="921"/>
      <c r="V12" s="922"/>
      <c r="W12" s="921"/>
      <c r="X12" s="922"/>
      <c r="Y12" s="921"/>
      <c r="Z12" s="920">
        <f>B12</f>
        <v>0</v>
      </c>
      <c r="AA12" s="921" t="str">
        <f>IF(AF12&gt;0,CEILING(AF12,0.3),"")</f>
        <v/>
      </c>
      <c r="AB12" s="923" t="str">
        <f>IF(AF12&gt;1,1,"")</f>
        <v/>
      </c>
      <c r="AC12" s="924" t="str">
        <f>IF(AF12&gt;1.99,1,"")</f>
        <v/>
      </c>
      <c r="AD12" s="927" t="str">
        <f t="shared" ref="AD12:AD27" si="3">IF(AND(AF12&gt;=3.6,AF12&lt;4.8),ROUNDUP(AF12/2.4,0)*AG12,IF(AND(AF12&gt;=4.8,AF12&lt;=7.2),ROUNDUP(AF12/3.6,0)*AG12,IF(AG12=0,"",AG12)))</f>
        <v/>
      </c>
      <c r="AE12" s="925" t="str">
        <f>IF(AND(AF12&gt;0,AF12&lt;1.8),"1.8*445",IF(AND(AF12&gt;=1.8,AF12&lt;2.4),"2.4*445",IF(AND(AF12&gt;=2.4,AF12&lt;3.6),"3.6*445",IF(AND(AF12&gt;=3.6,AF12&lt;4.8),"2.4*445",IF(AND(AF12&gt;=4.8,AF12&lt;=7.2),"3.6*445","")))))</f>
        <v/>
      </c>
      <c r="AF12" s="926"/>
      <c r="AG12" s="924"/>
      <c r="AH12" s="892"/>
    </row>
    <row r="13" spans="1:34" ht="12.6" customHeight="1" x14ac:dyDescent="0.2">
      <c r="A13" s="912"/>
      <c r="B13" s="920"/>
      <c r="C13" s="921" t="str">
        <f t="shared" si="0"/>
        <v/>
      </c>
      <c r="D13" s="920">
        <f t="shared" si="1"/>
        <v>0</v>
      </c>
      <c r="E13" s="921" t="str">
        <f t="shared" si="2"/>
        <v/>
      </c>
      <c r="F13" s="922"/>
      <c r="G13" s="921"/>
      <c r="H13" s="922"/>
      <c r="I13" s="921"/>
      <c r="J13" s="922"/>
      <c r="K13" s="921"/>
      <c r="L13" s="922"/>
      <c r="M13" s="921"/>
      <c r="N13" s="922"/>
      <c r="O13" s="921"/>
      <c r="P13" s="922"/>
      <c r="Q13" s="921"/>
      <c r="R13" s="922"/>
      <c r="S13" s="921"/>
      <c r="T13" s="922"/>
      <c r="U13" s="921"/>
      <c r="V13" s="922"/>
      <c r="W13" s="921"/>
      <c r="X13" s="922"/>
      <c r="Y13" s="921"/>
      <c r="Z13" s="920">
        <f>B13</f>
        <v>0</v>
      </c>
      <c r="AA13" s="921" t="str">
        <f>IF(AF13&gt;0,CEILING(AF13,0.3),"")</f>
        <v/>
      </c>
      <c r="AB13" s="923" t="str">
        <f>IF(AF13&gt;1,1,"")</f>
        <v/>
      </c>
      <c r="AC13" s="924" t="str">
        <f>IF(AF13&gt;1.99,1,"")</f>
        <v/>
      </c>
      <c r="AD13" s="927" t="str">
        <f t="shared" si="3"/>
        <v/>
      </c>
      <c r="AE13" s="925" t="str">
        <f>IF(AND(AF13&gt;0,AF13&lt;1.8),"1.8*445",IF(AND(AF13&gt;=1.8,AF13&lt;2.4),"2.4*445",IF(AND(AF13&gt;=2.4,AF13&lt;3.6),"3.6*445",IF(AND(AF13&gt;=3.6,AF13&lt;4.8),"2.4*445",IF(AND(AF13&gt;=4.8,AF13&lt;=7.2),"3.6*445","")))))</f>
        <v/>
      </c>
      <c r="AF13" s="926"/>
      <c r="AG13" s="924"/>
      <c r="AH13" s="892"/>
    </row>
    <row r="14" spans="1:34" ht="12.6" customHeight="1" x14ac:dyDescent="0.2">
      <c r="A14" s="912"/>
      <c r="B14" s="920"/>
      <c r="C14" s="921" t="str">
        <f t="shared" si="0"/>
        <v/>
      </c>
      <c r="D14" s="920">
        <f t="shared" si="1"/>
        <v>0</v>
      </c>
      <c r="E14" s="921" t="str">
        <f t="shared" si="2"/>
        <v/>
      </c>
      <c r="F14" s="922"/>
      <c r="G14" s="921"/>
      <c r="H14" s="922"/>
      <c r="I14" s="921"/>
      <c r="J14" s="922"/>
      <c r="K14" s="921"/>
      <c r="L14" s="922"/>
      <c r="M14" s="921"/>
      <c r="N14" s="922"/>
      <c r="O14" s="921"/>
      <c r="P14" s="922"/>
      <c r="Q14" s="921"/>
      <c r="R14" s="922"/>
      <c r="S14" s="921"/>
      <c r="T14" s="922"/>
      <c r="U14" s="921"/>
      <c r="V14" s="922"/>
      <c r="W14" s="921"/>
      <c r="X14" s="922"/>
      <c r="Y14" s="921"/>
      <c r="Z14" s="920">
        <f>B14</f>
        <v>0</v>
      </c>
      <c r="AA14" s="921" t="str">
        <f>IF(AF14&gt;0,CEILING(AF14,0.3),"")</f>
        <v/>
      </c>
      <c r="AB14" s="923" t="str">
        <f>IF(AF14&gt;1,1,"")</f>
        <v/>
      </c>
      <c r="AC14" s="924" t="str">
        <f>IF(AF14&gt;1.99,1,"")</f>
        <v/>
      </c>
      <c r="AD14" s="927" t="str">
        <f t="shared" si="3"/>
        <v/>
      </c>
      <c r="AE14" s="925" t="str">
        <f t="shared" ref="AE14:AE27" si="4">IF(AND(AF14&gt;0,AF14&lt;1.8),"1.8*445",IF(AND(AF14&gt;=1.8,AF14&lt;2.4),"2.4*445",IF(AND(AF14&gt;=2.4,AF14&lt;3.6),"3.6*445",IF(AND(AF14&gt;=3.6,AF14&lt;4.8),"2.4*445",IF(AND(AF14&gt;=4.8,AF14&lt;=7.2),"3.6*445","")))))</f>
        <v/>
      </c>
      <c r="AF14" s="926"/>
      <c r="AG14" s="924"/>
      <c r="AH14" s="892"/>
    </row>
    <row r="15" spans="1:34" ht="12.6" customHeight="1" x14ac:dyDescent="0.2">
      <c r="A15" s="912"/>
      <c r="B15" s="920"/>
      <c r="C15" s="921" t="str">
        <f t="shared" si="0"/>
        <v/>
      </c>
      <c r="D15" s="920">
        <f t="shared" si="1"/>
        <v>0</v>
      </c>
      <c r="E15" s="921" t="str">
        <f t="shared" si="2"/>
        <v/>
      </c>
      <c r="F15" s="922"/>
      <c r="G15" s="921"/>
      <c r="H15" s="922"/>
      <c r="I15" s="921"/>
      <c r="J15" s="922"/>
      <c r="K15" s="921"/>
      <c r="L15" s="922"/>
      <c r="M15" s="921"/>
      <c r="N15" s="922"/>
      <c r="O15" s="921"/>
      <c r="P15" s="922"/>
      <c r="Q15" s="921"/>
      <c r="R15" s="922"/>
      <c r="S15" s="921"/>
      <c r="T15" s="922"/>
      <c r="U15" s="921"/>
      <c r="V15" s="922"/>
      <c r="W15" s="921"/>
      <c r="X15" s="922"/>
      <c r="Y15" s="921"/>
      <c r="Z15" s="920">
        <f>B15</f>
        <v>0</v>
      </c>
      <c r="AA15" s="921" t="str">
        <f>IF(AF15&gt;0,CEILING(AF15,0.3),"")</f>
        <v/>
      </c>
      <c r="AB15" s="923" t="str">
        <f>IF(AF15&gt;1,1,"")</f>
        <v/>
      </c>
      <c r="AC15" s="924" t="str">
        <f>IF(AF15&gt;1.99,1,"")</f>
        <v/>
      </c>
      <c r="AD15" s="927" t="str">
        <f t="shared" si="3"/>
        <v/>
      </c>
      <c r="AE15" s="925" t="str">
        <f t="shared" si="4"/>
        <v/>
      </c>
      <c r="AF15" s="926"/>
      <c r="AG15" s="924"/>
      <c r="AH15" s="892"/>
    </row>
    <row r="16" spans="1:34" ht="12.6" customHeight="1" x14ac:dyDescent="0.2">
      <c r="A16" s="912"/>
      <c r="B16" s="920"/>
      <c r="C16" s="921" t="str">
        <f t="shared" si="0"/>
        <v/>
      </c>
      <c r="D16" s="920">
        <f t="shared" si="1"/>
        <v>0</v>
      </c>
      <c r="E16" s="921" t="str">
        <f t="shared" si="2"/>
        <v/>
      </c>
      <c r="F16" s="922"/>
      <c r="G16" s="921"/>
      <c r="H16" s="922"/>
      <c r="I16" s="921"/>
      <c r="J16" s="922"/>
      <c r="K16" s="921"/>
      <c r="L16" s="922"/>
      <c r="M16" s="921"/>
      <c r="N16" s="922"/>
      <c r="O16" s="921"/>
      <c r="P16" s="922"/>
      <c r="Q16" s="921"/>
      <c r="R16" s="922"/>
      <c r="S16" s="921"/>
      <c r="T16" s="922"/>
      <c r="U16" s="921"/>
      <c r="V16" s="922"/>
      <c r="W16" s="921"/>
      <c r="X16" s="922"/>
      <c r="Y16" s="921"/>
      <c r="Z16" s="920"/>
      <c r="AA16" s="921"/>
      <c r="AB16" s="923"/>
      <c r="AC16" s="924" t="str">
        <f t="shared" ref="AC16:AC17" si="5">IF(AF16&gt;1.99,1,"")</f>
        <v/>
      </c>
      <c r="AD16" s="927" t="str">
        <f t="shared" si="3"/>
        <v/>
      </c>
      <c r="AE16" s="925" t="str">
        <f t="shared" si="4"/>
        <v/>
      </c>
      <c r="AF16" s="926"/>
      <c r="AG16" s="924"/>
      <c r="AH16" s="892"/>
    </row>
    <row r="17" spans="1:37" ht="12.6" customHeight="1" x14ac:dyDescent="0.2">
      <c r="A17" s="912"/>
      <c r="B17" s="920"/>
      <c r="C17" s="921" t="str">
        <f t="shared" si="0"/>
        <v/>
      </c>
      <c r="D17" s="920">
        <f t="shared" si="1"/>
        <v>0</v>
      </c>
      <c r="E17" s="921" t="str">
        <f t="shared" si="2"/>
        <v/>
      </c>
      <c r="F17" s="922"/>
      <c r="G17" s="921"/>
      <c r="H17" s="922"/>
      <c r="I17" s="921"/>
      <c r="J17" s="922"/>
      <c r="K17" s="921"/>
      <c r="L17" s="922"/>
      <c r="M17" s="921"/>
      <c r="N17" s="922"/>
      <c r="O17" s="921"/>
      <c r="P17" s="922"/>
      <c r="Q17" s="921"/>
      <c r="R17" s="922"/>
      <c r="S17" s="921"/>
      <c r="T17" s="922"/>
      <c r="U17" s="921"/>
      <c r="V17" s="922"/>
      <c r="W17" s="921"/>
      <c r="X17" s="922"/>
      <c r="Y17" s="921"/>
      <c r="Z17" s="920"/>
      <c r="AA17" s="921"/>
      <c r="AB17" s="923"/>
      <c r="AC17" s="924" t="str">
        <f t="shared" si="5"/>
        <v/>
      </c>
      <c r="AD17" s="927" t="str">
        <f t="shared" si="3"/>
        <v/>
      </c>
      <c r="AE17" s="925" t="str">
        <f t="shared" si="4"/>
        <v/>
      </c>
      <c r="AF17" s="926"/>
      <c r="AG17" s="924"/>
      <c r="AH17" s="892"/>
    </row>
    <row r="18" spans="1:37" ht="12.6" customHeight="1" x14ac:dyDescent="0.2">
      <c r="A18" s="912"/>
      <c r="B18" s="920"/>
      <c r="C18" s="921" t="str">
        <f t="shared" si="0"/>
        <v/>
      </c>
      <c r="D18" s="920">
        <f t="shared" si="1"/>
        <v>0</v>
      </c>
      <c r="E18" s="921" t="str">
        <f t="shared" si="2"/>
        <v/>
      </c>
      <c r="F18" s="922"/>
      <c r="G18" s="921"/>
      <c r="H18" s="922"/>
      <c r="I18" s="921"/>
      <c r="J18" s="922"/>
      <c r="K18" s="921"/>
      <c r="L18" s="922"/>
      <c r="M18" s="921"/>
      <c r="N18" s="922"/>
      <c r="O18" s="921"/>
      <c r="P18" s="922"/>
      <c r="Q18" s="921"/>
      <c r="R18" s="922"/>
      <c r="S18" s="921"/>
      <c r="T18" s="922"/>
      <c r="U18" s="921"/>
      <c r="V18" s="922"/>
      <c r="W18" s="921"/>
      <c r="X18" s="922"/>
      <c r="Y18" s="921"/>
      <c r="Z18" s="920"/>
      <c r="AA18" s="921"/>
      <c r="AB18" s="923"/>
      <c r="AC18" s="924" t="str">
        <f t="shared" ref="AC18:AC27" si="6">IF(AF18&gt;3.59,2,IF(AF18&gt;1.99,1,""))</f>
        <v/>
      </c>
      <c r="AD18" s="927" t="str">
        <f t="shared" si="3"/>
        <v/>
      </c>
      <c r="AE18" s="925" t="str">
        <f t="shared" si="4"/>
        <v/>
      </c>
      <c r="AF18" s="926"/>
      <c r="AG18" s="924"/>
      <c r="AH18" s="892"/>
    </row>
    <row r="19" spans="1:37" ht="12.6" customHeight="1" x14ac:dyDescent="0.2">
      <c r="A19" s="912"/>
      <c r="B19" s="920"/>
      <c r="C19" s="921" t="str">
        <f t="shared" si="0"/>
        <v/>
      </c>
      <c r="D19" s="920">
        <f t="shared" si="1"/>
        <v>0</v>
      </c>
      <c r="E19" s="921" t="str">
        <f t="shared" si="2"/>
        <v/>
      </c>
      <c r="F19" s="922"/>
      <c r="G19" s="921"/>
      <c r="H19" s="922"/>
      <c r="I19" s="921"/>
      <c r="J19" s="922"/>
      <c r="K19" s="921"/>
      <c r="L19" s="922"/>
      <c r="M19" s="921"/>
      <c r="N19" s="922"/>
      <c r="O19" s="921"/>
      <c r="P19" s="922"/>
      <c r="Q19" s="921"/>
      <c r="R19" s="922"/>
      <c r="S19" s="921"/>
      <c r="T19" s="922"/>
      <c r="U19" s="921"/>
      <c r="V19" s="922"/>
      <c r="W19" s="921"/>
      <c r="X19" s="922"/>
      <c r="Y19" s="921"/>
      <c r="Z19" s="920"/>
      <c r="AA19" s="921"/>
      <c r="AB19" s="923"/>
      <c r="AC19" s="924" t="str">
        <f>IF(AF19&gt;3.59,2,IF(AF19&gt;1.99,1,""))</f>
        <v/>
      </c>
      <c r="AD19" s="927" t="str">
        <f t="shared" si="3"/>
        <v/>
      </c>
      <c r="AE19" s="925" t="str">
        <f t="shared" si="4"/>
        <v/>
      </c>
      <c r="AF19" s="926"/>
      <c r="AG19" s="924"/>
      <c r="AH19" s="892"/>
    </row>
    <row r="20" spans="1:37" ht="12.6" customHeight="1" x14ac:dyDescent="0.2">
      <c r="A20" s="912"/>
      <c r="B20" s="920"/>
      <c r="C20" s="921"/>
      <c r="D20" s="920"/>
      <c r="E20" s="921"/>
      <c r="F20" s="922"/>
      <c r="G20" s="921"/>
      <c r="H20" s="922"/>
      <c r="I20" s="921"/>
      <c r="J20" s="922"/>
      <c r="K20" s="921"/>
      <c r="L20" s="922"/>
      <c r="M20" s="921"/>
      <c r="N20" s="922"/>
      <c r="O20" s="921"/>
      <c r="P20" s="922"/>
      <c r="Q20" s="921"/>
      <c r="R20" s="922"/>
      <c r="S20" s="921"/>
      <c r="T20" s="922"/>
      <c r="U20" s="921"/>
      <c r="V20" s="922"/>
      <c r="W20" s="921"/>
      <c r="X20" s="922"/>
      <c r="Y20" s="921"/>
      <c r="Z20" s="920"/>
      <c r="AA20" s="921"/>
      <c r="AB20" s="923"/>
      <c r="AC20" s="924" t="str">
        <f>IF(AF20&gt;3.59,2,IF(AF20&gt;1.99,1,""))</f>
        <v/>
      </c>
      <c r="AD20" s="927" t="str">
        <f t="shared" si="3"/>
        <v/>
      </c>
      <c r="AE20" s="925" t="str">
        <f t="shared" si="4"/>
        <v/>
      </c>
      <c r="AF20" s="926"/>
      <c r="AG20" s="924"/>
      <c r="AH20" s="892"/>
    </row>
    <row r="21" spans="1:37" ht="12.6" customHeight="1" x14ac:dyDescent="0.2">
      <c r="A21" s="912"/>
      <c r="B21" s="920"/>
      <c r="C21" s="921"/>
      <c r="D21" s="920"/>
      <c r="E21" s="921"/>
      <c r="F21" s="922"/>
      <c r="G21" s="921"/>
      <c r="H21" s="922"/>
      <c r="I21" s="921"/>
      <c r="J21" s="922"/>
      <c r="K21" s="921"/>
      <c r="L21" s="922"/>
      <c r="M21" s="921"/>
      <c r="N21" s="922"/>
      <c r="O21" s="921"/>
      <c r="P21" s="922"/>
      <c r="Q21" s="921"/>
      <c r="R21" s="922"/>
      <c r="S21" s="921"/>
      <c r="T21" s="922"/>
      <c r="U21" s="921"/>
      <c r="V21" s="922"/>
      <c r="W21" s="921"/>
      <c r="X21" s="922"/>
      <c r="Y21" s="921"/>
      <c r="Z21" s="920"/>
      <c r="AA21" s="921"/>
      <c r="AB21" s="923"/>
      <c r="AC21" s="924" t="str">
        <f>IF(AF21&gt;3.59,2,IF(AF21&gt;1.99,1,""))</f>
        <v/>
      </c>
      <c r="AD21" s="927" t="str">
        <f t="shared" si="3"/>
        <v/>
      </c>
      <c r="AE21" s="925" t="str">
        <f t="shared" si="4"/>
        <v/>
      </c>
      <c r="AF21" s="926"/>
      <c r="AG21" s="924"/>
      <c r="AH21" s="892"/>
    </row>
    <row r="22" spans="1:37" ht="12.6" customHeight="1" x14ac:dyDescent="0.2">
      <c r="A22" s="912"/>
      <c r="B22" s="920"/>
      <c r="C22" s="921"/>
      <c r="D22" s="920"/>
      <c r="E22" s="921"/>
      <c r="F22" s="922"/>
      <c r="G22" s="921"/>
      <c r="H22" s="922"/>
      <c r="I22" s="921"/>
      <c r="J22" s="922"/>
      <c r="K22" s="921"/>
      <c r="L22" s="922"/>
      <c r="M22" s="921"/>
      <c r="N22" s="922"/>
      <c r="O22" s="921"/>
      <c r="P22" s="922"/>
      <c r="Q22" s="921"/>
      <c r="R22" s="922"/>
      <c r="S22" s="921"/>
      <c r="T22" s="922"/>
      <c r="U22" s="921"/>
      <c r="V22" s="922"/>
      <c r="W22" s="921"/>
      <c r="X22" s="922"/>
      <c r="Y22" s="921"/>
      <c r="Z22" s="920"/>
      <c r="AA22" s="921"/>
      <c r="AB22" s="923"/>
      <c r="AC22" s="924" t="str">
        <f t="shared" si="6"/>
        <v/>
      </c>
      <c r="AD22" s="927" t="str">
        <f t="shared" si="3"/>
        <v/>
      </c>
      <c r="AE22" s="925" t="str">
        <f t="shared" si="4"/>
        <v/>
      </c>
      <c r="AF22" s="926"/>
      <c r="AG22" s="924"/>
      <c r="AH22" s="892"/>
    </row>
    <row r="23" spans="1:37" ht="12.6" customHeight="1" x14ac:dyDescent="0.2">
      <c r="A23" s="912"/>
      <c r="B23" s="920"/>
      <c r="C23" s="921"/>
      <c r="D23" s="920"/>
      <c r="E23" s="921"/>
      <c r="F23" s="922"/>
      <c r="G23" s="921"/>
      <c r="H23" s="922"/>
      <c r="I23" s="921"/>
      <c r="J23" s="922"/>
      <c r="K23" s="921"/>
      <c r="L23" s="922"/>
      <c r="M23" s="921"/>
      <c r="N23" s="922"/>
      <c r="O23" s="921"/>
      <c r="P23" s="922"/>
      <c r="Q23" s="921"/>
      <c r="R23" s="922"/>
      <c r="S23" s="921"/>
      <c r="T23" s="922"/>
      <c r="U23" s="921"/>
      <c r="V23" s="922"/>
      <c r="W23" s="921"/>
      <c r="X23" s="922"/>
      <c r="Y23" s="921"/>
      <c r="Z23" s="920"/>
      <c r="AA23" s="921"/>
      <c r="AB23" s="923"/>
      <c r="AC23" s="924" t="str">
        <f t="shared" si="6"/>
        <v/>
      </c>
      <c r="AD23" s="927" t="str">
        <f t="shared" si="3"/>
        <v/>
      </c>
      <c r="AE23" s="925" t="str">
        <f t="shared" si="4"/>
        <v/>
      </c>
      <c r="AF23" s="926"/>
      <c r="AG23" s="924"/>
      <c r="AH23" s="892"/>
    </row>
    <row r="24" spans="1:37" ht="12.6" customHeight="1" x14ac:dyDescent="0.2">
      <c r="A24" s="912"/>
      <c r="B24" s="920"/>
      <c r="C24" s="921"/>
      <c r="D24" s="920"/>
      <c r="E24" s="921"/>
      <c r="F24" s="922"/>
      <c r="G24" s="921"/>
      <c r="H24" s="922"/>
      <c r="I24" s="921"/>
      <c r="J24" s="922"/>
      <c r="K24" s="921"/>
      <c r="L24" s="922"/>
      <c r="M24" s="921"/>
      <c r="N24" s="922"/>
      <c r="O24" s="921"/>
      <c r="P24" s="922"/>
      <c r="Q24" s="921"/>
      <c r="R24" s="922"/>
      <c r="S24" s="921"/>
      <c r="T24" s="922"/>
      <c r="U24" s="921"/>
      <c r="V24" s="922"/>
      <c r="W24" s="921"/>
      <c r="X24" s="922"/>
      <c r="Y24" s="921"/>
      <c r="Z24" s="920"/>
      <c r="AA24" s="921"/>
      <c r="AB24" s="923"/>
      <c r="AC24" s="924" t="str">
        <f t="shared" si="6"/>
        <v/>
      </c>
      <c r="AD24" s="927" t="str">
        <f t="shared" si="3"/>
        <v/>
      </c>
      <c r="AE24" s="925" t="str">
        <f t="shared" si="4"/>
        <v/>
      </c>
      <c r="AF24" s="926"/>
      <c r="AG24" s="924"/>
      <c r="AH24" s="892"/>
    </row>
    <row r="25" spans="1:37" ht="12.6" customHeight="1" x14ac:dyDescent="0.2">
      <c r="A25" s="912"/>
      <c r="B25" s="920"/>
      <c r="C25" s="921"/>
      <c r="D25" s="920"/>
      <c r="E25" s="921"/>
      <c r="F25" s="922"/>
      <c r="G25" s="921"/>
      <c r="H25" s="922"/>
      <c r="I25" s="921"/>
      <c r="J25" s="922"/>
      <c r="K25" s="921"/>
      <c r="L25" s="922"/>
      <c r="M25" s="921"/>
      <c r="N25" s="922"/>
      <c r="O25" s="921"/>
      <c r="P25" s="922"/>
      <c r="Q25" s="921"/>
      <c r="R25" s="922"/>
      <c r="S25" s="921"/>
      <c r="T25" s="922"/>
      <c r="U25" s="921"/>
      <c r="V25" s="922"/>
      <c r="W25" s="921"/>
      <c r="X25" s="922"/>
      <c r="Y25" s="921"/>
      <c r="Z25" s="920"/>
      <c r="AA25" s="921"/>
      <c r="AB25" s="923"/>
      <c r="AC25" s="924" t="str">
        <f t="shared" si="6"/>
        <v/>
      </c>
      <c r="AD25" s="927" t="str">
        <f t="shared" si="3"/>
        <v/>
      </c>
      <c r="AE25" s="925" t="str">
        <f t="shared" si="4"/>
        <v/>
      </c>
      <c r="AF25" s="926"/>
      <c r="AG25" s="924"/>
      <c r="AH25" s="892"/>
      <c r="AJ25" s="102"/>
      <c r="AK25" s="102"/>
    </row>
    <row r="26" spans="1:37" ht="12.6" customHeight="1" x14ac:dyDescent="0.2">
      <c r="A26" s="912"/>
      <c r="B26" s="920"/>
      <c r="C26" s="921"/>
      <c r="D26" s="920"/>
      <c r="E26" s="921"/>
      <c r="F26" s="922"/>
      <c r="G26" s="921"/>
      <c r="H26" s="922"/>
      <c r="I26" s="921"/>
      <c r="J26" s="922"/>
      <c r="K26" s="921"/>
      <c r="L26" s="922"/>
      <c r="M26" s="921"/>
      <c r="N26" s="922"/>
      <c r="O26" s="921"/>
      <c r="P26" s="922"/>
      <c r="Q26" s="921"/>
      <c r="R26" s="922"/>
      <c r="S26" s="921"/>
      <c r="T26" s="922"/>
      <c r="U26" s="921"/>
      <c r="V26" s="922"/>
      <c r="W26" s="921"/>
      <c r="X26" s="922"/>
      <c r="Y26" s="921"/>
      <c r="Z26" s="920"/>
      <c r="AA26" s="921"/>
      <c r="AB26" s="923"/>
      <c r="AC26" s="924" t="str">
        <f t="shared" si="6"/>
        <v/>
      </c>
      <c r="AD26" s="927" t="str">
        <f t="shared" si="3"/>
        <v/>
      </c>
      <c r="AE26" s="925" t="str">
        <f t="shared" si="4"/>
        <v/>
      </c>
      <c r="AF26" s="926"/>
      <c r="AG26" s="924"/>
      <c r="AH26" s="892"/>
      <c r="AJ26" s="50"/>
      <c r="AK26" s="50"/>
    </row>
    <row r="27" spans="1:37" ht="12.6" customHeight="1" x14ac:dyDescent="0.2">
      <c r="A27" s="912" t="s">
        <v>3620</v>
      </c>
      <c r="B27" s="920"/>
      <c r="C27" s="921" t="str">
        <f>IF(B27="","",(CEILING(ROUNDUP((AF27+0.01),1),0.3)))</f>
        <v/>
      </c>
      <c r="D27" s="920"/>
      <c r="E27" s="921"/>
      <c r="F27" s="922"/>
      <c r="G27" s="921"/>
      <c r="H27" s="922"/>
      <c r="I27" s="921"/>
      <c r="J27" s="922"/>
      <c r="K27" s="921"/>
      <c r="L27" s="922"/>
      <c r="M27" s="921"/>
      <c r="N27" s="922"/>
      <c r="O27" s="921"/>
      <c r="P27" s="922"/>
      <c r="Q27" s="921"/>
      <c r="R27" s="922"/>
      <c r="S27" s="921"/>
      <c r="T27" s="922"/>
      <c r="U27" s="921"/>
      <c r="V27" s="922"/>
      <c r="W27" s="921"/>
      <c r="X27" s="922"/>
      <c r="Y27" s="921"/>
      <c r="Z27" s="922"/>
      <c r="AA27" s="921"/>
      <c r="AB27" s="923"/>
      <c r="AC27" s="924" t="str">
        <f t="shared" si="6"/>
        <v/>
      </c>
      <c r="AD27" s="927" t="str">
        <f t="shared" si="3"/>
        <v/>
      </c>
      <c r="AE27" s="925" t="str">
        <f t="shared" si="4"/>
        <v>1.8*445</v>
      </c>
      <c r="AF27" s="926">
        <v>1.65</v>
      </c>
      <c r="AG27" s="924">
        <f>COUNTIF(Name,"Support Shelf")</f>
        <v>0</v>
      </c>
      <c r="AH27" s="892"/>
    </row>
    <row r="28" spans="1:37" ht="12.6" customHeight="1" x14ac:dyDescent="0.2">
      <c r="A28" s="912" t="s">
        <v>1024</v>
      </c>
      <c r="B28" s="1265">
        <f t="shared" ref="B28" si="7">AG28</f>
        <v>0</v>
      </c>
      <c r="C28" s="929"/>
      <c r="D28" s="928"/>
      <c r="E28" s="929"/>
      <c r="F28" s="928"/>
      <c r="G28" s="929"/>
      <c r="H28" s="928"/>
      <c r="I28" s="929"/>
      <c r="J28" s="928"/>
      <c r="K28" s="929"/>
      <c r="L28" s="928"/>
      <c r="M28" s="929"/>
      <c r="N28" s="928"/>
      <c r="O28" s="929"/>
      <c r="P28" s="928"/>
      <c r="Q28" s="929"/>
      <c r="R28" s="928"/>
      <c r="S28" s="929"/>
      <c r="T28" s="928"/>
      <c r="U28" s="929"/>
      <c r="V28" s="928"/>
      <c r="W28" s="929"/>
      <c r="X28" s="928"/>
      <c r="Y28" s="929"/>
      <c r="Z28" s="928"/>
      <c r="AA28" s="929"/>
      <c r="AB28" s="930"/>
      <c r="AC28" s="931" t="s">
        <v>1061</v>
      </c>
      <c r="AD28" s="928"/>
      <c r="AE28" s="932"/>
      <c r="AF28" s="933"/>
      <c r="AG28" s="931"/>
      <c r="AH28" s="892"/>
    </row>
    <row r="29" spans="1:37" ht="12.6" customHeight="1" x14ac:dyDescent="0.2">
      <c r="A29" s="934" t="s">
        <v>234</v>
      </c>
      <c r="B29" s="1333"/>
      <c r="C29" s="1326"/>
      <c r="D29" s="935"/>
      <c r="E29" s="936"/>
      <c r="F29" s="937"/>
      <c r="G29" s="936"/>
      <c r="H29" s="937"/>
      <c r="I29" s="936"/>
      <c r="J29" s="937"/>
      <c r="K29" s="936"/>
      <c r="L29" s="937"/>
      <c r="M29" s="936"/>
      <c r="N29" s="937"/>
      <c r="O29" s="936"/>
      <c r="P29" s="937"/>
      <c r="Q29" s="936"/>
      <c r="R29" s="937"/>
      <c r="S29" s="936"/>
      <c r="T29" s="937"/>
      <c r="U29" s="936"/>
      <c r="V29" s="937"/>
      <c r="W29" s="936"/>
      <c r="X29" s="937"/>
      <c r="Y29" s="936"/>
      <c r="Z29" s="937"/>
      <c r="AA29" s="937"/>
      <c r="AB29" s="937"/>
      <c r="AC29" s="937"/>
      <c r="AD29" s="937"/>
      <c r="AE29" s="937"/>
      <c r="AF29" s="937"/>
      <c r="AG29" s="937"/>
      <c r="AH29" s="892"/>
    </row>
    <row r="30" spans="1:37" ht="12.6" customHeight="1" x14ac:dyDescent="0.2">
      <c r="A30" s="938">
        <v>0.9</v>
      </c>
      <c r="B30" s="1333"/>
      <c r="C30" s="1326"/>
      <c r="D30" s="1326"/>
      <c r="E30" s="1327"/>
      <c r="F30" s="939">
        <f>COUNTIFS(Name,"*JH Rebate*",Length,A30)+COUNTIFS('CSV FF'!A:A,"*JH Rebate*",'CSV FF'!C:C,A30)</f>
        <v>0</v>
      </c>
      <c r="G30" s="940" t="str">
        <f t="shared" ref="G30:G39" si="8">IF(F30&lt;=0,"",CONCATENATE("/"," ",A30))</f>
        <v/>
      </c>
      <c r="H30" s="1333"/>
      <c r="I30" s="1327"/>
      <c r="J30" s="941">
        <f t="shared" ref="J30:J45" si="9">SUMIF(K$9:K$28,A30,J$9:J$28)</f>
        <v>0</v>
      </c>
      <c r="K30" s="940" t="str">
        <f t="shared" ref="K30:K45" si="10">IF(J30&lt;=0,"",CONCATENATE("/"," ",A30))</f>
        <v/>
      </c>
      <c r="L30" s="1333"/>
      <c r="M30" s="1327"/>
      <c r="N30" s="941">
        <f t="shared" ref="N30:N44" si="11">SUMIF(O$9:O$28,A30,N$9:N$28)</f>
        <v>0</v>
      </c>
      <c r="O30" s="940" t="str">
        <f t="shared" ref="O30:O44" si="12">IF(N30&lt;=0,"",CONCATENATE("/"," ",A30))</f>
        <v/>
      </c>
      <c r="P30" s="1333"/>
      <c r="Q30" s="1327"/>
      <c r="R30" s="941">
        <f t="shared" ref="R30:R45" si="13">SUMIF(S$9:S$28,A30,R$9:R$28)</f>
        <v>0</v>
      </c>
      <c r="S30" s="940" t="str">
        <f t="shared" ref="S30:S45" si="14">IF(R30&lt;=0,"",CONCATENATE("/"," ",A30))</f>
        <v/>
      </c>
      <c r="T30" s="939">
        <f t="shared" ref="T30:T45" si="15">SUMIF(U$9:U$28,A30,T$9:T$28)</f>
        <v>0</v>
      </c>
      <c r="U30" s="940" t="str">
        <f t="shared" ref="U30:U45" si="16">IF(T30&lt;=0,"",CONCATENATE("/"," ",A30))</f>
        <v/>
      </c>
      <c r="V30" s="941">
        <f t="shared" ref="V30:V45" si="17">SUMIF(W$9:W$28,A30,V$9:V$28)</f>
        <v>0</v>
      </c>
      <c r="W30" s="940" t="str">
        <f t="shared" ref="W30:W45" si="18">IF(V30&lt;=0,"",CONCATENATE("/"," ",A30))</f>
        <v/>
      </c>
      <c r="X30" s="939">
        <f t="shared" ref="X30:X45" si="19">SUMIF(Y$9:Y$28,A30,X$9:X$28)</f>
        <v>0</v>
      </c>
      <c r="Y30" s="940" t="str">
        <f t="shared" ref="Y30:Y45" si="20">IF(X30&lt;=0,"",CONCATENATE("/"," ",A30))</f>
        <v/>
      </c>
      <c r="Z30" s="942"/>
      <c r="AA30" s="937"/>
      <c r="AB30" s="937"/>
      <c r="AC30" s="937"/>
      <c r="AD30" s="937"/>
      <c r="AE30" s="937"/>
      <c r="AF30" s="937"/>
      <c r="AG30" s="937"/>
      <c r="AH30" s="892"/>
    </row>
    <row r="31" spans="1:37" ht="12.6" customHeight="1" thickBot="1" x14ac:dyDescent="0.25">
      <c r="A31" s="943">
        <v>1.2</v>
      </c>
      <c r="B31" s="1333"/>
      <c r="C31" s="1326"/>
      <c r="D31" s="1326"/>
      <c r="E31" s="1327"/>
      <c r="F31" s="939">
        <f>COUNTIFS(Name,"*JH Rebate*",Length,A31)+COUNTIFS('CSV FF'!A:A,"*JH Rebate*",'CSV FF'!C:C,A31)</f>
        <v>0</v>
      </c>
      <c r="G31" s="940" t="str">
        <f t="shared" si="8"/>
        <v/>
      </c>
      <c r="H31" s="1333"/>
      <c r="I31" s="1327"/>
      <c r="J31" s="941">
        <f t="shared" si="9"/>
        <v>0</v>
      </c>
      <c r="K31" s="940" t="str">
        <f t="shared" si="10"/>
        <v/>
      </c>
      <c r="L31" s="1333"/>
      <c r="M31" s="1327"/>
      <c r="N31" s="941">
        <f t="shared" si="11"/>
        <v>0</v>
      </c>
      <c r="O31" s="940" t="str">
        <f t="shared" si="12"/>
        <v/>
      </c>
      <c r="P31" s="1333"/>
      <c r="Q31" s="1327"/>
      <c r="R31" s="941">
        <f t="shared" si="13"/>
        <v>0</v>
      </c>
      <c r="S31" s="940" t="str">
        <f t="shared" si="14"/>
        <v/>
      </c>
      <c r="T31" s="939">
        <f t="shared" si="15"/>
        <v>0</v>
      </c>
      <c r="U31" s="940" t="str">
        <f t="shared" si="16"/>
        <v/>
      </c>
      <c r="V31" s="941">
        <f t="shared" si="17"/>
        <v>0</v>
      </c>
      <c r="W31" s="940" t="str">
        <f t="shared" si="18"/>
        <v/>
      </c>
      <c r="X31" s="939">
        <f t="shared" si="19"/>
        <v>0</v>
      </c>
      <c r="Y31" s="940" t="str">
        <f t="shared" si="20"/>
        <v/>
      </c>
      <c r="Z31" s="942"/>
      <c r="AA31" s="1350" t="s">
        <v>235</v>
      </c>
      <c r="AB31" s="1357"/>
      <c r="AC31" s="386"/>
      <c r="AD31" s="1350" t="s">
        <v>222</v>
      </c>
      <c r="AE31" s="1350"/>
      <c r="AF31" s="1350" t="s">
        <v>216</v>
      </c>
      <c r="AG31" s="1350"/>
      <c r="AH31" s="892"/>
    </row>
    <row r="32" spans="1:37" ht="12.6" customHeight="1" thickBot="1" x14ac:dyDescent="0.25">
      <c r="A32" s="943">
        <v>1.5</v>
      </c>
      <c r="B32" s="1333"/>
      <c r="C32" s="1326"/>
      <c r="D32" s="1326"/>
      <c r="E32" s="1327"/>
      <c r="F32" s="939">
        <f>COUNTIFS(Name,"*JH Rebate*",Length,A32)+COUNTIFS('CSV FF'!A:A,"*JH Rebate*",'CSV FF'!C:C,A32)</f>
        <v>0</v>
      </c>
      <c r="G32" s="940" t="str">
        <f t="shared" si="8"/>
        <v/>
      </c>
      <c r="H32" s="1333"/>
      <c r="I32" s="1327"/>
      <c r="J32" s="941">
        <f t="shared" si="9"/>
        <v>0</v>
      </c>
      <c r="K32" s="940" t="str">
        <f t="shared" si="10"/>
        <v/>
      </c>
      <c r="L32" s="1333"/>
      <c r="M32" s="1327"/>
      <c r="N32" s="941">
        <f t="shared" si="11"/>
        <v>0</v>
      </c>
      <c r="O32" s="940" t="str">
        <f t="shared" si="12"/>
        <v/>
      </c>
      <c r="P32" s="1333"/>
      <c r="Q32" s="1327"/>
      <c r="R32" s="941">
        <f t="shared" si="13"/>
        <v>0</v>
      </c>
      <c r="S32" s="940" t="str">
        <f t="shared" si="14"/>
        <v/>
      </c>
      <c r="T32" s="939">
        <f t="shared" si="15"/>
        <v>0</v>
      </c>
      <c r="U32" s="940" t="str">
        <f t="shared" si="16"/>
        <v/>
      </c>
      <c r="V32" s="941">
        <f t="shared" si="17"/>
        <v>0</v>
      </c>
      <c r="W32" s="940" t="str">
        <f t="shared" si="18"/>
        <v/>
      </c>
      <c r="X32" s="939">
        <f t="shared" si="19"/>
        <v>0</v>
      </c>
      <c r="Y32" s="940" t="str">
        <f t="shared" si="20"/>
        <v/>
      </c>
      <c r="Z32" s="942"/>
      <c r="AA32" s="944">
        <f>SUMIF(AA9:AA28,A30,Z9:Z28)</f>
        <v>0</v>
      </c>
      <c r="AB32" s="945" t="str">
        <f t="shared" ref="AB32:AB37" si="21">CONCATENATE("/"," ",A30)</f>
        <v>/ 0.9</v>
      </c>
      <c r="AC32" s="946"/>
      <c r="AD32" s="944">
        <f>SUMIF($AE$9:$AE$28,Lists!I44,$AD$9:$AD$28)</f>
        <v>0</v>
      </c>
      <c r="AE32" s="945" t="str">
        <f>IF($AD32&lt;=0,"",CONCATENATE("/"," ",Lists!I44))</f>
        <v/>
      </c>
      <c r="AF32" s="947" t="s">
        <v>185</v>
      </c>
      <c r="AG32" s="948">
        <f>SUMPRODUCT($AF$9:$AF$28,$AG$9:$AG$28)</f>
        <v>0</v>
      </c>
      <c r="AH32" s="892"/>
    </row>
    <row r="33" spans="1:34" ht="12.6" customHeight="1" thickBot="1" x14ac:dyDescent="0.25">
      <c r="A33" s="943">
        <v>1.8</v>
      </c>
      <c r="B33" s="1333"/>
      <c r="C33" s="1326"/>
      <c r="D33" s="1326"/>
      <c r="E33" s="1327"/>
      <c r="F33" s="939">
        <f>COUNTIFS(Name,"*JH Rebate*",Length,A33)+COUNTIFS('CSV FF'!A:A,"*JH Rebate*",'CSV FF'!C:C,A33)</f>
        <v>0</v>
      </c>
      <c r="G33" s="940" t="str">
        <f t="shared" si="8"/>
        <v/>
      </c>
      <c r="H33" s="1333"/>
      <c r="I33" s="1327"/>
      <c r="J33" s="941">
        <f t="shared" si="9"/>
        <v>0</v>
      </c>
      <c r="K33" s="940" t="str">
        <f t="shared" si="10"/>
        <v/>
      </c>
      <c r="L33" s="1333"/>
      <c r="M33" s="1327"/>
      <c r="N33" s="941">
        <f t="shared" si="11"/>
        <v>0</v>
      </c>
      <c r="O33" s="940" t="str">
        <f t="shared" si="12"/>
        <v/>
      </c>
      <c r="P33" s="1333"/>
      <c r="Q33" s="1327"/>
      <c r="R33" s="941">
        <f t="shared" si="13"/>
        <v>0</v>
      </c>
      <c r="S33" s="940" t="str">
        <f t="shared" si="14"/>
        <v/>
      </c>
      <c r="T33" s="939">
        <f t="shared" si="15"/>
        <v>0</v>
      </c>
      <c r="U33" s="940" t="str">
        <f t="shared" si="16"/>
        <v/>
      </c>
      <c r="V33" s="941">
        <f t="shared" si="17"/>
        <v>0</v>
      </c>
      <c r="W33" s="940" t="str">
        <f t="shared" si="18"/>
        <v/>
      </c>
      <c r="X33" s="939">
        <f t="shared" si="19"/>
        <v>0</v>
      </c>
      <c r="Y33" s="940" t="str">
        <f t="shared" si="20"/>
        <v/>
      </c>
      <c r="Z33" s="942"/>
      <c r="AA33" s="949">
        <f>SUMIF(AA9:AA28,A31,Z9:Z28)</f>
        <v>0</v>
      </c>
      <c r="AB33" s="950" t="str">
        <f t="shared" si="21"/>
        <v>/ 1.2</v>
      </c>
      <c r="AC33" s="946"/>
      <c r="AD33" s="949">
        <f>SUMIF($AE$9:$AE$28,Lists!I45,$AD$9:$AD$28)</f>
        <v>0</v>
      </c>
      <c r="AE33" s="950" t="str">
        <f>IF($AD33&lt;=0,"",CONCATENATE("/"," ",Lists!I45))</f>
        <v/>
      </c>
      <c r="AF33" s="947" t="s">
        <v>299</v>
      </c>
      <c r="AG33" s="951">
        <f>SUM($AG$9:$AG$28)</f>
        <v>0</v>
      </c>
      <c r="AH33" s="892"/>
    </row>
    <row r="34" spans="1:34" ht="12.6" customHeight="1" x14ac:dyDescent="0.2">
      <c r="A34" s="943">
        <v>2.1</v>
      </c>
      <c r="B34" s="1333"/>
      <c r="C34" s="1326"/>
      <c r="D34" s="1326"/>
      <c r="E34" s="1327"/>
      <c r="F34" s="939">
        <f>COUNTIFS(Name,"*JH Rebate*",Length,A34)+COUNTIFS('CSV FF'!A:A,"*JH Rebate*",'CSV FF'!C:C,A34)</f>
        <v>0</v>
      </c>
      <c r="G34" s="940" t="str">
        <f t="shared" si="8"/>
        <v/>
      </c>
      <c r="H34" s="1333"/>
      <c r="I34" s="1327"/>
      <c r="J34" s="941">
        <f t="shared" si="9"/>
        <v>0</v>
      </c>
      <c r="K34" s="940" t="str">
        <f t="shared" si="10"/>
        <v/>
      </c>
      <c r="L34" s="1333"/>
      <c r="M34" s="1327"/>
      <c r="N34" s="941">
        <f t="shared" si="11"/>
        <v>0</v>
      </c>
      <c r="O34" s="940" t="str">
        <f t="shared" si="12"/>
        <v/>
      </c>
      <c r="P34" s="1333"/>
      <c r="Q34" s="1327"/>
      <c r="R34" s="941">
        <f t="shared" si="13"/>
        <v>0</v>
      </c>
      <c r="S34" s="940" t="str">
        <f t="shared" si="14"/>
        <v/>
      </c>
      <c r="T34" s="939">
        <f t="shared" si="15"/>
        <v>0</v>
      </c>
      <c r="U34" s="940" t="str">
        <f t="shared" si="16"/>
        <v/>
      </c>
      <c r="V34" s="941">
        <f t="shared" si="17"/>
        <v>0</v>
      </c>
      <c r="W34" s="940" t="str">
        <f t="shared" si="18"/>
        <v/>
      </c>
      <c r="X34" s="939">
        <f t="shared" si="19"/>
        <v>0</v>
      </c>
      <c r="Y34" s="940" t="str">
        <f t="shared" si="20"/>
        <v/>
      </c>
      <c r="Z34" s="942"/>
      <c r="AA34" s="949"/>
      <c r="AB34" s="950"/>
      <c r="AC34" s="946"/>
      <c r="AD34" s="949">
        <f>SUMIF($AE$9:$AE$28,Lists!I46,$AD$9:$AD$28)</f>
        <v>0</v>
      </c>
      <c r="AE34" s="950" t="str">
        <f>IF($AD34&lt;=0,"",CONCATENATE("/"," ",Lists!I46))</f>
        <v/>
      </c>
      <c r="AF34" s="937"/>
      <c r="AG34" s="937"/>
      <c r="AH34" s="892"/>
    </row>
    <row r="35" spans="1:34" ht="12.6" customHeight="1" x14ac:dyDescent="0.2">
      <c r="A35" s="943">
        <v>2.4</v>
      </c>
      <c r="B35" s="1333"/>
      <c r="C35" s="1326"/>
      <c r="D35" s="1326"/>
      <c r="E35" s="1327"/>
      <c r="F35" s="939">
        <f>COUNTIFS(Name,"*JH Rebate*",Length,A35)+COUNTIFS('CSV FF'!A:A,"*JH Rebate*",'CSV FF'!C:C,A35)</f>
        <v>0</v>
      </c>
      <c r="G35" s="940" t="str">
        <f t="shared" si="8"/>
        <v/>
      </c>
      <c r="H35" s="1333"/>
      <c r="I35" s="1327"/>
      <c r="J35" s="941">
        <f t="shared" si="9"/>
        <v>0</v>
      </c>
      <c r="K35" s="940" t="str">
        <f t="shared" si="10"/>
        <v/>
      </c>
      <c r="L35" s="1333"/>
      <c r="M35" s="1327"/>
      <c r="N35" s="941">
        <f t="shared" si="11"/>
        <v>0</v>
      </c>
      <c r="O35" s="940" t="str">
        <f t="shared" si="12"/>
        <v/>
      </c>
      <c r="P35" s="1333"/>
      <c r="Q35" s="1327"/>
      <c r="R35" s="941">
        <f t="shared" si="13"/>
        <v>0</v>
      </c>
      <c r="S35" s="940" t="str">
        <f t="shared" si="14"/>
        <v/>
      </c>
      <c r="T35" s="939">
        <f t="shared" si="15"/>
        <v>0</v>
      </c>
      <c r="U35" s="940" t="str">
        <f t="shared" si="16"/>
        <v/>
      </c>
      <c r="V35" s="941">
        <f t="shared" si="17"/>
        <v>0</v>
      </c>
      <c r="W35" s="940" t="str">
        <f t="shared" si="18"/>
        <v/>
      </c>
      <c r="X35" s="939">
        <f t="shared" si="19"/>
        <v>0</v>
      </c>
      <c r="Y35" s="940" t="str">
        <f t="shared" si="20"/>
        <v/>
      </c>
      <c r="Z35" s="942"/>
      <c r="AA35" s="952">
        <f>SUMIF(AA9:AA28,A33,Z9:Z28)+SUMIF(AA9:AA28,A32,Z9:Z28)</f>
        <v>0</v>
      </c>
      <c r="AB35" s="950" t="str">
        <f t="shared" si="21"/>
        <v>/ 1.8</v>
      </c>
      <c r="AC35" s="946"/>
      <c r="AD35" s="949">
        <f>SUMIF($AE$9:$AE$28,Lists!I47,$AD$9:$AD$28)</f>
        <v>0</v>
      </c>
      <c r="AE35" s="950" t="str">
        <f>IF($AD35&lt;=0,"",CONCATENATE("/"," ",Lists!I47))</f>
        <v/>
      </c>
      <c r="AF35" s="937"/>
      <c r="AG35" s="937"/>
      <c r="AH35" s="892"/>
    </row>
    <row r="36" spans="1:34" ht="12.6" customHeight="1" x14ac:dyDescent="0.2">
      <c r="A36" s="943">
        <v>2.7</v>
      </c>
      <c r="B36" s="1333"/>
      <c r="C36" s="1326"/>
      <c r="D36" s="1326"/>
      <c r="E36" s="1327"/>
      <c r="F36" s="939">
        <f>COUNTIFS(Name,"*JH Rebate*",Length,A36)+COUNTIFS('CSV FF'!A:A,"*JH Rebate*",'CSV FF'!C:C,A36)</f>
        <v>0</v>
      </c>
      <c r="G36" s="940" t="str">
        <f t="shared" si="8"/>
        <v/>
      </c>
      <c r="H36" s="1333"/>
      <c r="I36" s="1327"/>
      <c r="J36" s="941">
        <f t="shared" si="9"/>
        <v>0</v>
      </c>
      <c r="K36" s="940" t="str">
        <f t="shared" si="10"/>
        <v/>
      </c>
      <c r="L36" s="1333"/>
      <c r="M36" s="1327"/>
      <c r="N36" s="941">
        <f t="shared" si="11"/>
        <v>0</v>
      </c>
      <c r="O36" s="940" t="str">
        <f t="shared" si="12"/>
        <v/>
      </c>
      <c r="P36" s="1333"/>
      <c r="Q36" s="1327"/>
      <c r="R36" s="941">
        <f t="shared" si="13"/>
        <v>0</v>
      </c>
      <c r="S36" s="940" t="str">
        <f t="shared" si="14"/>
        <v/>
      </c>
      <c r="T36" s="939">
        <f t="shared" si="15"/>
        <v>0</v>
      </c>
      <c r="U36" s="940" t="str">
        <f t="shared" si="16"/>
        <v/>
      </c>
      <c r="V36" s="941">
        <f t="shared" si="17"/>
        <v>0</v>
      </c>
      <c r="W36" s="940" t="str">
        <f t="shared" si="18"/>
        <v/>
      </c>
      <c r="X36" s="939">
        <f t="shared" si="19"/>
        <v>0</v>
      </c>
      <c r="Y36" s="940" t="str">
        <f t="shared" si="20"/>
        <v/>
      </c>
      <c r="Z36" s="942"/>
      <c r="AA36" s="949"/>
      <c r="AB36" s="950"/>
      <c r="AC36" s="946"/>
      <c r="AD36" s="949">
        <f>SUMIF($AE$9:$AE$28,Lists!I48,$AD$9:$AD$28)</f>
        <v>0</v>
      </c>
      <c r="AE36" s="950" t="str">
        <f>IF($AD36&lt;=0,"",CONCATENATE("/"," ",Lists!I48))</f>
        <v/>
      </c>
      <c r="AF36" s="937"/>
      <c r="AG36" s="937"/>
      <c r="AH36" s="892"/>
    </row>
    <row r="37" spans="1:34" ht="12.6" customHeight="1" x14ac:dyDescent="0.2">
      <c r="A37" s="943">
        <v>3</v>
      </c>
      <c r="B37" s="1333"/>
      <c r="C37" s="1326"/>
      <c r="D37" s="1326"/>
      <c r="E37" s="1327"/>
      <c r="F37" s="939">
        <f>COUNTIFS(Name,"*JH Rebate*",Length,A37)+COUNTIFS('CSV FF'!A:A,"*JH Rebate*",'CSV FF'!C:C,A37)</f>
        <v>0</v>
      </c>
      <c r="G37" s="940" t="str">
        <f t="shared" si="8"/>
        <v/>
      </c>
      <c r="H37" s="1333"/>
      <c r="I37" s="1327"/>
      <c r="J37" s="941">
        <f t="shared" si="9"/>
        <v>0</v>
      </c>
      <c r="K37" s="940" t="str">
        <f t="shared" si="10"/>
        <v/>
      </c>
      <c r="L37" s="1333"/>
      <c r="M37" s="1327"/>
      <c r="N37" s="941">
        <f t="shared" si="11"/>
        <v>0</v>
      </c>
      <c r="O37" s="940" t="str">
        <f t="shared" si="12"/>
        <v/>
      </c>
      <c r="P37" s="1333"/>
      <c r="Q37" s="1327"/>
      <c r="R37" s="941">
        <f t="shared" si="13"/>
        <v>0</v>
      </c>
      <c r="S37" s="940" t="str">
        <f t="shared" si="14"/>
        <v/>
      </c>
      <c r="T37" s="939">
        <f t="shared" si="15"/>
        <v>0</v>
      </c>
      <c r="U37" s="940" t="str">
        <f t="shared" si="16"/>
        <v/>
      </c>
      <c r="V37" s="941">
        <f t="shared" si="17"/>
        <v>0</v>
      </c>
      <c r="W37" s="940" t="str">
        <f t="shared" si="18"/>
        <v/>
      </c>
      <c r="X37" s="939">
        <f t="shared" si="19"/>
        <v>0</v>
      </c>
      <c r="Y37" s="940" t="str">
        <f t="shared" si="20"/>
        <v/>
      </c>
      <c r="Z37" s="942"/>
      <c r="AA37" s="952">
        <f>SUMIF(AA9:AA28,A35,Z9:Z28)+SUMIF(AA9:AA28,A34,Z9:Z28)</f>
        <v>0</v>
      </c>
      <c r="AB37" s="950" t="str">
        <f t="shared" si="21"/>
        <v>/ 2.4</v>
      </c>
      <c r="AC37" s="946"/>
      <c r="AD37" s="949">
        <f>SUMIF($AE$9:$AE$28,Lists!I49,$AD$9:$AD$28)</f>
        <v>0</v>
      </c>
      <c r="AE37" s="950" t="str">
        <f>IF($AD37&lt;=0,"",CONCATENATE("/"," ",Lists!I49))</f>
        <v/>
      </c>
      <c r="AF37" s="937"/>
      <c r="AG37" s="937"/>
      <c r="AH37" s="892"/>
    </row>
    <row r="38" spans="1:34" ht="12.6" customHeight="1" x14ac:dyDescent="0.2">
      <c r="A38" s="943">
        <v>3.3</v>
      </c>
      <c r="B38" s="1333"/>
      <c r="C38" s="1326"/>
      <c r="D38" s="1326"/>
      <c r="E38" s="1327"/>
      <c r="F38" s="939">
        <f>COUNTIFS(Name,"*JH Rebate*",Length,A38)+COUNTIFS('CSV FF'!A:A,"*JH Rebate*",'CSV FF'!C:C,A38)</f>
        <v>0</v>
      </c>
      <c r="G38" s="940" t="str">
        <f t="shared" si="8"/>
        <v/>
      </c>
      <c r="H38" s="1333"/>
      <c r="I38" s="1327"/>
      <c r="J38" s="941">
        <f t="shared" si="9"/>
        <v>0</v>
      </c>
      <c r="K38" s="940" t="str">
        <f t="shared" si="10"/>
        <v/>
      </c>
      <c r="L38" s="1333"/>
      <c r="M38" s="1327"/>
      <c r="N38" s="941">
        <f t="shared" si="11"/>
        <v>0</v>
      </c>
      <c r="O38" s="940" t="str">
        <f t="shared" si="12"/>
        <v/>
      </c>
      <c r="P38" s="1333"/>
      <c r="Q38" s="1327"/>
      <c r="R38" s="941">
        <f t="shared" si="13"/>
        <v>0</v>
      </c>
      <c r="S38" s="940" t="str">
        <f t="shared" si="14"/>
        <v/>
      </c>
      <c r="T38" s="939">
        <f t="shared" si="15"/>
        <v>0</v>
      </c>
      <c r="U38" s="940" t="str">
        <f t="shared" si="16"/>
        <v/>
      </c>
      <c r="V38" s="941">
        <f t="shared" si="17"/>
        <v>0</v>
      </c>
      <c r="W38" s="940" t="str">
        <f t="shared" si="18"/>
        <v/>
      </c>
      <c r="X38" s="939">
        <f t="shared" si="19"/>
        <v>0</v>
      </c>
      <c r="Y38" s="940" t="str">
        <f t="shared" si="20"/>
        <v/>
      </c>
      <c r="Z38" s="942"/>
      <c r="AA38" s="949">
        <f>SUMIF(AA9:AA28,A36,Z9:Z28)</f>
        <v>0</v>
      </c>
      <c r="AB38" s="950" t="str">
        <f>CONCATENATE("/"," ",A36)</f>
        <v>/ 2.7</v>
      </c>
      <c r="AC38" s="946"/>
      <c r="AD38" s="949">
        <f>SUMIF($AE$9:$AE$28,Lists!I50,$AD$9:$AD$28)</f>
        <v>0</v>
      </c>
      <c r="AE38" s="950" t="str">
        <f>IF($AD38&lt;=0,"",CONCATENATE("/"," ",Lists!I50))</f>
        <v/>
      </c>
      <c r="AF38" s="937"/>
      <c r="AG38" s="937"/>
      <c r="AH38" s="892"/>
    </row>
    <row r="39" spans="1:34" ht="12.6" customHeight="1" x14ac:dyDescent="0.2">
      <c r="A39" s="943">
        <v>3.6</v>
      </c>
      <c r="B39" s="1333"/>
      <c r="C39" s="1326"/>
      <c r="D39" s="1326"/>
      <c r="E39" s="1327"/>
      <c r="F39" s="939">
        <f>COUNTIFS(Name,"*JH Rebate*",Length,A39)+COUNTIFS('CSV FF'!A:A,"*JH Rebate*",'CSV FF'!C:C,A39)</f>
        <v>0</v>
      </c>
      <c r="G39" s="940" t="str">
        <f t="shared" si="8"/>
        <v/>
      </c>
      <c r="H39" s="1333"/>
      <c r="I39" s="1327"/>
      <c r="J39" s="941">
        <f t="shared" si="9"/>
        <v>0</v>
      </c>
      <c r="K39" s="940" t="str">
        <f t="shared" si="10"/>
        <v/>
      </c>
      <c r="L39" s="1333"/>
      <c r="M39" s="1327"/>
      <c r="N39" s="941">
        <f t="shared" si="11"/>
        <v>0</v>
      </c>
      <c r="O39" s="940" t="str">
        <f t="shared" si="12"/>
        <v/>
      </c>
      <c r="P39" s="1333"/>
      <c r="Q39" s="1327"/>
      <c r="R39" s="941">
        <f t="shared" si="13"/>
        <v>0</v>
      </c>
      <c r="S39" s="940" t="str">
        <f t="shared" si="14"/>
        <v/>
      </c>
      <c r="T39" s="939">
        <f t="shared" si="15"/>
        <v>0</v>
      </c>
      <c r="U39" s="940" t="str">
        <f t="shared" si="16"/>
        <v/>
      </c>
      <c r="V39" s="941">
        <f t="shared" si="17"/>
        <v>0</v>
      </c>
      <c r="W39" s="940" t="str">
        <f t="shared" si="18"/>
        <v/>
      </c>
      <c r="X39" s="939">
        <f t="shared" si="19"/>
        <v>0</v>
      </c>
      <c r="Y39" s="940" t="str">
        <f t="shared" si="20"/>
        <v/>
      </c>
      <c r="Z39" s="942"/>
      <c r="AA39" s="949"/>
      <c r="AB39" s="950"/>
      <c r="AC39" s="946"/>
      <c r="AD39" s="949">
        <f>SUMIF($AE$9:$AE$28,Lists!I51,$AD$9:$AD$28)</f>
        <v>0</v>
      </c>
      <c r="AE39" s="950" t="str">
        <f>IF($AD39&lt;=0,"",CONCATENATE("/"," ",Lists!I51))</f>
        <v/>
      </c>
      <c r="AF39" s="937"/>
      <c r="AG39" s="937"/>
      <c r="AH39" s="892"/>
    </row>
    <row r="40" spans="1:34" ht="12.6" customHeight="1" x14ac:dyDescent="0.2">
      <c r="A40" s="943">
        <v>3.9</v>
      </c>
      <c r="B40" s="1333"/>
      <c r="C40" s="1326"/>
      <c r="D40" s="1326"/>
      <c r="E40" s="1326"/>
      <c r="F40" s="953"/>
      <c r="G40" s="953"/>
      <c r="H40" s="1326"/>
      <c r="I40" s="1327"/>
      <c r="J40" s="941">
        <f t="shared" si="9"/>
        <v>0</v>
      </c>
      <c r="K40" s="940" t="str">
        <f t="shared" si="10"/>
        <v/>
      </c>
      <c r="L40" s="1326"/>
      <c r="M40" s="1327"/>
      <c r="N40" s="941">
        <f t="shared" si="11"/>
        <v>0</v>
      </c>
      <c r="O40" s="940" t="str">
        <f t="shared" si="12"/>
        <v/>
      </c>
      <c r="P40" s="1326"/>
      <c r="Q40" s="1327"/>
      <c r="R40" s="941">
        <f t="shared" si="13"/>
        <v>0</v>
      </c>
      <c r="S40" s="940" t="str">
        <f t="shared" si="14"/>
        <v/>
      </c>
      <c r="T40" s="939">
        <f t="shared" si="15"/>
        <v>0</v>
      </c>
      <c r="U40" s="940" t="str">
        <f t="shared" si="16"/>
        <v/>
      </c>
      <c r="V40" s="941">
        <f t="shared" si="17"/>
        <v>0</v>
      </c>
      <c r="W40" s="940" t="str">
        <f t="shared" si="18"/>
        <v/>
      </c>
      <c r="X40" s="939">
        <f t="shared" si="19"/>
        <v>0</v>
      </c>
      <c r="Y40" s="940" t="str">
        <f t="shared" si="20"/>
        <v/>
      </c>
      <c r="Z40" s="942"/>
      <c r="AA40" s="949"/>
      <c r="AB40" s="950"/>
      <c r="AC40" s="946"/>
      <c r="AD40" s="949">
        <f>SUMIF($AE$9:$AE$28,Lists!I52,$AD$9:$AD$28)</f>
        <v>0</v>
      </c>
      <c r="AE40" s="950" t="str">
        <f>IF($AD40&lt;=0,"",CONCATENATE("/"," ",Lists!I52))</f>
        <v/>
      </c>
      <c r="AF40" s="937"/>
      <c r="AG40" s="937"/>
      <c r="AH40" s="892"/>
    </row>
    <row r="41" spans="1:34" ht="12.6" customHeight="1" thickBot="1" x14ac:dyDescent="0.25">
      <c r="A41" s="943">
        <v>4.2</v>
      </c>
      <c r="B41" s="1333"/>
      <c r="C41" s="1326"/>
      <c r="D41" s="1326"/>
      <c r="E41" s="1326"/>
      <c r="F41" s="388"/>
      <c r="G41" s="388"/>
      <c r="H41" s="1326"/>
      <c r="I41" s="1327"/>
      <c r="J41" s="941">
        <f t="shared" si="9"/>
        <v>0</v>
      </c>
      <c r="K41" s="940" t="str">
        <f t="shared" si="10"/>
        <v/>
      </c>
      <c r="L41" s="1326"/>
      <c r="M41" s="1327"/>
      <c r="N41" s="941">
        <f t="shared" si="11"/>
        <v>0</v>
      </c>
      <c r="O41" s="940" t="str">
        <f t="shared" si="12"/>
        <v/>
      </c>
      <c r="P41" s="1326"/>
      <c r="Q41" s="1327"/>
      <c r="R41" s="941">
        <f t="shared" si="13"/>
        <v>0</v>
      </c>
      <c r="S41" s="940" t="str">
        <f t="shared" si="14"/>
        <v/>
      </c>
      <c r="T41" s="939">
        <f t="shared" si="15"/>
        <v>0</v>
      </c>
      <c r="U41" s="940" t="str">
        <f t="shared" si="16"/>
        <v/>
      </c>
      <c r="V41" s="941">
        <f t="shared" si="17"/>
        <v>0</v>
      </c>
      <c r="W41" s="940" t="str">
        <f t="shared" si="18"/>
        <v/>
      </c>
      <c r="X41" s="939">
        <f t="shared" si="19"/>
        <v>0</v>
      </c>
      <c r="Y41" s="940" t="str">
        <f t="shared" si="20"/>
        <v/>
      </c>
      <c r="Z41" s="942"/>
      <c r="AA41" s="954">
        <f>SUMIF(AA9:AA28,"&gt;2.7",Z9:Z28)</f>
        <v>0</v>
      </c>
      <c r="AB41" s="955" t="str">
        <f>CONCATENATE("/"," ",A39)</f>
        <v>/ 3.6</v>
      </c>
      <c r="AC41" s="956"/>
      <c r="AD41" s="957">
        <f>SUMIF($AE$9:$AE$28,'Data Sheet'!#REF!,$AD$9:$AD$28)</f>
        <v>0</v>
      </c>
      <c r="AE41" s="955" t="str">
        <f>IF($AD41&lt;=0,"",CONCATENATE("/"," ",'Data Sheet'!#REF!))</f>
        <v/>
      </c>
      <c r="AF41" s="937"/>
      <c r="AG41" s="937"/>
      <c r="AH41" s="892"/>
    </row>
    <row r="42" spans="1:34" ht="12.6" customHeight="1" x14ac:dyDescent="0.2">
      <c r="A42" s="943">
        <v>4.5</v>
      </c>
      <c r="B42" s="1333"/>
      <c r="C42" s="1326"/>
      <c r="D42" s="1326"/>
      <c r="E42" s="1326"/>
      <c r="F42" s="388"/>
      <c r="G42" s="388"/>
      <c r="H42" s="1326"/>
      <c r="I42" s="1327"/>
      <c r="J42" s="941">
        <f t="shared" si="9"/>
        <v>0</v>
      </c>
      <c r="K42" s="940" t="str">
        <f t="shared" si="10"/>
        <v/>
      </c>
      <c r="L42" s="1326"/>
      <c r="M42" s="1327"/>
      <c r="N42" s="941">
        <f t="shared" si="11"/>
        <v>0</v>
      </c>
      <c r="O42" s="940" t="str">
        <f t="shared" si="12"/>
        <v/>
      </c>
      <c r="P42" s="1326"/>
      <c r="Q42" s="1327"/>
      <c r="R42" s="941">
        <f t="shared" si="13"/>
        <v>0</v>
      </c>
      <c r="S42" s="940" t="str">
        <f t="shared" si="14"/>
        <v/>
      </c>
      <c r="T42" s="939">
        <f t="shared" si="15"/>
        <v>0</v>
      </c>
      <c r="U42" s="940" t="str">
        <f t="shared" si="16"/>
        <v/>
      </c>
      <c r="V42" s="941">
        <f t="shared" si="17"/>
        <v>0</v>
      </c>
      <c r="W42" s="940" t="str">
        <f t="shared" si="18"/>
        <v/>
      </c>
      <c r="X42" s="939">
        <f t="shared" si="19"/>
        <v>0</v>
      </c>
      <c r="Y42" s="940" t="str">
        <f t="shared" si="20"/>
        <v/>
      </c>
      <c r="Z42" s="942"/>
      <c r="AA42" s="937"/>
      <c r="AB42" s="937"/>
      <c r="AC42" s="937"/>
      <c r="AD42" s="937"/>
      <c r="AE42" s="937"/>
      <c r="AF42" s="937"/>
      <c r="AG42" s="937"/>
      <c r="AH42" s="892"/>
    </row>
    <row r="43" spans="1:34" ht="12.6" customHeight="1" thickBot="1" x14ac:dyDescent="0.25">
      <c r="A43" s="943">
        <v>4.8</v>
      </c>
      <c r="B43" s="1333"/>
      <c r="C43" s="1326"/>
      <c r="D43" s="1326"/>
      <c r="E43" s="1326"/>
      <c r="F43" s="388"/>
      <c r="G43" s="388"/>
      <c r="H43" s="1326"/>
      <c r="I43" s="1327"/>
      <c r="J43" s="941">
        <f t="shared" si="9"/>
        <v>0</v>
      </c>
      <c r="K43" s="940" t="str">
        <f t="shared" si="10"/>
        <v/>
      </c>
      <c r="L43" s="1326"/>
      <c r="M43" s="1327"/>
      <c r="N43" s="941">
        <f t="shared" si="11"/>
        <v>0</v>
      </c>
      <c r="O43" s="940" t="str">
        <f t="shared" si="12"/>
        <v/>
      </c>
      <c r="P43" s="1326"/>
      <c r="Q43" s="1327"/>
      <c r="R43" s="941">
        <f t="shared" si="13"/>
        <v>0</v>
      </c>
      <c r="S43" s="940" t="str">
        <f t="shared" si="14"/>
        <v/>
      </c>
      <c r="T43" s="939">
        <f t="shared" si="15"/>
        <v>0</v>
      </c>
      <c r="U43" s="940" t="str">
        <f t="shared" si="16"/>
        <v/>
      </c>
      <c r="V43" s="941">
        <f t="shared" si="17"/>
        <v>0</v>
      </c>
      <c r="W43" s="940" t="str">
        <f t="shared" si="18"/>
        <v/>
      </c>
      <c r="X43" s="939">
        <f t="shared" si="19"/>
        <v>0</v>
      </c>
      <c r="Y43" s="940" t="str">
        <f t="shared" si="20"/>
        <v/>
      </c>
      <c r="Z43" s="942"/>
      <c r="AA43" s="1350" t="s">
        <v>228</v>
      </c>
      <c r="AB43" s="1357"/>
      <c r="AC43" s="1357"/>
      <c r="AD43" s="1360"/>
      <c r="AE43" s="1360"/>
      <c r="AF43" s="937"/>
      <c r="AG43" s="937"/>
      <c r="AH43" s="892"/>
    </row>
    <row r="44" spans="1:34" ht="12.6" customHeight="1" thickBot="1" x14ac:dyDescent="0.25">
      <c r="A44" s="943">
        <v>5.0999999999999996</v>
      </c>
      <c r="B44" s="1333"/>
      <c r="C44" s="1326"/>
      <c r="D44" s="1325"/>
      <c r="E44" s="1325"/>
      <c r="F44" s="388"/>
      <c r="G44" s="388"/>
      <c r="H44" s="1326"/>
      <c r="I44" s="1327"/>
      <c r="J44" s="941">
        <f t="shared" si="9"/>
        <v>0</v>
      </c>
      <c r="K44" s="940" t="str">
        <f t="shared" si="10"/>
        <v/>
      </c>
      <c r="L44" s="1325"/>
      <c r="M44" s="1328"/>
      <c r="N44" s="941">
        <f t="shared" si="11"/>
        <v>0</v>
      </c>
      <c r="O44" s="940" t="str">
        <f t="shared" si="12"/>
        <v/>
      </c>
      <c r="P44" s="1326"/>
      <c r="Q44" s="1327"/>
      <c r="R44" s="941">
        <f t="shared" si="13"/>
        <v>0</v>
      </c>
      <c r="S44" s="940" t="str">
        <f t="shared" si="14"/>
        <v/>
      </c>
      <c r="T44" s="939">
        <f t="shared" si="15"/>
        <v>0</v>
      </c>
      <c r="U44" s="940" t="str">
        <f t="shared" si="16"/>
        <v/>
      </c>
      <c r="V44" s="941">
        <f t="shared" si="17"/>
        <v>0</v>
      </c>
      <c r="W44" s="940" t="str">
        <f t="shared" si="18"/>
        <v/>
      </c>
      <c r="X44" s="939">
        <f t="shared" si="19"/>
        <v>0</v>
      </c>
      <c r="Y44" s="940" t="str">
        <f t="shared" si="20"/>
        <v/>
      </c>
      <c r="Z44" s="942"/>
      <c r="AA44" s="1280" t="s">
        <v>236</v>
      </c>
      <c r="AB44" s="1358"/>
      <c r="AC44" s="958"/>
      <c r="AD44" s="959">
        <f>SUM($Z$9:$Z$28)</f>
        <v>0</v>
      </c>
      <c r="AE44" s="960" t="s">
        <v>302</v>
      </c>
      <c r="AF44" s="937"/>
      <c r="AG44" s="937"/>
      <c r="AH44" s="892"/>
    </row>
    <row r="45" spans="1:34" ht="12.6" customHeight="1" thickBot="1" x14ac:dyDescent="0.25">
      <c r="A45" s="961">
        <v>5.4</v>
      </c>
      <c r="B45" s="1329">
        <f>CEILING(SUMPRODUCT(B9:B28,C9:C28)/5.4,1)</f>
        <v>0</v>
      </c>
      <c r="C45" s="1330"/>
      <c r="D45" s="1329">
        <f>CEILING(SUMPRODUCT(D9:D28,E9:E28)/5.4,1)</f>
        <v>0</v>
      </c>
      <c r="E45" s="1330"/>
      <c r="F45" s="388"/>
      <c r="G45" s="388"/>
      <c r="H45" s="1329">
        <f>CEILING(SUMPRODUCT(H9:H28,I9:I28)/5.4,1)</f>
        <v>0</v>
      </c>
      <c r="I45" s="1330"/>
      <c r="J45" s="962">
        <f t="shared" si="9"/>
        <v>0</v>
      </c>
      <c r="K45" s="963" t="str">
        <f t="shared" si="10"/>
        <v/>
      </c>
      <c r="L45" s="1329">
        <f>ROUNDUP(SUMIF(Name,"*DESIGN*",Length)/5.4,0)+ROUNDUP(SUMIF(Height,"*300*77*",Length)/5.4,0)+ROUNDUP(SUMIF(Height,"*280*80*",Length)/5.4,0)+IF(OR(Brick_type="Timber Frame",Brick_type="Reverse Brick Veneer"),IF(SUMIFS(Area,Name,"Garage Area",Material,"&lt;&gt;Plasterboard")&gt;0,CEILING((SUMIF(Name,"Garage wall",Length)+SUMIF(Name,"Common wall",Length))/5.4,1),0),0)+ROUNDUP(SUMIF(Name,"*EXPOSED TIMBER BEAM*",Length)/5.4,0)+SUM(L9:L28)</f>
        <v>0</v>
      </c>
      <c r="M45" s="1330"/>
      <c r="N45" s="1329">
        <f>CEILING(SUMPRODUCT(N9:N28,O9:O28)/5.4,1)</f>
        <v>0</v>
      </c>
      <c r="O45" s="1330"/>
      <c r="P45" s="1331">
        <f>CEILING(SUMPRODUCT(P9:P28,Q9:Q28)/5.4+(COUNTIF(Material,"Timber 90")*0.36)/5.4,1)</f>
        <v>0</v>
      </c>
      <c r="Q45" s="1332"/>
      <c r="R45" s="962">
        <f t="shared" si="13"/>
        <v>0</v>
      </c>
      <c r="S45" s="963" t="str">
        <f t="shared" si="14"/>
        <v/>
      </c>
      <c r="T45" s="964">
        <f t="shared" si="15"/>
        <v>0</v>
      </c>
      <c r="U45" s="963" t="str">
        <f t="shared" si="16"/>
        <v/>
      </c>
      <c r="V45" s="962">
        <f t="shared" si="17"/>
        <v>0</v>
      </c>
      <c r="W45" s="963" t="str">
        <f t="shared" si="18"/>
        <v/>
      </c>
      <c r="X45" s="964">
        <f t="shared" si="19"/>
        <v>0</v>
      </c>
      <c r="Y45" s="963" t="str">
        <f t="shared" si="20"/>
        <v/>
      </c>
      <c r="Z45" s="942"/>
      <c r="AA45" s="1280" t="s">
        <v>221</v>
      </c>
      <c r="AB45" s="1358"/>
      <c r="AC45" s="958"/>
      <c r="AD45" s="959">
        <f>SUM($AB$9:$AB$28)</f>
        <v>0</v>
      </c>
      <c r="AE45" s="960" t="s">
        <v>237</v>
      </c>
      <c r="AF45" s="937"/>
      <c r="AG45" s="937"/>
      <c r="AH45" s="892"/>
    </row>
    <row r="46" spans="1:34" ht="12.6" customHeight="1" thickBot="1" x14ac:dyDescent="0.25">
      <c r="A46" s="965" t="s">
        <v>300</v>
      </c>
      <c r="B46" s="1280">
        <f>B45*5.4</f>
        <v>0</v>
      </c>
      <c r="C46" s="1359"/>
      <c r="D46" s="1280">
        <f>D45*5.4</f>
        <v>0</v>
      </c>
      <c r="E46" s="1359"/>
      <c r="F46" s="1280">
        <f>SUMPRODUCT(F30:F39,A30:A39)</f>
        <v>0</v>
      </c>
      <c r="G46" s="1359"/>
      <c r="H46" s="1280">
        <f>H45*5.4</f>
        <v>0</v>
      </c>
      <c r="I46" s="1359"/>
      <c r="J46" s="1280">
        <f>SUMPRODUCT(J$9:J$28,K$9:K$28)</f>
        <v>0</v>
      </c>
      <c r="K46" s="1282"/>
      <c r="L46" s="1280">
        <f>L45*5.4</f>
        <v>0</v>
      </c>
      <c r="M46" s="1359"/>
      <c r="N46" s="1280">
        <f>SUMPRODUCT(N$9:N$28,O$9:O$28)</f>
        <v>0</v>
      </c>
      <c r="O46" s="1359"/>
      <c r="P46" s="1280">
        <f>P39*3.6</f>
        <v>0</v>
      </c>
      <c r="Q46" s="1359"/>
      <c r="R46" s="1280">
        <f>SUMPRODUCT(R$9:R$28,S$9:S$28)</f>
        <v>0</v>
      </c>
      <c r="S46" s="1359"/>
      <c r="T46" s="1280">
        <f>SUMPRODUCT(T$9:T$28,U$9:U$28)</f>
        <v>0</v>
      </c>
      <c r="U46" s="1282"/>
      <c r="V46" s="1280">
        <f>SUMPRODUCT(V$9:V$28,W$9:W$28)</f>
        <v>0</v>
      </c>
      <c r="W46" s="1359"/>
      <c r="X46" s="1280">
        <f>SUMPRODUCT(X$9:X$28,Y$9:Y$28)</f>
        <v>0</v>
      </c>
      <c r="Y46" s="1359"/>
      <c r="Z46" s="937"/>
      <c r="AA46" s="966" t="s">
        <v>343</v>
      </c>
      <c r="AB46" s="967"/>
      <c r="AC46" s="967"/>
      <c r="AD46" s="967"/>
      <c r="AE46" s="968">
        <f>SUM(AC9:AC28)</f>
        <v>0</v>
      </c>
      <c r="AF46" s="937"/>
      <c r="AG46" s="937"/>
      <c r="AH46" s="892"/>
    </row>
    <row r="47" spans="1:34" ht="12.6" customHeight="1" x14ac:dyDescent="0.2">
      <c r="A47" s="969"/>
      <c r="B47" s="970"/>
      <c r="C47" s="970"/>
      <c r="D47" s="970"/>
      <c r="E47" s="970"/>
      <c r="F47" s="970"/>
      <c r="G47" s="970"/>
      <c r="H47" s="970"/>
      <c r="I47" s="970"/>
      <c r="J47" s="970"/>
      <c r="K47" s="970"/>
      <c r="L47" s="970"/>
      <c r="M47" s="970"/>
      <c r="N47" s="970"/>
      <c r="O47" s="970"/>
      <c r="P47" s="970"/>
      <c r="Q47" s="970"/>
      <c r="R47" s="970"/>
      <c r="S47" s="970"/>
      <c r="T47" s="970"/>
      <c r="U47" s="970"/>
      <c r="V47" s="970"/>
      <c r="W47" s="970"/>
      <c r="X47" s="970"/>
      <c r="Y47" s="970"/>
      <c r="Z47" s="970"/>
      <c r="AA47" s="970"/>
      <c r="AB47" s="970"/>
      <c r="AC47" s="970"/>
      <c r="AD47" s="970"/>
      <c r="AE47" s="970"/>
      <c r="AF47" s="970"/>
      <c r="AG47" s="970"/>
      <c r="AH47" s="971"/>
    </row>
    <row r="1048576" spans="26:26" x14ac:dyDescent="0.2">
      <c r="Z1048576" s="972"/>
    </row>
  </sheetData>
  <sheetProtection selectLockedCells="1"/>
  <mergeCells count="145">
    <mergeCell ref="B46:C46"/>
    <mergeCell ref="D46:E46"/>
    <mergeCell ref="F46:G46"/>
    <mergeCell ref="H46:I46"/>
    <mergeCell ref="R46:S46"/>
    <mergeCell ref="J46:K46"/>
    <mergeCell ref="L46:M46"/>
    <mergeCell ref="N46:O46"/>
    <mergeCell ref="P46:Q46"/>
    <mergeCell ref="B7:C7"/>
    <mergeCell ref="L7:M7"/>
    <mergeCell ref="V7:W7"/>
    <mergeCell ref="T7:U7"/>
    <mergeCell ref="P7:Q7"/>
    <mergeCell ref="D7:E7"/>
    <mergeCell ref="J7:K7"/>
    <mergeCell ref="H7:I7"/>
    <mergeCell ref="F7:G7"/>
    <mergeCell ref="AA44:AB44"/>
    <mergeCell ref="T46:U46"/>
    <mergeCell ref="V46:W46"/>
    <mergeCell ref="X46:Y46"/>
    <mergeCell ref="AA45:AB45"/>
    <mergeCell ref="AA43:AE43"/>
    <mergeCell ref="X7:Y7"/>
    <mergeCell ref="V5:W5"/>
    <mergeCell ref="V6:W6"/>
    <mergeCell ref="X5:Y5"/>
    <mergeCell ref="Z6:AA6"/>
    <mergeCell ref="Z5:AA5"/>
    <mergeCell ref="AF31:AG31"/>
    <mergeCell ref="AD6:AE6"/>
    <mergeCell ref="AD5:AE5"/>
    <mergeCell ref="N7:O7"/>
    <mergeCell ref="AD31:AE31"/>
    <mergeCell ref="T5:U5"/>
    <mergeCell ref="T6:U6"/>
    <mergeCell ref="P5:Q5"/>
    <mergeCell ref="P6:Q6"/>
    <mergeCell ref="X6:Y6"/>
    <mergeCell ref="AA31:AB31"/>
    <mergeCell ref="R7:S7"/>
    <mergeCell ref="R5:S5"/>
    <mergeCell ref="R6:S6"/>
    <mergeCell ref="H3:AF3"/>
    <mergeCell ref="A1:C1"/>
    <mergeCell ref="L6:M6"/>
    <mergeCell ref="M2:N2"/>
    <mergeCell ref="N5:O5"/>
    <mergeCell ref="N6:O6"/>
    <mergeCell ref="L5:M5"/>
    <mergeCell ref="J6:K6"/>
    <mergeCell ref="J5:K5"/>
    <mergeCell ref="H5:I5"/>
    <mergeCell ref="H6:I6"/>
    <mergeCell ref="D3:E3"/>
    <mergeCell ref="F3:G3"/>
    <mergeCell ref="F6:G6"/>
    <mergeCell ref="F5:G5"/>
    <mergeCell ref="B5:C5"/>
    <mergeCell ref="B6:C6"/>
    <mergeCell ref="D5:E5"/>
    <mergeCell ref="D6:E6"/>
    <mergeCell ref="B29:C29"/>
    <mergeCell ref="B45:C45"/>
    <mergeCell ref="B30:C30"/>
    <mergeCell ref="B31:C31"/>
    <mergeCell ref="B32:C32"/>
    <mergeCell ref="B33:C33"/>
    <mergeCell ref="B34:C34"/>
    <mergeCell ref="B35:C35"/>
    <mergeCell ref="B36:C36"/>
    <mergeCell ref="B37:C37"/>
    <mergeCell ref="B38:C38"/>
    <mergeCell ref="B39:C39"/>
    <mergeCell ref="B40:C40"/>
    <mergeCell ref="B41:C41"/>
    <mergeCell ref="B42:C42"/>
    <mergeCell ref="B43:C43"/>
    <mergeCell ref="B44:C44"/>
    <mergeCell ref="D32:E32"/>
    <mergeCell ref="H32:I32"/>
    <mergeCell ref="L32:M32"/>
    <mergeCell ref="P32:Q32"/>
    <mergeCell ref="D33:E33"/>
    <mergeCell ref="H33:I33"/>
    <mergeCell ref="L33:M33"/>
    <mergeCell ref="P33:Q33"/>
    <mergeCell ref="H30:I30"/>
    <mergeCell ref="P30:Q30"/>
    <mergeCell ref="D31:E31"/>
    <mergeCell ref="H31:I31"/>
    <mergeCell ref="L31:M31"/>
    <mergeCell ref="P31:Q31"/>
    <mergeCell ref="L30:M30"/>
    <mergeCell ref="D30:E30"/>
    <mergeCell ref="D36:E36"/>
    <mergeCell ref="H36:I36"/>
    <mergeCell ref="L36:M36"/>
    <mergeCell ref="P36:Q36"/>
    <mergeCell ref="D37:E37"/>
    <mergeCell ref="H37:I37"/>
    <mergeCell ref="L37:M37"/>
    <mergeCell ref="P37:Q37"/>
    <mergeCell ref="D34:E34"/>
    <mergeCell ref="H34:I34"/>
    <mergeCell ref="L34:M34"/>
    <mergeCell ref="P34:Q34"/>
    <mergeCell ref="D35:E35"/>
    <mergeCell ref="H35:I35"/>
    <mergeCell ref="L35:M35"/>
    <mergeCell ref="P35:Q35"/>
    <mergeCell ref="D40:E40"/>
    <mergeCell ref="H40:I40"/>
    <mergeCell ref="L40:M40"/>
    <mergeCell ref="P40:Q40"/>
    <mergeCell ref="D41:E41"/>
    <mergeCell ref="H41:I41"/>
    <mergeCell ref="L41:M41"/>
    <mergeCell ref="P41:Q41"/>
    <mergeCell ref="D38:E38"/>
    <mergeCell ref="H38:I38"/>
    <mergeCell ref="L38:M38"/>
    <mergeCell ref="P38:Q38"/>
    <mergeCell ref="D39:E39"/>
    <mergeCell ref="L39:M39"/>
    <mergeCell ref="P39:Q39"/>
    <mergeCell ref="H39:I39"/>
    <mergeCell ref="D44:E44"/>
    <mergeCell ref="H44:I44"/>
    <mergeCell ref="L44:M44"/>
    <mergeCell ref="P44:Q44"/>
    <mergeCell ref="D45:E45"/>
    <mergeCell ref="L45:M45"/>
    <mergeCell ref="P45:Q45"/>
    <mergeCell ref="D42:E42"/>
    <mergeCell ref="H42:I42"/>
    <mergeCell ref="L42:M42"/>
    <mergeCell ref="P42:Q42"/>
    <mergeCell ref="D43:E43"/>
    <mergeCell ref="H43:I43"/>
    <mergeCell ref="L43:M43"/>
    <mergeCell ref="P43:Q43"/>
    <mergeCell ref="N45:O45"/>
    <mergeCell ref="H45:I45"/>
  </mergeCells>
  <phoneticPr fontId="12" type="noConversion"/>
  <dataValidations count="6">
    <dataValidation type="list" showDropDown="1" showInputMessage="1" showErrorMessage="1" errorTitle="Size Incorrect" error="You must enter a 0.3m increment length." sqref="AA22:AA29 E9 AA9 Q29 E17:E29 Y9:Y29 G9:G29 I9:I29 K9:K29 S10:S29 O9:O29 W9:W29 C9 U9:U29 C27:C28 AA16:AA17 C17:C25 M29 M10" xr:uid="{00000000-0002-0000-1600-000000000000}">
      <formula1>$A$30:$A$45</formula1>
    </dataValidation>
    <dataValidation type="whole" allowBlank="1" showInputMessage="1" showErrorMessage="1" sqref="B9 D9:D26 Z9 P21:P28 X20:X28 L27:L28 N21:N28 P9:P19 T9:T28 V9:V28 D28 J9:J28 H9:H28 F9:F28 Z22:Z28 X9:X18 L9:L25 N9:N19 R10:R28" xr:uid="{00000000-0002-0000-1600-000001000000}">
      <formula1>1</formula1>
      <formula2>20</formula2>
    </dataValidation>
    <dataValidation type="list" allowBlank="1" showInputMessage="1" showErrorMessage="1" sqref="B7 X7 V7 T7 R7 P7 N7 L7 J7 H7 F7 D7" xr:uid="{00000000-0002-0000-1600-000002000000}">
      <formula1>Mouldingmaterials</formula1>
    </dataValidation>
    <dataValidation type="list" allowBlank="1" showInputMessage="1" showErrorMessage="1" sqref="AE9 AE28" xr:uid="{00000000-0002-0000-1600-000003000000}">
      <formula1>Shelvinglist</formula1>
    </dataValidation>
    <dataValidation type="list" allowBlank="1" showInputMessage="1" showErrorMessage="1" sqref="A9:A28" xr:uid="{00000000-0002-0000-1600-000004000000}">
      <formula1>Locations</formula1>
    </dataValidation>
    <dataValidation type="list" showDropDown="1" showInputMessage="1" showErrorMessage="1" errorTitle="Size Incorrect" error="You must enter a 0.3m increment length." sqref="M11:M28 M9" xr:uid="{31A1EADC-A737-46F4-BCBA-39BD8FCF234C}">
      <formula1>"5.4"</formula1>
    </dataValidation>
  </dataValidations>
  <pageMargins left="0.19685039370078741" right="0.19685039370078741" top="0.39370078740157483" bottom="0.39370078740157483" header="0.51181102362204722" footer="0.11811023622047245"/>
  <pageSetup paperSize="9" scale="68" orientation="landscape" r:id="rId1"/>
  <headerFooter alignWithMargins="0">
    <oddFooter>Page &amp;P of &amp;N</oddFooter>
  </headerFooter>
  <ignoredErrors>
    <ignoredError sqref="AA26:AC27 AC18 AC22:AC25" unlockedFormula="1"/>
  </ignoredErrors>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32"/>
  <dimension ref="A1:U416"/>
  <sheetViews>
    <sheetView zoomScale="70" zoomScaleNormal="70" workbookViewId="0"/>
  </sheetViews>
  <sheetFormatPr defaultColWidth="9.140625" defaultRowHeight="12.75" outlineLevelRow="1" x14ac:dyDescent="0.2"/>
  <cols>
    <col min="1" max="1" width="27.42578125" style="324" customWidth="1"/>
    <col min="2" max="2" width="30.7109375" style="324" customWidth="1"/>
    <col min="3" max="3" width="18.5703125" style="324" bestFit="1" customWidth="1"/>
    <col min="4" max="4" width="30.7109375" style="324" customWidth="1"/>
    <col min="5" max="6" width="15.7109375" style="324" customWidth="1"/>
    <col min="7" max="7" width="9.140625" style="324" bestFit="1" customWidth="1"/>
    <col min="8" max="8" width="23.7109375" style="324" customWidth="1"/>
    <col min="9" max="9" width="30.7109375" style="324" customWidth="1"/>
    <col min="10" max="10" width="18.5703125" style="324" bestFit="1" customWidth="1"/>
    <col min="11" max="11" width="30.7109375" style="324" customWidth="1"/>
    <col min="12" max="12" width="17.42578125" style="324" bestFit="1" customWidth="1"/>
    <col min="13" max="13" width="15.7109375" style="324" customWidth="1"/>
    <col min="14" max="14" width="9.140625" style="324" customWidth="1"/>
    <col min="15" max="15" width="19.85546875" style="324" hidden="1" customWidth="1"/>
    <col min="16" max="16" width="7.5703125" style="324" hidden="1" customWidth="1"/>
    <col min="17" max="17" width="9.140625" style="324" customWidth="1"/>
    <col min="18" max="18" width="60.7109375" style="412" customWidth="1"/>
    <col min="19" max="19" width="17.42578125" style="324" bestFit="1" customWidth="1"/>
    <col min="20" max="25" width="9.140625" style="324" customWidth="1"/>
    <col min="26" max="16384" width="9.140625" style="324"/>
  </cols>
  <sheetData>
    <row r="1" spans="1:21" ht="24" customHeight="1" thickBot="1" x14ac:dyDescent="0.25">
      <c r="A1" s="350" t="s">
        <v>348</v>
      </c>
      <c r="B1" s="1389"/>
      <c r="C1" s="1390"/>
      <c r="D1" s="1390"/>
      <c r="E1" s="1390"/>
      <c r="F1" s="1391"/>
      <c r="H1" s="597" t="str">
        <f>IFERROR(VLOOKUP(B1,'Lists &amp; Tables'!A385:B392,2,FALSE),"")</f>
        <v/>
      </c>
    </row>
    <row r="2" spans="1:21" ht="14.1" customHeight="1" thickBot="1" x14ac:dyDescent="0.25">
      <c r="A2" s="351"/>
      <c r="B2" s="351"/>
      <c r="C2" s="351"/>
      <c r="D2" s="351"/>
      <c r="E2" s="351"/>
      <c r="F2" s="351"/>
      <c r="G2" s="351"/>
      <c r="H2" s="351"/>
    </row>
    <row r="3" spans="1:21" ht="21.75" outlineLevel="1" thickBot="1" x14ac:dyDescent="0.25">
      <c r="A3" s="1369" t="s">
        <v>997</v>
      </c>
      <c r="B3" s="1370"/>
      <c r="C3" s="1370"/>
      <c r="D3" s="1370"/>
      <c r="E3" s="1370"/>
      <c r="F3" s="1371"/>
      <c r="H3" s="1369" t="s">
        <v>998</v>
      </c>
      <c r="I3" s="1370"/>
      <c r="J3" s="1370"/>
      <c r="K3" s="1370"/>
      <c r="L3" s="1370"/>
      <c r="M3" s="1371"/>
      <c r="O3" s="352" t="s">
        <v>863</v>
      </c>
      <c r="P3" s="352" t="s">
        <v>995</v>
      </c>
      <c r="T3" s="342"/>
      <c r="U3" s="342"/>
    </row>
    <row r="4" spans="1:21" ht="15.75" customHeight="1" outlineLevel="1" thickBot="1" x14ac:dyDescent="0.25">
      <c r="A4" s="353" t="s">
        <v>551</v>
      </c>
      <c r="B4" s="810" t="s">
        <v>661</v>
      </c>
      <c r="C4" s="354" t="s">
        <v>672</v>
      </c>
      <c r="D4" s="355">
        <v>44</v>
      </c>
      <c r="E4" s="356">
        <f>IF($B$1="Magic Tiles",0.3,IF($B$1="Tiles Plus",0.3,0.2))</f>
        <v>0.2</v>
      </c>
      <c r="F4" s="471">
        <f>IF(C4="Nett",ROUND(D4/1.1,2),IF(C4="Each",(1/(Bath_Wall_Height*Bath_Wall_Width)*D4/1.1),IF(C4="M2",(IF(AND(OR($B$1="Armanti Bunbury",$B$1="Armanti Busselton"),(D4&lt;=44)),30,IF(AND($B$1="Magic Tiles",D4&lt;=44),25.46,IF(AND(OR($B$1="Trimview"),(D4&lt;=44)),32,IF(C4="M2",D4/1.1-E4*D4/1.1,0))))))))</f>
        <v>32</v>
      </c>
      <c r="G4" s="472"/>
      <c r="H4" s="353" t="s">
        <v>551</v>
      </c>
      <c r="I4" s="810" t="s">
        <v>661</v>
      </c>
      <c r="J4" s="354" t="s">
        <v>672</v>
      </c>
      <c r="K4" s="355">
        <v>44</v>
      </c>
      <c r="L4" s="356">
        <f>IF($B$1="Magic Tiles",0.3,IF($B$1="Tiles Plus",0.3,0.2))</f>
        <v>0.2</v>
      </c>
      <c r="M4" s="471">
        <f>IF(J4="Nett",ROUND(K4/1.1,2),IF(J4="Each",(1/(Bath_Floor_Height*Bath_Floor_Width)*K4/1.1),IF(J4="M2",(IF(AND(OR($B$1="Armanti Bunbury",$B$1="Armanti Busselton"),(K4&lt;=44)),30,IF(AND($B$1="Magic Tiles",K4&lt;=44),25.46,IF(AND(OR($B$1="Trimview"),(K4&lt;=44)),32,IF(J4="M2",K4/1.1-L4*K4/1.1,0))))))))</f>
        <v>32</v>
      </c>
      <c r="O4" s="357" t="str">
        <f>""</f>
        <v/>
      </c>
      <c r="P4" s="357" t="str">
        <f>""</f>
        <v/>
      </c>
      <c r="R4" s="503" t="s">
        <v>1212</v>
      </c>
      <c r="S4" s="342"/>
    </row>
    <row r="5" spans="1:21" ht="15.75" customHeight="1" outlineLevel="1" thickBot="1" x14ac:dyDescent="0.25">
      <c r="A5" s="810" t="s">
        <v>1595</v>
      </c>
      <c r="B5" s="1381" t="s">
        <v>136</v>
      </c>
      <c r="C5" s="1382"/>
      <c r="D5" s="1381" t="s">
        <v>99</v>
      </c>
      <c r="E5" s="1382"/>
      <c r="F5" s="1383" t="s">
        <v>11</v>
      </c>
      <c r="G5" s="472"/>
      <c r="H5" s="810" t="s">
        <v>1595</v>
      </c>
      <c r="I5" s="1381" t="s">
        <v>34</v>
      </c>
      <c r="J5" s="1382"/>
      <c r="K5" s="1381" t="s">
        <v>99</v>
      </c>
      <c r="L5" s="1382"/>
      <c r="M5" s="1383" t="s">
        <v>11</v>
      </c>
      <c r="O5" s="357" t="s">
        <v>864</v>
      </c>
      <c r="P5" s="357" t="s">
        <v>999</v>
      </c>
      <c r="R5" s="503" t="s">
        <v>1213</v>
      </c>
      <c r="S5" s="342"/>
    </row>
    <row r="6" spans="1:21" ht="15.75" customHeight="1" outlineLevel="1" thickBot="1" x14ac:dyDescent="0.25">
      <c r="A6" s="754" t="s">
        <v>551</v>
      </c>
      <c r="B6" s="1386"/>
      <c r="C6" s="1387"/>
      <c r="D6" s="1386"/>
      <c r="E6" s="1387"/>
      <c r="F6" s="1384"/>
      <c r="G6" s="472"/>
      <c r="H6" s="754" t="s">
        <v>551</v>
      </c>
      <c r="I6" s="1388"/>
      <c r="J6" s="1387"/>
      <c r="K6" s="1388"/>
      <c r="L6" s="1387"/>
      <c r="M6" s="1384"/>
      <c r="O6" s="357" t="s">
        <v>865</v>
      </c>
      <c r="P6" s="357" t="s">
        <v>1000</v>
      </c>
      <c r="R6" s="503" t="s">
        <v>1214</v>
      </c>
      <c r="S6" s="342"/>
    </row>
    <row r="7" spans="1:21" ht="15.75" customHeight="1" outlineLevel="1" thickBot="1" x14ac:dyDescent="0.25">
      <c r="A7" s="492" t="s">
        <v>7</v>
      </c>
      <c r="B7" s="491" t="s">
        <v>136</v>
      </c>
      <c r="C7" s="492" t="s">
        <v>1001</v>
      </c>
      <c r="D7" s="491" t="s">
        <v>99</v>
      </c>
      <c r="E7" s="492" t="s">
        <v>1002</v>
      </c>
      <c r="F7" s="335" t="s">
        <v>11</v>
      </c>
      <c r="G7" s="472"/>
      <c r="H7" s="492" t="s">
        <v>7</v>
      </c>
      <c r="I7" s="491" t="s">
        <v>136</v>
      </c>
      <c r="J7" s="492" t="s">
        <v>1001</v>
      </c>
      <c r="K7" s="491" t="s">
        <v>99</v>
      </c>
      <c r="L7" s="492" t="s">
        <v>1002</v>
      </c>
      <c r="M7" s="335" t="s">
        <v>11</v>
      </c>
      <c r="O7" s="357" t="s">
        <v>866</v>
      </c>
      <c r="P7" s="357" t="s">
        <v>1003</v>
      </c>
      <c r="S7" s="342"/>
    </row>
    <row r="8" spans="1:21" ht="15.75" customHeight="1" outlineLevel="1" thickBot="1" x14ac:dyDescent="0.25">
      <c r="A8" s="476"/>
      <c r="B8" s="474"/>
      <c r="C8" s="493">
        <f>IF($B$6&gt;0,IF(OR(B8&lt;0,D8&lt;0),ROUNDDOWN(B8/$B$6,0),(CEILING(B8/$B$6,1))),0)</f>
        <v>0</v>
      </c>
      <c r="D8" s="475"/>
      <c r="E8" s="494">
        <f>IF($D$6&gt;0,IF(OR(B8&lt;0,D8&lt;0),ROUNDDOWN(D8/$D$6,0),CEILING(D8/$D$6,1)),0)</f>
        <v>0</v>
      </c>
      <c r="F8" s="335">
        <f t="shared" ref="F8:F48" si="0">C8*E8</f>
        <v>0</v>
      </c>
      <c r="G8" s="472"/>
      <c r="H8" s="473" t="s">
        <v>408</v>
      </c>
      <c r="I8" s="474"/>
      <c r="J8" s="493">
        <f>IF($I$6&gt;0,IF(OR(I8&lt;0,K8&lt;0),ROUNDDOWN(I8/$I$6,0),CEILING(I8/$I$6,1)),0)</f>
        <v>0</v>
      </c>
      <c r="K8" s="475"/>
      <c r="L8" s="494">
        <f>IF($K$6&gt;0,IF(OR(I8&lt;0,K8&lt;0),ROUNDDOWN(K8/$K$6,0),CEILING(K8/$K$6,1)),0)</f>
        <v>0</v>
      </c>
      <c r="M8" s="491">
        <f>IFERROR(ROUNDUP(SUMIF(Name,"Bathroom Floor Tile",Area)/(Bath_Floor_Height*Bath_Floor_Width),0),0)+IFERROR(ROUNDUP(SUMIF('CSV FF'!A:A,"Bathroom Floor Tile",'CSV FF'!F:F)/(Bath_Floor_Height*Bath_Floor_Width),0),0)</f>
        <v>0</v>
      </c>
      <c r="O8" s="357" t="s">
        <v>867</v>
      </c>
      <c r="P8" s="357" t="s">
        <v>1004</v>
      </c>
      <c r="R8" s="412" t="s">
        <v>1324</v>
      </c>
      <c r="S8" s="342"/>
    </row>
    <row r="9" spans="1:21" ht="15" outlineLevel="1" x14ac:dyDescent="0.2">
      <c r="A9" s="479"/>
      <c r="B9" s="477"/>
      <c r="C9" s="332">
        <f>IF($B$6&gt;0,IF(OR(B9&lt;0,D9&lt;0),ROUNDDOWN(B9/$B$6,0),(CEILING(B9/$B$6,1))),0)</f>
        <v>0</v>
      </c>
      <c r="D9" s="478"/>
      <c r="E9" s="334">
        <f>IF($D$6&gt;0,IF(OR(B9&lt;0,D9&lt;0),ROUNDDOWN(D9/$D$6,0),CEILING(D9/$D$6,1)),0)</f>
        <v>0</v>
      </c>
      <c r="F9" s="338">
        <f t="shared" si="0"/>
        <v>0</v>
      </c>
      <c r="G9" s="472"/>
      <c r="H9" s="479"/>
      <c r="I9" s="477"/>
      <c r="J9" s="332">
        <f>IF($I$6&gt;0,IF(OR(I9&lt;0,K9&lt;0),ROUNDDOWN(I9/$I$6,0),CEILING(I9/$I$6,1)),0)</f>
        <v>0</v>
      </c>
      <c r="K9" s="478"/>
      <c r="L9" s="332">
        <f>IF($K$6&gt;0,IF(OR(I9&lt;0,K9&lt;0),ROUNDDOWN(K9/$K$6,0),CEILING(K9/$K$6,1)),0)</f>
        <v>0</v>
      </c>
      <c r="M9" s="504">
        <f>BathFloorTable[[#This Row],[Tiles High]]*BathFloorTable[[#This Row],[Tiles Wide]]</f>
        <v>0</v>
      </c>
      <c r="O9" s="357" t="s">
        <v>868</v>
      </c>
      <c r="P9" s="357" t="s">
        <v>1005</v>
      </c>
      <c r="R9" s="412" t="s">
        <v>1325</v>
      </c>
    </row>
    <row r="10" spans="1:21" ht="15" outlineLevel="1" x14ac:dyDescent="0.2">
      <c r="A10" s="479"/>
      <c r="B10" s="477"/>
      <c r="C10" s="332">
        <f t="shared" ref="C10:C48" si="1">IF($B$6&gt;0,IF(OR(B10&lt;0,D10&lt;0),ROUNDDOWN(B10/$B$6,0),(CEILING(B10/$B$6,1))),0)</f>
        <v>0</v>
      </c>
      <c r="D10" s="478"/>
      <c r="E10" s="334">
        <f t="shared" ref="E10:E48" si="2">IF($D$6&gt;0,IF(OR(B10&lt;0,D10&lt;0),ROUNDDOWN(D10/$D$6,0),CEILING(D10/$D$6,1)),0)</f>
        <v>0</v>
      </c>
      <c r="F10" s="338">
        <f t="shared" si="0"/>
        <v>0</v>
      </c>
      <c r="G10" s="472"/>
      <c r="H10" s="479"/>
      <c r="I10" s="477"/>
      <c r="J10" s="332">
        <f t="shared" ref="J10:J48" si="3">IF($I$6&gt;0,IF(OR(I10&lt;0,K10&lt;0),ROUNDDOWN(I10/$I$6,0),CEILING(I10/$I$6,1)),0)</f>
        <v>0</v>
      </c>
      <c r="K10" s="478"/>
      <c r="L10" s="332">
        <f t="shared" ref="L10:L48" si="4">IF($K$6&gt;0,IF(OR(I10&lt;0,K10&lt;0),ROUNDDOWN(K10/$K$6,0),CEILING(K10/$K$6,1)),0)</f>
        <v>0</v>
      </c>
      <c r="M10" s="480">
        <f>BathFloorTable[[#This Row],[Tiles High]]*BathFloorTable[[#This Row],[Tiles Wide]]</f>
        <v>0</v>
      </c>
      <c r="O10" s="357" t="s">
        <v>869</v>
      </c>
      <c r="P10" s="357" t="s">
        <v>1006</v>
      </c>
      <c r="R10" s="412" t="s">
        <v>2301</v>
      </c>
    </row>
    <row r="11" spans="1:21" ht="15" outlineLevel="1" x14ac:dyDescent="0.2">
      <c r="A11" s="479"/>
      <c r="B11" s="477"/>
      <c r="C11" s="332">
        <f t="shared" si="1"/>
        <v>0</v>
      </c>
      <c r="D11" s="478"/>
      <c r="E11" s="334">
        <f t="shared" si="2"/>
        <v>0</v>
      </c>
      <c r="F11" s="338">
        <f t="shared" si="0"/>
        <v>0</v>
      </c>
      <c r="G11" s="472"/>
      <c r="H11" s="479"/>
      <c r="I11" s="477"/>
      <c r="J11" s="332">
        <f t="shared" si="3"/>
        <v>0</v>
      </c>
      <c r="K11" s="478"/>
      <c r="L11" s="332">
        <f t="shared" si="4"/>
        <v>0</v>
      </c>
      <c r="M11" s="480">
        <f>BathFloorTable[[#This Row],[Tiles High]]*BathFloorTable[[#This Row],[Tiles Wide]]</f>
        <v>0</v>
      </c>
      <c r="R11" s="412" t="s">
        <v>1338</v>
      </c>
    </row>
    <row r="12" spans="1:21" ht="15" outlineLevel="1" x14ac:dyDescent="0.2">
      <c r="A12" s="479"/>
      <c r="B12" s="477"/>
      <c r="C12" s="332">
        <f t="shared" si="1"/>
        <v>0</v>
      </c>
      <c r="D12" s="478"/>
      <c r="E12" s="334">
        <f t="shared" si="2"/>
        <v>0</v>
      </c>
      <c r="F12" s="338">
        <f t="shared" si="0"/>
        <v>0</v>
      </c>
      <c r="G12" s="472"/>
      <c r="H12" s="479"/>
      <c r="I12" s="477"/>
      <c r="J12" s="332">
        <f t="shared" si="3"/>
        <v>0</v>
      </c>
      <c r="K12" s="478"/>
      <c r="L12" s="332">
        <f t="shared" si="4"/>
        <v>0</v>
      </c>
      <c r="M12" s="480">
        <f>BathFloorTable[[#This Row],[Tiles High]]*BathFloorTable[[#This Row],[Tiles Wide]]</f>
        <v>0</v>
      </c>
      <c r="R12" s="412" t="s">
        <v>1339</v>
      </c>
    </row>
    <row r="13" spans="1:21" ht="15" outlineLevel="1" x14ac:dyDescent="0.2">
      <c r="A13" s="479"/>
      <c r="B13" s="477"/>
      <c r="C13" s="332">
        <f t="shared" si="1"/>
        <v>0</v>
      </c>
      <c r="D13" s="478"/>
      <c r="E13" s="334">
        <f t="shared" si="2"/>
        <v>0</v>
      </c>
      <c r="F13" s="338">
        <f t="shared" si="0"/>
        <v>0</v>
      </c>
      <c r="G13" s="472"/>
      <c r="H13" s="479"/>
      <c r="I13" s="477"/>
      <c r="J13" s="332">
        <f t="shared" si="3"/>
        <v>0</v>
      </c>
      <c r="K13" s="478"/>
      <c r="L13" s="332">
        <f t="shared" si="4"/>
        <v>0</v>
      </c>
      <c r="M13" s="480">
        <f>BathFloorTable[[#This Row],[Tiles High]]*BathFloorTable[[#This Row],[Tiles Wide]]</f>
        <v>0</v>
      </c>
    </row>
    <row r="14" spans="1:21" ht="15" outlineLevel="1" x14ac:dyDescent="0.2">
      <c r="A14" s="479"/>
      <c r="B14" s="477"/>
      <c r="C14" s="332">
        <f t="shared" si="1"/>
        <v>0</v>
      </c>
      <c r="D14" s="478"/>
      <c r="E14" s="334">
        <f t="shared" si="2"/>
        <v>0</v>
      </c>
      <c r="F14" s="338">
        <f t="shared" si="0"/>
        <v>0</v>
      </c>
      <c r="G14" s="472"/>
      <c r="H14" s="479"/>
      <c r="I14" s="477"/>
      <c r="J14" s="332">
        <f t="shared" si="3"/>
        <v>0</v>
      </c>
      <c r="K14" s="478"/>
      <c r="L14" s="332">
        <f t="shared" si="4"/>
        <v>0</v>
      </c>
      <c r="M14" s="480">
        <f>BathFloorTable[[#This Row],[Tiles High]]*BathFloorTable[[#This Row],[Tiles Wide]]</f>
        <v>0</v>
      </c>
      <c r="R14" s="503" t="s">
        <v>1590</v>
      </c>
    </row>
    <row r="15" spans="1:21" ht="15" outlineLevel="1" x14ac:dyDescent="0.2">
      <c r="A15" s="479"/>
      <c r="B15" s="477"/>
      <c r="C15" s="332">
        <f t="shared" si="1"/>
        <v>0</v>
      </c>
      <c r="D15" s="478"/>
      <c r="E15" s="334">
        <f t="shared" si="2"/>
        <v>0</v>
      </c>
      <c r="F15" s="338">
        <f t="shared" si="0"/>
        <v>0</v>
      </c>
      <c r="G15" s="472"/>
      <c r="H15" s="479"/>
      <c r="I15" s="477"/>
      <c r="J15" s="332">
        <f t="shared" si="3"/>
        <v>0</v>
      </c>
      <c r="K15" s="478"/>
      <c r="L15" s="332">
        <f t="shared" si="4"/>
        <v>0</v>
      </c>
      <c r="M15" s="480">
        <f>BathFloorTable[[#This Row],[Tiles High]]*BathFloorTable[[#This Row],[Tiles Wide]]</f>
        <v>0</v>
      </c>
      <c r="R15" s="753" t="s">
        <v>1591</v>
      </c>
    </row>
    <row r="16" spans="1:21" ht="15" outlineLevel="1" x14ac:dyDescent="0.2">
      <c r="A16" s="479"/>
      <c r="B16" s="477"/>
      <c r="C16" s="332">
        <f t="shared" si="1"/>
        <v>0</v>
      </c>
      <c r="D16" s="478"/>
      <c r="E16" s="334">
        <f t="shared" si="2"/>
        <v>0</v>
      </c>
      <c r="F16" s="338">
        <f t="shared" si="0"/>
        <v>0</v>
      </c>
      <c r="G16" s="472"/>
      <c r="H16" s="479"/>
      <c r="I16" s="477"/>
      <c r="J16" s="332">
        <f t="shared" si="3"/>
        <v>0</v>
      </c>
      <c r="K16" s="478"/>
      <c r="L16" s="332">
        <f t="shared" si="4"/>
        <v>0</v>
      </c>
      <c r="M16" s="480">
        <f>BathFloorTable[[#This Row],[Tiles High]]*BathFloorTable[[#This Row],[Tiles Wide]]</f>
        <v>0</v>
      </c>
      <c r="R16" s="753" t="s">
        <v>1592</v>
      </c>
    </row>
    <row r="17" spans="1:18" ht="15" outlineLevel="1" x14ac:dyDescent="0.2">
      <c r="A17" s="479"/>
      <c r="B17" s="477"/>
      <c r="C17" s="332">
        <f t="shared" si="1"/>
        <v>0</v>
      </c>
      <c r="D17" s="478"/>
      <c r="E17" s="334">
        <f t="shared" si="2"/>
        <v>0</v>
      </c>
      <c r="F17" s="338">
        <f t="shared" si="0"/>
        <v>0</v>
      </c>
      <c r="G17" s="472"/>
      <c r="H17" s="479"/>
      <c r="I17" s="477"/>
      <c r="J17" s="332">
        <f t="shared" si="3"/>
        <v>0</v>
      </c>
      <c r="K17" s="478"/>
      <c r="L17" s="332">
        <f t="shared" si="4"/>
        <v>0</v>
      </c>
      <c r="M17" s="480">
        <f>BathFloorTable[[#This Row],[Tiles High]]*BathFloorTable[[#This Row],[Tiles Wide]]</f>
        <v>0</v>
      </c>
      <c r="R17" s="753" t="s">
        <v>1593</v>
      </c>
    </row>
    <row r="18" spans="1:18" ht="15" outlineLevel="1" x14ac:dyDescent="0.2">
      <c r="A18" s="479"/>
      <c r="B18" s="477"/>
      <c r="C18" s="332">
        <f t="shared" si="1"/>
        <v>0</v>
      </c>
      <c r="D18" s="478"/>
      <c r="E18" s="334">
        <f t="shared" si="2"/>
        <v>0</v>
      </c>
      <c r="F18" s="338">
        <f t="shared" si="0"/>
        <v>0</v>
      </c>
      <c r="G18" s="472"/>
      <c r="H18" s="479"/>
      <c r="I18" s="477"/>
      <c r="J18" s="332">
        <f t="shared" si="3"/>
        <v>0</v>
      </c>
      <c r="K18" s="478"/>
      <c r="L18" s="332">
        <f t="shared" si="4"/>
        <v>0</v>
      </c>
      <c r="M18" s="480">
        <f>BathFloorTable[[#This Row],[Tiles High]]*BathFloorTable[[#This Row],[Tiles Wide]]</f>
        <v>0</v>
      </c>
      <c r="R18" s="753" t="s">
        <v>1594</v>
      </c>
    </row>
    <row r="19" spans="1:18" ht="15" outlineLevel="1" x14ac:dyDescent="0.2">
      <c r="A19" s="479"/>
      <c r="B19" s="477"/>
      <c r="C19" s="332">
        <f t="shared" si="1"/>
        <v>0</v>
      </c>
      <c r="D19" s="478"/>
      <c r="E19" s="334">
        <f t="shared" si="2"/>
        <v>0</v>
      </c>
      <c r="F19" s="338">
        <f t="shared" si="0"/>
        <v>0</v>
      </c>
      <c r="G19" s="472"/>
      <c r="H19" s="479"/>
      <c r="I19" s="477"/>
      <c r="J19" s="332">
        <f t="shared" si="3"/>
        <v>0</v>
      </c>
      <c r="K19" s="478"/>
      <c r="L19" s="332">
        <f t="shared" si="4"/>
        <v>0</v>
      </c>
      <c r="M19" s="480">
        <f>BathFloorTable[[#This Row],[Tiles High]]*BathFloorTable[[#This Row],[Tiles Wide]]</f>
        <v>0</v>
      </c>
    </row>
    <row r="20" spans="1:18" ht="15" outlineLevel="1" x14ac:dyDescent="0.2">
      <c r="A20" s="479"/>
      <c r="B20" s="477"/>
      <c r="C20" s="332">
        <f t="shared" si="1"/>
        <v>0</v>
      </c>
      <c r="D20" s="478"/>
      <c r="E20" s="334">
        <f t="shared" si="2"/>
        <v>0</v>
      </c>
      <c r="F20" s="338">
        <f t="shared" si="0"/>
        <v>0</v>
      </c>
      <c r="G20" s="472"/>
      <c r="H20" s="479"/>
      <c r="I20" s="477"/>
      <c r="J20" s="332">
        <f t="shared" si="3"/>
        <v>0</v>
      </c>
      <c r="K20" s="478"/>
      <c r="L20" s="332">
        <f t="shared" si="4"/>
        <v>0</v>
      </c>
      <c r="M20" s="480">
        <f>BathFloorTable[[#This Row],[Tiles High]]*BathFloorTable[[#This Row],[Tiles Wide]]</f>
        <v>0</v>
      </c>
    </row>
    <row r="21" spans="1:18" ht="15" outlineLevel="1" x14ac:dyDescent="0.2">
      <c r="A21" s="479"/>
      <c r="B21" s="477"/>
      <c r="C21" s="332">
        <f t="shared" si="1"/>
        <v>0</v>
      </c>
      <c r="D21" s="478"/>
      <c r="E21" s="334">
        <f t="shared" si="2"/>
        <v>0</v>
      </c>
      <c r="F21" s="338">
        <f t="shared" si="0"/>
        <v>0</v>
      </c>
      <c r="G21" s="472"/>
      <c r="H21" s="479"/>
      <c r="I21" s="477"/>
      <c r="J21" s="332">
        <f t="shared" si="3"/>
        <v>0</v>
      </c>
      <c r="K21" s="478"/>
      <c r="L21" s="332">
        <f t="shared" si="4"/>
        <v>0</v>
      </c>
      <c r="M21" s="480">
        <f>BathFloorTable[[#This Row],[Tiles High]]*BathFloorTable[[#This Row],[Tiles Wide]]</f>
        <v>0</v>
      </c>
    </row>
    <row r="22" spans="1:18" ht="15" outlineLevel="1" x14ac:dyDescent="0.2">
      <c r="A22" s="479"/>
      <c r="B22" s="477"/>
      <c r="C22" s="332">
        <f t="shared" si="1"/>
        <v>0</v>
      </c>
      <c r="D22" s="478"/>
      <c r="E22" s="334">
        <f t="shared" si="2"/>
        <v>0</v>
      </c>
      <c r="F22" s="338">
        <f t="shared" si="0"/>
        <v>0</v>
      </c>
      <c r="G22" s="472"/>
      <c r="H22" s="479"/>
      <c r="I22" s="477"/>
      <c r="J22" s="332">
        <f t="shared" si="3"/>
        <v>0</v>
      </c>
      <c r="K22" s="478"/>
      <c r="L22" s="332">
        <f t="shared" si="4"/>
        <v>0</v>
      </c>
      <c r="M22" s="480">
        <f>BathFloorTable[[#This Row],[Tiles High]]*BathFloorTable[[#This Row],[Tiles Wide]]</f>
        <v>0</v>
      </c>
    </row>
    <row r="23" spans="1:18" ht="15" outlineLevel="1" x14ac:dyDescent="0.2">
      <c r="A23" s="479"/>
      <c r="B23" s="482"/>
      <c r="C23" s="332">
        <f t="shared" si="1"/>
        <v>0</v>
      </c>
      <c r="D23" s="483"/>
      <c r="E23" s="334">
        <f t="shared" si="2"/>
        <v>0</v>
      </c>
      <c r="F23" s="338">
        <f t="shared" si="0"/>
        <v>0</v>
      </c>
      <c r="G23" s="472"/>
      <c r="H23" s="479"/>
      <c r="I23" s="482"/>
      <c r="J23" s="332">
        <f t="shared" si="3"/>
        <v>0</v>
      </c>
      <c r="K23" s="483"/>
      <c r="L23" s="332">
        <f t="shared" si="4"/>
        <v>0</v>
      </c>
      <c r="M23" s="480">
        <f>BathFloorTable[[#This Row],[Tiles High]]*BathFloorTable[[#This Row],[Tiles Wide]]</f>
        <v>0</v>
      </c>
    </row>
    <row r="24" spans="1:18" ht="15" outlineLevel="1" x14ac:dyDescent="0.2">
      <c r="A24" s="479"/>
      <c r="B24" s="482"/>
      <c r="C24" s="332">
        <f t="shared" si="1"/>
        <v>0</v>
      </c>
      <c r="D24" s="483"/>
      <c r="E24" s="334">
        <f t="shared" si="2"/>
        <v>0</v>
      </c>
      <c r="F24" s="338">
        <f t="shared" si="0"/>
        <v>0</v>
      </c>
      <c r="G24" s="472"/>
      <c r="H24" s="479"/>
      <c r="I24" s="482"/>
      <c r="J24" s="332">
        <f t="shared" si="3"/>
        <v>0</v>
      </c>
      <c r="K24" s="483"/>
      <c r="L24" s="332">
        <f t="shared" si="4"/>
        <v>0</v>
      </c>
      <c r="M24" s="480">
        <f>BathFloorTable[[#This Row],[Tiles High]]*BathFloorTable[[#This Row],[Tiles Wide]]</f>
        <v>0</v>
      </c>
    </row>
    <row r="25" spans="1:18" ht="15" outlineLevel="1" x14ac:dyDescent="0.2">
      <c r="A25" s="479"/>
      <c r="B25" s="482"/>
      <c r="C25" s="332">
        <f t="shared" si="1"/>
        <v>0</v>
      </c>
      <c r="D25" s="483"/>
      <c r="E25" s="334">
        <f t="shared" si="2"/>
        <v>0</v>
      </c>
      <c r="F25" s="338">
        <f t="shared" si="0"/>
        <v>0</v>
      </c>
      <c r="G25" s="472"/>
      <c r="H25" s="479"/>
      <c r="I25" s="482"/>
      <c r="J25" s="332">
        <f t="shared" si="3"/>
        <v>0</v>
      </c>
      <c r="K25" s="483"/>
      <c r="L25" s="332">
        <f t="shared" si="4"/>
        <v>0</v>
      </c>
      <c r="M25" s="480">
        <f>BathFloorTable[[#This Row],[Tiles High]]*BathFloorTable[[#This Row],[Tiles Wide]]</f>
        <v>0</v>
      </c>
    </row>
    <row r="26" spans="1:18" ht="15" outlineLevel="1" x14ac:dyDescent="0.2">
      <c r="A26" s="479"/>
      <c r="B26" s="482"/>
      <c r="C26" s="332">
        <f t="shared" si="1"/>
        <v>0</v>
      </c>
      <c r="D26" s="483"/>
      <c r="E26" s="334">
        <f t="shared" si="2"/>
        <v>0</v>
      </c>
      <c r="F26" s="338">
        <f t="shared" si="0"/>
        <v>0</v>
      </c>
      <c r="G26" s="472"/>
      <c r="H26" s="479"/>
      <c r="I26" s="482"/>
      <c r="J26" s="332">
        <f t="shared" si="3"/>
        <v>0</v>
      </c>
      <c r="K26" s="483"/>
      <c r="L26" s="332">
        <f t="shared" si="4"/>
        <v>0</v>
      </c>
      <c r="M26" s="480">
        <f>BathFloorTable[[#This Row],[Tiles High]]*BathFloorTable[[#This Row],[Tiles Wide]]</f>
        <v>0</v>
      </c>
    </row>
    <row r="27" spans="1:18" ht="15" outlineLevel="1" x14ac:dyDescent="0.2">
      <c r="A27" s="479"/>
      <c r="B27" s="482"/>
      <c r="C27" s="332">
        <f t="shared" si="1"/>
        <v>0</v>
      </c>
      <c r="D27" s="483"/>
      <c r="E27" s="334">
        <f t="shared" si="2"/>
        <v>0</v>
      </c>
      <c r="F27" s="338">
        <f t="shared" si="0"/>
        <v>0</v>
      </c>
      <c r="G27" s="472"/>
      <c r="H27" s="479"/>
      <c r="I27" s="482"/>
      <c r="J27" s="332">
        <f t="shared" si="3"/>
        <v>0</v>
      </c>
      <c r="K27" s="483"/>
      <c r="L27" s="332">
        <f t="shared" si="4"/>
        <v>0</v>
      </c>
      <c r="M27" s="480">
        <f>BathFloorTable[[#This Row],[Tiles High]]*BathFloorTable[[#This Row],[Tiles Wide]]</f>
        <v>0</v>
      </c>
    </row>
    <row r="28" spans="1:18" ht="15" outlineLevel="1" x14ac:dyDescent="0.2">
      <c r="A28" s="479"/>
      <c r="B28" s="482"/>
      <c r="C28" s="332">
        <f t="shared" si="1"/>
        <v>0</v>
      </c>
      <c r="D28" s="483"/>
      <c r="E28" s="334">
        <f t="shared" si="2"/>
        <v>0</v>
      </c>
      <c r="F28" s="338">
        <f t="shared" si="0"/>
        <v>0</v>
      </c>
      <c r="G28" s="472"/>
      <c r="H28" s="479"/>
      <c r="I28" s="482"/>
      <c r="J28" s="332">
        <f t="shared" si="3"/>
        <v>0</v>
      </c>
      <c r="K28" s="483"/>
      <c r="L28" s="332">
        <f t="shared" si="4"/>
        <v>0</v>
      </c>
      <c r="M28" s="480">
        <f>BathFloorTable[[#This Row],[Tiles High]]*BathFloorTable[[#This Row],[Tiles Wide]]</f>
        <v>0</v>
      </c>
    </row>
    <row r="29" spans="1:18" ht="15" outlineLevel="1" x14ac:dyDescent="0.2">
      <c r="A29" s="479"/>
      <c r="B29" s="482"/>
      <c r="C29" s="332">
        <f t="shared" si="1"/>
        <v>0</v>
      </c>
      <c r="D29" s="483"/>
      <c r="E29" s="334">
        <f t="shared" si="2"/>
        <v>0</v>
      </c>
      <c r="F29" s="338">
        <f t="shared" si="0"/>
        <v>0</v>
      </c>
      <c r="G29" s="472"/>
      <c r="H29" s="479"/>
      <c r="I29" s="482"/>
      <c r="J29" s="332">
        <f t="shared" si="3"/>
        <v>0</v>
      </c>
      <c r="K29" s="483"/>
      <c r="L29" s="332">
        <f t="shared" si="4"/>
        <v>0</v>
      </c>
      <c r="M29" s="480">
        <f>BathFloorTable[[#This Row],[Tiles High]]*BathFloorTable[[#This Row],[Tiles Wide]]</f>
        <v>0</v>
      </c>
    </row>
    <row r="30" spans="1:18" ht="15" outlineLevel="1" x14ac:dyDescent="0.2">
      <c r="A30" s="479"/>
      <c r="B30" s="482"/>
      <c r="C30" s="332">
        <f t="shared" si="1"/>
        <v>0</v>
      </c>
      <c r="D30" s="483"/>
      <c r="E30" s="334">
        <f t="shared" si="2"/>
        <v>0</v>
      </c>
      <c r="F30" s="338">
        <f t="shared" si="0"/>
        <v>0</v>
      </c>
      <c r="G30" s="472"/>
      <c r="H30" s="479"/>
      <c r="I30" s="482"/>
      <c r="J30" s="332">
        <f t="shared" si="3"/>
        <v>0</v>
      </c>
      <c r="K30" s="483"/>
      <c r="L30" s="332">
        <f t="shared" si="4"/>
        <v>0</v>
      </c>
      <c r="M30" s="480">
        <f>BathFloorTable[[#This Row],[Tiles High]]*BathFloorTable[[#This Row],[Tiles Wide]]</f>
        <v>0</v>
      </c>
    </row>
    <row r="31" spans="1:18" ht="15" outlineLevel="1" x14ac:dyDescent="0.2">
      <c r="A31" s="479"/>
      <c r="B31" s="482"/>
      <c r="C31" s="332">
        <f t="shared" si="1"/>
        <v>0</v>
      </c>
      <c r="D31" s="483"/>
      <c r="E31" s="334">
        <f t="shared" si="2"/>
        <v>0</v>
      </c>
      <c r="F31" s="338">
        <f t="shared" si="0"/>
        <v>0</v>
      </c>
      <c r="G31" s="472"/>
      <c r="H31" s="479"/>
      <c r="I31" s="482"/>
      <c r="J31" s="332">
        <f t="shared" si="3"/>
        <v>0</v>
      </c>
      <c r="K31" s="483"/>
      <c r="L31" s="332">
        <f t="shared" si="4"/>
        <v>0</v>
      </c>
      <c r="M31" s="480">
        <f>BathFloorTable[[#This Row],[Tiles High]]*BathFloorTable[[#This Row],[Tiles Wide]]</f>
        <v>0</v>
      </c>
    </row>
    <row r="32" spans="1:18" ht="15" outlineLevel="1" x14ac:dyDescent="0.2">
      <c r="A32" s="479"/>
      <c r="B32" s="482"/>
      <c r="C32" s="332">
        <f t="shared" si="1"/>
        <v>0</v>
      </c>
      <c r="D32" s="483"/>
      <c r="E32" s="334">
        <f t="shared" si="2"/>
        <v>0</v>
      </c>
      <c r="F32" s="341">
        <f t="shared" si="0"/>
        <v>0</v>
      </c>
      <c r="G32" s="472"/>
      <c r="H32" s="479"/>
      <c r="I32" s="482"/>
      <c r="J32" s="332">
        <f t="shared" si="3"/>
        <v>0</v>
      </c>
      <c r="K32" s="483"/>
      <c r="L32" s="332">
        <f t="shared" si="4"/>
        <v>0</v>
      </c>
      <c r="M32" s="484">
        <f>BathFloorTable[[#This Row],[Tiles High]]*BathFloorTable[[#This Row],[Tiles Wide]]</f>
        <v>0</v>
      </c>
    </row>
    <row r="33" spans="1:19" ht="15" outlineLevel="1" x14ac:dyDescent="0.2">
      <c r="A33" s="479"/>
      <c r="B33" s="482"/>
      <c r="C33" s="332">
        <f t="shared" si="1"/>
        <v>0</v>
      </c>
      <c r="D33" s="483"/>
      <c r="E33" s="334">
        <f t="shared" si="2"/>
        <v>0</v>
      </c>
      <c r="F33" s="338">
        <f t="shared" si="0"/>
        <v>0</v>
      </c>
      <c r="G33" s="472"/>
      <c r="H33" s="479"/>
      <c r="I33" s="482"/>
      <c r="J33" s="332">
        <f t="shared" si="3"/>
        <v>0</v>
      </c>
      <c r="K33" s="483"/>
      <c r="L33" s="332">
        <f t="shared" si="4"/>
        <v>0</v>
      </c>
      <c r="M33" s="480">
        <f>BathFloorTable[[#This Row],[Tiles High]]*BathFloorTable[[#This Row],[Tiles Wide]]</f>
        <v>0</v>
      </c>
    </row>
    <row r="34" spans="1:19" ht="15" outlineLevel="1" x14ac:dyDescent="0.2">
      <c r="A34" s="479"/>
      <c r="B34" s="482"/>
      <c r="C34" s="332">
        <f t="shared" si="1"/>
        <v>0</v>
      </c>
      <c r="D34" s="483"/>
      <c r="E34" s="334">
        <f t="shared" si="2"/>
        <v>0</v>
      </c>
      <c r="F34" s="338">
        <f t="shared" si="0"/>
        <v>0</v>
      </c>
      <c r="G34" s="472"/>
      <c r="H34" s="479"/>
      <c r="I34" s="482"/>
      <c r="J34" s="332">
        <f t="shared" si="3"/>
        <v>0</v>
      </c>
      <c r="K34" s="483"/>
      <c r="L34" s="332">
        <f t="shared" si="4"/>
        <v>0</v>
      </c>
      <c r="M34" s="480">
        <f>BathFloorTable[[#This Row],[Tiles High]]*BathFloorTable[[#This Row],[Tiles Wide]]</f>
        <v>0</v>
      </c>
    </row>
    <row r="35" spans="1:19" ht="15" outlineLevel="1" x14ac:dyDescent="0.2">
      <c r="A35" s="479"/>
      <c r="B35" s="482"/>
      <c r="C35" s="332">
        <f t="shared" si="1"/>
        <v>0</v>
      </c>
      <c r="D35" s="483"/>
      <c r="E35" s="334">
        <f t="shared" si="2"/>
        <v>0</v>
      </c>
      <c r="F35" s="338">
        <f t="shared" si="0"/>
        <v>0</v>
      </c>
      <c r="G35" s="472"/>
      <c r="H35" s="479"/>
      <c r="I35" s="482"/>
      <c r="J35" s="332">
        <f t="shared" si="3"/>
        <v>0</v>
      </c>
      <c r="K35" s="483"/>
      <c r="L35" s="332">
        <f t="shared" si="4"/>
        <v>0</v>
      </c>
      <c r="M35" s="480">
        <f>BathFloorTable[[#This Row],[Tiles High]]*BathFloorTable[[#This Row],[Tiles Wide]]</f>
        <v>0</v>
      </c>
    </row>
    <row r="36" spans="1:19" ht="15" outlineLevel="1" x14ac:dyDescent="0.2">
      <c r="A36" s="479"/>
      <c r="B36" s="482"/>
      <c r="C36" s="332">
        <f t="shared" si="1"/>
        <v>0</v>
      </c>
      <c r="D36" s="483"/>
      <c r="E36" s="334">
        <f t="shared" si="2"/>
        <v>0</v>
      </c>
      <c r="F36" s="338">
        <f t="shared" si="0"/>
        <v>0</v>
      </c>
      <c r="G36" s="472"/>
      <c r="H36" s="479"/>
      <c r="I36" s="482"/>
      <c r="J36" s="332">
        <f t="shared" si="3"/>
        <v>0</v>
      </c>
      <c r="K36" s="483"/>
      <c r="L36" s="332">
        <f t="shared" si="4"/>
        <v>0</v>
      </c>
      <c r="M36" s="480">
        <f>BathFloorTable[[#This Row],[Tiles High]]*BathFloorTable[[#This Row],[Tiles Wide]]</f>
        <v>0</v>
      </c>
      <c r="Q36" s="347"/>
      <c r="S36" s="325"/>
    </row>
    <row r="37" spans="1:19" ht="15" outlineLevel="1" x14ac:dyDescent="0.2">
      <c r="A37" s="481"/>
      <c r="B37" s="482"/>
      <c r="C37" s="760">
        <f t="shared" si="1"/>
        <v>0</v>
      </c>
      <c r="D37" s="483"/>
      <c r="E37" s="757">
        <f t="shared" si="2"/>
        <v>0</v>
      </c>
      <c r="F37" s="341">
        <f t="shared" si="0"/>
        <v>0</v>
      </c>
      <c r="G37" s="472"/>
      <c r="H37" s="481"/>
      <c r="I37" s="482"/>
      <c r="J37" s="760">
        <f t="shared" si="3"/>
        <v>0</v>
      </c>
      <c r="K37" s="483"/>
      <c r="L37" s="760">
        <f t="shared" si="4"/>
        <v>0</v>
      </c>
      <c r="M37" s="480">
        <f>BathFloorTable[[#This Row],[Tiles High]]*BathFloorTable[[#This Row],[Tiles Wide]]</f>
        <v>0</v>
      </c>
      <c r="Q37" s="347"/>
      <c r="S37" s="325"/>
    </row>
    <row r="38" spans="1:19" ht="15" outlineLevel="1" x14ac:dyDescent="0.2">
      <c r="A38" s="481"/>
      <c r="B38" s="482"/>
      <c r="C38" s="760">
        <f t="shared" si="1"/>
        <v>0</v>
      </c>
      <c r="D38" s="483"/>
      <c r="E38" s="757">
        <f t="shared" si="2"/>
        <v>0</v>
      </c>
      <c r="F38" s="341">
        <f t="shared" si="0"/>
        <v>0</v>
      </c>
      <c r="G38" s="472"/>
      <c r="H38" s="481"/>
      <c r="I38" s="482"/>
      <c r="J38" s="760">
        <f t="shared" si="3"/>
        <v>0</v>
      </c>
      <c r="K38" s="483"/>
      <c r="L38" s="760">
        <f t="shared" si="4"/>
        <v>0</v>
      </c>
      <c r="M38" s="480">
        <f>BathFloorTable[[#This Row],[Tiles High]]*BathFloorTable[[#This Row],[Tiles Wide]]</f>
        <v>0</v>
      </c>
      <c r="Q38" s="347"/>
      <c r="S38" s="325"/>
    </row>
    <row r="39" spans="1:19" ht="15" outlineLevel="1" x14ac:dyDescent="0.2">
      <c r="A39" s="479"/>
      <c r="B39" s="482"/>
      <c r="C39" s="332">
        <f t="shared" si="1"/>
        <v>0</v>
      </c>
      <c r="D39" s="483"/>
      <c r="E39" s="334">
        <f t="shared" si="2"/>
        <v>0</v>
      </c>
      <c r="F39" s="338">
        <f t="shared" si="0"/>
        <v>0</v>
      </c>
      <c r="G39" s="472"/>
      <c r="H39" s="481"/>
      <c r="I39" s="482"/>
      <c r="J39" s="332">
        <f t="shared" si="3"/>
        <v>0</v>
      </c>
      <c r="K39" s="483"/>
      <c r="L39" s="332">
        <f t="shared" si="4"/>
        <v>0</v>
      </c>
      <c r="M39" s="480">
        <f>BathFloorTable[[#This Row],[Tiles High]]*BathFloorTable[[#This Row],[Tiles Wide]]</f>
        <v>0</v>
      </c>
      <c r="Q39" s="347"/>
      <c r="S39" s="325"/>
    </row>
    <row r="40" spans="1:19" ht="15" outlineLevel="1" x14ac:dyDescent="0.2">
      <c r="A40" s="479"/>
      <c r="B40" s="482"/>
      <c r="C40" s="332">
        <f t="shared" si="1"/>
        <v>0</v>
      </c>
      <c r="D40" s="483"/>
      <c r="E40" s="334">
        <f t="shared" si="2"/>
        <v>0</v>
      </c>
      <c r="F40" s="338">
        <f t="shared" si="0"/>
        <v>0</v>
      </c>
      <c r="H40" s="481"/>
      <c r="I40" s="482"/>
      <c r="J40" s="332">
        <f t="shared" si="3"/>
        <v>0</v>
      </c>
      <c r="K40" s="483"/>
      <c r="L40" s="332">
        <f t="shared" si="4"/>
        <v>0</v>
      </c>
      <c r="M40" s="480">
        <f>BathFloorTable[[#This Row],[Tiles High]]*BathFloorTable[[#This Row],[Tiles Wide]]</f>
        <v>0</v>
      </c>
    </row>
    <row r="41" spans="1:19" ht="15" outlineLevel="1" x14ac:dyDescent="0.2">
      <c r="A41" s="479"/>
      <c r="B41" s="482"/>
      <c r="C41" s="332">
        <f t="shared" si="1"/>
        <v>0</v>
      </c>
      <c r="D41" s="483"/>
      <c r="E41" s="334">
        <f t="shared" si="2"/>
        <v>0</v>
      </c>
      <c r="F41" s="338">
        <f t="shared" si="0"/>
        <v>0</v>
      </c>
      <c r="H41" s="481"/>
      <c r="I41" s="482"/>
      <c r="J41" s="332">
        <f t="shared" si="3"/>
        <v>0</v>
      </c>
      <c r="K41" s="483"/>
      <c r="L41" s="332">
        <f t="shared" si="4"/>
        <v>0</v>
      </c>
      <c r="M41" s="480">
        <f>BathFloorTable[[#This Row],[Tiles High]]*BathFloorTable[[#This Row],[Tiles Wide]]</f>
        <v>0</v>
      </c>
    </row>
    <row r="42" spans="1:19" ht="15" outlineLevel="1" x14ac:dyDescent="0.2">
      <c r="A42" s="479"/>
      <c r="B42" s="482"/>
      <c r="C42" s="332">
        <f t="shared" si="1"/>
        <v>0</v>
      </c>
      <c r="D42" s="483"/>
      <c r="E42" s="334">
        <f t="shared" si="2"/>
        <v>0</v>
      </c>
      <c r="F42" s="338">
        <f t="shared" si="0"/>
        <v>0</v>
      </c>
      <c r="G42" s="472"/>
      <c r="H42" s="481"/>
      <c r="I42" s="482"/>
      <c r="J42" s="332">
        <f t="shared" si="3"/>
        <v>0</v>
      </c>
      <c r="K42" s="483"/>
      <c r="L42" s="332">
        <f t="shared" si="4"/>
        <v>0</v>
      </c>
      <c r="M42" s="480">
        <f>BathFloorTable[[#This Row],[Tiles High]]*BathFloorTable[[#This Row],[Tiles Wide]]</f>
        <v>0</v>
      </c>
    </row>
    <row r="43" spans="1:19" ht="15" outlineLevel="1" x14ac:dyDescent="0.2">
      <c r="A43" s="479"/>
      <c r="B43" s="482"/>
      <c r="C43" s="332">
        <f t="shared" si="1"/>
        <v>0</v>
      </c>
      <c r="D43" s="483"/>
      <c r="E43" s="334">
        <f t="shared" si="2"/>
        <v>0</v>
      </c>
      <c r="F43" s="338">
        <f t="shared" si="0"/>
        <v>0</v>
      </c>
      <c r="G43" s="472"/>
      <c r="H43" s="481"/>
      <c r="I43" s="482"/>
      <c r="J43" s="332">
        <f t="shared" si="3"/>
        <v>0</v>
      </c>
      <c r="K43" s="483"/>
      <c r="L43" s="332">
        <f t="shared" si="4"/>
        <v>0</v>
      </c>
      <c r="M43" s="480">
        <f>BathFloorTable[[#This Row],[Tiles High]]*BathFloorTable[[#This Row],[Tiles Wide]]</f>
        <v>0</v>
      </c>
    </row>
    <row r="44" spans="1:19" ht="15" outlineLevel="1" x14ac:dyDescent="0.2">
      <c r="A44" s="479"/>
      <c r="B44" s="482"/>
      <c r="C44" s="332">
        <f t="shared" si="1"/>
        <v>0</v>
      </c>
      <c r="D44" s="483"/>
      <c r="E44" s="334">
        <f t="shared" si="2"/>
        <v>0</v>
      </c>
      <c r="F44" s="338">
        <f t="shared" si="0"/>
        <v>0</v>
      </c>
      <c r="G44" s="472"/>
      <c r="H44" s="481"/>
      <c r="I44" s="482"/>
      <c r="J44" s="332">
        <f t="shared" si="3"/>
        <v>0</v>
      </c>
      <c r="K44" s="483"/>
      <c r="L44" s="332">
        <f t="shared" si="4"/>
        <v>0</v>
      </c>
      <c r="M44" s="480">
        <f>BathFloorTable[[#This Row],[Tiles High]]*BathFloorTable[[#This Row],[Tiles Wide]]</f>
        <v>0</v>
      </c>
    </row>
    <row r="45" spans="1:19" ht="15" outlineLevel="1" x14ac:dyDescent="0.2">
      <c r="A45" s="479"/>
      <c r="B45" s="482"/>
      <c r="C45" s="332">
        <f t="shared" si="1"/>
        <v>0</v>
      </c>
      <c r="D45" s="483"/>
      <c r="E45" s="334">
        <f t="shared" si="2"/>
        <v>0</v>
      </c>
      <c r="F45" s="338">
        <f t="shared" si="0"/>
        <v>0</v>
      </c>
      <c r="G45" s="472"/>
      <c r="H45" s="481"/>
      <c r="I45" s="482"/>
      <c r="J45" s="332">
        <f t="shared" si="3"/>
        <v>0</v>
      </c>
      <c r="K45" s="483"/>
      <c r="L45" s="332">
        <f t="shared" si="4"/>
        <v>0</v>
      </c>
      <c r="M45" s="480">
        <f>BathFloorTable[[#This Row],[Tiles High]]*BathFloorTable[[#This Row],[Tiles Wide]]</f>
        <v>0</v>
      </c>
    </row>
    <row r="46" spans="1:19" ht="15" outlineLevel="1" x14ac:dyDescent="0.2">
      <c r="A46" s="479"/>
      <c r="B46" s="482"/>
      <c r="C46" s="332">
        <f t="shared" si="1"/>
        <v>0</v>
      </c>
      <c r="D46" s="483"/>
      <c r="E46" s="334">
        <f t="shared" si="2"/>
        <v>0</v>
      </c>
      <c r="F46" s="338">
        <f t="shared" si="0"/>
        <v>0</v>
      </c>
      <c r="G46" s="472"/>
      <c r="H46" s="481"/>
      <c r="I46" s="482"/>
      <c r="J46" s="332">
        <f t="shared" si="3"/>
        <v>0</v>
      </c>
      <c r="K46" s="483"/>
      <c r="L46" s="332">
        <f t="shared" si="4"/>
        <v>0</v>
      </c>
      <c r="M46" s="480">
        <f>BathFloorTable[[#This Row],[Tiles High]]*BathFloorTable[[#This Row],[Tiles Wide]]</f>
        <v>0</v>
      </c>
    </row>
    <row r="47" spans="1:19" ht="15" outlineLevel="1" x14ac:dyDescent="0.2">
      <c r="A47" s="479"/>
      <c r="B47" s="482"/>
      <c r="C47" s="332">
        <f t="shared" si="1"/>
        <v>0</v>
      </c>
      <c r="D47" s="483"/>
      <c r="E47" s="334">
        <f t="shared" si="2"/>
        <v>0</v>
      </c>
      <c r="F47" s="338">
        <f t="shared" si="0"/>
        <v>0</v>
      </c>
      <c r="G47" s="472"/>
      <c r="H47" s="481"/>
      <c r="I47" s="482"/>
      <c r="J47" s="332">
        <f t="shared" si="3"/>
        <v>0</v>
      </c>
      <c r="K47" s="483"/>
      <c r="L47" s="332">
        <f t="shared" si="4"/>
        <v>0</v>
      </c>
      <c r="M47" s="480">
        <f>BathFloorTable[[#This Row],[Tiles High]]*BathFloorTable[[#This Row],[Tiles Wide]]</f>
        <v>0</v>
      </c>
    </row>
    <row r="48" spans="1:19" ht="15.75" outlineLevel="1" thickBot="1" x14ac:dyDescent="0.25">
      <c r="A48" s="479"/>
      <c r="B48" s="482"/>
      <c r="C48" s="332">
        <f t="shared" si="1"/>
        <v>0</v>
      </c>
      <c r="D48" s="483"/>
      <c r="E48" s="334">
        <f t="shared" si="2"/>
        <v>0</v>
      </c>
      <c r="F48" s="338">
        <f t="shared" si="0"/>
        <v>0</v>
      </c>
      <c r="G48" s="472"/>
      <c r="H48" s="481"/>
      <c r="I48" s="482"/>
      <c r="J48" s="332">
        <f t="shared" si="3"/>
        <v>0</v>
      </c>
      <c r="K48" s="483"/>
      <c r="L48" s="332">
        <f t="shared" si="4"/>
        <v>0</v>
      </c>
      <c r="M48" s="480">
        <f>BathFloorTable[[#This Row],[Tiles High]]*BathFloorTable[[#This Row],[Tiles Wide]]</f>
        <v>0</v>
      </c>
    </row>
    <row r="49" spans="1:13" ht="15.75" outlineLevel="1" thickBot="1" x14ac:dyDescent="0.25">
      <c r="A49" s="348" t="s">
        <v>1007</v>
      </c>
      <c r="B49" s="376"/>
      <c r="C49" s="492" t="s">
        <v>107</v>
      </c>
      <c r="D49" s="359">
        <f>ROUND(SUMPRODUCT(BathWallTable[Height],BathWallTable[Width]),1)</f>
        <v>0</v>
      </c>
      <c r="E49" s="358"/>
      <c r="F49" s="806">
        <f>SUM(F8:F48)*(B6*D6)</f>
        <v>0</v>
      </c>
      <c r="G49" s="472"/>
      <c r="H49" s="348" t="s">
        <v>1007</v>
      </c>
      <c r="I49" s="376"/>
      <c r="J49" s="492" t="s">
        <v>107</v>
      </c>
      <c r="K49" s="359">
        <f>ROUND(SUMPRODUCT(BathFloorTable[Height],BathFloorTable[Width])+SUMIF(Name,"Bathroom Floor Tile",Area)+SUMIF('CSV FF'!A:A,"Bathroom Floor Tile",'CSV FF'!F:F),1)</f>
        <v>0</v>
      </c>
      <c r="L49" s="358"/>
      <c r="M49" s="806">
        <f>SUM(M8:M48)*(I6*K6)</f>
        <v>0</v>
      </c>
    </row>
    <row r="50" spans="1:13" ht="15" thickBot="1" x14ac:dyDescent="0.25">
      <c r="G50" s="472"/>
    </row>
    <row r="51" spans="1:13" ht="21.75" outlineLevel="1" thickBot="1" x14ac:dyDescent="0.25">
      <c r="A51" s="1369" t="s">
        <v>3720</v>
      </c>
      <c r="B51" s="1370"/>
      <c r="C51" s="1370"/>
      <c r="D51" s="1370"/>
      <c r="E51" s="1370"/>
      <c r="F51" s="1371"/>
      <c r="G51" s="472"/>
      <c r="H51" s="1369" t="s">
        <v>3721</v>
      </c>
      <c r="I51" s="1370"/>
      <c r="J51" s="1370"/>
      <c r="K51" s="1370"/>
      <c r="L51" s="1370"/>
      <c r="M51" s="1371"/>
    </row>
    <row r="52" spans="1:13" ht="15.75" outlineLevel="1" thickBot="1" x14ac:dyDescent="0.25">
      <c r="A52" s="353" t="s">
        <v>551</v>
      </c>
      <c r="B52" s="810" t="s">
        <v>661</v>
      </c>
      <c r="C52" s="354" t="s">
        <v>672</v>
      </c>
      <c r="D52" s="355">
        <v>44</v>
      </c>
      <c r="E52" s="356">
        <f>IF($B$1="Magic Tiles",0.3,IF($B$1="Tiles Plus",0.3,0.2))</f>
        <v>0.2</v>
      </c>
      <c r="F52" s="471">
        <f>IF(C52="Nett",ROUND(D52/1.1,2),IF(C52="Each",(1/(Ens_Wall_Height*Ens_Wall_Width)*D52/1.1),IF(C52="M2",(IF(AND(OR($B$1="Armanti Bunbury",$B$1="Armanti Busselton"),(D52&lt;=44)),30,IF(AND($B$1="Magic Tiles",D52&lt;=44),25.46,IF(AND(OR($B$1="Trimview"),(D52&lt;=44)),32,IF(C52="M2",D52/1.1-E52*D52/1.1,0))))))))</f>
        <v>32</v>
      </c>
      <c r="G52" s="472"/>
      <c r="H52" s="353" t="s">
        <v>551</v>
      </c>
      <c r="I52" s="810" t="s">
        <v>661</v>
      </c>
      <c r="J52" s="354" t="s">
        <v>672</v>
      </c>
      <c r="K52" s="355">
        <v>44</v>
      </c>
      <c r="L52" s="356">
        <f>IF($B$1="Magic Tiles",0.3,IF($B$1="Tiles Plus",0.3,0.2))</f>
        <v>0.2</v>
      </c>
      <c r="M52" s="471">
        <f>IF(J52="Nett",ROUND(K52/1.1,2),IF(J52="Each",(1/(Ens_Floor_Height*Ens_Floor_Width)*K52/1.1),IF(J52="M2",(IF(AND(OR($B$1="Armanti Bunbury",$B$1="Armanti Busselton"),(K52&lt;=44)),30,IF(AND($B$1="Magic Tiles",K52&lt;=44),25.46,IF(AND(OR($B$1="Trimview"),(K52&lt;=44)),32,IF(J52="M2",K52/1.1-L52*K52/1.1,0))))))))</f>
        <v>32</v>
      </c>
    </row>
    <row r="53" spans="1:13" ht="15.75" outlineLevel="1" thickBot="1" x14ac:dyDescent="0.25">
      <c r="A53" s="810" t="s">
        <v>1595</v>
      </c>
      <c r="B53" s="1381" t="s">
        <v>136</v>
      </c>
      <c r="C53" s="1382"/>
      <c r="D53" s="1381" t="s">
        <v>99</v>
      </c>
      <c r="E53" s="1382"/>
      <c r="F53" s="1383" t="s">
        <v>11</v>
      </c>
      <c r="G53" s="472"/>
      <c r="H53" s="810" t="s">
        <v>1595</v>
      </c>
      <c r="I53" s="1381" t="s">
        <v>34</v>
      </c>
      <c r="J53" s="1382"/>
      <c r="K53" s="1381" t="s">
        <v>99</v>
      </c>
      <c r="L53" s="1382"/>
      <c r="M53" s="1383" t="s">
        <v>11</v>
      </c>
    </row>
    <row r="54" spans="1:13" ht="15.75" outlineLevel="1" thickBot="1" x14ac:dyDescent="0.25">
      <c r="A54" s="754" t="s">
        <v>551</v>
      </c>
      <c r="B54" s="1386"/>
      <c r="C54" s="1387"/>
      <c r="D54" s="1386"/>
      <c r="E54" s="1387"/>
      <c r="F54" s="1384"/>
      <c r="G54" s="472"/>
      <c r="H54" s="754" t="s">
        <v>551</v>
      </c>
      <c r="I54" s="1388"/>
      <c r="J54" s="1387"/>
      <c r="K54" s="1388"/>
      <c r="L54" s="1387"/>
      <c r="M54" s="1385"/>
    </row>
    <row r="55" spans="1:13" ht="15.75" outlineLevel="1" thickBot="1" x14ac:dyDescent="0.25">
      <c r="A55" s="492" t="s">
        <v>7</v>
      </c>
      <c r="B55" s="495" t="s">
        <v>136</v>
      </c>
      <c r="C55" s="492" t="s">
        <v>1001</v>
      </c>
      <c r="D55" s="495" t="s">
        <v>99</v>
      </c>
      <c r="E55" s="492" t="s">
        <v>1002</v>
      </c>
      <c r="F55" s="496" t="s">
        <v>11</v>
      </c>
      <c r="G55" s="472"/>
      <c r="H55" s="492" t="s">
        <v>7</v>
      </c>
      <c r="I55" s="495" t="s">
        <v>136</v>
      </c>
      <c r="J55" s="492" t="s">
        <v>1001</v>
      </c>
      <c r="K55" s="495" t="s">
        <v>99</v>
      </c>
      <c r="L55" s="492" t="s">
        <v>1002</v>
      </c>
      <c r="M55" s="496" t="s">
        <v>11</v>
      </c>
    </row>
    <row r="56" spans="1:13" ht="15.75" outlineLevel="1" thickBot="1" x14ac:dyDescent="0.25">
      <c r="A56" s="476"/>
      <c r="B56" s="474"/>
      <c r="C56" s="493">
        <f t="shared" ref="C56:C96" si="5">IF($B$54&gt;0,IF(OR(B56&lt;0,D56&lt;0),ROUNDDOWN(B56/$B$54,0),CEILING(B56/$B$54,1)),0)</f>
        <v>0</v>
      </c>
      <c r="D56" s="475"/>
      <c r="E56" s="494">
        <f t="shared" ref="E56:E96" si="6">IF($D$54&gt;0,IF(OR(B56&lt;0,D56&lt;0),ROUNDDOWN(D56/$D$54,0),CEILING(D56/$D$54,1)),0)</f>
        <v>0</v>
      </c>
      <c r="F56" s="335">
        <f t="shared" ref="F56:F96" si="7">C56*E56</f>
        <v>0</v>
      </c>
      <c r="G56" s="472"/>
      <c r="H56" s="473" t="s">
        <v>408</v>
      </c>
      <c r="I56" s="474"/>
      <c r="J56" s="493">
        <f>IF($I$54&gt;0,IF(OR(I56&lt;0,I56&lt;0),ROUNDDOWN(I56/$I$54,0),CEILING(I56/$I$54,1)),0)</f>
        <v>0</v>
      </c>
      <c r="K56" s="475"/>
      <c r="L56" s="493">
        <f>IF($K$54&gt;0,IF(OR(I56&lt;0,K56&lt;0),ROUNDDOWN(K56/$K$54,0),CEILING(K56/$K$54,1)),0)</f>
        <v>0</v>
      </c>
      <c r="M56" s="491">
        <f>IFERROR(ROUNDUP(SUMIF(Name,"Ensuite Floor Tile",Area)/(Ens_Floor_Height*Ens_Floor_Width),0),0)+IFERROR(ROUNDUP(SUMIF('CSV FF'!A:A,"Ensuite Floor Tile",'CSV FF'!F:F)/(Ens_Floor_Height*Ens_Floor_Width),0),0)</f>
        <v>0</v>
      </c>
    </row>
    <row r="57" spans="1:13" ht="15" outlineLevel="1" x14ac:dyDescent="0.2">
      <c r="A57" s="479"/>
      <c r="B57" s="477"/>
      <c r="C57" s="332">
        <f t="shared" si="5"/>
        <v>0</v>
      </c>
      <c r="D57" s="478"/>
      <c r="E57" s="334">
        <f t="shared" si="6"/>
        <v>0</v>
      </c>
      <c r="F57" s="338">
        <f t="shared" si="7"/>
        <v>0</v>
      </c>
      <c r="G57" s="472"/>
      <c r="H57" s="479"/>
      <c r="I57" s="477"/>
      <c r="J57" s="332">
        <f>IF($I$54&gt;0,IF(OR(I57&lt;0,I57&lt;0),ROUNDDOWN(I57/$I$54,0),CEILING(I57/$I$54,1)),0)</f>
        <v>0</v>
      </c>
      <c r="K57" s="478"/>
      <c r="L57" s="332">
        <f>IF($K$54&gt;0,IF(OR(I57&lt;0,K57&lt;0),ROUNDDOWN(K57/$K$54,0),CEILING(K57/$K$54,1)),0)</f>
        <v>0</v>
      </c>
      <c r="M57" s="338">
        <f t="shared" ref="M57:M96" si="8">J57*L57</f>
        <v>0</v>
      </c>
    </row>
    <row r="58" spans="1:13" ht="15" outlineLevel="1" x14ac:dyDescent="0.2">
      <c r="A58" s="479"/>
      <c r="B58" s="477"/>
      <c r="C58" s="332">
        <f t="shared" si="5"/>
        <v>0</v>
      </c>
      <c r="D58" s="478"/>
      <c r="E58" s="334">
        <f t="shared" si="6"/>
        <v>0</v>
      </c>
      <c r="F58" s="338">
        <f t="shared" si="7"/>
        <v>0</v>
      </c>
      <c r="G58" s="472"/>
      <c r="H58" s="479"/>
      <c r="I58" s="477"/>
      <c r="J58" s="332">
        <f t="shared" ref="J58:J96" si="9">IF($I$54&gt;0,IF(OR(I58&lt;0,I58&lt;0),ROUNDDOWN(I58/$I$54,0),CEILING(I58/$I$54,1)),0)</f>
        <v>0</v>
      </c>
      <c r="K58" s="478"/>
      <c r="L58" s="332">
        <f t="shared" ref="L58:L96" si="10">IF($K$54&gt;0,IF(OR(I58&lt;0,K58&lt;0),ROUNDDOWN(K58/$K$54,0),CEILING(K58/$K$54,1)),0)</f>
        <v>0</v>
      </c>
      <c r="M58" s="338">
        <f t="shared" si="8"/>
        <v>0</v>
      </c>
    </row>
    <row r="59" spans="1:13" ht="15" outlineLevel="1" x14ac:dyDescent="0.2">
      <c r="A59" s="479"/>
      <c r="B59" s="477"/>
      <c r="C59" s="332">
        <f t="shared" si="5"/>
        <v>0</v>
      </c>
      <c r="D59" s="478"/>
      <c r="E59" s="334">
        <f t="shared" si="6"/>
        <v>0</v>
      </c>
      <c r="F59" s="338">
        <f t="shared" si="7"/>
        <v>0</v>
      </c>
      <c r="G59" s="472"/>
      <c r="H59" s="479"/>
      <c r="I59" s="477"/>
      <c r="J59" s="332">
        <f t="shared" si="9"/>
        <v>0</v>
      </c>
      <c r="K59" s="478"/>
      <c r="L59" s="332">
        <f t="shared" si="10"/>
        <v>0</v>
      </c>
      <c r="M59" s="338">
        <f t="shared" si="8"/>
        <v>0</v>
      </c>
    </row>
    <row r="60" spans="1:13" ht="15" outlineLevel="1" x14ac:dyDescent="0.2">
      <c r="A60" s="479"/>
      <c r="B60" s="477"/>
      <c r="C60" s="332">
        <f t="shared" si="5"/>
        <v>0</v>
      </c>
      <c r="D60" s="478"/>
      <c r="E60" s="334">
        <f t="shared" si="6"/>
        <v>0</v>
      </c>
      <c r="F60" s="338">
        <f t="shared" si="7"/>
        <v>0</v>
      </c>
      <c r="G60" s="472"/>
      <c r="H60" s="479"/>
      <c r="I60" s="477"/>
      <c r="J60" s="332">
        <f t="shared" si="9"/>
        <v>0</v>
      </c>
      <c r="K60" s="478"/>
      <c r="L60" s="332">
        <f t="shared" si="10"/>
        <v>0</v>
      </c>
      <c r="M60" s="338">
        <f t="shared" si="8"/>
        <v>0</v>
      </c>
    </row>
    <row r="61" spans="1:13" ht="15" outlineLevel="1" x14ac:dyDescent="0.2">
      <c r="A61" s="479"/>
      <c r="B61" s="477"/>
      <c r="C61" s="332">
        <f t="shared" si="5"/>
        <v>0</v>
      </c>
      <c r="D61" s="478"/>
      <c r="E61" s="334">
        <f t="shared" si="6"/>
        <v>0</v>
      </c>
      <c r="F61" s="338">
        <f t="shared" si="7"/>
        <v>0</v>
      </c>
      <c r="G61" s="472"/>
      <c r="H61" s="479"/>
      <c r="I61" s="477"/>
      <c r="J61" s="332">
        <f t="shared" si="9"/>
        <v>0</v>
      </c>
      <c r="K61" s="478"/>
      <c r="L61" s="332">
        <f t="shared" si="10"/>
        <v>0</v>
      </c>
      <c r="M61" s="338">
        <f t="shared" si="8"/>
        <v>0</v>
      </c>
    </row>
    <row r="62" spans="1:13" ht="15" outlineLevel="1" x14ac:dyDescent="0.2">
      <c r="A62" s="479"/>
      <c r="B62" s="477"/>
      <c r="C62" s="332">
        <f t="shared" si="5"/>
        <v>0</v>
      </c>
      <c r="D62" s="478"/>
      <c r="E62" s="334">
        <f t="shared" si="6"/>
        <v>0</v>
      </c>
      <c r="F62" s="338">
        <f t="shared" si="7"/>
        <v>0</v>
      </c>
      <c r="G62" s="472"/>
      <c r="H62" s="479"/>
      <c r="I62" s="477"/>
      <c r="J62" s="332">
        <f t="shared" si="9"/>
        <v>0</v>
      </c>
      <c r="K62" s="478"/>
      <c r="L62" s="332">
        <f t="shared" si="10"/>
        <v>0</v>
      </c>
      <c r="M62" s="338">
        <f t="shared" si="8"/>
        <v>0</v>
      </c>
    </row>
    <row r="63" spans="1:13" ht="15" outlineLevel="1" x14ac:dyDescent="0.2">
      <c r="A63" s="479"/>
      <c r="B63" s="477"/>
      <c r="C63" s="332">
        <f t="shared" si="5"/>
        <v>0</v>
      </c>
      <c r="D63" s="478"/>
      <c r="E63" s="334">
        <f t="shared" si="6"/>
        <v>0</v>
      </c>
      <c r="F63" s="338">
        <f t="shared" si="7"/>
        <v>0</v>
      </c>
      <c r="G63" s="472"/>
      <c r="H63" s="479"/>
      <c r="I63" s="477"/>
      <c r="J63" s="332">
        <f t="shared" si="9"/>
        <v>0</v>
      </c>
      <c r="K63" s="478"/>
      <c r="L63" s="332">
        <f t="shared" si="10"/>
        <v>0</v>
      </c>
      <c r="M63" s="338">
        <f t="shared" si="8"/>
        <v>0</v>
      </c>
    </row>
    <row r="64" spans="1:13" ht="15" outlineLevel="1" x14ac:dyDescent="0.2">
      <c r="A64" s="479"/>
      <c r="B64" s="477"/>
      <c r="C64" s="332">
        <f t="shared" si="5"/>
        <v>0</v>
      </c>
      <c r="D64" s="478"/>
      <c r="E64" s="334">
        <f t="shared" si="6"/>
        <v>0</v>
      </c>
      <c r="F64" s="338">
        <f t="shared" si="7"/>
        <v>0</v>
      </c>
      <c r="G64" s="472"/>
      <c r="H64" s="479"/>
      <c r="I64" s="477"/>
      <c r="J64" s="332">
        <f t="shared" si="9"/>
        <v>0</v>
      </c>
      <c r="K64" s="478"/>
      <c r="L64" s="332">
        <f t="shared" si="10"/>
        <v>0</v>
      </c>
      <c r="M64" s="338">
        <f t="shared" si="8"/>
        <v>0</v>
      </c>
    </row>
    <row r="65" spans="1:13" ht="15" outlineLevel="1" x14ac:dyDescent="0.2">
      <c r="A65" s="479"/>
      <c r="B65" s="477"/>
      <c r="C65" s="332">
        <f t="shared" si="5"/>
        <v>0</v>
      </c>
      <c r="D65" s="478"/>
      <c r="E65" s="334">
        <f t="shared" si="6"/>
        <v>0</v>
      </c>
      <c r="F65" s="338">
        <f t="shared" si="7"/>
        <v>0</v>
      </c>
      <c r="G65" s="472"/>
      <c r="H65" s="479"/>
      <c r="I65" s="477"/>
      <c r="J65" s="332">
        <f t="shared" si="9"/>
        <v>0</v>
      </c>
      <c r="K65" s="478"/>
      <c r="L65" s="332">
        <f t="shared" si="10"/>
        <v>0</v>
      </c>
      <c r="M65" s="338">
        <f t="shared" si="8"/>
        <v>0</v>
      </c>
    </row>
    <row r="66" spans="1:13" ht="15" outlineLevel="1" x14ac:dyDescent="0.2">
      <c r="A66" s="479"/>
      <c r="B66" s="477"/>
      <c r="C66" s="332">
        <f t="shared" si="5"/>
        <v>0</v>
      </c>
      <c r="D66" s="478"/>
      <c r="E66" s="334">
        <f t="shared" si="6"/>
        <v>0</v>
      </c>
      <c r="F66" s="338">
        <f t="shared" si="7"/>
        <v>0</v>
      </c>
      <c r="G66" s="472"/>
      <c r="H66" s="479"/>
      <c r="I66" s="477"/>
      <c r="J66" s="332">
        <f t="shared" si="9"/>
        <v>0</v>
      </c>
      <c r="K66" s="478"/>
      <c r="L66" s="332">
        <f t="shared" si="10"/>
        <v>0</v>
      </c>
      <c r="M66" s="338">
        <f t="shared" si="8"/>
        <v>0</v>
      </c>
    </row>
    <row r="67" spans="1:13" ht="15" outlineLevel="1" x14ac:dyDescent="0.2">
      <c r="A67" s="479"/>
      <c r="B67" s="477"/>
      <c r="C67" s="332">
        <f t="shared" si="5"/>
        <v>0</v>
      </c>
      <c r="D67" s="478"/>
      <c r="E67" s="334">
        <f t="shared" si="6"/>
        <v>0</v>
      </c>
      <c r="F67" s="338">
        <f t="shared" si="7"/>
        <v>0</v>
      </c>
      <c r="G67" s="472"/>
      <c r="H67" s="479"/>
      <c r="I67" s="477"/>
      <c r="J67" s="332">
        <f t="shared" si="9"/>
        <v>0</v>
      </c>
      <c r="K67" s="478"/>
      <c r="L67" s="332">
        <f t="shared" si="10"/>
        <v>0</v>
      </c>
      <c r="M67" s="338">
        <f t="shared" si="8"/>
        <v>0</v>
      </c>
    </row>
    <row r="68" spans="1:13" ht="15" outlineLevel="1" x14ac:dyDescent="0.2">
      <c r="A68" s="479"/>
      <c r="B68" s="477"/>
      <c r="C68" s="332">
        <f t="shared" si="5"/>
        <v>0</v>
      </c>
      <c r="D68" s="478"/>
      <c r="E68" s="334">
        <f t="shared" si="6"/>
        <v>0</v>
      </c>
      <c r="F68" s="338">
        <f t="shared" si="7"/>
        <v>0</v>
      </c>
      <c r="G68" s="472"/>
      <c r="H68" s="479"/>
      <c r="I68" s="477"/>
      <c r="J68" s="332">
        <f t="shared" si="9"/>
        <v>0</v>
      </c>
      <c r="K68" s="478"/>
      <c r="L68" s="332">
        <f t="shared" si="10"/>
        <v>0</v>
      </c>
      <c r="M68" s="338">
        <f t="shared" si="8"/>
        <v>0</v>
      </c>
    </row>
    <row r="69" spans="1:13" ht="15" outlineLevel="1" x14ac:dyDescent="0.2">
      <c r="A69" s="479"/>
      <c r="B69" s="477"/>
      <c r="C69" s="332">
        <f t="shared" si="5"/>
        <v>0</v>
      </c>
      <c r="D69" s="478"/>
      <c r="E69" s="334">
        <f t="shared" si="6"/>
        <v>0</v>
      </c>
      <c r="F69" s="338">
        <f t="shared" si="7"/>
        <v>0</v>
      </c>
      <c r="G69" s="472"/>
      <c r="H69" s="479"/>
      <c r="I69" s="477"/>
      <c r="J69" s="332">
        <f t="shared" si="9"/>
        <v>0</v>
      </c>
      <c r="K69" s="478"/>
      <c r="L69" s="332">
        <f t="shared" si="10"/>
        <v>0</v>
      </c>
      <c r="M69" s="338">
        <f t="shared" si="8"/>
        <v>0</v>
      </c>
    </row>
    <row r="70" spans="1:13" ht="15" outlineLevel="1" x14ac:dyDescent="0.2">
      <c r="A70" s="479"/>
      <c r="B70" s="477"/>
      <c r="C70" s="332">
        <f t="shared" si="5"/>
        <v>0</v>
      </c>
      <c r="D70" s="478"/>
      <c r="E70" s="334">
        <f t="shared" si="6"/>
        <v>0</v>
      </c>
      <c r="F70" s="338">
        <f t="shared" si="7"/>
        <v>0</v>
      </c>
      <c r="G70" s="472"/>
      <c r="H70" s="479"/>
      <c r="I70" s="477"/>
      <c r="J70" s="332">
        <f t="shared" si="9"/>
        <v>0</v>
      </c>
      <c r="K70" s="478"/>
      <c r="L70" s="332">
        <f t="shared" si="10"/>
        <v>0</v>
      </c>
      <c r="M70" s="338">
        <f t="shared" si="8"/>
        <v>0</v>
      </c>
    </row>
    <row r="71" spans="1:13" ht="15" outlineLevel="1" x14ac:dyDescent="0.2">
      <c r="A71" s="479"/>
      <c r="B71" s="482"/>
      <c r="C71" s="332">
        <f t="shared" si="5"/>
        <v>0</v>
      </c>
      <c r="D71" s="483"/>
      <c r="E71" s="334">
        <f t="shared" si="6"/>
        <v>0</v>
      </c>
      <c r="F71" s="338">
        <f t="shared" si="7"/>
        <v>0</v>
      </c>
      <c r="G71" s="472"/>
      <c r="H71" s="479"/>
      <c r="I71" s="482"/>
      <c r="J71" s="332">
        <f t="shared" si="9"/>
        <v>0</v>
      </c>
      <c r="K71" s="483"/>
      <c r="L71" s="332">
        <f t="shared" si="10"/>
        <v>0</v>
      </c>
      <c r="M71" s="338">
        <f t="shared" si="8"/>
        <v>0</v>
      </c>
    </row>
    <row r="72" spans="1:13" ht="15" outlineLevel="1" x14ac:dyDescent="0.2">
      <c r="A72" s="479"/>
      <c r="B72" s="482"/>
      <c r="C72" s="332">
        <f t="shared" si="5"/>
        <v>0</v>
      </c>
      <c r="D72" s="483"/>
      <c r="E72" s="334">
        <f t="shared" si="6"/>
        <v>0</v>
      </c>
      <c r="F72" s="338">
        <f t="shared" si="7"/>
        <v>0</v>
      </c>
      <c r="G72" s="472"/>
      <c r="H72" s="479"/>
      <c r="I72" s="482"/>
      <c r="J72" s="332">
        <f t="shared" si="9"/>
        <v>0</v>
      </c>
      <c r="K72" s="483"/>
      <c r="L72" s="332">
        <f t="shared" si="10"/>
        <v>0</v>
      </c>
      <c r="M72" s="338">
        <f t="shared" si="8"/>
        <v>0</v>
      </c>
    </row>
    <row r="73" spans="1:13" ht="15" outlineLevel="1" x14ac:dyDescent="0.2">
      <c r="A73" s="479"/>
      <c r="B73" s="482"/>
      <c r="C73" s="332">
        <f t="shared" si="5"/>
        <v>0</v>
      </c>
      <c r="D73" s="483"/>
      <c r="E73" s="334">
        <f t="shared" si="6"/>
        <v>0</v>
      </c>
      <c r="F73" s="338">
        <f t="shared" si="7"/>
        <v>0</v>
      </c>
      <c r="G73" s="472"/>
      <c r="H73" s="479"/>
      <c r="I73" s="482"/>
      <c r="J73" s="332">
        <f t="shared" si="9"/>
        <v>0</v>
      </c>
      <c r="K73" s="483"/>
      <c r="L73" s="332">
        <f t="shared" si="10"/>
        <v>0</v>
      </c>
      <c r="M73" s="338">
        <f t="shared" si="8"/>
        <v>0</v>
      </c>
    </row>
    <row r="74" spans="1:13" ht="15" outlineLevel="1" x14ac:dyDescent="0.2">
      <c r="A74" s="479"/>
      <c r="B74" s="482"/>
      <c r="C74" s="332">
        <f t="shared" si="5"/>
        <v>0</v>
      </c>
      <c r="D74" s="483"/>
      <c r="E74" s="334">
        <f t="shared" si="6"/>
        <v>0</v>
      </c>
      <c r="F74" s="338">
        <f t="shared" si="7"/>
        <v>0</v>
      </c>
      <c r="G74" s="472"/>
      <c r="H74" s="479"/>
      <c r="I74" s="482"/>
      <c r="J74" s="332">
        <f t="shared" si="9"/>
        <v>0</v>
      </c>
      <c r="K74" s="483"/>
      <c r="L74" s="332">
        <f t="shared" si="10"/>
        <v>0</v>
      </c>
      <c r="M74" s="338">
        <f t="shared" si="8"/>
        <v>0</v>
      </c>
    </row>
    <row r="75" spans="1:13" ht="15" outlineLevel="1" x14ac:dyDescent="0.2">
      <c r="A75" s="479"/>
      <c r="B75" s="482"/>
      <c r="C75" s="332">
        <f t="shared" si="5"/>
        <v>0</v>
      </c>
      <c r="D75" s="483"/>
      <c r="E75" s="334">
        <f t="shared" si="6"/>
        <v>0</v>
      </c>
      <c r="F75" s="338">
        <f t="shared" si="7"/>
        <v>0</v>
      </c>
      <c r="G75" s="472"/>
      <c r="H75" s="479"/>
      <c r="I75" s="482"/>
      <c r="J75" s="332">
        <f t="shared" si="9"/>
        <v>0</v>
      </c>
      <c r="K75" s="483"/>
      <c r="L75" s="332">
        <f t="shared" si="10"/>
        <v>0</v>
      </c>
      <c r="M75" s="338">
        <f t="shared" si="8"/>
        <v>0</v>
      </c>
    </row>
    <row r="76" spans="1:13" ht="15" outlineLevel="1" x14ac:dyDescent="0.2">
      <c r="A76" s="479"/>
      <c r="B76" s="482"/>
      <c r="C76" s="332">
        <f t="shared" si="5"/>
        <v>0</v>
      </c>
      <c r="D76" s="483"/>
      <c r="E76" s="334">
        <f t="shared" si="6"/>
        <v>0</v>
      </c>
      <c r="F76" s="338">
        <f t="shared" si="7"/>
        <v>0</v>
      </c>
      <c r="G76" s="472"/>
      <c r="H76" s="479"/>
      <c r="I76" s="482"/>
      <c r="J76" s="332">
        <f t="shared" si="9"/>
        <v>0</v>
      </c>
      <c r="K76" s="483"/>
      <c r="L76" s="332">
        <f t="shared" si="10"/>
        <v>0</v>
      </c>
      <c r="M76" s="338">
        <f t="shared" si="8"/>
        <v>0</v>
      </c>
    </row>
    <row r="77" spans="1:13" ht="15" outlineLevel="1" x14ac:dyDescent="0.2">
      <c r="A77" s="479"/>
      <c r="B77" s="482"/>
      <c r="C77" s="332">
        <f t="shared" si="5"/>
        <v>0</v>
      </c>
      <c r="D77" s="483"/>
      <c r="E77" s="334">
        <f t="shared" si="6"/>
        <v>0</v>
      </c>
      <c r="F77" s="338">
        <f t="shared" si="7"/>
        <v>0</v>
      </c>
      <c r="H77" s="479"/>
      <c r="I77" s="482"/>
      <c r="J77" s="332">
        <f t="shared" si="9"/>
        <v>0</v>
      </c>
      <c r="K77" s="483"/>
      <c r="L77" s="332">
        <f t="shared" si="10"/>
        <v>0</v>
      </c>
      <c r="M77" s="338">
        <f t="shared" si="8"/>
        <v>0</v>
      </c>
    </row>
    <row r="78" spans="1:13" ht="15" outlineLevel="1" x14ac:dyDescent="0.2">
      <c r="A78" s="479"/>
      <c r="B78" s="482"/>
      <c r="C78" s="332">
        <f t="shared" si="5"/>
        <v>0</v>
      </c>
      <c r="D78" s="483"/>
      <c r="E78" s="334">
        <f t="shared" si="6"/>
        <v>0</v>
      </c>
      <c r="F78" s="338">
        <f t="shared" si="7"/>
        <v>0</v>
      </c>
      <c r="H78" s="479"/>
      <c r="I78" s="482"/>
      <c r="J78" s="332">
        <f t="shared" si="9"/>
        <v>0</v>
      </c>
      <c r="K78" s="483"/>
      <c r="L78" s="332">
        <f t="shared" si="10"/>
        <v>0</v>
      </c>
      <c r="M78" s="338">
        <f t="shared" si="8"/>
        <v>0</v>
      </c>
    </row>
    <row r="79" spans="1:13" ht="15" outlineLevel="1" x14ac:dyDescent="0.2">
      <c r="A79" s="479"/>
      <c r="B79" s="482"/>
      <c r="C79" s="332">
        <f t="shared" si="5"/>
        <v>0</v>
      </c>
      <c r="D79" s="483"/>
      <c r="E79" s="334">
        <f t="shared" si="6"/>
        <v>0</v>
      </c>
      <c r="F79" s="338">
        <f t="shared" si="7"/>
        <v>0</v>
      </c>
      <c r="G79" s="472"/>
      <c r="H79" s="479"/>
      <c r="I79" s="482"/>
      <c r="J79" s="332">
        <f t="shared" si="9"/>
        <v>0</v>
      </c>
      <c r="K79" s="483"/>
      <c r="L79" s="332">
        <f t="shared" si="10"/>
        <v>0</v>
      </c>
      <c r="M79" s="338">
        <f t="shared" si="8"/>
        <v>0</v>
      </c>
    </row>
    <row r="80" spans="1:13" ht="15" outlineLevel="1" x14ac:dyDescent="0.2">
      <c r="A80" s="479"/>
      <c r="B80" s="482"/>
      <c r="C80" s="332">
        <f t="shared" si="5"/>
        <v>0</v>
      </c>
      <c r="D80" s="483"/>
      <c r="E80" s="334">
        <f t="shared" si="6"/>
        <v>0</v>
      </c>
      <c r="F80" s="341">
        <f t="shared" si="7"/>
        <v>0</v>
      </c>
      <c r="G80" s="472"/>
      <c r="H80" s="479"/>
      <c r="I80" s="482"/>
      <c r="J80" s="332">
        <f t="shared" si="9"/>
        <v>0</v>
      </c>
      <c r="K80" s="483"/>
      <c r="L80" s="332">
        <f t="shared" si="10"/>
        <v>0</v>
      </c>
      <c r="M80" s="341">
        <f t="shared" si="8"/>
        <v>0</v>
      </c>
    </row>
    <row r="81" spans="1:13" ht="15" outlineLevel="1" x14ac:dyDescent="0.2">
      <c r="A81" s="479"/>
      <c r="B81" s="482"/>
      <c r="C81" s="332">
        <f t="shared" si="5"/>
        <v>0</v>
      </c>
      <c r="D81" s="483"/>
      <c r="E81" s="334">
        <f t="shared" si="6"/>
        <v>0</v>
      </c>
      <c r="F81" s="338">
        <f t="shared" si="7"/>
        <v>0</v>
      </c>
      <c r="G81" s="472"/>
      <c r="H81" s="479"/>
      <c r="I81" s="482"/>
      <c r="J81" s="332">
        <f t="shared" si="9"/>
        <v>0</v>
      </c>
      <c r="K81" s="483"/>
      <c r="L81" s="332">
        <f t="shared" si="10"/>
        <v>0</v>
      </c>
      <c r="M81" s="338">
        <f t="shared" si="8"/>
        <v>0</v>
      </c>
    </row>
    <row r="82" spans="1:13" ht="15" outlineLevel="1" x14ac:dyDescent="0.2">
      <c r="A82" s="479"/>
      <c r="B82" s="482"/>
      <c r="C82" s="332">
        <f t="shared" si="5"/>
        <v>0</v>
      </c>
      <c r="D82" s="483"/>
      <c r="E82" s="334">
        <f t="shared" si="6"/>
        <v>0</v>
      </c>
      <c r="F82" s="338">
        <f t="shared" si="7"/>
        <v>0</v>
      </c>
      <c r="G82" s="472"/>
      <c r="H82" s="479"/>
      <c r="I82" s="482"/>
      <c r="J82" s="332">
        <f t="shared" si="9"/>
        <v>0</v>
      </c>
      <c r="K82" s="483"/>
      <c r="L82" s="332">
        <f t="shared" si="10"/>
        <v>0</v>
      </c>
      <c r="M82" s="338">
        <f t="shared" si="8"/>
        <v>0</v>
      </c>
    </row>
    <row r="83" spans="1:13" ht="15" outlineLevel="1" x14ac:dyDescent="0.2">
      <c r="A83" s="479"/>
      <c r="B83" s="482"/>
      <c r="C83" s="332">
        <f t="shared" si="5"/>
        <v>0</v>
      </c>
      <c r="D83" s="483"/>
      <c r="E83" s="334">
        <f t="shared" si="6"/>
        <v>0</v>
      </c>
      <c r="F83" s="338">
        <f t="shared" si="7"/>
        <v>0</v>
      </c>
      <c r="G83" s="472"/>
      <c r="H83" s="479"/>
      <c r="I83" s="482"/>
      <c r="J83" s="332">
        <f t="shared" si="9"/>
        <v>0</v>
      </c>
      <c r="K83" s="483"/>
      <c r="L83" s="332">
        <f t="shared" si="10"/>
        <v>0</v>
      </c>
      <c r="M83" s="338">
        <f t="shared" si="8"/>
        <v>0</v>
      </c>
    </row>
    <row r="84" spans="1:13" ht="15" outlineLevel="1" x14ac:dyDescent="0.2">
      <c r="A84" s="481"/>
      <c r="B84" s="482"/>
      <c r="C84" s="760">
        <f t="shared" si="5"/>
        <v>0</v>
      </c>
      <c r="D84" s="483"/>
      <c r="E84" s="757">
        <f t="shared" si="6"/>
        <v>0</v>
      </c>
      <c r="F84" s="341">
        <f t="shared" si="7"/>
        <v>0</v>
      </c>
      <c r="G84" s="472"/>
      <c r="H84" s="481"/>
      <c r="I84" s="482"/>
      <c r="J84" s="760">
        <f t="shared" si="9"/>
        <v>0</v>
      </c>
      <c r="K84" s="483"/>
      <c r="L84" s="760">
        <f t="shared" si="10"/>
        <v>0</v>
      </c>
      <c r="M84" s="338">
        <f t="shared" si="8"/>
        <v>0</v>
      </c>
    </row>
    <row r="85" spans="1:13" ht="15" outlineLevel="1" x14ac:dyDescent="0.2">
      <c r="A85" s="481"/>
      <c r="B85" s="482"/>
      <c r="C85" s="760">
        <f t="shared" si="5"/>
        <v>0</v>
      </c>
      <c r="D85" s="483"/>
      <c r="E85" s="757">
        <f t="shared" si="6"/>
        <v>0</v>
      </c>
      <c r="F85" s="341">
        <f t="shared" si="7"/>
        <v>0</v>
      </c>
      <c r="G85" s="472"/>
      <c r="H85" s="481"/>
      <c r="I85" s="482"/>
      <c r="J85" s="760">
        <f t="shared" si="9"/>
        <v>0</v>
      </c>
      <c r="K85" s="483"/>
      <c r="L85" s="760">
        <f t="shared" si="10"/>
        <v>0</v>
      </c>
      <c r="M85" s="338">
        <f t="shared" si="8"/>
        <v>0</v>
      </c>
    </row>
    <row r="86" spans="1:13" ht="15" outlineLevel="1" x14ac:dyDescent="0.2">
      <c r="A86" s="479"/>
      <c r="B86" s="482"/>
      <c r="C86" s="332">
        <f t="shared" si="5"/>
        <v>0</v>
      </c>
      <c r="D86" s="483"/>
      <c r="E86" s="334">
        <f t="shared" si="6"/>
        <v>0</v>
      </c>
      <c r="F86" s="338">
        <f t="shared" si="7"/>
        <v>0</v>
      </c>
      <c r="G86" s="472"/>
      <c r="H86" s="481"/>
      <c r="I86" s="482"/>
      <c r="J86" s="332">
        <f t="shared" si="9"/>
        <v>0</v>
      </c>
      <c r="K86" s="483"/>
      <c r="L86" s="332">
        <f t="shared" si="10"/>
        <v>0</v>
      </c>
      <c r="M86" s="338">
        <f t="shared" si="8"/>
        <v>0</v>
      </c>
    </row>
    <row r="87" spans="1:13" ht="15.75" customHeight="1" outlineLevel="1" x14ac:dyDescent="0.2">
      <c r="A87" s="479"/>
      <c r="B87" s="482"/>
      <c r="C87" s="332">
        <f t="shared" si="5"/>
        <v>0</v>
      </c>
      <c r="D87" s="483"/>
      <c r="E87" s="334">
        <f t="shared" si="6"/>
        <v>0</v>
      </c>
      <c r="F87" s="338">
        <f t="shared" si="7"/>
        <v>0</v>
      </c>
      <c r="G87" s="472"/>
      <c r="H87" s="481"/>
      <c r="I87" s="482"/>
      <c r="J87" s="332">
        <f t="shared" si="9"/>
        <v>0</v>
      </c>
      <c r="K87" s="483"/>
      <c r="L87" s="332">
        <f t="shared" si="10"/>
        <v>0</v>
      </c>
      <c r="M87" s="338">
        <f t="shared" si="8"/>
        <v>0</v>
      </c>
    </row>
    <row r="88" spans="1:13" ht="15" outlineLevel="1" x14ac:dyDescent="0.2">
      <c r="A88" s="479"/>
      <c r="B88" s="482"/>
      <c r="C88" s="332">
        <f t="shared" si="5"/>
        <v>0</v>
      </c>
      <c r="D88" s="483"/>
      <c r="E88" s="334">
        <f t="shared" si="6"/>
        <v>0</v>
      </c>
      <c r="F88" s="338">
        <f t="shared" si="7"/>
        <v>0</v>
      </c>
      <c r="G88" s="472"/>
      <c r="H88" s="481"/>
      <c r="I88" s="482"/>
      <c r="J88" s="332">
        <f t="shared" si="9"/>
        <v>0</v>
      </c>
      <c r="K88" s="483"/>
      <c r="L88" s="332">
        <f t="shared" si="10"/>
        <v>0</v>
      </c>
      <c r="M88" s="338">
        <f t="shared" si="8"/>
        <v>0</v>
      </c>
    </row>
    <row r="89" spans="1:13" ht="15" outlineLevel="1" x14ac:dyDescent="0.2">
      <c r="A89" s="479"/>
      <c r="B89" s="482"/>
      <c r="C89" s="332">
        <f t="shared" si="5"/>
        <v>0</v>
      </c>
      <c r="D89" s="483"/>
      <c r="E89" s="334">
        <f t="shared" si="6"/>
        <v>0</v>
      </c>
      <c r="F89" s="338">
        <f t="shared" si="7"/>
        <v>0</v>
      </c>
      <c r="G89" s="472"/>
      <c r="H89" s="481"/>
      <c r="I89" s="482"/>
      <c r="J89" s="332">
        <f t="shared" si="9"/>
        <v>0</v>
      </c>
      <c r="K89" s="483"/>
      <c r="L89" s="332">
        <f t="shared" si="10"/>
        <v>0</v>
      </c>
      <c r="M89" s="338">
        <f t="shared" si="8"/>
        <v>0</v>
      </c>
    </row>
    <row r="90" spans="1:13" ht="15" outlineLevel="1" x14ac:dyDescent="0.2">
      <c r="A90" s="479"/>
      <c r="B90" s="482"/>
      <c r="C90" s="332">
        <f t="shared" si="5"/>
        <v>0</v>
      </c>
      <c r="D90" s="483"/>
      <c r="E90" s="334">
        <f t="shared" si="6"/>
        <v>0</v>
      </c>
      <c r="F90" s="338">
        <f t="shared" si="7"/>
        <v>0</v>
      </c>
      <c r="G90" s="472"/>
      <c r="H90" s="481"/>
      <c r="I90" s="482"/>
      <c r="J90" s="332">
        <f t="shared" si="9"/>
        <v>0</v>
      </c>
      <c r="K90" s="483"/>
      <c r="L90" s="332">
        <f t="shared" si="10"/>
        <v>0</v>
      </c>
      <c r="M90" s="338">
        <f t="shared" si="8"/>
        <v>0</v>
      </c>
    </row>
    <row r="91" spans="1:13" ht="15" outlineLevel="1" x14ac:dyDescent="0.2">
      <c r="A91" s="479"/>
      <c r="B91" s="482"/>
      <c r="C91" s="332">
        <f t="shared" si="5"/>
        <v>0</v>
      </c>
      <c r="D91" s="483"/>
      <c r="E91" s="334">
        <f t="shared" si="6"/>
        <v>0</v>
      </c>
      <c r="F91" s="338">
        <f t="shared" si="7"/>
        <v>0</v>
      </c>
      <c r="G91" s="472"/>
      <c r="H91" s="481"/>
      <c r="I91" s="482"/>
      <c r="J91" s="332">
        <f t="shared" si="9"/>
        <v>0</v>
      </c>
      <c r="K91" s="483"/>
      <c r="L91" s="332">
        <f t="shared" si="10"/>
        <v>0</v>
      </c>
      <c r="M91" s="338">
        <f t="shared" si="8"/>
        <v>0</v>
      </c>
    </row>
    <row r="92" spans="1:13" ht="15" outlineLevel="1" x14ac:dyDescent="0.2">
      <c r="A92" s="479"/>
      <c r="B92" s="482"/>
      <c r="C92" s="332">
        <f t="shared" si="5"/>
        <v>0</v>
      </c>
      <c r="D92" s="483"/>
      <c r="E92" s="334">
        <f t="shared" si="6"/>
        <v>0</v>
      </c>
      <c r="F92" s="338">
        <f t="shared" si="7"/>
        <v>0</v>
      </c>
      <c r="G92" s="472"/>
      <c r="H92" s="481"/>
      <c r="I92" s="482"/>
      <c r="J92" s="332">
        <f t="shared" si="9"/>
        <v>0</v>
      </c>
      <c r="K92" s="483"/>
      <c r="L92" s="332">
        <f t="shared" si="10"/>
        <v>0</v>
      </c>
      <c r="M92" s="338">
        <f t="shared" si="8"/>
        <v>0</v>
      </c>
    </row>
    <row r="93" spans="1:13" ht="15" outlineLevel="1" x14ac:dyDescent="0.2">
      <c r="A93" s="479"/>
      <c r="B93" s="482"/>
      <c r="C93" s="332">
        <f t="shared" si="5"/>
        <v>0</v>
      </c>
      <c r="D93" s="483"/>
      <c r="E93" s="334">
        <f t="shared" si="6"/>
        <v>0</v>
      </c>
      <c r="F93" s="338">
        <f t="shared" si="7"/>
        <v>0</v>
      </c>
      <c r="G93" s="472"/>
      <c r="H93" s="481"/>
      <c r="I93" s="482"/>
      <c r="J93" s="332">
        <f t="shared" si="9"/>
        <v>0</v>
      </c>
      <c r="K93" s="483"/>
      <c r="L93" s="332">
        <f t="shared" si="10"/>
        <v>0</v>
      </c>
      <c r="M93" s="338">
        <f t="shared" si="8"/>
        <v>0</v>
      </c>
    </row>
    <row r="94" spans="1:13" ht="15" outlineLevel="1" x14ac:dyDescent="0.2">
      <c r="A94" s="479"/>
      <c r="B94" s="482"/>
      <c r="C94" s="332">
        <f t="shared" si="5"/>
        <v>0</v>
      </c>
      <c r="D94" s="483"/>
      <c r="E94" s="334">
        <f t="shared" si="6"/>
        <v>0</v>
      </c>
      <c r="F94" s="338">
        <f t="shared" si="7"/>
        <v>0</v>
      </c>
      <c r="G94" s="472"/>
      <c r="H94" s="481"/>
      <c r="I94" s="482"/>
      <c r="J94" s="332">
        <f t="shared" si="9"/>
        <v>0</v>
      </c>
      <c r="K94" s="483"/>
      <c r="L94" s="332">
        <f t="shared" si="10"/>
        <v>0</v>
      </c>
      <c r="M94" s="338">
        <f t="shared" si="8"/>
        <v>0</v>
      </c>
    </row>
    <row r="95" spans="1:13" ht="15" outlineLevel="1" x14ac:dyDescent="0.2">
      <c r="A95" s="479"/>
      <c r="B95" s="482"/>
      <c r="C95" s="332">
        <f t="shared" si="5"/>
        <v>0</v>
      </c>
      <c r="D95" s="483"/>
      <c r="E95" s="334">
        <f t="shared" si="6"/>
        <v>0</v>
      </c>
      <c r="F95" s="338">
        <f t="shared" si="7"/>
        <v>0</v>
      </c>
      <c r="G95" s="472"/>
      <c r="H95" s="481"/>
      <c r="I95" s="482"/>
      <c r="J95" s="332">
        <f t="shared" si="9"/>
        <v>0</v>
      </c>
      <c r="K95" s="483"/>
      <c r="L95" s="332">
        <f t="shared" si="10"/>
        <v>0</v>
      </c>
      <c r="M95" s="338">
        <f t="shared" si="8"/>
        <v>0</v>
      </c>
    </row>
    <row r="96" spans="1:13" ht="15.75" outlineLevel="1" thickBot="1" x14ac:dyDescent="0.25">
      <c r="A96" s="479"/>
      <c r="B96" s="482"/>
      <c r="C96" s="332">
        <f t="shared" si="5"/>
        <v>0</v>
      </c>
      <c r="D96" s="483"/>
      <c r="E96" s="334">
        <f t="shared" si="6"/>
        <v>0</v>
      </c>
      <c r="F96" s="338">
        <f t="shared" si="7"/>
        <v>0</v>
      </c>
      <c r="G96" s="472"/>
      <c r="H96" s="481"/>
      <c r="I96" s="482"/>
      <c r="J96" s="332">
        <f t="shared" si="9"/>
        <v>0</v>
      </c>
      <c r="K96" s="483"/>
      <c r="L96" s="332">
        <f t="shared" si="10"/>
        <v>0</v>
      </c>
      <c r="M96" s="338">
        <f t="shared" si="8"/>
        <v>0</v>
      </c>
    </row>
    <row r="97" spans="1:13" ht="15.75" outlineLevel="1" thickBot="1" x14ac:dyDescent="0.25">
      <c r="A97" s="348" t="s">
        <v>1007</v>
      </c>
      <c r="B97" s="376"/>
      <c r="C97" s="492" t="s">
        <v>107</v>
      </c>
      <c r="D97" s="359">
        <f>ROUND(SUMPRODUCT(EnsuiteWallTable[Height],EnsuiteWallTable[Width]),1)</f>
        <v>0</v>
      </c>
      <c r="E97" s="358"/>
      <c r="F97" s="806">
        <f>SUM(F56:F96)*(B54*D54)</f>
        <v>0</v>
      </c>
      <c r="G97" s="472"/>
      <c r="H97" s="348" t="s">
        <v>1007</v>
      </c>
      <c r="I97" s="376"/>
      <c r="J97" s="492" t="s">
        <v>107</v>
      </c>
      <c r="K97" s="359">
        <f>ROUND(SUMPRODUCT(EnsuiteFloorTable[Height],EnsuiteFloorTable[Width])+SUMIF(Name,"Ensuite Floor Tile",Area)+SUMIF('CSV FF'!A:A,"Ensuite Floor Tile",'CSV FF'!F:F),1)</f>
        <v>0</v>
      </c>
      <c r="L97" s="358"/>
      <c r="M97" s="806">
        <f>SUM(M56:M96)*(I54*K54)</f>
        <v>0</v>
      </c>
    </row>
    <row r="98" spans="1:13" ht="15" thickBot="1" x14ac:dyDescent="0.25">
      <c r="G98" s="472"/>
    </row>
    <row r="99" spans="1:13" ht="21.75" outlineLevel="1" thickBot="1" x14ac:dyDescent="0.25">
      <c r="A99" s="1369" t="s">
        <v>1008</v>
      </c>
      <c r="B99" s="1370"/>
      <c r="C99" s="1370"/>
      <c r="D99" s="1370"/>
      <c r="E99" s="1370"/>
      <c r="F99" s="1371"/>
      <c r="G99" s="472"/>
      <c r="H99" s="1369" t="s">
        <v>1009</v>
      </c>
      <c r="I99" s="1370"/>
      <c r="J99" s="1370"/>
      <c r="K99" s="1370"/>
      <c r="L99" s="1370"/>
      <c r="M99" s="1371"/>
    </row>
    <row r="100" spans="1:13" ht="15.75" outlineLevel="1" thickBot="1" x14ac:dyDescent="0.25">
      <c r="A100" s="353" t="s">
        <v>551</v>
      </c>
      <c r="B100" s="810" t="s">
        <v>661</v>
      </c>
      <c r="C100" s="354" t="s">
        <v>672</v>
      </c>
      <c r="D100" s="355">
        <v>44</v>
      </c>
      <c r="E100" s="356">
        <f>IF($B$1="Magic Tiles",0.3,IF($B$1="Tiles Plus",0.3,0.2))</f>
        <v>0.2</v>
      </c>
      <c r="F100" s="471">
        <f>IF(C100="Nett",ROUND(D100/1.1,2),IF(C100="Each",(1/(Laundry_Wall_Height*Laundry_Wall_Width)*D100/1.1),IF(C100="M2",(IF(AND(OR($B$1="Armanti Bunbury",$B$1="Armanti Busselton"),(D100&lt;=44)),30,IF(AND($B$1="Magic Tiles",D100&lt;=44),25.46,IF(AND(OR($B$1="Trimview"),(D100&lt;=44)),32,IF(C100="M2",D100/1.1-E100*D100/1.1,0))))))))</f>
        <v>32</v>
      </c>
      <c r="G100" s="472"/>
      <c r="H100" s="353" t="s">
        <v>551</v>
      </c>
      <c r="I100" s="810" t="s">
        <v>661</v>
      </c>
      <c r="J100" s="354" t="s">
        <v>672</v>
      </c>
      <c r="K100" s="355">
        <v>44</v>
      </c>
      <c r="L100" s="356">
        <f>IF($B$1="Magic Tiles",0.3,IF($B$1="Tiles Plus",0.3,0.2))</f>
        <v>0.2</v>
      </c>
      <c r="M100" s="471">
        <f>IF(J100="Nett",ROUND(K100/1.1,2),IF(J100="Each",(1/(Laundry_Floor_Height*Laundry_Floor_Width)*K100/1.1),IF(J100="M2",(IF(AND(OR($B$1="Armanti Bunbury",$B$1="Armanti Busselton"),(K100&lt;=44)),30,IF(AND($B$1="Magic Tiles",K100&lt;=44),25.46,IF(AND(OR($B$1="Trimview"),(K100&lt;=44)),32,IF(J100="M2",K100/1.1-L100*K100/1.1,0))))))))</f>
        <v>32</v>
      </c>
    </row>
    <row r="101" spans="1:13" ht="15.75" outlineLevel="1" thickBot="1" x14ac:dyDescent="0.25">
      <c r="A101" s="810" t="s">
        <v>1595</v>
      </c>
      <c r="B101" s="1381" t="s">
        <v>136</v>
      </c>
      <c r="C101" s="1382"/>
      <c r="D101" s="1381" t="s">
        <v>99</v>
      </c>
      <c r="E101" s="1382"/>
      <c r="F101" s="1383" t="s">
        <v>11</v>
      </c>
      <c r="G101" s="472"/>
      <c r="H101" s="810" t="s">
        <v>1595</v>
      </c>
      <c r="I101" s="1381" t="s">
        <v>34</v>
      </c>
      <c r="J101" s="1382"/>
      <c r="K101" s="1381" t="s">
        <v>99</v>
      </c>
      <c r="L101" s="1382"/>
      <c r="M101" s="1383" t="s">
        <v>11</v>
      </c>
    </row>
    <row r="102" spans="1:13" ht="15.75" outlineLevel="1" thickBot="1" x14ac:dyDescent="0.25">
      <c r="A102" s="754" t="s">
        <v>551</v>
      </c>
      <c r="B102" s="1386"/>
      <c r="C102" s="1392"/>
      <c r="D102" s="1386"/>
      <c r="E102" s="1392"/>
      <c r="F102" s="1384"/>
      <c r="G102" s="472"/>
      <c r="H102" s="754" t="s">
        <v>551</v>
      </c>
      <c r="I102" s="1388"/>
      <c r="J102" s="1387"/>
      <c r="K102" s="1388"/>
      <c r="L102" s="1387"/>
      <c r="M102" s="1385"/>
    </row>
    <row r="103" spans="1:13" ht="15.75" outlineLevel="1" thickBot="1" x14ac:dyDescent="0.25">
      <c r="A103" s="492" t="s">
        <v>7</v>
      </c>
      <c r="B103" s="755" t="s">
        <v>136</v>
      </c>
      <c r="C103" s="492" t="s">
        <v>1001</v>
      </c>
      <c r="D103" s="756" t="s">
        <v>99</v>
      </c>
      <c r="E103" s="492" t="s">
        <v>1002</v>
      </c>
      <c r="F103" s="492" t="s">
        <v>11</v>
      </c>
      <c r="G103" s="472"/>
      <c r="H103" s="492" t="s">
        <v>7</v>
      </c>
      <c r="I103" s="474" t="s">
        <v>136</v>
      </c>
      <c r="J103" s="332" t="s">
        <v>1001</v>
      </c>
      <c r="K103" s="475" t="s">
        <v>99</v>
      </c>
      <c r="L103" s="332" t="s">
        <v>1002</v>
      </c>
      <c r="M103" s="335" t="s">
        <v>11</v>
      </c>
    </row>
    <row r="104" spans="1:13" ht="15.75" outlineLevel="1" thickBot="1" x14ac:dyDescent="0.25">
      <c r="A104" s="497"/>
      <c r="B104" s="474"/>
      <c r="C104" s="332">
        <f t="shared" ref="C104:C128" si="11">IF($B$102&gt;0,IF(OR(B104&lt;0,D104&lt;0),ROUNDDOWN(B104/$B$102,0),CEILING(B104/$B$102,1)),0)</f>
        <v>0</v>
      </c>
      <c r="D104" s="475"/>
      <c r="E104" s="334">
        <f t="shared" ref="E104:E128" si="12">IF($D$102&gt;0,IF(OR(B104&lt;0,D104&lt;0),ROUNDDOWN(D104/$D$102,0),CEILING(D104/$D$102,1)),0)</f>
        <v>0</v>
      </c>
      <c r="F104" s="335">
        <f>Table1219720[[#This Row],[Tiles Wide]]*Table1219720[[#This Row],[Tiles High]]</f>
        <v>0</v>
      </c>
      <c r="G104" s="472"/>
      <c r="H104" s="473" t="s">
        <v>408</v>
      </c>
      <c r="I104" s="474"/>
      <c r="J104" s="332">
        <f>IF($I$102&gt;0,IF(OR(I104&lt;0,I104&lt;0),ROUNDDOWN(I104/$I$102,0),CEILING(I104/$I$102,1)),0)</f>
        <v>0</v>
      </c>
      <c r="K104" s="475"/>
      <c r="L104" s="332">
        <f>IF($K$102,IF(OR(I104&lt;0,K104&lt;0),ROUNDDOWN(K104/$K$102,0),CEILING(K104/$K$102,1)),0)</f>
        <v>0</v>
      </c>
      <c r="M104" s="491">
        <f>IFERROR(ROUNDUP(SUMIF(Name,"Laundry Floor Tile",Area)/(Laundry_Floor_Height*Laundry_Floor_Width),0),0)+IFERROR(ROUNDUP(SUMIF('CSV FF'!A:A,"Laundry Floor Tile",'CSV FF'!F:F)/(Laundry_Floor_Height*Laundry_Floor_Width),0),0)</f>
        <v>0</v>
      </c>
    </row>
    <row r="105" spans="1:13" ht="15" outlineLevel="1" x14ac:dyDescent="0.2">
      <c r="A105" s="498"/>
      <c r="B105" s="477"/>
      <c r="C105" s="332">
        <f t="shared" si="11"/>
        <v>0</v>
      </c>
      <c r="D105" s="478"/>
      <c r="E105" s="334">
        <f t="shared" si="12"/>
        <v>0</v>
      </c>
      <c r="F105" s="338">
        <f>Table1219720[[#This Row],[Tiles Wide]]*Table1219720[[#This Row],[Tiles High]]</f>
        <v>0</v>
      </c>
      <c r="G105" s="472"/>
      <c r="H105" s="479"/>
      <c r="I105" s="477"/>
      <c r="J105" s="332">
        <f>IF($I$102&gt;0,IF(OR(I105&lt;0,I105&lt;0),ROUNDDOWN(I105/$I$102,0),CEILING(I105/$I$102,1)),0)</f>
        <v>0</v>
      </c>
      <c r="K105" s="478"/>
      <c r="L105" s="332">
        <f>IF($K$102,IF(OR(I105&lt;0,K105&lt;0),ROUNDDOWN(K105/$K$102,0),CEILING(K105/$K$102,1)),0)</f>
        <v>0</v>
      </c>
      <c r="M105" s="338">
        <f t="shared" ref="M105:M128" si="13">J105*L105</f>
        <v>0</v>
      </c>
    </row>
    <row r="106" spans="1:13" ht="15" outlineLevel="1" x14ac:dyDescent="0.2">
      <c r="A106" s="499"/>
      <c r="B106" s="477"/>
      <c r="C106" s="332">
        <f t="shared" si="11"/>
        <v>0</v>
      </c>
      <c r="D106" s="478"/>
      <c r="E106" s="334">
        <f t="shared" si="12"/>
        <v>0</v>
      </c>
      <c r="F106" s="338">
        <f>Table1219720[[#This Row],[Tiles Wide]]*Table1219720[[#This Row],[Tiles High]]</f>
        <v>0</v>
      </c>
      <c r="G106" s="472"/>
      <c r="H106" s="479"/>
      <c r="I106" s="477"/>
      <c r="J106" s="332">
        <f t="shared" ref="J106:J128" si="14">IF($I$102&gt;0,IF(OR(I106&lt;0,I106&lt;0),ROUNDDOWN(I106/$I$102,0),CEILING(I106/$I$102,1)),0)</f>
        <v>0</v>
      </c>
      <c r="K106" s="478"/>
      <c r="L106" s="332">
        <f t="shared" ref="L106:L128" si="15">IF($K$102,IF(OR(I106&lt;0,K106&lt;0),ROUNDDOWN(K106/$K$102,0),CEILING(K106/$K$102,1)),0)</f>
        <v>0</v>
      </c>
      <c r="M106" s="338">
        <f t="shared" si="13"/>
        <v>0</v>
      </c>
    </row>
    <row r="107" spans="1:13" ht="15" outlineLevel="1" x14ac:dyDescent="0.2">
      <c r="A107" s="499"/>
      <c r="B107" s="477"/>
      <c r="C107" s="332">
        <f t="shared" si="11"/>
        <v>0</v>
      </c>
      <c r="D107" s="478"/>
      <c r="E107" s="334">
        <f t="shared" si="12"/>
        <v>0</v>
      </c>
      <c r="F107" s="338">
        <f>Table1219720[[#This Row],[Tiles Wide]]*Table1219720[[#This Row],[Tiles High]]</f>
        <v>0</v>
      </c>
      <c r="G107" s="472"/>
      <c r="H107" s="479"/>
      <c r="I107" s="477"/>
      <c r="J107" s="332">
        <f t="shared" si="14"/>
        <v>0</v>
      </c>
      <c r="K107" s="478"/>
      <c r="L107" s="332">
        <f t="shared" si="15"/>
        <v>0</v>
      </c>
      <c r="M107" s="338">
        <f t="shared" si="13"/>
        <v>0</v>
      </c>
    </row>
    <row r="108" spans="1:13" ht="15" outlineLevel="1" x14ac:dyDescent="0.2">
      <c r="A108" s="499"/>
      <c r="B108" s="477"/>
      <c r="C108" s="332">
        <f t="shared" si="11"/>
        <v>0</v>
      </c>
      <c r="D108" s="478"/>
      <c r="E108" s="334">
        <f t="shared" si="12"/>
        <v>0</v>
      </c>
      <c r="F108" s="338">
        <f>Table1219720[[#This Row],[Tiles Wide]]*Table1219720[[#This Row],[Tiles High]]</f>
        <v>0</v>
      </c>
      <c r="G108" s="472"/>
      <c r="H108" s="479"/>
      <c r="I108" s="477"/>
      <c r="J108" s="332">
        <f t="shared" si="14"/>
        <v>0</v>
      </c>
      <c r="K108" s="478"/>
      <c r="L108" s="332">
        <f t="shared" si="15"/>
        <v>0</v>
      </c>
      <c r="M108" s="338">
        <f t="shared" si="13"/>
        <v>0</v>
      </c>
    </row>
    <row r="109" spans="1:13" ht="15" outlineLevel="1" x14ac:dyDescent="0.2">
      <c r="A109" s="499"/>
      <c r="B109" s="477"/>
      <c r="C109" s="332">
        <f t="shared" si="11"/>
        <v>0</v>
      </c>
      <c r="D109" s="478"/>
      <c r="E109" s="334">
        <f t="shared" si="12"/>
        <v>0</v>
      </c>
      <c r="F109" s="338">
        <f>Table1219720[[#This Row],[Tiles Wide]]*Table1219720[[#This Row],[Tiles High]]</f>
        <v>0</v>
      </c>
      <c r="H109" s="479"/>
      <c r="I109" s="477"/>
      <c r="J109" s="332">
        <f t="shared" si="14"/>
        <v>0</v>
      </c>
      <c r="K109" s="478"/>
      <c r="L109" s="332">
        <f t="shared" si="15"/>
        <v>0</v>
      </c>
      <c r="M109" s="338">
        <f t="shared" si="13"/>
        <v>0</v>
      </c>
    </row>
    <row r="110" spans="1:13" ht="15" outlineLevel="1" x14ac:dyDescent="0.2">
      <c r="A110" s="499"/>
      <c r="B110" s="477"/>
      <c r="C110" s="332">
        <f t="shared" si="11"/>
        <v>0</v>
      </c>
      <c r="D110" s="478"/>
      <c r="E110" s="334">
        <f t="shared" si="12"/>
        <v>0</v>
      </c>
      <c r="F110" s="338">
        <f>Table1219720[[#This Row],[Tiles Wide]]*Table1219720[[#This Row],[Tiles High]]</f>
        <v>0</v>
      </c>
      <c r="H110" s="479"/>
      <c r="I110" s="477"/>
      <c r="J110" s="332">
        <f t="shared" si="14"/>
        <v>0</v>
      </c>
      <c r="K110" s="478"/>
      <c r="L110" s="332">
        <f t="shared" si="15"/>
        <v>0</v>
      </c>
      <c r="M110" s="338">
        <f t="shared" si="13"/>
        <v>0</v>
      </c>
    </row>
    <row r="111" spans="1:13" ht="15" outlineLevel="1" x14ac:dyDescent="0.2">
      <c r="A111" s="499"/>
      <c r="B111" s="477"/>
      <c r="C111" s="332">
        <f t="shared" si="11"/>
        <v>0</v>
      </c>
      <c r="D111" s="478"/>
      <c r="E111" s="334">
        <f t="shared" si="12"/>
        <v>0</v>
      </c>
      <c r="F111" s="338">
        <f>Table1219720[[#This Row],[Tiles Wide]]*Table1219720[[#This Row],[Tiles High]]</f>
        <v>0</v>
      </c>
      <c r="G111" s="472"/>
      <c r="H111" s="479"/>
      <c r="I111" s="477"/>
      <c r="J111" s="332">
        <f t="shared" si="14"/>
        <v>0</v>
      </c>
      <c r="K111" s="478"/>
      <c r="L111" s="332">
        <f t="shared" si="15"/>
        <v>0</v>
      </c>
      <c r="M111" s="338">
        <f t="shared" si="13"/>
        <v>0</v>
      </c>
    </row>
    <row r="112" spans="1:13" ht="15" outlineLevel="1" x14ac:dyDescent="0.2">
      <c r="A112" s="499"/>
      <c r="B112" s="477"/>
      <c r="C112" s="332">
        <f t="shared" si="11"/>
        <v>0</v>
      </c>
      <c r="D112" s="478"/>
      <c r="E112" s="334">
        <f t="shared" si="12"/>
        <v>0</v>
      </c>
      <c r="F112" s="338">
        <f>Table1219720[[#This Row],[Tiles Wide]]*Table1219720[[#This Row],[Tiles High]]</f>
        <v>0</v>
      </c>
      <c r="G112" s="472"/>
      <c r="H112" s="479"/>
      <c r="I112" s="477"/>
      <c r="J112" s="332">
        <f t="shared" si="14"/>
        <v>0</v>
      </c>
      <c r="K112" s="478"/>
      <c r="L112" s="332">
        <f t="shared" si="15"/>
        <v>0</v>
      </c>
      <c r="M112" s="338">
        <f t="shared" si="13"/>
        <v>0</v>
      </c>
    </row>
    <row r="113" spans="1:13" ht="15" outlineLevel="1" x14ac:dyDescent="0.2">
      <c r="A113" s="499"/>
      <c r="B113" s="477"/>
      <c r="C113" s="332">
        <f t="shared" si="11"/>
        <v>0</v>
      </c>
      <c r="D113" s="478"/>
      <c r="E113" s="334">
        <f t="shared" si="12"/>
        <v>0</v>
      </c>
      <c r="F113" s="338">
        <f>Table1219720[[#This Row],[Tiles Wide]]*Table1219720[[#This Row],[Tiles High]]</f>
        <v>0</v>
      </c>
      <c r="G113" s="472"/>
      <c r="H113" s="479"/>
      <c r="I113" s="477"/>
      <c r="J113" s="332">
        <f t="shared" si="14"/>
        <v>0</v>
      </c>
      <c r="K113" s="478"/>
      <c r="L113" s="332">
        <f t="shared" si="15"/>
        <v>0</v>
      </c>
      <c r="M113" s="338">
        <f t="shared" si="13"/>
        <v>0</v>
      </c>
    </row>
    <row r="114" spans="1:13" ht="15" outlineLevel="1" x14ac:dyDescent="0.2">
      <c r="A114" s="499"/>
      <c r="B114" s="477"/>
      <c r="C114" s="332">
        <f t="shared" si="11"/>
        <v>0</v>
      </c>
      <c r="D114" s="478"/>
      <c r="E114" s="334">
        <f t="shared" si="12"/>
        <v>0</v>
      </c>
      <c r="F114" s="338">
        <f>Table1219720[[#This Row],[Tiles Wide]]*Table1219720[[#This Row],[Tiles High]]</f>
        <v>0</v>
      </c>
      <c r="G114" s="472"/>
      <c r="H114" s="479"/>
      <c r="I114" s="477"/>
      <c r="J114" s="332">
        <f t="shared" si="14"/>
        <v>0</v>
      </c>
      <c r="K114" s="478"/>
      <c r="L114" s="332">
        <f t="shared" si="15"/>
        <v>0</v>
      </c>
      <c r="M114" s="338">
        <f t="shared" si="13"/>
        <v>0</v>
      </c>
    </row>
    <row r="115" spans="1:13" ht="15" outlineLevel="1" x14ac:dyDescent="0.2">
      <c r="A115" s="499"/>
      <c r="B115" s="477"/>
      <c r="C115" s="332">
        <f t="shared" si="11"/>
        <v>0</v>
      </c>
      <c r="D115" s="478"/>
      <c r="E115" s="334">
        <f t="shared" si="12"/>
        <v>0</v>
      </c>
      <c r="F115" s="338">
        <f>Table1219720[[#This Row],[Tiles Wide]]*Table1219720[[#This Row],[Tiles High]]</f>
        <v>0</v>
      </c>
      <c r="G115" s="472"/>
      <c r="H115" s="479"/>
      <c r="I115" s="477"/>
      <c r="J115" s="332">
        <f t="shared" si="14"/>
        <v>0</v>
      </c>
      <c r="K115" s="478"/>
      <c r="L115" s="332">
        <f t="shared" si="15"/>
        <v>0</v>
      </c>
      <c r="M115" s="338">
        <f t="shared" si="13"/>
        <v>0</v>
      </c>
    </row>
    <row r="116" spans="1:13" ht="15" outlineLevel="1" x14ac:dyDescent="0.2">
      <c r="A116" s="499"/>
      <c r="B116" s="477"/>
      <c r="C116" s="332">
        <f t="shared" si="11"/>
        <v>0</v>
      </c>
      <c r="D116" s="478"/>
      <c r="E116" s="334">
        <f t="shared" si="12"/>
        <v>0</v>
      </c>
      <c r="F116" s="338">
        <f>Table1219720[[#This Row],[Tiles Wide]]*Table1219720[[#This Row],[Tiles High]]</f>
        <v>0</v>
      </c>
      <c r="G116" s="472"/>
      <c r="H116" s="479"/>
      <c r="I116" s="477"/>
      <c r="J116" s="332">
        <f t="shared" si="14"/>
        <v>0</v>
      </c>
      <c r="K116" s="478"/>
      <c r="L116" s="332">
        <f t="shared" si="15"/>
        <v>0</v>
      </c>
      <c r="M116" s="338">
        <f t="shared" si="13"/>
        <v>0</v>
      </c>
    </row>
    <row r="117" spans="1:13" ht="15" outlineLevel="1" x14ac:dyDescent="0.2">
      <c r="A117" s="499"/>
      <c r="B117" s="477"/>
      <c r="C117" s="332">
        <f t="shared" si="11"/>
        <v>0</v>
      </c>
      <c r="D117" s="478"/>
      <c r="E117" s="334">
        <f t="shared" si="12"/>
        <v>0</v>
      </c>
      <c r="F117" s="338">
        <f>Table1219720[[#This Row],[Tiles Wide]]*Table1219720[[#This Row],[Tiles High]]</f>
        <v>0</v>
      </c>
      <c r="G117" s="472"/>
      <c r="H117" s="479"/>
      <c r="I117" s="477"/>
      <c r="J117" s="332">
        <f t="shared" si="14"/>
        <v>0</v>
      </c>
      <c r="K117" s="478"/>
      <c r="L117" s="332">
        <f t="shared" si="15"/>
        <v>0</v>
      </c>
      <c r="M117" s="338">
        <f t="shared" si="13"/>
        <v>0</v>
      </c>
    </row>
    <row r="118" spans="1:13" ht="15" outlineLevel="1" x14ac:dyDescent="0.2">
      <c r="A118" s="499"/>
      <c r="B118" s="477"/>
      <c r="C118" s="332">
        <f t="shared" si="11"/>
        <v>0</v>
      </c>
      <c r="D118" s="478"/>
      <c r="E118" s="334">
        <f t="shared" si="12"/>
        <v>0</v>
      </c>
      <c r="F118" s="338">
        <f>Table1219720[[#This Row],[Tiles Wide]]*Table1219720[[#This Row],[Tiles High]]</f>
        <v>0</v>
      </c>
      <c r="G118" s="472"/>
      <c r="H118" s="479"/>
      <c r="I118" s="477"/>
      <c r="J118" s="332">
        <f t="shared" si="14"/>
        <v>0</v>
      </c>
      <c r="K118" s="478"/>
      <c r="L118" s="332">
        <f t="shared" si="15"/>
        <v>0</v>
      </c>
      <c r="M118" s="338">
        <f t="shared" si="13"/>
        <v>0</v>
      </c>
    </row>
    <row r="119" spans="1:13" ht="15" outlineLevel="1" x14ac:dyDescent="0.2">
      <c r="A119" s="500"/>
      <c r="B119" s="482"/>
      <c r="C119" s="332">
        <f t="shared" si="11"/>
        <v>0</v>
      </c>
      <c r="D119" s="483"/>
      <c r="E119" s="334">
        <f t="shared" si="12"/>
        <v>0</v>
      </c>
      <c r="F119" s="338">
        <f>Table1219720[[#This Row],[Tiles Wide]]*Table1219720[[#This Row],[Tiles High]]</f>
        <v>0</v>
      </c>
      <c r="G119" s="472"/>
      <c r="H119" s="481"/>
      <c r="I119" s="482"/>
      <c r="J119" s="332">
        <f t="shared" si="14"/>
        <v>0</v>
      </c>
      <c r="K119" s="483"/>
      <c r="L119" s="332">
        <f t="shared" si="15"/>
        <v>0</v>
      </c>
      <c r="M119" s="338">
        <f t="shared" si="13"/>
        <v>0</v>
      </c>
    </row>
    <row r="120" spans="1:13" ht="15" outlineLevel="1" x14ac:dyDescent="0.2">
      <c r="A120" s="500"/>
      <c r="B120" s="482"/>
      <c r="C120" s="332">
        <f t="shared" si="11"/>
        <v>0</v>
      </c>
      <c r="D120" s="483"/>
      <c r="E120" s="334">
        <f t="shared" si="12"/>
        <v>0</v>
      </c>
      <c r="F120" s="338">
        <f>Table1219720[[#This Row],[Tiles Wide]]*Table1219720[[#This Row],[Tiles High]]</f>
        <v>0</v>
      </c>
      <c r="G120" s="472"/>
      <c r="H120" s="481"/>
      <c r="I120" s="482"/>
      <c r="J120" s="332">
        <f t="shared" si="14"/>
        <v>0</v>
      </c>
      <c r="K120" s="483"/>
      <c r="L120" s="332">
        <f t="shared" si="15"/>
        <v>0</v>
      </c>
      <c r="M120" s="338">
        <f t="shared" si="13"/>
        <v>0</v>
      </c>
    </row>
    <row r="121" spans="1:13" ht="15" outlineLevel="1" x14ac:dyDescent="0.2">
      <c r="A121" s="500"/>
      <c r="B121" s="482"/>
      <c r="C121" s="332">
        <f t="shared" si="11"/>
        <v>0</v>
      </c>
      <c r="D121" s="483"/>
      <c r="E121" s="334">
        <f t="shared" si="12"/>
        <v>0</v>
      </c>
      <c r="F121" s="338">
        <f>Table1219720[[#This Row],[Tiles Wide]]*Table1219720[[#This Row],[Tiles High]]</f>
        <v>0</v>
      </c>
      <c r="G121" s="472"/>
      <c r="H121" s="481"/>
      <c r="I121" s="482"/>
      <c r="J121" s="332">
        <f t="shared" si="14"/>
        <v>0</v>
      </c>
      <c r="K121" s="483"/>
      <c r="L121" s="332">
        <f t="shared" si="15"/>
        <v>0</v>
      </c>
      <c r="M121" s="338">
        <f t="shared" si="13"/>
        <v>0</v>
      </c>
    </row>
    <row r="122" spans="1:13" ht="15" outlineLevel="1" x14ac:dyDescent="0.2">
      <c r="A122" s="500"/>
      <c r="B122" s="482"/>
      <c r="C122" s="332">
        <f t="shared" si="11"/>
        <v>0</v>
      </c>
      <c r="D122" s="483"/>
      <c r="E122" s="334">
        <f t="shared" si="12"/>
        <v>0</v>
      </c>
      <c r="F122" s="338">
        <f>Table1219720[[#This Row],[Tiles Wide]]*Table1219720[[#This Row],[Tiles High]]</f>
        <v>0</v>
      </c>
      <c r="G122" s="472"/>
      <c r="H122" s="481"/>
      <c r="I122" s="482"/>
      <c r="J122" s="332">
        <f t="shared" si="14"/>
        <v>0</v>
      </c>
      <c r="K122" s="483"/>
      <c r="L122" s="332">
        <f t="shared" si="15"/>
        <v>0</v>
      </c>
      <c r="M122" s="338">
        <f t="shared" si="13"/>
        <v>0</v>
      </c>
    </row>
    <row r="123" spans="1:13" ht="15" outlineLevel="1" x14ac:dyDescent="0.2">
      <c r="A123" s="500"/>
      <c r="B123" s="482"/>
      <c r="C123" s="332">
        <f t="shared" si="11"/>
        <v>0</v>
      </c>
      <c r="D123" s="483"/>
      <c r="E123" s="334">
        <f t="shared" si="12"/>
        <v>0</v>
      </c>
      <c r="F123" s="338">
        <f>Table1219720[[#This Row],[Tiles Wide]]*Table1219720[[#This Row],[Tiles High]]</f>
        <v>0</v>
      </c>
      <c r="G123" s="472"/>
      <c r="H123" s="481"/>
      <c r="I123" s="482"/>
      <c r="J123" s="332">
        <f t="shared" si="14"/>
        <v>0</v>
      </c>
      <c r="K123" s="483"/>
      <c r="L123" s="332">
        <f t="shared" si="15"/>
        <v>0</v>
      </c>
      <c r="M123" s="338">
        <f t="shared" si="13"/>
        <v>0</v>
      </c>
    </row>
    <row r="124" spans="1:13" ht="15" outlineLevel="1" x14ac:dyDescent="0.2">
      <c r="A124" s="500"/>
      <c r="B124" s="482"/>
      <c r="C124" s="332">
        <f t="shared" si="11"/>
        <v>0</v>
      </c>
      <c r="D124" s="483"/>
      <c r="E124" s="334">
        <f t="shared" si="12"/>
        <v>0</v>
      </c>
      <c r="F124" s="338">
        <f>Table1219720[[#This Row],[Tiles Wide]]*Table1219720[[#This Row],[Tiles High]]</f>
        <v>0</v>
      </c>
      <c r="G124" s="472"/>
      <c r="H124" s="481"/>
      <c r="I124" s="482"/>
      <c r="J124" s="332">
        <f t="shared" si="14"/>
        <v>0</v>
      </c>
      <c r="K124" s="483"/>
      <c r="L124" s="332">
        <f t="shared" si="15"/>
        <v>0</v>
      </c>
      <c r="M124" s="338">
        <f t="shared" si="13"/>
        <v>0</v>
      </c>
    </row>
    <row r="125" spans="1:13" ht="15" outlineLevel="1" x14ac:dyDescent="0.2">
      <c r="A125" s="500"/>
      <c r="B125" s="482"/>
      <c r="C125" s="332">
        <f t="shared" si="11"/>
        <v>0</v>
      </c>
      <c r="D125" s="483"/>
      <c r="E125" s="334">
        <f t="shared" si="12"/>
        <v>0</v>
      </c>
      <c r="F125" s="338">
        <f>Table1219720[[#This Row],[Tiles Wide]]*Table1219720[[#This Row],[Tiles High]]</f>
        <v>0</v>
      </c>
      <c r="G125" s="472"/>
      <c r="H125" s="481"/>
      <c r="I125" s="482"/>
      <c r="J125" s="332">
        <f t="shared" si="14"/>
        <v>0</v>
      </c>
      <c r="K125" s="483"/>
      <c r="L125" s="332">
        <f t="shared" si="15"/>
        <v>0</v>
      </c>
      <c r="M125" s="338">
        <f t="shared" si="13"/>
        <v>0</v>
      </c>
    </row>
    <row r="126" spans="1:13" ht="15" outlineLevel="1" x14ac:dyDescent="0.2">
      <c r="A126" s="500"/>
      <c r="B126" s="482"/>
      <c r="C126" s="332">
        <f t="shared" si="11"/>
        <v>0</v>
      </c>
      <c r="D126" s="483"/>
      <c r="E126" s="334">
        <f t="shared" si="12"/>
        <v>0</v>
      </c>
      <c r="F126" s="338">
        <f>Table1219720[[#This Row],[Tiles Wide]]*Table1219720[[#This Row],[Tiles High]]</f>
        <v>0</v>
      </c>
      <c r="G126" s="472"/>
      <c r="H126" s="481"/>
      <c r="I126" s="482"/>
      <c r="J126" s="332">
        <f t="shared" si="14"/>
        <v>0</v>
      </c>
      <c r="K126" s="483"/>
      <c r="L126" s="332">
        <f t="shared" si="15"/>
        <v>0</v>
      </c>
      <c r="M126" s="338">
        <f t="shared" si="13"/>
        <v>0</v>
      </c>
    </row>
    <row r="127" spans="1:13" ht="15" outlineLevel="1" x14ac:dyDescent="0.2">
      <c r="A127" s="500"/>
      <c r="B127" s="482"/>
      <c r="C127" s="332">
        <f t="shared" si="11"/>
        <v>0</v>
      </c>
      <c r="D127" s="483"/>
      <c r="E127" s="334">
        <f t="shared" si="12"/>
        <v>0</v>
      </c>
      <c r="F127" s="338">
        <f>Table1219720[[#This Row],[Tiles Wide]]*Table1219720[[#This Row],[Tiles High]]</f>
        <v>0</v>
      </c>
      <c r="G127" s="472"/>
      <c r="H127" s="481"/>
      <c r="I127" s="482"/>
      <c r="J127" s="332">
        <f t="shared" si="14"/>
        <v>0</v>
      </c>
      <c r="K127" s="483"/>
      <c r="L127" s="332">
        <f t="shared" si="15"/>
        <v>0</v>
      </c>
      <c r="M127" s="338">
        <f t="shared" si="13"/>
        <v>0</v>
      </c>
    </row>
    <row r="128" spans="1:13" ht="15.75" outlineLevel="1" thickBot="1" x14ac:dyDescent="0.25">
      <c r="A128" s="500"/>
      <c r="B128" s="482"/>
      <c r="C128" s="332">
        <f t="shared" si="11"/>
        <v>0</v>
      </c>
      <c r="D128" s="483"/>
      <c r="E128" s="757">
        <f t="shared" si="12"/>
        <v>0</v>
      </c>
      <c r="F128" s="341">
        <f>Table1219720[[#This Row],[Tiles Wide]]*Table1219720[[#This Row],[Tiles High]]</f>
        <v>0</v>
      </c>
      <c r="G128" s="472"/>
      <c r="H128" s="481"/>
      <c r="I128" s="482"/>
      <c r="J128" s="332">
        <f t="shared" si="14"/>
        <v>0</v>
      </c>
      <c r="K128" s="483"/>
      <c r="L128" s="332">
        <f t="shared" si="15"/>
        <v>0</v>
      </c>
      <c r="M128" s="341">
        <f t="shared" si="13"/>
        <v>0</v>
      </c>
    </row>
    <row r="129" spans="1:13" ht="15.75" outlineLevel="1" thickBot="1" x14ac:dyDescent="0.25">
      <c r="A129" s="812" t="s">
        <v>1007</v>
      </c>
      <c r="B129" s="811"/>
      <c r="C129" s="492" t="s">
        <v>107</v>
      </c>
      <c r="D129" s="758">
        <f>ROUND(SUMPRODUCT(B104:B128,D104:D128),1)</f>
        <v>0</v>
      </c>
      <c r="E129" s="492" t="s">
        <v>106</v>
      </c>
      <c r="F129" s="758">
        <f>SUM(F104:F128)*(B102*D102)</f>
        <v>0</v>
      </c>
      <c r="G129" s="472"/>
      <c r="H129" s="348" t="s">
        <v>1007</v>
      </c>
      <c r="I129" s="376"/>
      <c r="J129" s="492" t="s">
        <v>107</v>
      </c>
      <c r="K129" s="359">
        <f>ROUND(SUMPRODUCT(Table1320821[Height],Table1320821[Width])+SUMIF(Name,"Laundry Floor Tile",Area)+SUMIF('CSV FF'!A:A,"Laundry Floor Tile",'CSV FF'!F:F),1)</f>
        <v>0</v>
      </c>
      <c r="L129" s="358" t="s">
        <v>106</v>
      </c>
      <c r="M129" s="359">
        <f>SUM(M104:M128)*(I102*K102)</f>
        <v>0</v>
      </c>
    </row>
    <row r="130" spans="1:13" ht="15" thickBot="1" x14ac:dyDescent="0.25">
      <c r="G130" s="472"/>
    </row>
    <row r="131" spans="1:13" ht="21.75" outlineLevel="1" thickBot="1" x14ac:dyDescent="0.25">
      <c r="A131" s="1369" t="s">
        <v>1616</v>
      </c>
      <c r="B131" s="1370"/>
      <c r="C131" s="1370"/>
      <c r="D131" s="1370"/>
      <c r="E131" s="1370"/>
      <c r="F131" s="1371"/>
      <c r="G131" s="472"/>
      <c r="H131" s="1369" t="s">
        <v>1617</v>
      </c>
      <c r="I131" s="1370"/>
      <c r="J131" s="1370"/>
      <c r="K131" s="1370"/>
      <c r="L131" s="1370"/>
      <c r="M131" s="1371"/>
    </row>
    <row r="132" spans="1:13" ht="15.75" outlineLevel="1" thickBot="1" x14ac:dyDescent="0.25">
      <c r="A132" s="353" t="s">
        <v>551</v>
      </c>
      <c r="B132" s="810" t="s">
        <v>661</v>
      </c>
      <c r="C132" s="354" t="s">
        <v>672</v>
      </c>
      <c r="D132" s="355">
        <v>44</v>
      </c>
      <c r="E132" s="356">
        <f>IF($B$1="Magic Tiles",0.3,IF($B$1="Tiles Plus",0.3,0.2))</f>
        <v>0.2</v>
      </c>
      <c r="F132" s="471">
        <f>IF(C132="Nett",ROUND(D132/1.1,2),IF(C132="Each",(1/(WC_Wall_Height*WC_Wall_Width)*D132/1.1),IF(C132="M2",(IF(AND(OR($B$1="Armanti Bunbury",$B$1="Armanti Busselton"),(D132&lt;=44)),30,IF(AND($B$1="Magic Tiles",D132&lt;=44),25.46,IF(AND(OR($B$1="Trimview"),(D132&lt;=44)),32,IF(C132="M2",D132/1.1-E132*D132/1.1,0))))))))</f>
        <v>32</v>
      </c>
      <c r="G132" s="472"/>
      <c r="H132" s="353" t="s">
        <v>551</v>
      </c>
      <c r="I132" s="810" t="s">
        <v>661</v>
      </c>
      <c r="J132" s="354" t="s">
        <v>672</v>
      </c>
      <c r="K132" s="355">
        <v>44</v>
      </c>
      <c r="L132" s="356">
        <f>IF($B$1="Magic Tiles",0.3,IF($B$1="Tiles Plus",0.3,0.2))</f>
        <v>0.2</v>
      </c>
      <c r="M132" s="471">
        <f>IF(J132="Nett",ROUND(K132/1.1,2),IF(J132="Each",(1/(WC_Floor_Height*WC_Floor_Width)*K132/1.1),IF(J132="M2",(IF(AND(OR($B$1="Armanti Bunbury",$B$1="Armanti Busselton"),(K132&lt;=44)),30,IF(AND($B$1="Magic Tiles",K132&lt;=44),25.46,IF(AND(OR($B$1="Trimview"),(K132&lt;=44)),32,IF(J132="M2",K132/1.1-L132*K132/1.1,0))))))))</f>
        <v>32</v>
      </c>
    </row>
    <row r="133" spans="1:13" ht="15.75" outlineLevel="1" thickBot="1" x14ac:dyDescent="0.25">
      <c r="A133" s="810" t="s">
        <v>1595</v>
      </c>
      <c r="B133" s="1381" t="s">
        <v>136</v>
      </c>
      <c r="C133" s="1382"/>
      <c r="D133" s="1381" t="s">
        <v>99</v>
      </c>
      <c r="E133" s="1382"/>
      <c r="F133" s="1383" t="s">
        <v>11</v>
      </c>
      <c r="G133" s="472"/>
      <c r="H133" s="810" t="s">
        <v>1595</v>
      </c>
      <c r="I133" s="1381" t="s">
        <v>34</v>
      </c>
      <c r="J133" s="1382"/>
      <c r="K133" s="1381" t="s">
        <v>99</v>
      </c>
      <c r="L133" s="1382"/>
      <c r="M133" s="1383" t="s">
        <v>11</v>
      </c>
    </row>
    <row r="134" spans="1:13" ht="15.75" outlineLevel="1" thickBot="1" x14ac:dyDescent="0.25">
      <c r="A134" s="754" t="s">
        <v>551</v>
      </c>
      <c r="B134" s="1386"/>
      <c r="C134" s="1392"/>
      <c r="D134" s="1386"/>
      <c r="E134" s="1392"/>
      <c r="F134" s="1384"/>
      <c r="G134" s="472"/>
      <c r="H134" s="754" t="s">
        <v>551</v>
      </c>
      <c r="I134" s="1388"/>
      <c r="J134" s="1387"/>
      <c r="K134" s="1388"/>
      <c r="L134" s="1387"/>
      <c r="M134" s="1385"/>
    </row>
    <row r="135" spans="1:13" ht="15.75" outlineLevel="1" thickBot="1" x14ac:dyDescent="0.25">
      <c r="A135" s="492" t="s">
        <v>7</v>
      </c>
      <c r="B135" s="474" t="s">
        <v>136</v>
      </c>
      <c r="C135" s="332" t="s">
        <v>1001</v>
      </c>
      <c r="D135" s="475" t="s">
        <v>99</v>
      </c>
      <c r="E135" s="334" t="s">
        <v>1002</v>
      </c>
      <c r="F135" s="335" t="s">
        <v>11</v>
      </c>
      <c r="G135" s="472"/>
      <c r="H135" s="492" t="s">
        <v>7</v>
      </c>
      <c r="I135" s="474" t="s">
        <v>136</v>
      </c>
      <c r="J135" s="332" t="s">
        <v>1001</v>
      </c>
      <c r="K135" s="475" t="s">
        <v>99</v>
      </c>
      <c r="L135" s="332" t="s">
        <v>1002</v>
      </c>
      <c r="M135" s="335" t="s">
        <v>11</v>
      </c>
    </row>
    <row r="136" spans="1:13" ht="15.75" outlineLevel="1" thickBot="1" x14ac:dyDescent="0.25">
      <c r="A136" s="473"/>
      <c r="B136" s="474"/>
      <c r="C136" s="332">
        <f t="shared" ref="C136:C160" si="16">IF($B$134&gt;0,IF(OR(B136&lt;0,D136&lt;0),ROUNDDOWN(B136/$B$134,0),(CEILING(B136/$B$134,1))),0)</f>
        <v>0</v>
      </c>
      <c r="D136" s="475"/>
      <c r="E136" s="334">
        <f t="shared" ref="E136:E160" si="17">IF($D$134&gt;0,IF(OR(B136&lt;0,D136&lt;0),ROUNDDOWN(D136/$D$134,0),CEILING(D136/$D$134,1)),0)</f>
        <v>0</v>
      </c>
      <c r="F136" s="335">
        <f t="shared" ref="F136:F160" si="18">C136*E136</f>
        <v>0</v>
      </c>
      <c r="G136" s="472"/>
      <c r="H136" s="473" t="s">
        <v>408</v>
      </c>
      <c r="I136" s="474"/>
      <c r="J136" s="332">
        <f>IF($I$134&gt;0,IF(OR(I136&lt;0,I136&lt;0),ROUNDDOWN(I136/$I$134,0),CEILING(I136/$I$134,1)),0)</f>
        <v>0</v>
      </c>
      <c r="K136" s="475"/>
      <c r="L136" s="332">
        <f>IF($K$134,IF(OR(I136&lt;0,K136&lt;0),ROUNDDOWN(K136/$K$134,0),CEILING(K136/$K$134,1)),0)</f>
        <v>0</v>
      </c>
      <c r="M136" s="491">
        <f>IFERROR(ROUNDUP(SUMIF(Name,"WC Floor Tile",Area)/(WC_Floor_Height*WC_Floor_Width),0),0)+IFERROR(ROUNDUP(SUMIF('CSV FF'!A:A,"WC Floor Tile",'CSV FF'!F:F)/(WC_Floor_Height*WC_Floor_Width),0),0)</f>
        <v>0</v>
      </c>
    </row>
    <row r="137" spans="1:13" ht="15" outlineLevel="1" x14ac:dyDescent="0.2">
      <c r="A137" s="476"/>
      <c r="B137" s="477"/>
      <c r="C137" s="332">
        <f t="shared" si="16"/>
        <v>0</v>
      </c>
      <c r="D137" s="478"/>
      <c r="E137" s="334">
        <f t="shared" si="17"/>
        <v>0</v>
      </c>
      <c r="F137" s="338">
        <f t="shared" si="18"/>
        <v>0</v>
      </c>
      <c r="G137" s="472"/>
      <c r="H137" s="479"/>
      <c r="I137" s="477"/>
      <c r="J137" s="332">
        <f>IF($I$134&gt;0,IF(OR(I137&lt;0,I137&lt;0),ROUNDDOWN(I137/$I$134,0),CEILING(I137/$I$134,1)),0)</f>
        <v>0</v>
      </c>
      <c r="K137" s="478"/>
      <c r="L137" s="332">
        <f>IF($K$134,IF(OR(I137&lt;0,K137&lt;0),ROUNDDOWN(K137/$K$134,0),CEILING(K137/$K$134,1)),0)</f>
        <v>0</v>
      </c>
      <c r="M137" s="338">
        <f t="shared" ref="M137:M160" si="19">J137*L137</f>
        <v>0</v>
      </c>
    </row>
    <row r="138" spans="1:13" ht="15" outlineLevel="1" x14ac:dyDescent="0.2">
      <c r="A138" s="479"/>
      <c r="B138" s="477"/>
      <c r="C138" s="332">
        <f t="shared" si="16"/>
        <v>0</v>
      </c>
      <c r="D138" s="478"/>
      <c r="E138" s="334">
        <f t="shared" si="17"/>
        <v>0</v>
      </c>
      <c r="F138" s="338">
        <f t="shared" si="18"/>
        <v>0</v>
      </c>
      <c r="G138" s="472"/>
      <c r="H138" s="479"/>
      <c r="I138" s="477"/>
      <c r="J138" s="332">
        <f t="shared" ref="J138:J160" si="20">IF($I$134&gt;0,IF(OR(I138&lt;0,I138&lt;0),ROUNDDOWN(I138/$I$134,0),CEILING(I138/$I$134,1)),0)</f>
        <v>0</v>
      </c>
      <c r="K138" s="478"/>
      <c r="L138" s="332">
        <f t="shared" ref="L138:L160" si="21">IF($K$134,IF(OR(I138&lt;0,K138&lt;0),ROUNDDOWN(K138/$K$134,0),CEILING(K138/$K$134,1)),0)</f>
        <v>0</v>
      </c>
      <c r="M138" s="338">
        <f t="shared" si="19"/>
        <v>0</v>
      </c>
    </row>
    <row r="139" spans="1:13" ht="15" outlineLevel="1" x14ac:dyDescent="0.2">
      <c r="A139" s="479"/>
      <c r="B139" s="477"/>
      <c r="C139" s="332">
        <f t="shared" si="16"/>
        <v>0</v>
      </c>
      <c r="D139" s="478"/>
      <c r="E139" s="334">
        <f t="shared" si="17"/>
        <v>0</v>
      </c>
      <c r="F139" s="338">
        <f t="shared" si="18"/>
        <v>0</v>
      </c>
      <c r="G139" s="472"/>
      <c r="H139" s="479"/>
      <c r="I139" s="477"/>
      <c r="J139" s="332">
        <f t="shared" si="20"/>
        <v>0</v>
      </c>
      <c r="K139" s="478"/>
      <c r="L139" s="332">
        <f t="shared" si="21"/>
        <v>0</v>
      </c>
      <c r="M139" s="338">
        <f t="shared" si="19"/>
        <v>0</v>
      </c>
    </row>
    <row r="140" spans="1:13" ht="15" outlineLevel="1" x14ac:dyDescent="0.2">
      <c r="A140" s="479"/>
      <c r="B140" s="477"/>
      <c r="C140" s="332">
        <f t="shared" si="16"/>
        <v>0</v>
      </c>
      <c r="D140" s="478"/>
      <c r="E140" s="334">
        <f t="shared" si="17"/>
        <v>0</v>
      </c>
      <c r="F140" s="338">
        <f t="shared" si="18"/>
        <v>0</v>
      </c>
      <c r="G140" s="472"/>
      <c r="H140" s="479"/>
      <c r="I140" s="477"/>
      <c r="J140" s="332">
        <f t="shared" si="20"/>
        <v>0</v>
      </c>
      <c r="K140" s="478"/>
      <c r="L140" s="332">
        <f t="shared" si="21"/>
        <v>0</v>
      </c>
      <c r="M140" s="338">
        <f t="shared" si="19"/>
        <v>0</v>
      </c>
    </row>
    <row r="141" spans="1:13" ht="15" outlineLevel="1" x14ac:dyDescent="0.2">
      <c r="A141" s="479"/>
      <c r="B141" s="477"/>
      <c r="C141" s="332">
        <f t="shared" si="16"/>
        <v>0</v>
      </c>
      <c r="D141" s="478"/>
      <c r="E141" s="334">
        <f t="shared" si="17"/>
        <v>0</v>
      </c>
      <c r="F141" s="338">
        <f t="shared" si="18"/>
        <v>0</v>
      </c>
      <c r="H141" s="479"/>
      <c r="I141" s="477"/>
      <c r="J141" s="332">
        <f t="shared" si="20"/>
        <v>0</v>
      </c>
      <c r="K141" s="478"/>
      <c r="L141" s="332">
        <f t="shared" si="21"/>
        <v>0</v>
      </c>
      <c r="M141" s="338">
        <f t="shared" si="19"/>
        <v>0</v>
      </c>
    </row>
    <row r="142" spans="1:13" ht="15" outlineLevel="1" x14ac:dyDescent="0.2">
      <c r="A142" s="479"/>
      <c r="B142" s="477"/>
      <c r="C142" s="332">
        <f t="shared" si="16"/>
        <v>0</v>
      </c>
      <c r="D142" s="478"/>
      <c r="E142" s="334">
        <f t="shared" si="17"/>
        <v>0</v>
      </c>
      <c r="F142" s="338">
        <f t="shared" si="18"/>
        <v>0</v>
      </c>
      <c r="H142" s="479"/>
      <c r="I142" s="477"/>
      <c r="J142" s="332">
        <f t="shared" si="20"/>
        <v>0</v>
      </c>
      <c r="K142" s="478"/>
      <c r="L142" s="332">
        <f t="shared" si="21"/>
        <v>0</v>
      </c>
      <c r="M142" s="338">
        <f t="shared" si="19"/>
        <v>0</v>
      </c>
    </row>
    <row r="143" spans="1:13" ht="15" outlineLevel="1" x14ac:dyDescent="0.2">
      <c r="A143" s="479"/>
      <c r="B143" s="477"/>
      <c r="C143" s="332">
        <f t="shared" si="16"/>
        <v>0</v>
      </c>
      <c r="D143" s="478"/>
      <c r="E143" s="334">
        <f t="shared" si="17"/>
        <v>0</v>
      </c>
      <c r="F143" s="338">
        <f t="shared" si="18"/>
        <v>0</v>
      </c>
      <c r="H143" s="479"/>
      <c r="I143" s="477"/>
      <c r="J143" s="332">
        <f t="shared" si="20"/>
        <v>0</v>
      </c>
      <c r="K143" s="478"/>
      <c r="L143" s="332">
        <f t="shared" si="21"/>
        <v>0</v>
      </c>
      <c r="M143" s="338">
        <f t="shared" si="19"/>
        <v>0</v>
      </c>
    </row>
    <row r="144" spans="1:13" ht="15" outlineLevel="1" x14ac:dyDescent="0.2">
      <c r="A144" s="479"/>
      <c r="B144" s="477"/>
      <c r="C144" s="332">
        <f t="shared" si="16"/>
        <v>0</v>
      </c>
      <c r="D144" s="478"/>
      <c r="E144" s="334">
        <f t="shared" si="17"/>
        <v>0</v>
      </c>
      <c r="F144" s="338">
        <f t="shared" si="18"/>
        <v>0</v>
      </c>
      <c r="H144" s="479"/>
      <c r="I144" s="477"/>
      <c r="J144" s="332">
        <f t="shared" si="20"/>
        <v>0</v>
      </c>
      <c r="K144" s="478"/>
      <c r="L144" s="332">
        <f t="shared" si="21"/>
        <v>0</v>
      </c>
      <c r="M144" s="338">
        <f t="shared" si="19"/>
        <v>0</v>
      </c>
    </row>
    <row r="145" spans="1:13" ht="15" outlineLevel="1" x14ac:dyDescent="0.2">
      <c r="A145" s="479"/>
      <c r="B145" s="477"/>
      <c r="C145" s="332">
        <f t="shared" si="16"/>
        <v>0</v>
      </c>
      <c r="D145" s="478"/>
      <c r="E145" s="334">
        <f t="shared" si="17"/>
        <v>0</v>
      </c>
      <c r="F145" s="338">
        <f t="shared" si="18"/>
        <v>0</v>
      </c>
      <c r="H145" s="479"/>
      <c r="I145" s="477"/>
      <c r="J145" s="332">
        <f t="shared" si="20"/>
        <v>0</v>
      </c>
      <c r="K145" s="478"/>
      <c r="L145" s="332">
        <f t="shared" si="21"/>
        <v>0</v>
      </c>
      <c r="M145" s="338">
        <f t="shared" si="19"/>
        <v>0</v>
      </c>
    </row>
    <row r="146" spans="1:13" ht="15" outlineLevel="1" x14ac:dyDescent="0.2">
      <c r="A146" s="479"/>
      <c r="B146" s="477"/>
      <c r="C146" s="332">
        <f t="shared" si="16"/>
        <v>0</v>
      </c>
      <c r="D146" s="478"/>
      <c r="E146" s="334">
        <f t="shared" si="17"/>
        <v>0</v>
      </c>
      <c r="F146" s="338">
        <f t="shared" si="18"/>
        <v>0</v>
      </c>
      <c r="H146" s="479"/>
      <c r="I146" s="477"/>
      <c r="J146" s="332">
        <f t="shared" si="20"/>
        <v>0</v>
      </c>
      <c r="K146" s="478"/>
      <c r="L146" s="332">
        <f t="shared" si="21"/>
        <v>0</v>
      </c>
      <c r="M146" s="338">
        <f t="shared" si="19"/>
        <v>0</v>
      </c>
    </row>
    <row r="147" spans="1:13" ht="15" outlineLevel="1" x14ac:dyDescent="0.2">
      <c r="A147" s="479"/>
      <c r="B147" s="477"/>
      <c r="C147" s="332">
        <f t="shared" si="16"/>
        <v>0</v>
      </c>
      <c r="D147" s="478"/>
      <c r="E147" s="334">
        <f t="shared" si="17"/>
        <v>0</v>
      </c>
      <c r="F147" s="338">
        <f t="shared" si="18"/>
        <v>0</v>
      </c>
      <c r="H147" s="479"/>
      <c r="I147" s="477"/>
      <c r="J147" s="332">
        <f t="shared" si="20"/>
        <v>0</v>
      </c>
      <c r="K147" s="478"/>
      <c r="L147" s="332">
        <f t="shared" si="21"/>
        <v>0</v>
      </c>
      <c r="M147" s="338">
        <f t="shared" si="19"/>
        <v>0</v>
      </c>
    </row>
    <row r="148" spans="1:13" ht="15" outlineLevel="1" x14ac:dyDescent="0.2">
      <c r="A148" s="479"/>
      <c r="B148" s="477"/>
      <c r="C148" s="332">
        <f t="shared" si="16"/>
        <v>0</v>
      </c>
      <c r="D148" s="478"/>
      <c r="E148" s="334">
        <f t="shared" si="17"/>
        <v>0</v>
      </c>
      <c r="F148" s="338">
        <f t="shared" si="18"/>
        <v>0</v>
      </c>
      <c r="H148" s="479"/>
      <c r="I148" s="477"/>
      <c r="J148" s="332">
        <f t="shared" si="20"/>
        <v>0</v>
      </c>
      <c r="K148" s="478"/>
      <c r="L148" s="332">
        <f t="shared" si="21"/>
        <v>0</v>
      </c>
      <c r="M148" s="338">
        <f t="shared" si="19"/>
        <v>0</v>
      </c>
    </row>
    <row r="149" spans="1:13" ht="15" outlineLevel="1" x14ac:dyDescent="0.2">
      <c r="A149" s="479"/>
      <c r="B149" s="477"/>
      <c r="C149" s="332">
        <f t="shared" si="16"/>
        <v>0</v>
      </c>
      <c r="D149" s="478"/>
      <c r="E149" s="334">
        <f t="shared" si="17"/>
        <v>0</v>
      </c>
      <c r="F149" s="338">
        <f t="shared" si="18"/>
        <v>0</v>
      </c>
      <c r="H149" s="479"/>
      <c r="I149" s="477"/>
      <c r="J149" s="332">
        <f t="shared" si="20"/>
        <v>0</v>
      </c>
      <c r="K149" s="478"/>
      <c r="L149" s="332">
        <f t="shared" si="21"/>
        <v>0</v>
      </c>
      <c r="M149" s="338">
        <f t="shared" si="19"/>
        <v>0</v>
      </c>
    </row>
    <row r="150" spans="1:13" ht="15" outlineLevel="1" x14ac:dyDescent="0.2">
      <c r="A150" s="479"/>
      <c r="B150" s="477"/>
      <c r="C150" s="332">
        <f t="shared" si="16"/>
        <v>0</v>
      </c>
      <c r="D150" s="478"/>
      <c r="E150" s="334">
        <f t="shared" si="17"/>
        <v>0</v>
      </c>
      <c r="F150" s="338">
        <f t="shared" si="18"/>
        <v>0</v>
      </c>
      <c r="H150" s="479"/>
      <c r="I150" s="477"/>
      <c r="J150" s="332">
        <f t="shared" si="20"/>
        <v>0</v>
      </c>
      <c r="K150" s="478"/>
      <c r="L150" s="332">
        <f t="shared" si="21"/>
        <v>0</v>
      </c>
      <c r="M150" s="338">
        <f t="shared" si="19"/>
        <v>0</v>
      </c>
    </row>
    <row r="151" spans="1:13" ht="15" outlineLevel="1" x14ac:dyDescent="0.2">
      <c r="A151" s="479"/>
      <c r="B151" s="482"/>
      <c r="C151" s="332">
        <f t="shared" si="16"/>
        <v>0</v>
      </c>
      <c r="D151" s="483"/>
      <c r="E151" s="334">
        <f t="shared" si="17"/>
        <v>0</v>
      </c>
      <c r="F151" s="338">
        <f t="shared" si="18"/>
        <v>0</v>
      </c>
      <c r="H151" s="481"/>
      <c r="I151" s="482"/>
      <c r="J151" s="332">
        <f t="shared" si="20"/>
        <v>0</v>
      </c>
      <c r="K151" s="483"/>
      <c r="L151" s="332">
        <f t="shared" si="21"/>
        <v>0</v>
      </c>
      <c r="M151" s="338">
        <f t="shared" si="19"/>
        <v>0</v>
      </c>
    </row>
    <row r="152" spans="1:13" ht="15" outlineLevel="1" x14ac:dyDescent="0.2">
      <c r="A152" s="481"/>
      <c r="B152" s="482"/>
      <c r="C152" s="332">
        <f t="shared" si="16"/>
        <v>0</v>
      </c>
      <c r="D152" s="483"/>
      <c r="E152" s="334">
        <f t="shared" si="17"/>
        <v>0</v>
      </c>
      <c r="F152" s="338">
        <f t="shared" si="18"/>
        <v>0</v>
      </c>
      <c r="H152" s="481"/>
      <c r="I152" s="482"/>
      <c r="J152" s="332">
        <f t="shared" si="20"/>
        <v>0</v>
      </c>
      <c r="K152" s="483"/>
      <c r="L152" s="332">
        <f t="shared" si="21"/>
        <v>0</v>
      </c>
      <c r="M152" s="338">
        <f t="shared" si="19"/>
        <v>0</v>
      </c>
    </row>
    <row r="153" spans="1:13" ht="15" outlineLevel="1" x14ac:dyDescent="0.2">
      <c r="A153" s="481"/>
      <c r="B153" s="482"/>
      <c r="C153" s="332">
        <f t="shared" si="16"/>
        <v>0</v>
      </c>
      <c r="D153" s="483"/>
      <c r="E153" s="334">
        <f t="shared" si="17"/>
        <v>0</v>
      </c>
      <c r="F153" s="338">
        <f t="shared" si="18"/>
        <v>0</v>
      </c>
      <c r="H153" s="481"/>
      <c r="I153" s="482"/>
      <c r="J153" s="332">
        <f t="shared" si="20"/>
        <v>0</v>
      </c>
      <c r="K153" s="483"/>
      <c r="L153" s="332">
        <f t="shared" si="21"/>
        <v>0</v>
      </c>
      <c r="M153" s="338">
        <f t="shared" si="19"/>
        <v>0</v>
      </c>
    </row>
    <row r="154" spans="1:13" ht="15" outlineLevel="1" x14ac:dyDescent="0.2">
      <c r="A154" s="481"/>
      <c r="B154" s="482"/>
      <c r="C154" s="332">
        <f t="shared" si="16"/>
        <v>0</v>
      </c>
      <c r="D154" s="483"/>
      <c r="E154" s="334">
        <f t="shared" si="17"/>
        <v>0</v>
      </c>
      <c r="F154" s="338">
        <f t="shared" si="18"/>
        <v>0</v>
      </c>
      <c r="H154" s="481"/>
      <c r="I154" s="482"/>
      <c r="J154" s="332">
        <f t="shared" si="20"/>
        <v>0</v>
      </c>
      <c r="K154" s="483"/>
      <c r="L154" s="332">
        <f t="shared" si="21"/>
        <v>0</v>
      </c>
      <c r="M154" s="338">
        <f t="shared" si="19"/>
        <v>0</v>
      </c>
    </row>
    <row r="155" spans="1:13" ht="15" outlineLevel="1" x14ac:dyDescent="0.2">
      <c r="A155" s="481"/>
      <c r="B155" s="482"/>
      <c r="C155" s="332">
        <f t="shared" si="16"/>
        <v>0</v>
      </c>
      <c r="D155" s="483"/>
      <c r="E155" s="334">
        <f t="shared" si="17"/>
        <v>0</v>
      </c>
      <c r="F155" s="338">
        <f t="shared" si="18"/>
        <v>0</v>
      </c>
      <c r="H155" s="481"/>
      <c r="I155" s="482"/>
      <c r="J155" s="332">
        <f t="shared" si="20"/>
        <v>0</v>
      </c>
      <c r="K155" s="483"/>
      <c r="L155" s="332">
        <f t="shared" si="21"/>
        <v>0</v>
      </c>
      <c r="M155" s="338">
        <f t="shared" si="19"/>
        <v>0</v>
      </c>
    </row>
    <row r="156" spans="1:13" ht="15" outlineLevel="1" x14ac:dyDescent="0.2">
      <c r="A156" s="481"/>
      <c r="B156" s="482"/>
      <c r="C156" s="332">
        <f t="shared" si="16"/>
        <v>0</v>
      </c>
      <c r="D156" s="483"/>
      <c r="E156" s="334">
        <f t="shared" si="17"/>
        <v>0</v>
      </c>
      <c r="F156" s="338">
        <f t="shared" si="18"/>
        <v>0</v>
      </c>
      <c r="H156" s="481"/>
      <c r="I156" s="482"/>
      <c r="J156" s="332">
        <f t="shared" si="20"/>
        <v>0</v>
      </c>
      <c r="K156" s="483"/>
      <c r="L156" s="332">
        <f t="shared" si="21"/>
        <v>0</v>
      </c>
      <c r="M156" s="338">
        <f t="shared" si="19"/>
        <v>0</v>
      </c>
    </row>
    <row r="157" spans="1:13" ht="15" outlineLevel="1" x14ac:dyDescent="0.2">
      <c r="A157" s="481"/>
      <c r="B157" s="482"/>
      <c r="C157" s="332">
        <f t="shared" si="16"/>
        <v>0</v>
      </c>
      <c r="D157" s="483"/>
      <c r="E157" s="334">
        <f t="shared" si="17"/>
        <v>0</v>
      </c>
      <c r="F157" s="338">
        <f t="shared" si="18"/>
        <v>0</v>
      </c>
      <c r="H157" s="481"/>
      <c r="I157" s="482"/>
      <c r="J157" s="332">
        <f t="shared" si="20"/>
        <v>0</v>
      </c>
      <c r="K157" s="483"/>
      <c r="L157" s="332">
        <f t="shared" si="21"/>
        <v>0</v>
      </c>
      <c r="M157" s="338">
        <f t="shared" si="19"/>
        <v>0</v>
      </c>
    </row>
    <row r="158" spans="1:13" ht="15" outlineLevel="1" x14ac:dyDescent="0.2">
      <c r="A158" s="481"/>
      <c r="B158" s="482"/>
      <c r="C158" s="332">
        <f t="shared" si="16"/>
        <v>0</v>
      </c>
      <c r="D158" s="483"/>
      <c r="E158" s="334">
        <f t="shared" si="17"/>
        <v>0</v>
      </c>
      <c r="F158" s="338">
        <f t="shared" si="18"/>
        <v>0</v>
      </c>
      <c r="H158" s="481"/>
      <c r="I158" s="482"/>
      <c r="J158" s="332">
        <f t="shared" si="20"/>
        <v>0</v>
      </c>
      <c r="K158" s="483"/>
      <c r="L158" s="332">
        <f t="shared" si="21"/>
        <v>0</v>
      </c>
      <c r="M158" s="338">
        <f t="shared" si="19"/>
        <v>0</v>
      </c>
    </row>
    <row r="159" spans="1:13" ht="15" outlineLevel="1" x14ac:dyDescent="0.2">
      <c r="A159" s="481"/>
      <c r="B159" s="482"/>
      <c r="C159" s="332">
        <f t="shared" si="16"/>
        <v>0</v>
      </c>
      <c r="D159" s="483"/>
      <c r="E159" s="334">
        <f t="shared" si="17"/>
        <v>0</v>
      </c>
      <c r="F159" s="338">
        <f t="shared" si="18"/>
        <v>0</v>
      </c>
      <c r="H159" s="481"/>
      <c r="I159" s="482"/>
      <c r="J159" s="332">
        <f t="shared" si="20"/>
        <v>0</v>
      </c>
      <c r="K159" s="483"/>
      <c r="L159" s="332">
        <f t="shared" si="21"/>
        <v>0</v>
      </c>
      <c r="M159" s="338">
        <f t="shared" si="19"/>
        <v>0</v>
      </c>
    </row>
    <row r="160" spans="1:13" ht="15.75" outlineLevel="1" thickBot="1" x14ac:dyDescent="0.25">
      <c r="A160" s="481"/>
      <c r="B160" s="482"/>
      <c r="C160" s="332">
        <f t="shared" si="16"/>
        <v>0</v>
      </c>
      <c r="D160" s="483"/>
      <c r="E160" s="334">
        <f t="shared" si="17"/>
        <v>0</v>
      </c>
      <c r="F160" s="341">
        <f t="shared" si="18"/>
        <v>0</v>
      </c>
      <c r="H160" s="481"/>
      <c r="I160" s="482"/>
      <c r="J160" s="332">
        <f t="shared" si="20"/>
        <v>0</v>
      </c>
      <c r="K160" s="483"/>
      <c r="L160" s="332">
        <f t="shared" si="21"/>
        <v>0</v>
      </c>
      <c r="M160" s="341">
        <f t="shared" si="19"/>
        <v>0</v>
      </c>
    </row>
    <row r="161" spans="1:18" ht="15.75" outlineLevel="1" thickBot="1" x14ac:dyDescent="0.25">
      <c r="A161" s="348" t="s">
        <v>1007</v>
      </c>
      <c r="B161" s="376"/>
      <c r="C161" s="492" t="s">
        <v>107</v>
      </c>
      <c r="D161" s="359">
        <f>ROUND(SUMPRODUCT(Table1421922[Height],Table1421922[Width]),1)</f>
        <v>0</v>
      </c>
      <c r="E161" s="358" t="s">
        <v>106</v>
      </c>
      <c r="F161" s="359">
        <f>SUM(F136:F160)*(B134*D134)</f>
        <v>0</v>
      </c>
      <c r="H161" s="348" t="s">
        <v>1007</v>
      </c>
      <c r="I161" s="376"/>
      <c r="J161" s="492" t="s">
        <v>107</v>
      </c>
      <c r="K161" s="359">
        <f>ROUND(SUMPRODUCT(Table15221023[Height],Table15221023[Width])+SUMIF(Name,"WC Floor Tile",Area)+SUMIF('CSV FF'!A:A,"WC Floor Tile",'CSV FF'!F:F),1)</f>
        <v>0</v>
      </c>
      <c r="L161" s="358" t="s">
        <v>106</v>
      </c>
      <c r="M161" s="359">
        <f>SUM(M136:M160)*(I134*K134)</f>
        <v>0</v>
      </c>
    </row>
    <row r="162" spans="1:18" ht="13.5" thickBot="1" x14ac:dyDescent="0.25"/>
    <row r="163" spans="1:18" s="326" customFormat="1" ht="21.75" outlineLevel="1" thickBot="1" x14ac:dyDescent="0.25">
      <c r="A163" s="1369" t="s">
        <v>1010</v>
      </c>
      <c r="B163" s="1370"/>
      <c r="C163" s="1370"/>
      <c r="D163" s="1370"/>
      <c r="E163" s="1370"/>
      <c r="F163" s="1371"/>
      <c r="H163" s="1369" t="s">
        <v>1011</v>
      </c>
      <c r="I163" s="1370"/>
      <c r="J163" s="1370"/>
      <c r="K163" s="1370"/>
      <c r="L163" s="1370"/>
      <c r="M163" s="1371"/>
      <c r="R163" s="412"/>
    </row>
    <row r="164" spans="1:18" s="326" customFormat="1" ht="15.75" outlineLevel="1" thickBot="1" x14ac:dyDescent="0.25">
      <c r="A164" s="353" t="s">
        <v>551</v>
      </c>
      <c r="B164" s="810" t="s">
        <v>661</v>
      </c>
      <c r="C164" s="354" t="s">
        <v>672</v>
      </c>
      <c r="D164" s="355">
        <v>44</v>
      </c>
      <c r="E164" s="356">
        <f>IF($B$1="Magic Tiles",0.3,IF($B$1="Tiles Plus",0.3,0.2))</f>
        <v>0.2</v>
      </c>
      <c r="F164" s="471">
        <f>IF(C164="Nett",ROUND(D164/1.1,2),IF(C164="Each",(1/(Kitch_Wall_Height*Kitch_Wall_Width)*D164/1.1),IF(C164="M2",(IF(AND(OR($B$1="Armanti Bunbury",$B$1="Armanti Busselton"),(D164&lt;=44)),30,IF(AND($B$1="Magic Tiles",D164&lt;=44),25.46,IF(AND(OR($B$1="Trimview"),(D164&lt;=44)),32,IF(C164="M2",D164/1.1-E164*D164/1.1,0))))))))</f>
        <v>32</v>
      </c>
      <c r="H164" s="353" t="s">
        <v>551</v>
      </c>
      <c r="I164" s="810" t="s">
        <v>661</v>
      </c>
      <c r="J164" s="354" t="s">
        <v>672</v>
      </c>
      <c r="K164" s="355">
        <v>44</v>
      </c>
      <c r="L164" s="356">
        <f>IF($B$1="Magic Tiles",0.3,IF($B$1="Tiles Plus",0.3,0.2))</f>
        <v>0.2</v>
      </c>
      <c r="M164" s="471">
        <f>IF(J164="Nett",ROUND(K164/1.1,2),IF(J164="Each",(1/(I166*K166)*K164/1.1),IF(J164="M2",(IF(AND(OR($B$1="Armanti Bunbury",$B$1="Armanti Busselton"),(K164&lt;=44)),30,IF(AND($B$1="Magic Tiles",K164&lt;=44),25.46,IF(AND(OR($B$1="Trimview"),(K164&lt;=44)),32,IF(J164="M2",K164/1.1-L164*K164/1.1,0))))))))</f>
        <v>32</v>
      </c>
      <c r="R164" s="562"/>
    </row>
    <row r="165" spans="1:18" s="326" customFormat="1" ht="15.75" outlineLevel="1" thickBot="1" x14ac:dyDescent="0.25">
      <c r="A165" s="810" t="s">
        <v>1595</v>
      </c>
      <c r="B165" s="1381" t="s">
        <v>136</v>
      </c>
      <c r="C165" s="1382"/>
      <c r="D165" s="1381" t="s">
        <v>99</v>
      </c>
      <c r="E165" s="1382"/>
      <c r="F165" s="1383" t="s">
        <v>11</v>
      </c>
      <c r="H165" s="810" t="s">
        <v>1595</v>
      </c>
      <c r="I165" s="1381" t="s">
        <v>34</v>
      </c>
      <c r="J165" s="1382"/>
      <c r="K165" s="1381" t="s">
        <v>99</v>
      </c>
      <c r="L165" s="1382"/>
      <c r="M165" s="1383" t="s">
        <v>11</v>
      </c>
      <c r="R165" s="562"/>
    </row>
    <row r="166" spans="1:18" s="326" customFormat="1" ht="15.75" outlineLevel="1" thickBot="1" x14ac:dyDescent="0.25">
      <c r="A166" s="754" t="s">
        <v>551</v>
      </c>
      <c r="B166" s="1386"/>
      <c r="C166" s="1392"/>
      <c r="D166" s="1386"/>
      <c r="E166" s="1392"/>
      <c r="F166" s="1384"/>
      <c r="H166" s="754" t="s">
        <v>551</v>
      </c>
      <c r="I166" s="1388"/>
      <c r="J166" s="1387"/>
      <c r="K166" s="1388"/>
      <c r="L166" s="1387"/>
      <c r="M166" s="1385"/>
      <c r="R166" s="562"/>
    </row>
    <row r="167" spans="1:18" s="326" customFormat="1" ht="15.75" outlineLevel="1" thickBot="1" x14ac:dyDescent="0.25">
      <c r="A167" s="492" t="s">
        <v>7</v>
      </c>
      <c r="B167" s="755" t="s">
        <v>136</v>
      </c>
      <c r="C167" s="492" t="s">
        <v>1001</v>
      </c>
      <c r="D167" s="756" t="s">
        <v>99</v>
      </c>
      <c r="E167" s="492" t="s">
        <v>1002</v>
      </c>
      <c r="F167" s="492" t="s">
        <v>11</v>
      </c>
      <c r="H167" s="492" t="s">
        <v>7</v>
      </c>
      <c r="I167" s="331" t="s">
        <v>136</v>
      </c>
      <c r="J167" s="332" t="s">
        <v>1001</v>
      </c>
      <c r="K167" s="333" t="s">
        <v>99</v>
      </c>
      <c r="L167" s="332" t="s">
        <v>1002</v>
      </c>
      <c r="M167" s="335" t="s">
        <v>11</v>
      </c>
      <c r="R167" s="562"/>
    </row>
    <row r="168" spans="1:18" s="326" customFormat="1" ht="15" outlineLevel="1" x14ac:dyDescent="0.2">
      <c r="A168" s="344"/>
      <c r="B168" s="791"/>
      <c r="C168" s="493">
        <f t="shared" ref="C168:C192" si="22">IF($B$166&gt;0,IF(OR(B168&lt;0,D168&lt;0),ROUNDDOWN(B168/$B$166,0),(CEILING(B168/$B$166,1))),0)</f>
        <v>0</v>
      </c>
      <c r="D168" s="792"/>
      <c r="E168" s="494">
        <f t="shared" ref="E168:E192" si="23">IF($D$166&gt;0,IF(OR(B168&lt;0,D168&lt;0),ROUNDDOWN(D168/$D$166,0),CEILING(D168/$D$166,1)),0)</f>
        <v>0</v>
      </c>
      <c r="F168" s="759">
        <f t="shared" ref="F168:F192" si="24">C168*E168</f>
        <v>0</v>
      </c>
      <c r="H168" s="343"/>
      <c r="I168" s="331"/>
      <c r="J168" s="332">
        <f>IF($I$166&gt;0,IF(OR(I168&lt;0,I168&lt;0),ROUNDDOWN(I168/$I$166,0),CEILING(I168/$I$166,1)),0)</f>
        <v>0</v>
      </c>
      <c r="K168" s="333"/>
      <c r="L168" s="332">
        <f>IF($K$166&gt;0,IF(OR(I168&lt;0,K168&lt;0),ROUNDDOWN(K168/$K$166,0),CEILING(K168/K$166,1)),0)</f>
        <v>0</v>
      </c>
      <c r="M168" s="335">
        <f t="shared" ref="M168:M192" si="25">J168*L168</f>
        <v>0</v>
      </c>
      <c r="R168" s="562"/>
    </row>
    <row r="169" spans="1:18" s="326" customFormat="1" ht="15" outlineLevel="1" x14ac:dyDescent="0.2">
      <c r="A169" s="344"/>
      <c r="B169" s="477"/>
      <c r="C169" s="332">
        <f t="shared" si="22"/>
        <v>0</v>
      </c>
      <c r="D169" s="478"/>
      <c r="E169" s="334">
        <f t="shared" si="23"/>
        <v>0</v>
      </c>
      <c r="F169" s="338">
        <f t="shared" si="24"/>
        <v>0</v>
      </c>
      <c r="H169" s="345"/>
      <c r="I169" s="336"/>
      <c r="J169" s="332">
        <f>IF($I$166&gt;0,IF(OR(I169&lt;0,I169&lt;0),ROUNDDOWN(I169/$I$166,0),CEILING(I169/$I$166,1)),0)</f>
        <v>0</v>
      </c>
      <c r="K169" s="337"/>
      <c r="L169" s="332">
        <f>IF($K$166&gt;0,IF(OR(I169&lt;0,K169&lt;0),ROUNDDOWN(K169/$K$166,0),CEILING(K169/K$166,1)),0)</f>
        <v>0</v>
      </c>
      <c r="M169" s="338">
        <f t="shared" si="25"/>
        <v>0</v>
      </c>
      <c r="R169" s="562"/>
    </row>
    <row r="170" spans="1:18" s="326" customFormat="1" ht="15" outlineLevel="1" x14ac:dyDescent="0.2">
      <c r="A170" s="345"/>
      <c r="B170" s="477"/>
      <c r="C170" s="332">
        <f t="shared" si="22"/>
        <v>0</v>
      </c>
      <c r="D170" s="478"/>
      <c r="E170" s="334">
        <f t="shared" si="23"/>
        <v>0</v>
      </c>
      <c r="F170" s="338">
        <f t="shared" si="24"/>
        <v>0</v>
      </c>
      <c r="H170" s="345"/>
      <c r="I170" s="336"/>
      <c r="J170" s="332">
        <f t="shared" ref="J170:J191" si="26">IF($I$166&gt;0,IF(OR(I170&lt;0,I170&lt;0),ROUNDDOWN(I170/$I$166,0),CEILING(I170/$I$166,1)),0)</f>
        <v>0</v>
      </c>
      <c r="K170" s="337"/>
      <c r="L170" s="332">
        <f t="shared" ref="L170:L192" si="27">IF($K$166&gt;0,IF(OR(I170&lt;0,K170&lt;0),ROUNDDOWN(K170/$K$166,0),CEILING(K170/K$166,1)),0)</f>
        <v>0</v>
      </c>
      <c r="M170" s="338">
        <f t="shared" si="25"/>
        <v>0</v>
      </c>
      <c r="R170" s="562"/>
    </row>
    <row r="171" spans="1:18" s="326" customFormat="1" ht="15" outlineLevel="1" x14ac:dyDescent="0.2">
      <c r="A171" s="345"/>
      <c r="B171" s="477"/>
      <c r="C171" s="332">
        <f t="shared" si="22"/>
        <v>0</v>
      </c>
      <c r="D171" s="478"/>
      <c r="E171" s="334">
        <f t="shared" si="23"/>
        <v>0</v>
      </c>
      <c r="F171" s="338">
        <f t="shared" si="24"/>
        <v>0</v>
      </c>
      <c r="H171" s="345"/>
      <c r="I171" s="336"/>
      <c r="J171" s="332">
        <f t="shared" si="26"/>
        <v>0</v>
      </c>
      <c r="K171" s="337"/>
      <c r="L171" s="332">
        <f t="shared" si="27"/>
        <v>0</v>
      </c>
      <c r="M171" s="338">
        <f t="shared" si="25"/>
        <v>0</v>
      </c>
      <c r="R171" s="562"/>
    </row>
    <row r="172" spans="1:18" s="326" customFormat="1" ht="15" outlineLevel="1" x14ac:dyDescent="0.2">
      <c r="A172" s="345"/>
      <c r="B172" s="477"/>
      <c r="C172" s="332">
        <f t="shared" si="22"/>
        <v>0</v>
      </c>
      <c r="D172" s="478"/>
      <c r="E172" s="334">
        <f t="shared" si="23"/>
        <v>0</v>
      </c>
      <c r="F172" s="338">
        <f t="shared" si="24"/>
        <v>0</v>
      </c>
      <c r="H172" s="345"/>
      <c r="I172" s="336"/>
      <c r="J172" s="332">
        <f t="shared" si="26"/>
        <v>0</v>
      </c>
      <c r="K172" s="337"/>
      <c r="L172" s="332">
        <f t="shared" si="27"/>
        <v>0</v>
      </c>
      <c r="M172" s="338">
        <f t="shared" si="25"/>
        <v>0</v>
      </c>
      <c r="R172" s="562"/>
    </row>
    <row r="173" spans="1:18" s="326" customFormat="1" ht="15" outlineLevel="1" x14ac:dyDescent="0.2">
      <c r="A173" s="345"/>
      <c r="B173" s="477"/>
      <c r="C173" s="332">
        <f t="shared" si="22"/>
        <v>0</v>
      </c>
      <c r="D173" s="478"/>
      <c r="E173" s="334">
        <f t="shared" si="23"/>
        <v>0</v>
      </c>
      <c r="F173" s="338">
        <f t="shared" si="24"/>
        <v>0</v>
      </c>
      <c r="H173" s="345"/>
      <c r="I173" s="336"/>
      <c r="J173" s="332">
        <f t="shared" si="26"/>
        <v>0</v>
      </c>
      <c r="K173" s="337"/>
      <c r="L173" s="332">
        <f t="shared" si="27"/>
        <v>0</v>
      </c>
      <c r="M173" s="338">
        <f t="shared" si="25"/>
        <v>0</v>
      </c>
      <c r="R173" s="562"/>
    </row>
    <row r="174" spans="1:18" s="326" customFormat="1" ht="15" outlineLevel="1" x14ac:dyDescent="0.2">
      <c r="A174" s="345"/>
      <c r="B174" s="477"/>
      <c r="C174" s="332">
        <f t="shared" si="22"/>
        <v>0</v>
      </c>
      <c r="D174" s="478"/>
      <c r="E174" s="334">
        <f t="shared" si="23"/>
        <v>0</v>
      </c>
      <c r="F174" s="338">
        <f t="shared" si="24"/>
        <v>0</v>
      </c>
      <c r="H174" s="345"/>
      <c r="I174" s="336"/>
      <c r="J174" s="332">
        <f t="shared" si="26"/>
        <v>0</v>
      </c>
      <c r="K174" s="337"/>
      <c r="L174" s="332">
        <f t="shared" si="27"/>
        <v>0</v>
      </c>
      <c r="M174" s="338">
        <f t="shared" si="25"/>
        <v>0</v>
      </c>
      <c r="R174" s="799"/>
    </row>
    <row r="175" spans="1:18" s="326" customFormat="1" ht="15" outlineLevel="1" x14ac:dyDescent="0.2">
      <c r="A175" s="345"/>
      <c r="B175" s="477"/>
      <c r="C175" s="332">
        <f t="shared" si="22"/>
        <v>0</v>
      </c>
      <c r="D175" s="478"/>
      <c r="E175" s="334">
        <f t="shared" si="23"/>
        <v>0</v>
      </c>
      <c r="F175" s="338">
        <f t="shared" si="24"/>
        <v>0</v>
      </c>
      <c r="H175" s="345"/>
      <c r="I175" s="336"/>
      <c r="J175" s="332">
        <f t="shared" si="26"/>
        <v>0</v>
      </c>
      <c r="K175" s="337"/>
      <c r="L175" s="332">
        <f t="shared" si="27"/>
        <v>0</v>
      </c>
      <c r="M175" s="338">
        <f t="shared" si="25"/>
        <v>0</v>
      </c>
      <c r="R175" s="562"/>
    </row>
    <row r="176" spans="1:18" s="326" customFormat="1" ht="15" outlineLevel="1" x14ac:dyDescent="0.2">
      <c r="A176" s="345"/>
      <c r="B176" s="477"/>
      <c r="C176" s="332">
        <f t="shared" si="22"/>
        <v>0</v>
      </c>
      <c r="D176" s="478"/>
      <c r="E176" s="334">
        <f t="shared" si="23"/>
        <v>0</v>
      </c>
      <c r="F176" s="338">
        <f t="shared" si="24"/>
        <v>0</v>
      </c>
      <c r="H176" s="345"/>
      <c r="I176" s="336"/>
      <c r="J176" s="332">
        <f t="shared" si="26"/>
        <v>0</v>
      </c>
      <c r="K176" s="337"/>
      <c r="L176" s="332">
        <f t="shared" si="27"/>
        <v>0</v>
      </c>
      <c r="M176" s="338">
        <f t="shared" si="25"/>
        <v>0</v>
      </c>
      <c r="R176" s="562"/>
    </row>
    <row r="177" spans="1:18" s="326" customFormat="1" ht="15" outlineLevel="1" x14ac:dyDescent="0.2">
      <c r="A177" s="345"/>
      <c r="B177" s="477"/>
      <c r="C177" s="332">
        <f t="shared" si="22"/>
        <v>0</v>
      </c>
      <c r="D177" s="478"/>
      <c r="E177" s="334">
        <f t="shared" si="23"/>
        <v>0</v>
      </c>
      <c r="F177" s="338">
        <f t="shared" si="24"/>
        <v>0</v>
      </c>
      <c r="H177" s="345"/>
      <c r="I177" s="336"/>
      <c r="J177" s="332">
        <f t="shared" si="26"/>
        <v>0</v>
      </c>
      <c r="K177" s="337"/>
      <c r="L177" s="332">
        <f t="shared" si="27"/>
        <v>0</v>
      </c>
      <c r="M177" s="338">
        <f t="shared" si="25"/>
        <v>0</v>
      </c>
      <c r="R177" s="562"/>
    </row>
    <row r="178" spans="1:18" s="326" customFormat="1" ht="15" outlineLevel="1" x14ac:dyDescent="0.2">
      <c r="A178" s="345"/>
      <c r="B178" s="477"/>
      <c r="C178" s="332">
        <f t="shared" si="22"/>
        <v>0</v>
      </c>
      <c r="D178" s="478"/>
      <c r="E178" s="334">
        <f t="shared" si="23"/>
        <v>0</v>
      </c>
      <c r="F178" s="338">
        <f t="shared" si="24"/>
        <v>0</v>
      </c>
      <c r="H178" s="345"/>
      <c r="I178" s="336"/>
      <c r="J178" s="332">
        <f t="shared" si="26"/>
        <v>0</v>
      </c>
      <c r="K178" s="337"/>
      <c r="L178" s="332">
        <f t="shared" si="27"/>
        <v>0</v>
      </c>
      <c r="M178" s="338">
        <f t="shared" si="25"/>
        <v>0</v>
      </c>
      <c r="R178" s="562"/>
    </row>
    <row r="179" spans="1:18" s="326" customFormat="1" ht="15" outlineLevel="1" x14ac:dyDescent="0.2">
      <c r="A179" s="345"/>
      <c r="B179" s="477"/>
      <c r="C179" s="332">
        <f t="shared" si="22"/>
        <v>0</v>
      </c>
      <c r="D179" s="478"/>
      <c r="E179" s="334">
        <f t="shared" si="23"/>
        <v>0</v>
      </c>
      <c r="F179" s="338">
        <f t="shared" si="24"/>
        <v>0</v>
      </c>
      <c r="H179" s="345"/>
      <c r="I179" s="336"/>
      <c r="J179" s="332">
        <f t="shared" si="26"/>
        <v>0</v>
      </c>
      <c r="K179" s="337"/>
      <c r="L179" s="332">
        <f t="shared" si="27"/>
        <v>0</v>
      </c>
      <c r="M179" s="338">
        <f t="shared" si="25"/>
        <v>0</v>
      </c>
      <c r="R179" s="412"/>
    </row>
    <row r="180" spans="1:18" s="326" customFormat="1" ht="15" outlineLevel="1" x14ac:dyDescent="0.2">
      <c r="A180" s="345"/>
      <c r="B180" s="477"/>
      <c r="C180" s="332">
        <f t="shared" si="22"/>
        <v>0</v>
      </c>
      <c r="D180" s="478"/>
      <c r="E180" s="334">
        <f t="shared" si="23"/>
        <v>0</v>
      </c>
      <c r="F180" s="338">
        <f t="shared" si="24"/>
        <v>0</v>
      </c>
      <c r="H180" s="345"/>
      <c r="I180" s="336"/>
      <c r="J180" s="332">
        <f t="shared" si="26"/>
        <v>0</v>
      </c>
      <c r="K180" s="337"/>
      <c r="L180" s="332">
        <f t="shared" si="27"/>
        <v>0</v>
      </c>
      <c r="M180" s="338">
        <f t="shared" si="25"/>
        <v>0</v>
      </c>
      <c r="R180" s="562"/>
    </row>
    <row r="181" spans="1:18" s="326" customFormat="1" ht="15" outlineLevel="1" x14ac:dyDescent="0.2">
      <c r="A181" s="345"/>
      <c r="B181" s="477"/>
      <c r="C181" s="332">
        <f t="shared" si="22"/>
        <v>0</v>
      </c>
      <c r="D181" s="478"/>
      <c r="E181" s="334">
        <f t="shared" si="23"/>
        <v>0</v>
      </c>
      <c r="F181" s="338">
        <f t="shared" si="24"/>
        <v>0</v>
      </c>
      <c r="H181" s="345"/>
      <c r="I181" s="336"/>
      <c r="J181" s="332">
        <f t="shared" si="26"/>
        <v>0</v>
      </c>
      <c r="K181" s="337"/>
      <c r="L181" s="332">
        <f t="shared" si="27"/>
        <v>0</v>
      </c>
      <c r="M181" s="338">
        <f t="shared" si="25"/>
        <v>0</v>
      </c>
      <c r="R181" s="562"/>
    </row>
    <row r="182" spans="1:18" s="326" customFormat="1" ht="15" outlineLevel="1" x14ac:dyDescent="0.2">
      <c r="A182" s="345"/>
      <c r="B182" s="477"/>
      <c r="C182" s="332">
        <f t="shared" si="22"/>
        <v>0</v>
      </c>
      <c r="D182" s="478"/>
      <c r="E182" s="334">
        <f t="shared" si="23"/>
        <v>0</v>
      </c>
      <c r="F182" s="338">
        <f t="shared" si="24"/>
        <v>0</v>
      </c>
      <c r="H182" s="345"/>
      <c r="I182" s="336"/>
      <c r="J182" s="332">
        <f t="shared" si="26"/>
        <v>0</v>
      </c>
      <c r="K182" s="337"/>
      <c r="L182" s="332">
        <f t="shared" si="27"/>
        <v>0</v>
      </c>
      <c r="M182" s="338">
        <f t="shared" si="25"/>
        <v>0</v>
      </c>
      <c r="R182" s="562"/>
    </row>
    <row r="183" spans="1:18" s="326" customFormat="1" ht="15" outlineLevel="1" x14ac:dyDescent="0.2">
      <c r="A183" s="346"/>
      <c r="B183" s="482"/>
      <c r="C183" s="332">
        <f t="shared" si="22"/>
        <v>0</v>
      </c>
      <c r="D183" s="483"/>
      <c r="E183" s="334">
        <f t="shared" si="23"/>
        <v>0</v>
      </c>
      <c r="F183" s="338">
        <f t="shared" si="24"/>
        <v>0</v>
      </c>
      <c r="H183" s="346"/>
      <c r="I183" s="339"/>
      <c r="J183" s="332">
        <f t="shared" si="26"/>
        <v>0</v>
      </c>
      <c r="K183" s="340"/>
      <c r="L183" s="332">
        <f t="shared" si="27"/>
        <v>0</v>
      </c>
      <c r="M183" s="338">
        <f t="shared" si="25"/>
        <v>0</v>
      </c>
      <c r="R183" s="562"/>
    </row>
    <row r="184" spans="1:18" s="326" customFormat="1" ht="15" outlineLevel="1" x14ac:dyDescent="0.2">
      <c r="A184" s="346"/>
      <c r="B184" s="482"/>
      <c r="C184" s="332">
        <f t="shared" si="22"/>
        <v>0</v>
      </c>
      <c r="D184" s="483"/>
      <c r="E184" s="334">
        <f t="shared" si="23"/>
        <v>0</v>
      </c>
      <c r="F184" s="338">
        <f t="shared" si="24"/>
        <v>0</v>
      </c>
      <c r="H184" s="346"/>
      <c r="I184" s="339"/>
      <c r="J184" s="332">
        <f t="shared" si="26"/>
        <v>0</v>
      </c>
      <c r="K184" s="340"/>
      <c r="L184" s="332">
        <f t="shared" si="27"/>
        <v>0</v>
      </c>
      <c r="M184" s="338">
        <f t="shared" si="25"/>
        <v>0</v>
      </c>
      <c r="R184" s="562"/>
    </row>
    <row r="185" spans="1:18" s="326" customFormat="1" ht="15" outlineLevel="1" x14ac:dyDescent="0.2">
      <c r="A185" s="346"/>
      <c r="B185" s="482"/>
      <c r="C185" s="332">
        <f t="shared" si="22"/>
        <v>0</v>
      </c>
      <c r="D185" s="483"/>
      <c r="E185" s="334">
        <f t="shared" si="23"/>
        <v>0</v>
      </c>
      <c r="F185" s="338">
        <f t="shared" si="24"/>
        <v>0</v>
      </c>
      <c r="H185" s="346"/>
      <c r="I185" s="339"/>
      <c r="J185" s="332">
        <f t="shared" si="26"/>
        <v>0</v>
      </c>
      <c r="K185" s="340"/>
      <c r="L185" s="332">
        <f t="shared" si="27"/>
        <v>0</v>
      </c>
      <c r="M185" s="338">
        <f t="shared" si="25"/>
        <v>0</v>
      </c>
      <c r="R185" s="562"/>
    </row>
    <row r="186" spans="1:18" s="326" customFormat="1" ht="15" outlineLevel="1" x14ac:dyDescent="0.2">
      <c r="A186" s="346"/>
      <c r="B186" s="482"/>
      <c r="C186" s="332">
        <f t="shared" si="22"/>
        <v>0</v>
      </c>
      <c r="D186" s="483"/>
      <c r="E186" s="334">
        <f t="shared" si="23"/>
        <v>0</v>
      </c>
      <c r="F186" s="338">
        <f t="shared" si="24"/>
        <v>0</v>
      </c>
      <c r="H186" s="346"/>
      <c r="I186" s="339"/>
      <c r="J186" s="332">
        <f t="shared" si="26"/>
        <v>0</v>
      </c>
      <c r="K186" s="340"/>
      <c r="L186" s="332">
        <f t="shared" si="27"/>
        <v>0</v>
      </c>
      <c r="M186" s="338">
        <f t="shared" si="25"/>
        <v>0</v>
      </c>
      <c r="R186" s="562"/>
    </row>
    <row r="187" spans="1:18" s="326" customFormat="1" ht="15" outlineLevel="1" x14ac:dyDescent="0.2">
      <c r="A187" s="346"/>
      <c r="B187" s="482"/>
      <c r="C187" s="332">
        <f t="shared" si="22"/>
        <v>0</v>
      </c>
      <c r="D187" s="483"/>
      <c r="E187" s="334">
        <f t="shared" si="23"/>
        <v>0</v>
      </c>
      <c r="F187" s="338">
        <f t="shared" si="24"/>
        <v>0</v>
      </c>
      <c r="H187" s="346"/>
      <c r="I187" s="339"/>
      <c r="J187" s="332">
        <f t="shared" si="26"/>
        <v>0</v>
      </c>
      <c r="K187" s="340"/>
      <c r="L187" s="332">
        <f t="shared" si="27"/>
        <v>0</v>
      </c>
      <c r="M187" s="338">
        <f t="shared" si="25"/>
        <v>0</v>
      </c>
      <c r="R187" s="562"/>
    </row>
    <row r="188" spans="1:18" s="326" customFormat="1" ht="15" outlineLevel="1" x14ac:dyDescent="0.2">
      <c r="A188" s="346"/>
      <c r="B188" s="482"/>
      <c r="C188" s="332">
        <f t="shared" si="22"/>
        <v>0</v>
      </c>
      <c r="D188" s="483"/>
      <c r="E188" s="334">
        <f t="shared" si="23"/>
        <v>0</v>
      </c>
      <c r="F188" s="338">
        <f t="shared" si="24"/>
        <v>0</v>
      </c>
      <c r="H188" s="346"/>
      <c r="I188" s="339"/>
      <c r="J188" s="332">
        <f t="shared" si="26"/>
        <v>0</v>
      </c>
      <c r="K188" s="340"/>
      <c r="L188" s="332">
        <f t="shared" si="27"/>
        <v>0</v>
      </c>
      <c r="M188" s="338">
        <f t="shared" si="25"/>
        <v>0</v>
      </c>
      <c r="R188" s="562"/>
    </row>
    <row r="189" spans="1:18" s="326" customFormat="1" ht="15" outlineLevel="1" x14ac:dyDescent="0.2">
      <c r="A189" s="346"/>
      <c r="B189" s="482"/>
      <c r="C189" s="332">
        <f t="shared" si="22"/>
        <v>0</v>
      </c>
      <c r="D189" s="483"/>
      <c r="E189" s="334">
        <f t="shared" si="23"/>
        <v>0</v>
      </c>
      <c r="F189" s="338">
        <f t="shared" si="24"/>
        <v>0</v>
      </c>
      <c r="H189" s="346"/>
      <c r="I189" s="339"/>
      <c r="J189" s="332">
        <f t="shared" si="26"/>
        <v>0</v>
      </c>
      <c r="K189" s="340"/>
      <c r="L189" s="332">
        <f t="shared" si="27"/>
        <v>0</v>
      </c>
      <c r="M189" s="338">
        <f t="shared" si="25"/>
        <v>0</v>
      </c>
      <c r="R189" s="562"/>
    </row>
    <row r="190" spans="1:18" s="326" customFormat="1" ht="15" outlineLevel="1" x14ac:dyDescent="0.2">
      <c r="A190" s="346"/>
      <c r="B190" s="482"/>
      <c r="C190" s="332">
        <f t="shared" si="22"/>
        <v>0</v>
      </c>
      <c r="D190" s="483"/>
      <c r="E190" s="334">
        <f t="shared" si="23"/>
        <v>0</v>
      </c>
      <c r="F190" s="338">
        <f t="shared" si="24"/>
        <v>0</v>
      </c>
      <c r="H190" s="346"/>
      <c r="I190" s="339"/>
      <c r="J190" s="332">
        <f t="shared" si="26"/>
        <v>0</v>
      </c>
      <c r="K190" s="340"/>
      <c r="L190" s="332">
        <f t="shared" si="27"/>
        <v>0</v>
      </c>
      <c r="M190" s="338">
        <f t="shared" si="25"/>
        <v>0</v>
      </c>
      <c r="R190" s="562"/>
    </row>
    <row r="191" spans="1:18" s="326" customFormat="1" ht="15" outlineLevel="1" x14ac:dyDescent="0.2">
      <c r="A191" s="346"/>
      <c r="B191" s="482"/>
      <c r="C191" s="332">
        <f t="shared" si="22"/>
        <v>0</v>
      </c>
      <c r="D191" s="483"/>
      <c r="E191" s="334">
        <f t="shared" si="23"/>
        <v>0</v>
      </c>
      <c r="F191" s="338">
        <f t="shared" si="24"/>
        <v>0</v>
      </c>
      <c r="H191" s="346"/>
      <c r="I191" s="339"/>
      <c r="J191" s="332">
        <f t="shared" si="26"/>
        <v>0</v>
      </c>
      <c r="K191" s="340"/>
      <c r="L191" s="332">
        <f t="shared" si="27"/>
        <v>0</v>
      </c>
      <c r="M191" s="338">
        <f t="shared" si="25"/>
        <v>0</v>
      </c>
      <c r="R191" s="562"/>
    </row>
    <row r="192" spans="1:18" ht="15.75" outlineLevel="1" thickBot="1" x14ac:dyDescent="0.25">
      <c r="A192" s="346"/>
      <c r="B192" s="482"/>
      <c r="C192" s="760">
        <f t="shared" si="22"/>
        <v>0</v>
      </c>
      <c r="D192" s="483"/>
      <c r="E192" s="334">
        <f t="shared" si="23"/>
        <v>0</v>
      </c>
      <c r="F192" s="341">
        <f t="shared" si="24"/>
        <v>0</v>
      </c>
      <c r="H192" s="346"/>
      <c r="I192" s="339"/>
      <c r="J192" s="332">
        <f>IF($I$166&gt;0,IF(OR(I192&lt;0,I192&lt;0),ROUNDDOWN(I192/$I$166,0),CEILING(I192/$I$166,1)),0)</f>
        <v>0</v>
      </c>
      <c r="K192" s="340"/>
      <c r="L192" s="332">
        <f t="shared" si="27"/>
        <v>0</v>
      </c>
      <c r="M192" s="341">
        <f t="shared" si="25"/>
        <v>0</v>
      </c>
      <c r="R192" s="562"/>
    </row>
    <row r="193" spans="1:13" ht="15.75" outlineLevel="1" thickBot="1" x14ac:dyDescent="0.25">
      <c r="A193" s="348" t="s">
        <v>1007</v>
      </c>
      <c r="B193" s="358"/>
      <c r="C193" s="492" t="s">
        <v>107</v>
      </c>
      <c r="D193" s="359">
        <f>ROUND(SUMPRODUCT(Table16231124[Height],Table16231124[Width]),1)</f>
        <v>0</v>
      </c>
      <c r="E193" s="358" t="s">
        <v>106</v>
      </c>
      <c r="F193" s="359">
        <f>SUM(F168:F192)*(B166*D166)</f>
        <v>0</v>
      </c>
      <c r="H193" s="348" t="s">
        <v>1007</v>
      </c>
      <c r="I193" s="376"/>
      <c r="J193" s="492" t="s">
        <v>107</v>
      </c>
      <c r="K193" s="359">
        <f>ROUND(SUMPRODUCT(Table17241225[Height],Table17241225[Width])+SUMIF(Name,"Kitchen Floor Tile",Area)+SUMIF('CSV FF'!A:A,"Kitchen Floor Tile",'CSV FF'!F:F),1)</f>
        <v>0</v>
      </c>
      <c r="L193" s="358" t="s">
        <v>106</v>
      </c>
      <c r="M193" s="359">
        <f>SUM(M168:M192)*(I166*K166)</f>
        <v>0</v>
      </c>
    </row>
    <row r="194" spans="1:13" ht="13.5" thickBot="1" x14ac:dyDescent="0.25"/>
    <row r="195" spans="1:13" ht="21.75" outlineLevel="1" thickBot="1" x14ac:dyDescent="0.25">
      <c r="A195" s="1369" t="s">
        <v>3545</v>
      </c>
      <c r="B195" s="1370"/>
      <c r="C195" s="1370"/>
      <c r="D195" s="1370"/>
      <c r="E195" s="1370"/>
      <c r="F195" s="1371"/>
      <c r="H195" s="1369" t="s">
        <v>3546</v>
      </c>
      <c r="I195" s="1370"/>
      <c r="J195" s="1370"/>
      <c r="K195" s="1370"/>
      <c r="L195" s="1370"/>
      <c r="M195" s="1371"/>
    </row>
    <row r="196" spans="1:13" ht="15.75" outlineLevel="1" thickBot="1" x14ac:dyDescent="0.25">
      <c r="A196" s="353" t="s">
        <v>551</v>
      </c>
      <c r="B196" s="812" t="s">
        <v>661</v>
      </c>
      <c r="C196" s="354" t="s">
        <v>672</v>
      </c>
      <c r="D196" s="355">
        <v>44</v>
      </c>
      <c r="E196" s="360">
        <f>IF($B$1="Magic Tiles",0.3,IF($B$1="Tiles Plus",0.3,0.2))</f>
        <v>0.2</v>
      </c>
      <c r="F196" s="471">
        <f>IF(C196="Nett",ROUND(D196/1.1,2),IF(C196="Each",(1/(B198*D198)*D196/1.1),IF(C196="M2",(IF(AND(OR($B$1="Armanti Bunbury",$B$1="Armanti Busselton"),(D196&lt;=44)),30,IF(AND($B$1="Magic Tiles",D196&lt;=44),25.46,IF(AND(OR($B$1="Trimview"),(D196&lt;=44)),32,IF(C196="M2",D196/1.1-E196*D196/1.1,0))))))))</f>
        <v>32</v>
      </c>
      <c r="H196" s="353" t="s">
        <v>551</v>
      </c>
      <c r="I196" s="812" t="s">
        <v>661</v>
      </c>
      <c r="J196" s="354" t="s">
        <v>672</v>
      </c>
      <c r="K196" s="355">
        <v>44</v>
      </c>
      <c r="L196" s="360">
        <f>IF($B$1="Magic Tiles",0.3,IF($B$1="Tiles Plus",0.3,0.2))</f>
        <v>0.2</v>
      </c>
      <c r="M196" s="471">
        <f>IF(J196="Nett",ROUND(K196/1.1,2),IF(J196="Each",(1/(I198*K198)*K196/1.1),IF(J196="M2",(IF(AND(OR($B$1="Armanti Bunbury",$B$1="Armanti Busselton"),(K196&lt;=44)),30,IF(AND($B$1="Magic Tiles",K196&lt;=44),25.46,IF(AND(OR($B$1="Trimview"),(K196&lt;=44)),32,IF(J196="M2",K196/1.1-L196*K196/1.1,0))))))))</f>
        <v>32</v>
      </c>
    </row>
    <row r="197" spans="1:13" ht="15.75" outlineLevel="1" thickBot="1" x14ac:dyDescent="0.25">
      <c r="A197" s="810" t="s">
        <v>1595</v>
      </c>
      <c r="B197" s="1372" t="s">
        <v>136</v>
      </c>
      <c r="C197" s="1373"/>
      <c r="D197" s="1372" t="s">
        <v>99</v>
      </c>
      <c r="E197" s="1373"/>
      <c r="F197" s="1374" t="s">
        <v>11</v>
      </c>
      <c r="H197" s="810" t="s">
        <v>1595</v>
      </c>
      <c r="I197" s="1372" t="s">
        <v>34</v>
      </c>
      <c r="J197" s="1373"/>
      <c r="K197" s="1372" t="s">
        <v>99</v>
      </c>
      <c r="L197" s="1373"/>
      <c r="M197" s="1374" t="s">
        <v>11</v>
      </c>
    </row>
    <row r="198" spans="1:13" ht="15.75" outlineLevel="1" thickBot="1" x14ac:dyDescent="0.25">
      <c r="A198" s="754" t="s">
        <v>551</v>
      </c>
      <c r="B198" s="1377"/>
      <c r="C198" s="1378"/>
      <c r="D198" s="1377"/>
      <c r="E198" s="1378"/>
      <c r="F198" s="1375"/>
      <c r="H198" s="754" t="s">
        <v>551</v>
      </c>
      <c r="I198" s="1379"/>
      <c r="J198" s="1380"/>
      <c r="K198" s="1379"/>
      <c r="L198" s="1380"/>
      <c r="M198" s="1376"/>
    </row>
    <row r="199" spans="1:13" ht="15.75" outlineLevel="1" thickBot="1" x14ac:dyDescent="0.25">
      <c r="A199" s="492" t="s">
        <v>7</v>
      </c>
      <c r="B199" s="362" t="s">
        <v>136</v>
      </c>
      <c r="C199" s="363" t="s">
        <v>1001</v>
      </c>
      <c r="D199" s="364" t="s">
        <v>99</v>
      </c>
      <c r="E199" s="365" t="s">
        <v>1002</v>
      </c>
      <c r="F199" s="366" t="s">
        <v>11</v>
      </c>
      <c r="H199" s="492" t="s">
        <v>7</v>
      </c>
      <c r="I199" s="362" t="s">
        <v>136</v>
      </c>
      <c r="J199" s="363" t="s">
        <v>1001</v>
      </c>
      <c r="K199" s="364" t="s">
        <v>99</v>
      </c>
      <c r="L199" s="363" t="s">
        <v>1002</v>
      </c>
      <c r="M199" s="366" t="s">
        <v>11</v>
      </c>
    </row>
    <row r="200" spans="1:13" ht="15.75" outlineLevel="1" thickBot="1" x14ac:dyDescent="0.25">
      <c r="A200" s="361"/>
      <c r="B200" s="793"/>
      <c r="C200" s="363">
        <f t="shared" ref="C200:C224" si="28">IF($B$198&gt;0,IF(OR(B200&lt;0,D200&lt;0),ROUNDDOWN(B200/$B$198,0),(CEILING(B200/$B$198,1))),0)</f>
        <v>0</v>
      </c>
      <c r="D200" s="796"/>
      <c r="E200" s="365">
        <f t="shared" ref="E200:E224" si="29">IF($D$198&gt;0,IF(OR(B200&lt;0,D200&lt;0),ROUNDDOWN(D200/$D$198,0),CEILING(D200/$D$198,1)),0)</f>
        <v>0</v>
      </c>
      <c r="F200" s="366">
        <f t="shared" ref="F200:F224" si="30">C200*E200</f>
        <v>0</v>
      </c>
      <c r="H200" s="473" t="s">
        <v>408</v>
      </c>
      <c r="I200" s="362"/>
      <c r="J200" s="363">
        <f>IF($I$198&gt;0,IF(OR(I200&lt;0,I200&lt;0),ROUNDDOWN(I200/$I$198,0),CEILING(I200/$I$198,1)),0)</f>
        <v>0</v>
      </c>
      <c r="K200" s="364"/>
      <c r="L200" s="363">
        <f>IF($K$198&gt;0,IF(OR(I200&lt;0,K200&lt;0),ROUNDDOWN(K200/$K$198,0),CEILING(K200/K$198,1)),0)</f>
        <v>0</v>
      </c>
      <c r="M200" s="491">
        <f>IFERROR(ROUNDUP(SUMIF(Name,"Powder Floor Tile",Area)/(I198*K198),0),0)+IFERROR(ROUNDUP(SUMIF('CSV FF'!A:A,"Powder Floor Tile",'CSV FF'!F:F)/(I198*K198),0),0)</f>
        <v>0</v>
      </c>
    </row>
    <row r="201" spans="1:13" ht="15" outlineLevel="1" x14ac:dyDescent="0.2">
      <c r="A201" s="367"/>
      <c r="B201" s="794"/>
      <c r="C201" s="363">
        <f t="shared" si="28"/>
        <v>0</v>
      </c>
      <c r="D201" s="797"/>
      <c r="E201" s="365">
        <f t="shared" si="29"/>
        <v>0</v>
      </c>
      <c r="F201" s="370">
        <f t="shared" si="30"/>
        <v>0</v>
      </c>
      <c r="H201" s="371"/>
      <c r="I201" s="368"/>
      <c r="J201" s="363">
        <f>IF($I$198&gt;0,IF(OR(I201&lt;0,I201&lt;0),ROUNDDOWN(I201/$I$198,0),CEILING(I201/$I$198,1)),0)</f>
        <v>0</v>
      </c>
      <c r="K201" s="369"/>
      <c r="L201" s="363">
        <f>IF($K$198&gt;0,IF(OR(I201&lt;0,K201&lt;0),ROUNDDOWN(K201/$K$198,0),CEILING(K201/K$198,1)),0)</f>
        <v>0</v>
      </c>
      <c r="M201" s="370">
        <f t="shared" ref="M201:M224" si="31">J201*L201</f>
        <v>0</v>
      </c>
    </row>
    <row r="202" spans="1:13" ht="15" outlineLevel="1" x14ac:dyDescent="0.2">
      <c r="A202" s="371"/>
      <c r="B202" s="794"/>
      <c r="C202" s="363">
        <f t="shared" si="28"/>
        <v>0</v>
      </c>
      <c r="D202" s="797"/>
      <c r="E202" s="365">
        <f t="shared" si="29"/>
        <v>0</v>
      </c>
      <c r="F202" s="370">
        <f t="shared" si="30"/>
        <v>0</v>
      </c>
      <c r="H202" s="371"/>
      <c r="I202" s="368"/>
      <c r="J202" s="363">
        <f t="shared" ref="J202:J224" si="32">IF($I$198&gt;0,IF(OR(I202&lt;0,I202&lt;0),ROUNDDOWN(I202/$I$198,0),CEILING(I202/$I$198,1)),0)</f>
        <v>0</v>
      </c>
      <c r="K202" s="369"/>
      <c r="L202" s="363">
        <f t="shared" ref="L202:L224" si="33">IF($K$198&gt;0,IF(OR(I202&lt;0,K202&lt;0),ROUNDDOWN(K202/$K$198,0),CEILING(K202/K$198,1)),0)</f>
        <v>0</v>
      </c>
      <c r="M202" s="370">
        <f t="shared" si="31"/>
        <v>0</v>
      </c>
    </row>
    <row r="203" spans="1:13" ht="15" outlineLevel="1" x14ac:dyDescent="0.2">
      <c r="A203" s="371"/>
      <c r="B203" s="794"/>
      <c r="C203" s="363">
        <f t="shared" si="28"/>
        <v>0</v>
      </c>
      <c r="D203" s="797"/>
      <c r="E203" s="365">
        <f t="shared" si="29"/>
        <v>0</v>
      </c>
      <c r="F203" s="370">
        <f t="shared" si="30"/>
        <v>0</v>
      </c>
      <c r="H203" s="371"/>
      <c r="I203" s="368"/>
      <c r="J203" s="363">
        <f t="shared" si="32"/>
        <v>0</v>
      </c>
      <c r="K203" s="369"/>
      <c r="L203" s="363">
        <f t="shared" si="33"/>
        <v>0</v>
      </c>
      <c r="M203" s="370">
        <f t="shared" si="31"/>
        <v>0</v>
      </c>
    </row>
    <row r="204" spans="1:13" ht="15" outlineLevel="1" x14ac:dyDescent="0.2">
      <c r="A204" s="371"/>
      <c r="B204" s="794"/>
      <c r="C204" s="363">
        <f t="shared" si="28"/>
        <v>0</v>
      </c>
      <c r="D204" s="797"/>
      <c r="E204" s="365">
        <f t="shared" si="29"/>
        <v>0</v>
      </c>
      <c r="F204" s="370">
        <f t="shared" si="30"/>
        <v>0</v>
      </c>
      <c r="H204" s="371"/>
      <c r="I204" s="368"/>
      <c r="J204" s="363">
        <f t="shared" si="32"/>
        <v>0</v>
      </c>
      <c r="K204" s="369"/>
      <c r="L204" s="363">
        <f t="shared" si="33"/>
        <v>0</v>
      </c>
      <c r="M204" s="370">
        <f t="shared" si="31"/>
        <v>0</v>
      </c>
    </row>
    <row r="205" spans="1:13" ht="15" outlineLevel="1" x14ac:dyDescent="0.2">
      <c r="A205" s="371"/>
      <c r="B205" s="794"/>
      <c r="C205" s="363">
        <f t="shared" si="28"/>
        <v>0</v>
      </c>
      <c r="D205" s="797"/>
      <c r="E205" s="365">
        <f t="shared" si="29"/>
        <v>0</v>
      </c>
      <c r="F205" s="370">
        <f t="shared" si="30"/>
        <v>0</v>
      </c>
      <c r="H205" s="371"/>
      <c r="I205" s="368"/>
      <c r="J205" s="363">
        <f t="shared" si="32"/>
        <v>0</v>
      </c>
      <c r="K205" s="369"/>
      <c r="L205" s="363">
        <f t="shared" si="33"/>
        <v>0</v>
      </c>
      <c r="M205" s="370">
        <f t="shared" si="31"/>
        <v>0</v>
      </c>
    </row>
    <row r="206" spans="1:13" ht="15" outlineLevel="1" x14ac:dyDescent="0.2">
      <c r="A206" s="371"/>
      <c r="B206" s="794"/>
      <c r="C206" s="363">
        <f t="shared" si="28"/>
        <v>0</v>
      </c>
      <c r="D206" s="797"/>
      <c r="E206" s="365">
        <f t="shared" si="29"/>
        <v>0</v>
      </c>
      <c r="F206" s="370">
        <f t="shared" si="30"/>
        <v>0</v>
      </c>
      <c r="H206" s="371"/>
      <c r="I206" s="368"/>
      <c r="J206" s="363">
        <f t="shared" si="32"/>
        <v>0</v>
      </c>
      <c r="K206" s="369"/>
      <c r="L206" s="363">
        <f t="shared" si="33"/>
        <v>0</v>
      </c>
      <c r="M206" s="370">
        <f t="shared" si="31"/>
        <v>0</v>
      </c>
    </row>
    <row r="207" spans="1:13" ht="15" outlineLevel="1" x14ac:dyDescent="0.2">
      <c r="A207" s="371"/>
      <c r="B207" s="794"/>
      <c r="C207" s="363">
        <f t="shared" si="28"/>
        <v>0</v>
      </c>
      <c r="D207" s="797"/>
      <c r="E207" s="365">
        <f t="shared" si="29"/>
        <v>0</v>
      </c>
      <c r="F207" s="370">
        <f t="shared" si="30"/>
        <v>0</v>
      </c>
      <c r="H207" s="371"/>
      <c r="I207" s="368"/>
      <c r="J207" s="363">
        <f t="shared" si="32"/>
        <v>0</v>
      </c>
      <c r="K207" s="369"/>
      <c r="L207" s="363">
        <f t="shared" si="33"/>
        <v>0</v>
      </c>
      <c r="M207" s="370">
        <f t="shared" si="31"/>
        <v>0</v>
      </c>
    </row>
    <row r="208" spans="1:13" ht="15" outlineLevel="1" x14ac:dyDescent="0.2">
      <c r="A208" s="371"/>
      <c r="B208" s="794"/>
      <c r="C208" s="363">
        <f t="shared" si="28"/>
        <v>0</v>
      </c>
      <c r="D208" s="797"/>
      <c r="E208" s="365">
        <f t="shared" si="29"/>
        <v>0</v>
      </c>
      <c r="F208" s="370">
        <f t="shared" si="30"/>
        <v>0</v>
      </c>
      <c r="H208" s="371"/>
      <c r="I208" s="368"/>
      <c r="J208" s="363">
        <f t="shared" si="32"/>
        <v>0</v>
      </c>
      <c r="K208" s="369"/>
      <c r="L208" s="363">
        <f t="shared" si="33"/>
        <v>0</v>
      </c>
      <c r="M208" s="370">
        <f t="shared" si="31"/>
        <v>0</v>
      </c>
    </row>
    <row r="209" spans="1:13" ht="15" outlineLevel="1" x14ac:dyDescent="0.2">
      <c r="A209" s="371"/>
      <c r="B209" s="794"/>
      <c r="C209" s="363">
        <f t="shared" si="28"/>
        <v>0</v>
      </c>
      <c r="D209" s="797"/>
      <c r="E209" s="365">
        <f t="shared" si="29"/>
        <v>0</v>
      </c>
      <c r="F209" s="370">
        <f t="shared" si="30"/>
        <v>0</v>
      </c>
      <c r="H209" s="371"/>
      <c r="I209" s="368"/>
      <c r="J209" s="363">
        <f t="shared" si="32"/>
        <v>0</v>
      </c>
      <c r="K209" s="369"/>
      <c r="L209" s="363">
        <f t="shared" si="33"/>
        <v>0</v>
      </c>
      <c r="M209" s="370">
        <f t="shared" si="31"/>
        <v>0</v>
      </c>
    </row>
    <row r="210" spans="1:13" ht="15" outlineLevel="1" x14ac:dyDescent="0.2">
      <c r="A210" s="371"/>
      <c r="B210" s="794"/>
      <c r="C210" s="363">
        <f t="shared" si="28"/>
        <v>0</v>
      </c>
      <c r="D210" s="797"/>
      <c r="E210" s="365">
        <f t="shared" si="29"/>
        <v>0</v>
      </c>
      <c r="F210" s="370">
        <f t="shared" si="30"/>
        <v>0</v>
      </c>
      <c r="H210" s="371"/>
      <c r="I210" s="368"/>
      <c r="J210" s="363">
        <f t="shared" si="32"/>
        <v>0</v>
      </c>
      <c r="K210" s="369"/>
      <c r="L210" s="363">
        <f t="shared" si="33"/>
        <v>0</v>
      </c>
      <c r="M210" s="370">
        <f t="shared" si="31"/>
        <v>0</v>
      </c>
    </row>
    <row r="211" spans="1:13" ht="15" outlineLevel="1" x14ac:dyDescent="0.2">
      <c r="A211" s="371"/>
      <c r="B211" s="794"/>
      <c r="C211" s="363">
        <f t="shared" si="28"/>
        <v>0</v>
      </c>
      <c r="D211" s="797"/>
      <c r="E211" s="365">
        <f t="shared" si="29"/>
        <v>0</v>
      </c>
      <c r="F211" s="370">
        <f t="shared" si="30"/>
        <v>0</v>
      </c>
      <c r="H211" s="371"/>
      <c r="I211" s="368"/>
      <c r="J211" s="363">
        <f t="shared" si="32"/>
        <v>0</v>
      </c>
      <c r="K211" s="369"/>
      <c r="L211" s="363">
        <f t="shared" si="33"/>
        <v>0</v>
      </c>
      <c r="M211" s="370">
        <f t="shared" si="31"/>
        <v>0</v>
      </c>
    </row>
    <row r="212" spans="1:13" ht="15" outlineLevel="1" x14ac:dyDescent="0.2">
      <c r="A212" s="371"/>
      <c r="B212" s="794"/>
      <c r="C212" s="363">
        <f t="shared" si="28"/>
        <v>0</v>
      </c>
      <c r="D212" s="797"/>
      <c r="E212" s="365">
        <f t="shared" si="29"/>
        <v>0</v>
      </c>
      <c r="F212" s="370">
        <f t="shared" si="30"/>
        <v>0</v>
      </c>
      <c r="H212" s="371"/>
      <c r="I212" s="368"/>
      <c r="J212" s="363">
        <f t="shared" si="32"/>
        <v>0</v>
      </c>
      <c r="K212" s="369"/>
      <c r="L212" s="363">
        <f t="shared" si="33"/>
        <v>0</v>
      </c>
      <c r="M212" s="370">
        <f t="shared" si="31"/>
        <v>0</v>
      </c>
    </row>
    <row r="213" spans="1:13" ht="15" outlineLevel="1" x14ac:dyDescent="0.2">
      <c r="A213" s="371"/>
      <c r="B213" s="794"/>
      <c r="C213" s="363">
        <f t="shared" si="28"/>
        <v>0</v>
      </c>
      <c r="D213" s="797"/>
      <c r="E213" s="365">
        <f t="shared" si="29"/>
        <v>0</v>
      </c>
      <c r="F213" s="370">
        <f t="shared" si="30"/>
        <v>0</v>
      </c>
      <c r="H213" s="371"/>
      <c r="I213" s="368"/>
      <c r="J213" s="363">
        <f t="shared" si="32"/>
        <v>0</v>
      </c>
      <c r="K213" s="369"/>
      <c r="L213" s="363">
        <f t="shared" si="33"/>
        <v>0</v>
      </c>
      <c r="M213" s="370">
        <f t="shared" si="31"/>
        <v>0</v>
      </c>
    </row>
    <row r="214" spans="1:13" ht="15" outlineLevel="1" x14ac:dyDescent="0.2">
      <c r="A214" s="371"/>
      <c r="B214" s="794"/>
      <c r="C214" s="363">
        <f t="shared" si="28"/>
        <v>0</v>
      </c>
      <c r="D214" s="797"/>
      <c r="E214" s="365">
        <f t="shared" si="29"/>
        <v>0</v>
      </c>
      <c r="F214" s="370">
        <f t="shared" si="30"/>
        <v>0</v>
      </c>
      <c r="H214" s="371"/>
      <c r="I214" s="368"/>
      <c r="J214" s="363">
        <f t="shared" si="32"/>
        <v>0</v>
      </c>
      <c r="K214" s="369"/>
      <c r="L214" s="363">
        <f t="shared" si="33"/>
        <v>0</v>
      </c>
      <c r="M214" s="370">
        <f t="shared" si="31"/>
        <v>0</v>
      </c>
    </row>
    <row r="215" spans="1:13" ht="15" outlineLevel="1" x14ac:dyDescent="0.2">
      <c r="A215" s="372"/>
      <c r="B215" s="795"/>
      <c r="C215" s="363">
        <f t="shared" si="28"/>
        <v>0</v>
      </c>
      <c r="D215" s="798"/>
      <c r="E215" s="365">
        <f t="shared" si="29"/>
        <v>0</v>
      </c>
      <c r="F215" s="370">
        <f t="shared" si="30"/>
        <v>0</v>
      </c>
      <c r="H215" s="372"/>
      <c r="I215" s="373"/>
      <c r="J215" s="363">
        <f t="shared" si="32"/>
        <v>0</v>
      </c>
      <c r="K215" s="374"/>
      <c r="L215" s="363">
        <f t="shared" si="33"/>
        <v>0</v>
      </c>
      <c r="M215" s="370">
        <f t="shared" si="31"/>
        <v>0</v>
      </c>
    </row>
    <row r="216" spans="1:13" ht="15" outlineLevel="1" x14ac:dyDescent="0.2">
      <c r="A216" s="372"/>
      <c r="B216" s="795"/>
      <c r="C216" s="363">
        <f t="shared" si="28"/>
        <v>0</v>
      </c>
      <c r="D216" s="798"/>
      <c r="E216" s="365">
        <f t="shared" si="29"/>
        <v>0</v>
      </c>
      <c r="F216" s="370">
        <f t="shared" si="30"/>
        <v>0</v>
      </c>
      <c r="H216" s="372"/>
      <c r="I216" s="373"/>
      <c r="J216" s="363">
        <f t="shared" si="32"/>
        <v>0</v>
      </c>
      <c r="K216" s="374"/>
      <c r="L216" s="363">
        <f t="shared" si="33"/>
        <v>0</v>
      </c>
      <c r="M216" s="370">
        <f t="shared" si="31"/>
        <v>0</v>
      </c>
    </row>
    <row r="217" spans="1:13" ht="15" outlineLevel="1" x14ac:dyDescent="0.2">
      <c r="A217" s="372"/>
      <c r="B217" s="795"/>
      <c r="C217" s="363">
        <f t="shared" si="28"/>
        <v>0</v>
      </c>
      <c r="D217" s="798"/>
      <c r="E217" s="365">
        <f t="shared" si="29"/>
        <v>0</v>
      </c>
      <c r="F217" s="370">
        <f t="shared" si="30"/>
        <v>0</v>
      </c>
      <c r="H217" s="372"/>
      <c r="I217" s="373"/>
      <c r="J217" s="363">
        <f t="shared" si="32"/>
        <v>0</v>
      </c>
      <c r="K217" s="374"/>
      <c r="L217" s="363">
        <f t="shared" si="33"/>
        <v>0</v>
      </c>
      <c r="M217" s="370">
        <f t="shared" si="31"/>
        <v>0</v>
      </c>
    </row>
    <row r="218" spans="1:13" ht="15" outlineLevel="1" x14ac:dyDescent="0.2">
      <c r="A218" s="372"/>
      <c r="B218" s="795"/>
      <c r="C218" s="363">
        <f t="shared" si="28"/>
        <v>0</v>
      </c>
      <c r="D218" s="798"/>
      <c r="E218" s="365">
        <f t="shared" si="29"/>
        <v>0</v>
      </c>
      <c r="F218" s="370">
        <f t="shared" si="30"/>
        <v>0</v>
      </c>
      <c r="H218" s="372"/>
      <c r="I218" s="373"/>
      <c r="J218" s="363">
        <f t="shared" si="32"/>
        <v>0</v>
      </c>
      <c r="K218" s="374"/>
      <c r="L218" s="363">
        <f t="shared" si="33"/>
        <v>0</v>
      </c>
      <c r="M218" s="370">
        <f t="shared" si="31"/>
        <v>0</v>
      </c>
    </row>
    <row r="219" spans="1:13" ht="15" outlineLevel="1" x14ac:dyDescent="0.2">
      <c r="A219" s="372"/>
      <c r="B219" s="795"/>
      <c r="C219" s="363">
        <f t="shared" si="28"/>
        <v>0</v>
      </c>
      <c r="D219" s="798"/>
      <c r="E219" s="365">
        <f t="shared" si="29"/>
        <v>0</v>
      </c>
      <c r="F219" s="370">
        <f t="shared" si="30"/>
        <v>0</v>
      </c>
      <c r="H219" s="372"/>
      <c r="I219" s="373"/>
      <c r="J219" s="363">
        <f t="shared" si="32"/>
        <v>0</v>
      </c>
      <c r="K219" s="374"/>
      <c r="L219" s="363">
        <f t="shared" si="33"/>
        <v>0</v>
      </c>
      <c r="M219" s="370">
        <f t="shared" si="31"/>
        <v>0</v>
      </c>
    </row>
    <row r="220" spans="1:13" ht="15" outlineLevel="1" x14ac:dyDescent="0.2">
      <c r="A220" s="372"/>
      <c r="B220" s="795"/>
      <c r="C220" s="363">
        <f t="shared" si="28"/>
        <v>0</v>
      </c>
      <c r="D220" s="798"/>
      <c r="E220" s="365">
        <f t="shared" si="29"/>
        <v>0</v>
      </c>
      <c r="F220" s="370">
        <f t="shared" si="30"/>
        <v>0</v>
      </c>
      <c r="H220" s="372"/>
      <c r="I220" s="373"/>
      <c r="J220" s="363">
        <f t="shared" si="32"/>
        <v>0</v>
      </c>
      <c r="K220" s="374"/>
      <c r="L220" s="363">
        <f t="shared" si="33"/>
        <v>0</v>
      </c>
      <c r="M220" s="370">
        <f t="shared" si="31"/>
        <v>0</v>
      </c>
    </row>
    <row r="221" spans="1:13" ht="15" outlineLevel="1" x14ac:dyDescent="0.2">
      <c r="A221" s="372"/>
      <c r="B221" s="795"/>
      <c r="C221" s="363">
        <f t="shared" si="28"/>
        <v>0</v>
      </c>
      <c r="D221" s="798"/>
      <c r="E221" s="365">
        <f t="shared" si="29"/>
        <v>0</v>
      </c>
      <c r="F221" s="370">
        <f t="shared" si="30"/>
        <v>0</v>
      </c>
      <c r="H221" s="372"/>
      <c r="I221" s="373"/>
      <c r="J221" s="363">
        <f t="shared" si="32"/>
        <v>0</v>
      </c>
      <c r="K221" s="374"/>
      <c r="L221" s="363">
        <f t="shared" si="33"/>
        <v>0</v>
      </c>
      <c r="M221" s="370">
        <f t="shared" si="31"/>
        <v>0</v>
      </c>
    </row>
    <row r="222" spans="1:13" ht="15" outlineLevel="1" x14ac:dyDescent="0.2">
      <c r="A222" s="372"/>
      <c r="B222" s="795"/>
      <c r="C222" s="363">
        <f t="shared" si="28"/>
        <v>0</v>
      </c>
      <c r="D222" s="798"/>
      <c r="E222" s="365">
        <f t="shared" si="29"/>
        <v>0</v>
      </c>
      <c r="F222" s="370">
        <f t="shared" si="30"/>
        <v>0</v>
      </c>
      <c r="H222" s="372"/>
      <c r="I222" s="373"/>
      <c r="J222" s="363">
        <f t="shared" si="32"/>
        <v>0</v>
      </c>
      <c r="K222" s="374"/>
      <c r="L222" s="363">
        <f t="shared" si="33"/>
        <v>0</v>
      </c>
      <c r="M222" s="370">
        <f t="shared" si="31"/>
        <v>0</v>
      </c>
    </row>
    <row r="223" spans="1:13" ht="15" outlineLevel="1" x14ac:dyDescent="0.2">
      <c r="A223" s="372"/>
      <c r="B223" s="795"/>
      <c r="C223" s="363">
        <f t="shared" si="28"/>
        <v>0</v>
      </c>
      <c r="D223" s="798"/>
      <c r="E223" s="365">
        <f t="shared" si="29"/>
        <v>0</v>
      </c>
      <c r="F223" s="370">
        <f t="shared" si="30"/>
        <v>0</v>
      </c>
      <c r="H223" s="372"/>
      <c r="I223" s="373"/>
      <c r="J223" s="363">
        <f t="shared" si="32"/>
        <v>0</v>
      </c>
      <c r="K223" s="374"/>
      <c r="L223" s="363">
        <f t="shared" si="33"/>
        <v>0</v>
      </c>
      <c r="M223" s="370">
        <f t="shared" si="31"/>
        <v>0</v>
      </c>
    </row>
    <row r="224" spans="1:13" ht="15.75" outlineLevel="1" thickBot="1" x14ac:dyDescent="0.25">
      <c r="A224" s="372"/>
      <c r="B224" s="795"/>
      <c r="C224" s="363">
        <f t="shared" si="28"/>
        <v>0</v>
      </c>
      <c r="D224" s="798"/>
      <c r="E224" s="365">
        <f t="shared" si="29"/>
        <v>0</v>
      </c>
      <c r="F224" s="375">
        <f t="shared" si="30"/>
        <v>0</v>
      </c>
      <c r="H224" s="372"/>
      <c r="I224" s="373"/>
      <c r="J224" s="363">
        <f t="shared" si="32"/>
        <v>0</v>
      </c>
      <c r="K224" s="374"/>
      <c r="L224" s="363">
        <f t="shared" si="33"/>
        <v>0</v>
      </c>
      <c r="M224" s="375">
        <f t="shared" si="31"/>
        <v>0</v>
      </c>
    </row>
    <row r="225" spans="1:13" ht="15.75" outlineLevel="1" thickBot="1" x14ac:dyDescent="0.25">
      <c r="A225" s="348" t="s">
        <v>1007</v>
      </c>
      <c r="B225" s="358"/>
      <c r="C225" s="492" t="s">
        <v>107</v>
      </c>
      <c r="D225" s="359">
        <f>ROUND(SUMPRODUCT(Table18251326[Height],Table18251326[Width]),1)</f>
        <v>0</v>
      </c>
      <c r="E225" s="358" t="s">
        <v>106</v>
      </c>
      <c r="F225" s="359">
        <f>SUM(F200:F224)*(B198*D198)</f>
        <v>0</v>
      </c>
      <c r="H225" s="348" t="s">
        <v>1007</v>
      </c>
      <c r="I225" s="376"/>
      <c r="J225" s="492" t="s">
        <v>107</v>
      </c>
      <c r="K225" s="359">
        <f>ROUND(SUMPRODUCT(Table19261427[Height],Table19261427[Width])+SUMIF(Name,"Powder Floor Tile",Area)+SUMIF('CSV FF'!A:A,"Powder Floor Tile",'CSV FF'!F:F),1)</f>
        <v>0</v>
      </c>
      <c r="L225" s="358" t="s">
        <v>106</v>
      </c>
      <c r="M225" s="359">
        <f>SUM(M200:M224)*(I198*K198)</f>
        <v>0</v>
      </c>
    </row>
    <row r="226" spans="1:13" ht="13.5" thickBot="1" x14ac:dyDescent="0.25"/>
    <row r="227" spans="1:13" ht="21.75" outlineLevel="1" thickBot="1" x14ac:dyDescent="0.25">
      <c r="A227" s="1369" t="s">
        <v>1623</v>
      </c>
      <c r="B227" s="1370"/>
      <c r="C227" s="1370"/>
      <c r="D227" s="1370"/>
      <c r="E227" s="1370"/>
      <c r="F227" s="1371"/>
      <c r="H227" s="1369" t="s">
        <v>1624</v>
      </c>
      <c r="I227" s="1370"/>
      <c r="J227" s="1370"/>
      <c r="K227" s="1370"/>
      <c r="L227" s="1370"/>
      <c r="M227" s="1371"/>
    </row>
    <row r="228" spans="1:13" ht="15.75" outlineLevel="1" thickBot="1" x14ac:dyDescent="0.25">
      <c r="A228" s="353" t="s">
        <v>551</v>
      </c>
      <c r="B228" s="810" t="s">
        <v>661</v>
      </c>
      <c r="C228" s="354" t="s">
        <v>672</v>
      </c>
      <c r="D228" s="355">
        <v>44</v>
      </c>
      <c r="E228" s="356">
        <f>IF($B$1="Magic Tiles",0.3,IF($B$1="Tiles Plus",0.3,0.2))</f>
        <v>0.2</v>
      </c>
      <c r="F228" s="471">
        <f>IF(C228="Nett",ROUND(D228/1.1,2),IF(C228="Each",(1/(B230*D230)*D228/1.1),IF(C228="M2",(IF(AND(OR($B$1="Armanti Bunbury",$B$1="Armanti Busselton"),(D228&lt;=44)),30,IF(AND($B$1="Magic Tiles",D228&lt;=44),25.46,IF(AND(OR($B$1="Trimview"),(D228&lt;=44)),32,IF(C228="M2",D228/1.1-E228*D228/1.1,0))))))))</f>
        <v>32</v>
      </c>
      <c r="G228" s="472"/>
      <c r="H228" s="353" t="s">
        <v>551</v>
      </c>
      <c r="I228" s="810" t="s">
        <v>661</v>
      </c>
      <c r="J228" s="354" t="s">
        <v>672</v>
      </c>
      <c r="K228" s="355">
        <v>44</v>
      </c>
      <c r="L228" s="356">
        <f>IF($B$1="Magic Tiles",0.3,IF($B$1="Tiles Plus",0.3,0.2))</f>
        <v>0.2</v>
      </c>
      <c r="M228" s="471">
        <f>IF(J228="Nett",ROUND(K228/1.1,2),IF(J228="Each",(1/(I230*K230)*K228/1.1),IF(J228="M2",(IF(AND(OR($B$1="Armanti Bunbury",$B$1="Armanti Busselton"),(K228&lt;=44)),30,IF(AND($B$1="Magic Tiles",K228&lt;=44),25.46,IF(AND(OR($B$1="Trimview"),(K228&lt;=44)),32,IF(J228="M2",K228/1.1-L228*K228/1.1,0))))))))</f>
        <v>32</v>
      </c>
    </row>
    <row r="229" spans="1:13" ht="15.75" outlineLevel="1" thickBot="1" x14ac:dyDescent="0.25">
      <c r="A229" s="810" t="s">
        <v>1595</v>
      </c>
      <c r="B229" s="1381" t="s">
        <v>136</v>
      </c>
      <c r="C229" s="1382"/>
      <c r="D229" s="1381" t="s">
        <v>99</v>
      </c>
      <c r="E229" s="1382"/>
      <c r="F229" s="1383" t="s">
        <v>11</v>
      </c>
      <c r="G229" s="472"/>
      <c r="H229" s="810" t="s">
        <v>1595</v>
      </c>
      <c r="I229" s="1381" t="s">
        <v>34</v>
      </c>
      <c r="J229" s="1382"/>
      <c r="K229" s="1381" t="s">
        <v>99</v>
      </c>
      <c r="L229" s="1382"/>
      <c r="M229" s="1383" t="s">
        <v>11</v>
      </c>
    </row>
    <row r="230" spans="1:13" ht="15.75" outlineLevel="1" thickBot="1" x14ac:dyDescent="0.25">
      <c r="A230" s="754" t="s">
        <v>551</v>
      </c>
      <c r="B230" s="1386"/>
      <c r="C230" s="1387"/>
      <c r="D230" s="1386"/>
      <c r="E230" s="1387"/>
      <c r="F230" s="1384"/>
      <c r="G230" s="472"/>
      <c r="H230" s="754" t="s">
        <v>551</v>
      </c>
      <c r="I230" s="1388"/>
      <c r="J230" s="1387"/>
      <c r="K230" s="1388"/>
      <c r="L230" s="1387"/>
      <c r="M230" s="1384"/>
    </row>
    <row r="231" spans="1:13" ht="15.75" outlineLevel="1" thickBot="1" x14ac:dyDescent="0.25">
      <c r="A231" s="492" t="s">
        <v>7</v>
      </c>
      <c r="B231" s="491" t="s">
        <v>136</v>
      </c>
      <c r="C231" s="492" t="s">
        <v>1001</v>
      </c>
      <c r="D231" s="491" t="s">
        <v>99</v>
      </c>
      <c r="E231" s="492" t="s">
        <v>1002</v>
      </c>
      <c r="F231" s="335" t="s">
        <v>11</v>
      </c>
      <c r="G231" s="472"/>
      <c r="H231" s="492" t="s">
        <v>7</v>
      </c>
      <c r="I231" s="491" t="s">
        <v>136</v>
      </c>
      <c r="J231" s="492" t="s">
        <v>1001</v>
      </c>
      <c r="K231" s="491" t="s">
        <v>99</v>
      </c>
      <c r="L231" s="492" t="s">
        <v>1002</v>
      </c>
      <c r="M231" s="335" t="s">
        <v>11</v>
      </c>
    </row>
    <row r="232" spans="1:13" ht="15.75" outlineLevel="1" thickBot="1" x14ac:dyDescent="0.25">
      <c r="A232" s="476"/>
      <c r="B232" s="474"/>
      <c r="C232" s="493">
        <f t="shared" ref="C232:C272" si="34">IF($B$230&gt;0,IF(OR(B232&lt;0,D232&lt;0),ROUNDDOWN(B232/$B$230,0),(CEILING(B232/$B$230,1))),0)</f>
        <v>0</v>
      </c>
      <c r="D232" s="475"/>
      <c r="E232" s="494">
        <f>IF($D$230&gt;0,IF(OR(B232&lt;0,D232&lt;0),ROUNDDOWN(D232/$D$230,0),CEILING(D232/$D$230,1)),0)</f>
        <v>0</v>
      </c>
      <c r="F232" s="335">
        <f t="shared" ref="F232:F272" si="35">C232*E232</f>
        <v>0</v>
      </c>
      <c r="G232" s="472"/>
      <c r="H232" s="473" t="s">
        <v>408</v>
      </c>
      <c r="I232" s="474"/>
      <c r="J232" s="493">
        <f t="shared" ref="J232:J272" si="36">IF($I$230&gt;0,IF(OR(I232&lt;0,K232&lt;0),ROUNDDOWN(I232/$I$230,0),CEILING(I232/$I$230,1)),0)</f>
        <v>0</v>
      </c>
      <c r="K232" s="475"/>
      <c r="L232" s="494">
        <f t="shared" ref="L232:L272" si="37">IF($K$230&gt;0,IF(OR(I232&lt;0,K232&lt;0),ROUNDDOWN(K232/$K$230,0),CEILING(K232/$K$230,1)),0)</f>
        <v>0</v>
      </c>
      <c r="M232" s="491">
        <f>IFERROR(ROUNDUP(SUMIF(Name,"Bathroom 2 Floor Tile",Area)/(I230*K230),0),0)+IFERROR(ROUNDUP(SUMIF('CSV FF'!A:A,"Bathroom 2 Floor Tile",'CSV FF'!F:F)/(I230*K230),0),0)</f>
        <v>0</v>
      </c>
    </row>
    <row r="233" spans="1:13" ht="15" outlineLevel="1" x14ac:dyDescent="0.2">
      <c r="A233" s="479"/>
      <c r="B233" s="477"/>
      <c r="C233" s="332">
        <f t="shared" si="34"/>
        <v>0</v>
      </c>
      <c r="D233" s="478"/>
      <c r="E233" s="334">
        <f t="shared" ref="E233:E272" si="38">IF($D$230&gt;0,IF(OR(B233&lt;0,D233&lt;0),ROUNDDOWN(D233/$D$230,0),CEILING(D233/$D$230,1)),0)</f>
        <v>0</v>
      </c>
      <c r="F233" s="338">
        <f t="shared" si="35"/>
        <v>0</v>
      </c>
      <c r="G233" s="472"/>
      <c r="H233" s="479"/>
      <c r="I233" s="477"/>
      <c r="J233" s="332">
        <f t="shared" si="36"/>
        <v>0</v>
      </c>
      <c r="K233" s="478"/>
      <c r="L233" s="332">
        <f t="shared" si="37"/>
        <v>0</v>
      </c>
      <c r="M233" s="504">
        <f>Bath2FloorTable[[#This Row],[Tiles High]]*Bath2FloorTable[[#This Row],[Tiles Wide]]</f>
        <v>0</v>
      </c>
    </row>
    <row r="234" spans="1:13" ht="15" outlineLevel="1" x14ac:dyDescent="0.2">
      <c r="A234" s="479"/>
      <c r="B234" s="477"/>
      <c r="C234" s="332">
        <f t="shared" si="34"/>
        <v>0</v>
      </c>
      <c r="D234" s="478"/>
      <c r="E234" s="334">
        <f t="shared" si="38"/>
        <v>0</v>
      </c>
      <c r="F234" s="338">
        <f t="shared" si="35"/>
        <v>0</v>
      </c>
      <c r="G234" s="472"/>
      <c r="H234" s="479"/>
      <c r="I234" s="477"/>
      <c r="J234" s="332">
        <f t="shared" si="36"/>
        <v>0</v>
      </c>
      <c r="K234" s="478"/>
      <c r="L234" s="332">
        <f t="shared" si="37"/>
        <v>0</v>
      </c>
      <c r="M234" s="480">
        <f>Bath2FloorTable[[#This Row],[Tiles High]]*Bath2FloorTable[[#This Row],[Tiles Wide]]</f>
        <v>0</v>
      </c>
    </row>
    <row r="235" spans="1:13" ht="15" outlineLevel="1" x14ac:dyDescent="0.2">
      <c r="A235" s="479"/>
      <c r="B235" s="477"/>
      <c r="C235" s="332">
        <f t="shared" si="34"/>
        <v>0</v>
      </c>
      <c r="D235" s="478"/>
      <c r="E235" s="334">
        <f t="shared" si="38"/>
        <v>0</v>
      </c>
      <c r="F235" s="338">
        <f t="shared" si="35"/>
        <v>0</v>
      </c>
      <c r="G235" s="472"/>
      <c r="H235" s="479"/>
      <c r="I235" s="477"/>
      <c r="J235" s="332">
        <f t="shared" si="36"/>
        <v>0</v>
      </c>
      <c r="K235" s="478"/>
      <c r="L235" s="332">
        <f t="shared" si="37"/>
        <v>0</v>
      </c>
      <c r="M235" s="480">
        <f>Bath2FloorTable[[#This Row],[Tiles High]]*Bath2FloorTable[[#This Row],[Tiles Wide]]</f>
        <v>0</v>
      </c>
    </row>
    <row r="236" spans="1:13" ht="15" outlineLevel="1" x14ac:dyDescent="0.2">
      <c r="A236" s="479"/>
      <c r="B236" s="477"/>
      <c r="C236" s="332">
        <f t="shared" si="34"/>
        <v>0</v>
      </c>
      <c r="D236" s="478"/>
      <c r="E236" s="334">
        <f t="shared" si="38"/>
        <v>0</v>
      </c>
      <c r="F236" s="338">
        <f t="shared" si="35"/>
        <v>0</v>
      </c>
      <c r="G236" s="472"/>
      <c r="H236" s="479"/>
      <c r="I236" s="477"/>
      <c r="J236" s="332">
        <f t="shared" si="36"/>
        <v>0</v>
      </c>
      <c r="K236" s="478"/>
      <c r="L236" s="332">
        <f t="shared" si="37"/>
        <v>0</v>
      </c>
      <c r="M236" s="480">
        <f>Bath2FloorTable[[#This Row],[Tiles High]]*Bath2FloorTable[[#This Row],[Tiles Wide]]</f>
        <v>0</v>
      </c>
    </row>
    <row r="237" spans="1:13" ht="15" outlineLevel="1" x14ac:dyDescent="0.2">
      <c r="A237" s="479"/>
      <c r="B237" s="477"/>
      <c r="C237" s="332">
        <f t="shared" si="34"/>
        <v>0</v>
      </c>
      <c r="D237" s="478"/>
      <c r="E237" s="334">
        <f t="shared" si="38"/>
        <v>0</v>
      </c>
      <c r="F237" s="338">
        <f t="shared" si="35"/>
        <v>0</v>
      </c>
      <c r="G237" s="472"/>
      <c r="H237" s="479"/>
      <c r="I237" s="477"/>
      <c r="J237" s="332">
        <f t="shared" si="36"/>
        <v>0</v>
      </c>
      <c r="K237" s="478"/>
      <c r="L237" s="332">
        <f t="shared" si="37"/>
        <v>0</v>
      </c>
      <c r="M237" s="480">
        <f>Bath2FloorTable[[#This Row],[Tiles High]]*Bath2FloorTable[[#This Row],[Tiles Wide]]</f>
        <v>0</v>
      </c>
    </row>
    <row r="238" spans="1:13" ht="15" outlineLevel="1" x14ac:dyDescent="0.2">
      <c r="A238" s="479"/>
      <c r="B238" s="477"/>
      <c r="C238" s="332">
        <f t="shared" si="34"/>
        <v>0</v>
      </c>
      <c r="D238" s="478"/>
      <c r="E238" s="334">
        <f t="shared" si="38"/>
        <v>0</v>
      </c>
      <c r="F238" s="338">
        <f t="shared" si="35"/>
        <v>0</v>
      </c>
      <c r="G238" s="472"/>
      <c r="H238" s="479"/>
      <c r="I238" s="477"/>
      <c r="J238" s="332">
        <f t="shared" si="36"/>
        <v>0</v>
      </c>
      <c r="K238" s="478"/>
      <c r="L238" s="332">
        <f t="shared" si="37"/>
        <v>0</v>
      </c>
      <c r="M238" s="480">
        <f>Bath2FloorTable[[#This Row],[Tiles High]]*Bath2FloorTable[[#This Row],[Tiles Wide]]</f>
        <v>0</v>
      </c>
    </row>
    <row r="239" spans="1:13" ht="15" outlineLevel="1" x14ac:dyDescent="0.2">
      <c r="A239" s="479"/>
      <c r="B239" s="477"/>
      <c r="C239" s="332">
        <f t="shared" si="34"/>
        <v>0</v>
      </c>
      <c r="D239" s="478"/>
      <c r="E239" s="334">
        <f t="shared" si="38"/>
        <v>0</v>
      </c>
      <c r="F239" s="338">
        <f t="shared" si="35"/>
        <v>0</v>
      </c>
      <c r="G239" s="472"/>
      <c r="H239" s="479"/>
      <c r="I239" s="477"/>
      <c r="J239" s="332">
        <f t="shared" si="36"/>
        <v>0</v>
      </c>
      <c r="K239" s="478"/>
      <c r="L239" s="332">
        <f t="shared" si="37"/>
        <v>0</v>
      </c>
      <c r="M239" s="480">
        <f>Bath2FloorTable[[#This Row],[Tiles High]]*Bath2FloorTable[[#This Row],[Tiles Wide]]</f>
        <v>0</v>
      </c>
    </row>
    <row r="240" spans="1:13" ht="15" outlineLevel="1" x14ac:dyDescent="0.2">
      <c r="A240" s="479"/>
      <c r="B240" s="477"/>
      <c r="C240" s="332">
        <f t="shared" si="34"/>
        <v>0</v>
      </c>
      <c r="D240" s="478"/>
      <c r="E240" s="334">
        <f t="shared" si="38"/>
        <v>0</v>
      </c>
      <c r="F240" s="338">
        <f t="shared" si="35"/>
        <v>0</v>
      </c>
      <c r="G240" s="472"/>
      <c r="H240" s="479"/>
      <c r="I240" s="477"/>
      <c r="J240" s="332">
        <f t="shared" si="36"/>
        <v>0</v>
      </c>
      <c r="K240" s="478"/>
      <c r="L240" s="332">
        <f t="shared" si="37"/>
        <v>0</v>
      </c>
      <c r="M240" s="480">
        <f>Bath2FloorTable[[#This Row],[Tiles High]]*Bath2FloorTable[[#This Row],[Tiles Wide]]</f>
        <v>0</v>
      </c>
    </row>
    <row r="241" spans="1:13" ht="15" outlineLevel="1" x14ac:dyDescent="0.2">
      <c r="A241" s="479"/>
      <c r="B241" s="477"/>
      <c r="C241" s="332">
        <f t="shared" si="34"/>
        <v>0</v>
      </c>
      <c r="D241" s="478"/>
      <c r="E241" s="334">
        <f t="shared" si="38"/>
        <v>0</v>
      </c>
      <c r="F241" s="338">
        <f t="shared" si="35"/>
        <v>0</v>
      </c>
      <c r="G241" s="472"/>
      <c r="H241" s="479"/>
      <c r="I241" s="477"/>
      <c r="J241" s="332">
        <f t="shared" si="36"/>
        <v>0</v>
      </c>
      <c r="K241" s="478"/>
      <c r="L241" s="332">
        <f t="shared" si="37"/>
        <v>0</v>
      </c>
      <c r="M241" s="480">
        <f>Bath2FloorTable[[#This Row],[Tiles High]]*Bath2FloorTable[[#This Row],[Tiles Wide]]</f>
        <v>0</v>
      </c>
    </row>
    <row r="242" spans="1:13" ht="15" outlineLevel="1" x14ac:dyDescent="0.2">
      <c r="A242" s="479"/>
      <c r="B242" s="477"/>
      <c r="C242" s="332">
        <f t="shared" si="34"/>
        <v>0</v>
      </c>
      <c r="D242" s="478"/>
      <c r="E242" s="334">
        <f t="shared" si="38"/>
        <v>0</v>
      </c>
      <c r="F242" s="338">
        <f t="shared" si="35"/>
        <v>0</v>
      </c>
      <c r="G242" s="472"/>
      <c r="H242" s="479"/>
      <c r="I242" s="477"/>
      <c r="J242" s="332">
        <f t="shared" si="36"/>
        <v>0</v>
      </c>
      <c r="K242" s="478"/>
      <c r="L242" s="332">
        <f t="shared" si="37"/>
        <v>0</v>
      </c>
      <c r="M242" s="480">
        <f>Bath2FloorTable[[#This Row],[Tiles High]]*Bath2FloorTable[[#This Row],[Tiles Wide]]</f>
        <v>0</v>
      </c>
    </row>
    <row r="243" spans="1:13" ht="15" outlineLevel="1" x14ac:dyDescent="0.2">
      <c r="A243" s="479"/>
      <c r="B243" s="477"/>
      <c r="C243" s="332">
        <f t="shared" si="34"/>
        <v>0</v>
      </c>
      <c r="D243" s="478"/>
      <c r="E243" s="334">
        <f t="shared" si="38"/>
        <v>0</v>
      </c>
      <c r="F243" s="338">
        <f t="shared" si="35"/>
        <v>0</v>
      </c>
      <c r="G243" s="472"/>
      <c r="H243" s="479"/>
      <c r="I243" s="477"/>
      <c r="J243" s="332">
        <f t="shared" si="36"/>
        <v>0</v>
      </c>
      <c r="K243" s="478"/>
      <c r="L243" s="332">
        <f t="shared" si="37"/>
        <v>0</v>
      </c>
      <c r="M243" s="480">
        <f>Bath2FloorTable[[#This Row],[Tiles High]]*Bath2FloorTable[[#This Row],[Tiles Wide]]</f>
        <v>0</v>
      </c>
    </row>
    <row r="244" spans="1:13" ht="15" outlineLevel="1" x14ac:dyDescent="0.2">
      <c r="A244" s="479"/>
      <c r="B244" s="477"/>
      <c r="C244" s="332">
        <f t="shared" si="34"/>
        <v>0</v>
      </c>
      <c r="D244" s="478"/>
      <c r="E244" s="334">
        <f t="shared" si="38"/>
        <v>0</v>
      </c>
      <c r="F244" s="338">
        <f t="shared" si="35"/>
        <v>0</v>
      </c>
      <c r="G244" s="472"/>
      <c r="H244" s="479"/>
      <c r="I244" s="477"/>
      <c r="J244" s="332">
        <f t="shared" si="36"/>
        <v>0</v>
      </c>
      <c r="K244" s="478"/>
      <c r="L244" s="332">
        <f t="shared" si="37"/>
        <v>0</v>
      </c>
      <c r="M244" s="480">
        <f>Bath2FloorTable[[#This Row],[Tiles High]]*Bath2FloorTable[[#This Row],[Tiles Wide]]</f>
        <v>0</v>
      </c>
    </row>
    <row r="245" spans="1:13" ht="15" outlineLevel="1" x14ac:dyDescent="0.2">
      <c r="A245" s="479"/>
      <c r="B245" s="477"/>
      <c r="C245" s="332">
        <f t="shared" si="34"/>
        <v>0</v>
      </c>
      <c r="D245" s="478"/>
      <c r="E245" s="334">
        <f t="shared" si="38"/>
        <v>0</v>
      </c>
      <c r="F245" s="338">
        <f t="shared" si="35"/>
        <v>0</v>
      </c>
      <c r="G245" s="472"/>
      <c r="H245" s="479"/>
      <c r="I245" s="477"/>
      <c r="J245" s="332">
        <f t="shared" si="36"/>
        <v>0</v>
      </c>
      <c r="K245" s="478"/>
      <c r="L245" s="332">
        <f t="shared" si="37"/>
        <v>0</v>
      </c>
      <c r="M245" s="480">
        <f>Bath2FloorTable[[#This Row],[Tiles High]]*Bath2FloorTable[[#This Row],[Tiles Wide]]</f>
        <v>0</v>
      </c>
    </row>
    <row r="246" spans="1:13" ht="15" outlineLevel="1" x14ac:dyDescent="0.2">
      <c r="A246" s="479"/>
      <c r="B246" s="477"/>
      <c r="C246" s="332">
        <f t="shared" si="34"/>
        <v>0</v>
      </c>
      <c r="D246" s="478"/>
      <c r="E246" s="334">
        <f t="shared" si="38"/>
        <v>0</v>
      </c>
      <c r="F246" s="338">
        <f t="shared" si="35"/>
        <v>0</v>
      </c>
      <c r="G246" s="472"/>
      <c r="H246" s="479"/>
      <c r="I246" s="477"/>
      <c r="J246" s="332">
        <f t="shared" si="36"/>
        <v>0</v>
      </c>
      <c r="K246" s="478"/>
      <c r="L246" s="332">
        <f t="shared" si="37"/>
        <v>0</v>
      </c>
      <c r="M246" s="480">
        <f>Bath2FloorTable[[#This Row],[Tiles High]]*Bath2FloorTable[[#This Row],[Tiles Wide]]</f>
        <v>0</v>
      </c>
    </row>
    <row r="247" spans="1:13" ht="15" outlineLevel="1" x14ac:dyDescent="0.2">
      <c r="A247" s="479"/>
      <c r="B247" s="482"/>
      <c r="C247" s="332">
        <f t="shared" si="34"/>
        <v>0</v>
      </c>
      <c r="D247" s="483"/>
      <c r="E247" s="334">
        <f t="shared" si="38"/>
        <v>0</v>
      </c>
      <c r="F247" s="338">
        <f t="shared" si="35"/>
        <v>0</v>
      </c>
      <c r="G247" s="472"/>
      <c r="H247" s="479"/>
      <c r="I247" s="482"/>
      <c r="J247" s="332">
        <f t="shared" si="36"/>
        <v>0</v>
      </c>
      <c r="K247" s="483"/>
      <c r="L247" s="332">
        <f t="shared" si="37"/>
        <v>0</v>
      </c>
      <c r="M247" s="480">
        <f>Bath2FloorTable[[#This Row],[Tiles High]]*Bath2FloorTable[[#This Row],[Tiles Wide]]</f>
        <v>0</v>
      </c>
    </row>
    <row r="248" spans="1:13" ht="15" outlineLevel="1" x14ac:dyDescent="0.2">
      <c r="A248" s="479"/>
      <c r="B248" s="482"/>
      <c r="C248" s="332">
        <f t="shared" si="34"/>
        <v>0</v>
      </c>
      <c r="D248" s="483"/>
      <c r="E248" s="334">
        <f t="shared" si="38"/>
        <v>0</v>
      </c>
      <c r="F248" s="338">
        <f t="shared" si="35"/>
        <v>0</v>
      </c>
      <c r="G248" s="472"/>
      <c r="H248" s="479"/>
      <c r="I248" s="482"/>
      <c r="J248" s="332">
        <f t="shared" si="36"/>
        <v>0</v>
      </c>
      <c r="K248" s="483"/>
      <c r="L248" s="332">
        <f t="shared" si="37"/>
        <v>0</v>
      </c>
      <c r="M248" s="480">
        <f>Bath2FloorTable[[#This Row],[Tiles High]]*Bath2FloorTable[[#This Row],[Tiles Wide]]</f>
        <v>0</v>
      </c>
    </row>
    <row r="249" spans="1:13" ht="15" outlineLevel="1" x14ac:dyDescent="0.2">
      <c r="A249" s="479"/>
      <c r="B249" s="482"/>
      <c r="C249" s="332">
        <f t="shared" si="34"/>
        <v>0</v>
      </c>
      <c r="D249" s="483"/>
      <c r="E249" s="334">
        <f t="shared" si="38"/>
        <v>0</v>
      </c>
      <c r="F249" s="338">
        <f t="shared" si="35"/>
        <v>0</v>
      </c>
      <c r="G249" s="472"/>
      <c r="H249" s="479"/>
      <c r="I249" s="482"/>
      <c r="J249" s="332">
        <f t="shared" si="36"/>
        <v>0</v>
      </c>
      <c r="K249" s="483"/>
      <c r="L249" s="332">
        <f t="shared" si="37"/>
        <v>0</v>
      </c>
      <c r="M249" s="480">
        <f>Bath2FloorTable[[#This Row],[Tiles High]]*Bath2FloorTable[[#This Row],[Tiles Wide]]</f>
        <v>0</v>
      </c>
    </row>
    <row r="250" spans="1:13" ht="15" outlineLevel="1" x14ac:dyDescent="0.2">
      <c r="A250" s="479"/>
      <c r="B250" s="482"/>
      <c r="C250" s="332">
        <f t="shared" si="34"/>
        <v>0</v>
      </c>
      <c r="D250" s="483"/>
      <c r="E250" s="334">
        <f t="shared" si="38"/>
        <v>0</v>
      </c>
      <c r="F250" s="338">
        <f t="shared" si="35"/>
        <v>0</v>
      </c>
      <c r="G250" s="472"/>
      <c r="H250" s="479"/>
      <c r="I250" s="482"/>
      <c r="J250" s="332">
        <f t="shared" si="36"/>
        <v>0</v>
      </c>
      <c r="K250" s="483"/>
      <c r="L250" s="332">
        <f t="shared" si="37"/>
        <v>0</v>
      </c>
      <c r="M250" s="480">
        <f>Bath2FloorTable[[#This Row],[Tiles High]]*Bath2FloorTable[[#This Row],[Tiles Wide]]</f>
        <v>0</v>
      </c>
    </row>
    <row r="251" spans="1:13" ht="15" outlineLevel="1" x14ac:dyDescent="0.2">
      <c r="A251" s="479"/>
      <c r="B251" s="482"/>
      <c r="C251" s="332">
        <f t="shared" si="34"/>
        <v>0</v>
      </c>
      <c r="D251" s="483"/>
      <c r="E251" s="334">
        <f t="shared" si="38"/>
        <v>0</v>
      </c>
      <c r="F251" s="338">
        <f t="shared" si="35"/>
        <v>0</v>
      </c>
      <c r="G251" s="472"/>
      <c r="H251" s="479"/>
      <c r="I251" s="482"/>
      <c r="J251" s="332">
        <f t="shared" si="36"/>
        <v>0</v>
      </c>
      <c r="K251" s="483"/>
      <c r="L251" s="332">
        <f t="shared" si="37"/>
        <v>0</v>
      </c>
      <c r="M251" s="480">
        <f>Bath2FloorTable[[#This Row],[Tiles High]]*Bath2FloorTable[[#This Row],[Tiles Wide]]</f>
        <v>0</v>
      </c>
    </row>
    <row r="252" spans="1:13" ht="15" outlineLevel="1" x14ac:dyDescent="0.2">
      <c r="A252" s="479"/>
      <c r="B252" s="482"/>
      <c r="C252" s="332">
        <f t="shared" si="34"/>
        <v>0</v>
      </c>
      <c r="D252" s="483"/>
      <c r="E252" s="334">
        <f t="shared" si="38"/>
        <v>0</v>
      </c>
      <c r="F252" s="338">
        <f t="shared" si="35"/>
        <v>0</v>
      </c>
      <c r="G252" s="472"/>
      <c r="H252" s="479"/>
      <c r="I252" s="482"/>
      <c r="J252" s="332">
        <f t="shared" si="36"/>
        <v>0</v>
      </c>
      <c r="K252" s="483"/>
      <c r="L252" s="332">
        <f t="shared" si="37"/>
        <v>0</v>
      </c>
      <c r="M252" s="480">
        <f>Bath2FloorTable[[#This Row],[Tiles High]]*Bath2FloorTable[[#This Row],[Tiles Wide]]</f>
        <v>0</v>
      </c>
    </row>
    <row r="253" spans="1:13" ht="15" outlineLevel="1" x14ac:dyDescent="0.2">
      <c r="A253" s="479"/>
      <c r="B253" s="482"/>
      <c r="C253" s="332">
        <f t="shared" si="34"/>
        <v>0</v>
      </c>
      <c r="D253" s="483"/>
      <c r="E253" s="334">
        <f t="shared" si="38"/>
        <v>0</v>
      </c>
      <c r="F253" s="338">
        <f t="shared" si="35"/>
        <v>0</v>
      </c>
      <c r="G253" s="472"/>
      <c r="H253" s="479"/>
      <c r="I253" s="482"/>
      <c r="J253" s="332">
        <f t="shared" si="36"/>
        <v>0</v>
      </c>
      <c r="K253" s="483"/>
      <c r="L253" s="332">
        <f t="shared" si="37"/>
        <v>0</v>
      </c>
      <c r="M253" s="480">
        <f>Bath2FloorTable[[#This Row],[Tiles High]]*Bath2FloorTable[[#This Row],[Tiles Wide]]</f>
        <v>0</v>
      </c>
    </row>
    <row r="254" spans="1:13" ht="15" outlineLevel="1" x14ac:dyDescent="0.2">
      <c r="A254" s="479"/>
      <c r="B254" s="482"/>
      <c r="C254" s="332">
        <f t="shared" si="34"/>
        <v>0</v>
      </c>
      <c r="D254" s="483"/>
      <c r="E254" s="334">
        <f t="shared" si="38"/>
        <v>0</v>
      </c>
      <c r="F254" s="338">
        <f t="shared" si="35"/>
        <v>0</v>
      </c>
      <c r="G254" s="472"/>
      <c r="H254" s="479"/>
      <c r="I254" s="482"/>
      <c r="J254" s="332">
        <f t="shared" si="36"/>
        <v>0</v>
      </c>
      <c r="K254" s="483"/>
      <c r="L254" s="332">
        <f t="shared" si="37"/>
        <v>0</v>
      </c>
      <c r="M254" s="480">
        <f>Bath2FloorTable[[#This Row],[Tiles High]]*Bath2FloorTable[[#This Row],[Tiles Wide]]</f>
        <v>0</v>
      </c>
    </row>
    <row r="255" spans="1:13" ht="15" outlineLevel="1" x14ac:dyDescent="0.2">
      <c r="A255" s="479"/>
      <c r="B255" s="482"/>
      <c r="C255" s="332">
        <f t="shared" si="34"/>
        <v>0</v>
      </c>
      <c r="D255" s="483"/>
      <c r="E255" s="334">
        <f t="shared" si="38"/>
        <v>0</v>
      </c>
      <c r="F255" s="338">
        <f t="shared" si="35"/>
        <v>0</v>
      </c>
      <c r="G255" s="472"/>
      <c r="H255" s="479"/>
      <c r="I255" s="482"/>
      <c r="J255" s="332">
        <f t="shared" si="36"/>
        <v>0</v>
      </c>
      <c r="K255" s="483"/>
      <c r="L255" s="332">
        <f t="shared" si="37"/>
        <v>0</v>
      </c>
      <c r="M255" s="480">
        <f>Bath2FloorTable[[#This Row],[Tiles High]]*Bath2FloorTable[[#This Row],[Tiles Wide]]</f>
        <v>0</v>
      </c>
    </row>
    <row r="256" spans="1:13" ht="15" outlineLevel="1" x14ac:dyDescent="0.2">
      <c r="A256" s="479"/>
      <c r="B256" s="482"/>
      <c r="C256" s="332">
        <f t="shared" si="34"/>
        <v>0</v>
      </c>
      <c r="D256" s="483"/>
      <c r="E256" s="334">
        <f t="shared" si="38"/>
        <v>0</v>
      </c>
      <c r="F256" s="341">
        <f t="shared" si="35"/>
        <v>0</v>
      </c>
      <c r="G256" s="472"/>
      <c r="H256" s="479"/>
      <c r="I256" s="482"/>
      <c r="J256" s="332">
        <f t="shared" si="36"/>
        <v>0</v>
      </c>
      <c r="K256" s="483"/>
      <c r="L256" s="332">
        <f t="shared" si="37"/>
        <v>0</v>
      </c>
      <c r="M256" s="484">
        <f>Bath2FloorTable[[#This Row],[Tiles High]]*Bath2FloorTable[[#This Row],[Tiles Wide]]</f>
        <v>0</v>
      </c>
    </row>
    <row r="257" spans="1:13" ht="15" outlineLevel="1" x14ac:dyDescent="0.2">
      <c r="A257" s="479"/>
      <c r="B257" s="482"/>
      <c r="C257" s="332">
        <f t="shared" si="34"/>
        <v>0</v>
      </c>
      <c r="D257" s="483"/>
      <c r="E257" s="334">
        <f t="shared" si="38"/>
        <v>0</v>
      </c>
      <c r="F257" s="338">
        <f t="shared" si="35"/>
        <v>0</v>
      </c>
      <c r="G257" s="472"/>
      <c r="H257" s="479"/>
      <c r="I257" s="482"/>
      <c r="J257" s="332">
        <f t="shared" si="36"/>
        <v>0</v>
      </c>
      <c r="K257" s="483"/>
      <c r="L257" s="332">
        <f t="shared" si="37"/>
        <v>0</v>
      </c>
      <c r="M257" s="480">
        <f>Bath2FloorTable[[#This Row],[Tiles High]]*Bath2FloorTable[[#This Row],[Tiles Wide]]</f>
        <v>0</v>
      </c>
    </row>
    <row r="258" spans="1:13" ht="15" outlineLevel="1" x14ac:dyDescent="0.2">
      <c r="A258" s="479"/>
      <c r="B258" s="482"/>
      <c r="C258" s="332">
        <f t="shared" si="34"/>
        <v>0</v>
      </c>
      <c r="D258" s="483"/>
      <c r="E258" s="334">
        <f t="shared" si="38"/>
        <v>0</v>
      </c>
      <c r="F258" s="338">
        <f t="shared" si="35"/>
        <v>0</v>
      </c>
      <c r="G258" s="472"/>
      <c r="H258" s="479"/>
      <c r="I258" s="482"/>
      <c r="J258" s="332">
        <f t="shared" si="36"/>
        <v>0</v>
      </c>
      <c r="K258" s="483"/>
      <c r="L258" s="332">
        <f t="shared" si="37"/>
        <v>0</v>
      </c>
      <c r="M258" s="480">
        <f>Bath2FloorTable[[#This Row],[Tiles High]]*Bath2FloorTable[[#This Row],[Tiles Wide]]</f>
        <v>0</v>
      </c>
    </row>
    <row r="259" spans="1:13" ht="15" outlineLevel="1" x14ac:dyDescent="0.2">
      <c r="A259" s="479"/>
      <c r="B259" s="482"/>
      <c r="C259" s="332">
        <f t="shared" si="34"/>
        <v>0</v>
      </c>
      <c r="D259" s="483"/>
      <c r="E259" s="334">
        <f t="shared" si="38"/>
        <v>0</v>
      </c>
      <c r="F259" s="338">
        <f t="shared" si="35"/>
        <v>0</v>
      </c>
      <c r="G259" s="472"/>
      <c r="H259" s="479"/>
      <c r="I259" s="482"/>
      <c r="J259" s="332">
        <f t="shared" si="36"/>
        <v>0</v>
      </c>
      <c r="K259" s="483"/>
      <c r="L259" s="332">
        <f t="shared" si="37"/>
        <v>0</v>
      </c>
      <c r="M259" s="480">
        <f>Bath2FloorTable[[#This Row],[Tiles High]]*Bath2FloorTable[[#This Row],[Tiles Wide]]</f>
        <v>0</v>
      </c>
    </row>
    <row r="260" spans="1:13" ht="15" outlineLevel="1" x14ac:dyDescent="0.2">
      <c r="A260" s="479"/>
      <c r="B260" s="482"/>
      <c r="C260" s="332">
        <f t="shared" si="34"/>
        <v>0</v>
      </c>
      <c r="D260" s="483"/>
      <c r="E260" s="334">
        <f t="shared" si="38"/>
        <v>0</v>
      </c>
      <c r="F260" s="338">
        <f t="shared" si="35"/>
        <v>0</v>
      </c>
      <c r="G260" s="472"/>
      <c r="H260" s="479"/>
      <c r="I260" s="482"/>
      <c r="J260" s="332">
        <f t="shared" si="36"/>
        <v>0</v>
      </c>
      <c r="K260" s="483"/>
      <c r="L260" s="332">
        <f t="shared" si="37"/>
        <v>0</v>
      </c>
      <c r="M260" s="480">
        <f>Bath2FloorTable[[#This Row],[Tiles High]]*Bath2FloorTable[[#This Row],[Tiles Wide]]</f>
        <v>0</v>
      </c>
    </row>
    <row r="261" spans="1:13" ht="15" outlineLevel="1" x14ac:dyDescent="0.2">
      <c r="A261" s="481"/>
      <c r="B261" s="482"/>
      <c r="C261" s="760">
        <f t="shared" si="34"/>
        <v>0</v>
      </c>
      <c r="D261" s="483"/>
      <c r="E261" s="757">
        <f t="shared" si="38"/>
        <v>0</v>
      </c>
      <c r="F261" s="341">
        <f t="shared" si="35"/>
        <v>0</v>
      </c>
      <c r="G261" s="472"/>
      <c r="H261" s="481"/>
      <c r="I261" s="482"/>
      <c r="J261" s="760">
        <f t="shared" si="36"/>
        <v>0</v>
      </c>
      <c r="K261" s="483"/>
      <c r="L261" s="760">
        <f t="shared" si="37"/>
        <v>0</v>
      </c>
      <c r="M261" s="480">
        <f>Bath2FloorTable[[#This Row],[Tiles High]]*Bath2FloorTable[[#This Row],[Tiles Wide]]</f>
        <v>0</v>
      </c>
    </row>
    <row r="262" spans="1:13" ht="15" outlineLevel="1" x14ac:dyDescent="0.2">
      <c r="A262" s="481"/>
      <c r="B262" s="482"/>
      <c r="C262" s="760">
        <f t="shared" si="34"/>
        <v>0</v>
      </c>
      <c r="D262" s="483"/>
      <c r="E262" s="757">
        <f t="shared" si="38"/>
        <v>0</v>
      </c>
      <c r="F262" s="341">
        <f t="shared" si="35"/>
        <v>0</v>
      </c>
      <c r="G262" s="472"/>
      <c r="H262" s="481"/>
      <c r="I262" s="482"/>
      <c r="J262" s="760">
        <f t="shared" si="36"/>
        <v>0</v>
      </c>
      <c r="K262" s="483"/>
      <c r="L262" s="760">
        <f t="shared" si="37"/>
        <v>0</v>
      </c>
      <c r="M262" s="480">
        <f>Bath2FloorTable[[#This Row],[Tiles High]]*Bath2FloorTable[[#This Row],[Tiles Wide]]</f>
        <v>0</v>
      </c>
    </row>
    <row r="263" spans="1:13" ht="15" outlineLevel="1" x14ac:dyDescent="0.2">
      <c r="A263" s="479"/>
      <c r="B263" s="482"/>
      <c r="C263" s="332">
        <f t="shared" si="34"/>
        <v>0</v>
      </c>
      <c r="D263" s="483"/>
      <c r="E263" s="334">
        <f t="shared" si="38"/>
        <v>0</v>
      </c>
      <c r="F263" s="338">
        <f t="shared" si="35"/>
        <v>0</v>
      </c>
      <c r="G263" s="472"/>
      <c r="H263" s="481"/>
      <c r="I263" s="482"/>
      <c r="J263" s="332">
        <f t="shared" si="36"/>
        <v>0</v>
      </c>
      <c r="K263" s="483"/>
      <c r="L263" s="332">
        <f t="shared" si="37"/>
        <v>0</v>
      </c>
      <c r="M263" s="480">
        <f>Bath2FloorTable[[#This Row],[Tiles High]]*Bath2FloorTable[[#This Row],[Tiles Wide]]</f>
        <v>0</v>
      </c>
    </row>
    <row r="264" spans="1:13" ht="15" outlineLevel="1" x14ac:dyDescent="0.2">
      <c r="A264" s="479"/>
      <c r="B264" s="482"/>
      <c r="C264" s="332">
        <f t="shared" si="34"/>
        <v>0</v>
      </c>
      <c r="D264" s="483"/>
      <c r="E264" s="334">
        <f t="shared" si="38"/>
        <v>0</v>
      </c>
      <c r="F264" s="338">
        <f t="shared" si="35"/>
        <v>0</v>
      </c>
      <c r="H264" s="481"/>
      <c r="I264" s="482"/>
      <c r="J264" s="332">
        <f t="shared" si="36"/>
        <v>0</v>
      </c>
      <c r="K264" s="483"/>
      <c r="L264" s="332">
        <f t="shared" si="37"/>
        <v>0</v>
      </c>
      <c r="M264" s="480">
        <f>Bath2FloorTable[[#This Row],[Tiles High]]*Bath2FloorTable[[#This Row],[Tiles Wide]]</f>
        <v>0</v>
      </c>
    </row>
    <row r="265" spans="1:13" ht="15" outlineLevel="1" x14ac:dyDescent="0.2">
      <c r="A265" s="479"/>
      <c r="B265" s="482"/>
      <c r="C265" s="332">
        <f t="shared" si="34"/>
        <v>0</v>
      </c>
      <c r="D265" s="483"/>
      <c r="E265" s="334">
        <f t="shared" si="38"/>
        <v>0</v>
      </c>
      <c r="F265" s="338">
        <f t="shared" si="35"/>
        <v>0</v>
      </c>
      <c r="H265" s="481"/>
      <c r="I265" s="482"/>
      <c r="J265" s="332">
        <f t="shared" si="36"/>
        <v>0</v>
      </c>
      <c r="K265" s="483"/>
      <c r="L265" s="332">
        <f t="shared" si="37"/>
        <v>0</v>
      </c>
      <c r="M265" s="480">
        <f>Bath2FloorTable[[#This Row],[Tiles High]]*Bath2FloorTable[[#This Row],[Tiles Wide]]</f>
        <v>0</v>
      </c>
    </row>
    <row r="266" spans="1:13" ht="15" outlineLevel="1" x14ac:dyDescent="0.2">
      <c r="A266" s="479"/>
      <c r="B266" s="482"/>
      <c r="C266" s="332">
        <f t="shared" si="34"/>
        <v>0</v>
      </c>
      <c r="D266" s="483"/>
      <c r="E266" s="334">
        <f t="shared" si="38"/>
        <v>0</v>
      </c>
      <c r="F266" s="338">
        <f t="shared" si="35"/>
        <v>0</v>
      </c>
      <c r="G266" s="472"/>
      <c r="H266" s="481"/>
      <c r="I266" s="482"/>
      <c r="J266" s="332">
        <f t="shared" si="36"/>
        <v>0</v>
      </c>
      <c r="K266" s="483"/>
      <c r="L266" s="332">
        <f t="shared" si="37"/>
        <v>0</v>
      </c>
      <c r="M266" s="480">
        <f>Bath2FloorTable[[#This Row],[Tiles High]]*Bath2FloorTable[[#This Row],[Tiles Wide]]</f>
        <v>0</v>
      </c>
    </row>
    <row r="267" spans="1:13" ht="15" outlineLevel="1" x14ac:dyDescent="0.2">
      <c r="A267" s="479"/>
      <c r="B267" s="482"/>
      <c r="C267" s="332">
        <f t="shared" si="34"/>
        <v>0</v>
      </c>
      <c r="D267" s="483"/>
      <c r="E267" s="334">
        <f t="shared" si="38"/>
        <v>0</v>
      </c>
      <c r="F267" s="338">
        <f t="shared" si="35"/>
        <v>0</v>
      </c>
      <c r="G267" s="472"/>
      <c r="H267" s="481"/>
      <c r="I267" s="482"/>
      <c r="J267" s="332">
        <f t="shared" si="36"/>
        <v>0</v>
      </c>
      <c r="K267" s="483"/>
      <c r="L267" s="332">
        <f t="shared" si="37"/>
        <v>0</v>
      </c>
      <c r="M267" s="480">
        <f>Bath2FloorTable[[#This Row],[Tiles High]]*Bath2FloorTable[[#This Row],[Tiles Wide]]</f>
        <v>0</v>
      </c>
    </row>
    <row r="268" spans="1:13" ht="15" outlineLevel="1" x14ac:dyDescent="0.2">
      <c r="A268" s="479"/>
      <c r="B268" s="482"/>
      <c r="C268" s="332">
        <f t="shared" si="34"/>
        <v>0</v>
      </c>
      <c r="D268" s="483"/>
      <c r="E268" s="334">
        <f t="shared" si="38"/>
        <v>0</v>
      </c>
      <c r="F268" s="338">
        <f t="shared" si="35"/>
        <v>0</v>
      </c>
      <c r="G268" s="472"/>
      <c r="H268" s="481"/>
      <c r="I268" s="482"/>
      <c r="J268" s="332">
        <f t="shared" si="36"/>
        <v>0</v>
      </c>
      <c r="K268" s="483"/>
      <c r="L268" s="332">
        <f t="shared" si="37"/>
        <v>0</v>
      </c>
      <c r="M268" s="480">
        <f>Bath2FloorTable[[#This Row],[Tiles High]]*Bath2FloorTable[[#This Row],[Tiles Wide]]</f>
        <v>0</v>
      </c>
    </row>
    <row r="269" spans="1:13" ht="15" outlineLevel="1" x14ac:dyDescent="0.2">
      <c r="A269" s="479"/>
      <c r="B269" s="482"/>
      <c r="C269" s="332">
        <f t="shared" si="34"/>
        <v>0</v>
      </c>
      <c r="D269" s="483"/>
      <c r="E269" s="334">
        <f t="shared" si="38"/>
        <v>0</v>
      </c>
      <c r="F269" s="338">
        <f t="shared" si="35"/>
        <v>0</v>
      </c>
      <c r="G269" s="472"/>
      <c r="H269" s="481"/>
      <c r="I269" s="482"/>
      <c r="J269" s="332">
        <f t="shared" si="36"/>
        <v>0</v>
      </c>
      <c r="K269" s="483"/>
      <c r="L269" s="332">
        <f t="shared" si="37"/>
        <v>0</v>
      </c>
      <c r="M269" s="480">
        <f>Bath2FloorTable[[#This Row],[Tiles High]]*Bath2FloorTable[[#This Row],[Tiles Wide]]</f>
        <v>0</v>
      </c>
    </row>
    <row r="270" spans="1:13" ht="15" outlineLevel="1" x14ac:dyDescent="0.2">
      <c r="A270" s="479"/>
      <c r="B270" s="482"/>
      <c r="C270" s="332">
        <f t="shared" si="34"/>
        <v>0</v>
      </c>
      <c r="D270" s="483"/>
      <c r="E270" s="334">
        <f t="shared" si="38"/>
        <v>0</v>
      </c>
      <c r="F270" s="338">
        <f t="shared" si="35"/>
        <v>0</v>
      </c>
      <c r="G270" s="472"/>
      <c r="H270" s="481"/>
      <c r="I270" s="482"/>
      <c r="J270" s="332">
        <f t="shared" si="36"/>
        <v>0</v>
      </c>
      <c r="K270" s="483"/>
      <c r="L270" s="332">
        <f t="shared" si="37"/>
        <v>0</v>
      </c>
      <c r="M270" s="480">
        <f>Bath2FloorTable[[#This Row],[Tiles High]]*Bath2FloorTable[[#This Row],[Tiles Wide]]</f>
        <v>0</v>
      </c>
    </row>
    <row r="271" spans="1:13" ht="15" outlineLevel="1" x14ac:dyDescent="0.2">
      <c r="A271" s="479"/>
      <c r="B271" s="482"/>
      <c r="C271" s="332">
        <f t="shared" si="34"/>
        <v>0</v>
      </c>
      <c r="D271" s="483"/>
      <c r="E271" s="334">
        <f t="shared" si="38"/>
        <v>0</v>
      </c>
      <c r="F271" s="338">
        <f t="shared" si="35"/>
        <v>0</v>
      </c>
      <c r="G271" s="472"/>
      <c r="H271" s="481"/>
      <c r="I271" s="482"/>
      <c r="J271" s="332">
        <f t="shared" si="36"/>
        <v>0</v>
      </c>
      <c r="K271" s="483"/>
      <c r="L271" s="332">
        <f t="shared" si="37"/>
        <v>0</v>
      </c>
      <c r="M271" s="480">
        <f>Bath2FloorTable[[#This Row],[Tiles High]]*Bath2FloorTable[[#This Row],[Tiles Wide]]</f>
        <v>0</v>
      </c>
    </row>
    <row r="272" spans="1:13" ht="15.75" outlineLevel="1" thickBot="1" x14ac:dyDescent="0.25">
      <c r="A272" s="479"/>
      <c r="B272" s="482"/>
      <c r="C272" s="332">
        <f t="shared" si="34"/>
        <v>0</v>
      </c>
      <c r="D272" s="483"/>
      <c r="E272" s="334">
        <f t="shared" si="38"/>
        <v>0</v>
      </c>
      <c r="F272" s="338">
        <f t="shared" si="35"/>
        <v>0</v>
      </c>
      <c r="G272" s="472"/>
      <c r="H272" s="481"/>
      <c r="I272" s="482"/>
      <c r="J272" s="332">
        <f t="shared" si="36"/>
        <v>0</v>
      </c>
      <c r="K272" s="483"/>
      <c r="L272" s="332">
        <f t="shared" si="37"/>
        <v>0</v>
      </c>
      <c r="M272" s="480">
        <f>Bath2FloorTable[[#This Row],[Tiles High]]*Bath2FloorTable[[#This Row],[Tiles Wide]]</f>
        <v>0</v>
      </c>
    </row>
    <row r="273" spans="1:13" ht="15.75" outlineLevel="1" thickBot="1" x14ac:dyDescent="0.25">
      <c r="A273" s="348" t="s">
        <v>1007</v>
      </c>
      <c r="B273" s="376"/>
      <c r="C273" s="492" t="s">
        <v>107</v>
      </c>
      <c r="D273" s="359">
        <f>ROUND(SUMPRODUCT(Bath2WallTable[Height],Bath2WallTable[Width]),1)</f>
        <v>0</v>
      </c>
      <c r="E273" s="358"/>
      <c r="F273" s="806">
        <f>SUM(F232:F272)*(B230*D230)</f>
        <v>0</v>
      </c>
      <c r="G273" s="472"/>
      <c r="H273" s="348" t="s">
        <v>1007</v>
      </c>
      <c r="I273" s="376"/>
      <c r="J273" s="492" t="s">
        <v>107</v>
      </c>
      <c r="K273" s="359">
        <f>ROUND(SUMPRODUCT(Bath2FloorTable[Height],Bath2FloorTable[Width])+SUMIF(Name,"Bathroom 2 Floor Tile",Area)+SUMIF('CSV FF'!A:A,"Bathroom 2 Floor Tile",'CSV FF'!F:F),1)</f>
        <v>0</v>
      </c>
      <c r="L273" s="358"/>
      <c r="M273" s="806">
        <f>SUM(M232:M272)*(I230*K230)</f>
        <v>0</v>
      </c>
    </row>
    <row r="274" spans="1:13" ht="15" thickBot="1" x14ac:dyDescent="0.25">
      <c r="G274" s="472"/>
    </row>
    <row r="275" spans="1:13" ht="21.75" outlineLevel="1" thickBot="1" x14ac:dyDescent="0.25">
      <c r="A275" s="1369" t="s">
        <v>1625</v>
      </c>
      <c r="B275" s="1370"/>
      <c r="C275" s="1370"/>
      <c r="D275" s="1370"/>
      <c r="E275" s="1370"/>
      <c r="F275" s="1371"/>
      <c r="G275" s="472"/>
      <c r="H275" s="1369" t="s">
        <v>1626</v>
      </c>
      <c r="I275" s="1370"/>
      <c r="J275" s="1370"/>
      <c r="K275" s="1370"/>
      <c r="L275" s="1370"/>
      <c r="M275" s="1371"/>
    </row>
    <row r="276" spans="1:13" ht="15.75" outlineLevel="1" thickBot="1" x14ac:dyDescent="0.25">
      <c r="A276" s="353" t="s">
        <v>551</v>
      </c>
      <c r="B276" s="810" t="s">
        <v>661</v>
      </c>
      <c r="C276" s="354" t="s">
        <v>672</v>
      </c>
      <c r="D276" s="355">
        <v>44</v>
      </c>
      <c r="E276" s="356">
        <f>IF($B$1="Magic Tiles",0.3,IF($B$1="Tiles Plus",0.3,0.2))</f>
        <v>0.2</v>
      </c>
      <c r="F276" s="471">
        <f>IF(C276="Nett",ROUND(D276/1.1,2),IF(C276="Each",(1/(B278*D278)*D276/1.1),IF(C276="M2",(IF(AND(OR($B$1="Armanti Bunbury",$B$1="Armanti Busselton"),(D276&lt;=44)),30,IF(AND($B$1="Magic Tiles",D276&lt;=44),25.46,IF(AND(OR($B$1="Trimview"),(D276&lt;=44)),32,IF(C276="M2",D276/1.1-E276*D276/1.1,0))))))))</f>
        <v>32</v>
      </c>
      <c r="G276" s="472"/>
      <c r="H276" s="353" t="s">
        <v>551</v>
      </c>
      <c r="I276" s="810" t="s">
        <v>661</v>
      </c>
      <c r="J276" s="354" t="s">
        <v>672</v>
      </c>
      <c r="K276" s="355">
        <v>44</v>
      </c>
      <c r="L276" s="356">
        <f>IF($B$1="Magic Tiles",0.3,IF($B$1="Tiles Plus",0.3,0.2))</f>
        <v>0.2</v>
      </c>
      <c r="M276" s="471">
        <f>IF(J276="Nett",ROUND(K276/1.1,2),IF(J276="Each",(1/(I278*K278)*K276/1.1),IF(J276="M2",(IF(AND(OR($B$1="Armanti Bunbury",$B$1="Armanti Busselton"),(K276&lt;=44)),30,IF(AND($B$1="Magic Tiles",K276&lt;=44),25.46,IF(AND(OR($B$1="Trimview"),(K276&lt;=44)),32,IF(J276="M2",K276/1.1-L276*K276/1.1,0))))))))</f>
        <v>32</v>
      </c>
    </row>
    <row r="277" spans="1:13" ht="15.75" outlineLevel="1" thickBot="1" x14ac:dyDescent="0.25">
      <c r="A277" s="810" t="s">
        <v>1595</v>
      </c>
      <c r="B277" s="1381" t="s">
        <v>136</v>
      </c>
      <c r="C277" s="1382"/>
      <c r="D277" s="1381" t="s">
        <v>99</v>
      </c>
      <c r="E277" s="1382"/>
      <c r="F277" s="1383" t="s">
        <v>11</v>
      </c>
      <c r="G277" s="472"/>
      <c r="H277" s="810" t="s">
        <v>1595</v>
      </c>
      <c r="I277" s="1381" t="s">
        <v>34</v>
      </c>
      <c r="J277" s="1382"/>
      <c r="K277" s="1381" t="s">
        <v>99</v>
      </c>
      <c r="L277" s="1382"/>
      <c r="M277" s="1383" t="s">
        <v>11</v>
      </c>
    </row>
    <row r="278" spans="1:13" ht="15.75" outlineLevel="1" thickBot="1" x14ac:dyDescent="0.25">
      <c r="A278" s="754" t="s">
        <v>551</v>
      </c>
      <c r="B278" s="1386"/>
      <c r="C278" s="1387"/>
      <c r="D278" s="1386"/>
      <c r="E278" s="1387"/>
      <c r="F278" s="1384"/>
      <c r="G278" s="472"/>
      <c r="H278" s="754" t="s">
        <v>551</v>
      </c>
      <c r="I278" s="1388"/>
      <c r="J278" s="1387"/>
      <c r="K278" s="1388"/>
      <c r="L278" s="1387"/>
      <c r="M278" s="1385"/>
    </row>
    <row r="279" spans="1:13" ht="15.75" outlineLevel="1" thickBot="1" x14ac:dyDescent="0.25">
      <c r="A279" s="492" t="s">
        <v>7</v>
      </c>
      <c r="B279" s="495" t="s">
        <v>136</v>
      </c>
      <c r="C279" s="492" t="s">
        <v>1001</v>
      </c>
      <c r="D279" s="495" t="s">
        <v>99</v>
      </c>
      <c r="E279" s="492" t="s">
        <v>1002</v>
      </c>
      <c r="F279" s="496" t="s">
        <v>11</v>
      </c>
      <c r="G279" s="472"/>
      <c r="H279" s="492" t="s">
        <v>7</v>
      </c>
      <c r="I279" s="495" t="s">
        <v>136</v>
      </c>
      <c r="J279" s="492" t="s">
        <v>1001</v>
      </c>
      <c r="K279" s="495" t="s">
        <v>99</v>
      </c>
      <c r="L279" s="492" t="s">
        <v>1002</v>
      </c>
      <c r="M279" s="496" t="s">
        <v>11</v>
      </c>
    </row>
    <row r="280" spans="1:13" ht="15.75" outlineLevel="1" thickBot="1" x14ac:dyDescent="0.25">
      <c r="A280" s="476"/>
      <c r="B280" s="474"/>
      <c r="C280" s="493">
        <f t="shared" ref="C280:C320" si="39">IF($B$278&gt;0,IF(OR(B280&lt;0,D280&lt;0),ROUNDDOWN(B280/$B$278,0),CEILING(B280/$B$278,1)),0)</f>
        <v>0</v>
      </c>
      <c r="D280" s="475"/>
      <c r="E280" s="494">
        <f t="shared" ref="E280:E320" si="40">IF($D$278&gt;0,IF(OR(B280&lt;0,D280&lt;0),ROUNDDOWN(D280/$D$278,0),CEILING(D280/$D$278,1)),0)</f>
        <v>0</v>
      </c>
      <c r="F280" s="335">
        <f t="shared" ref="F280:F320" si="41">C280*E280</f>
        <v>0</v>
      </c>
      <c r="G280" s="472"/>
      <c r="H280" s="473" t="s">
        <v>408</v>
      </c>
      <c r="I280" s="474"/>
      <c r="J280" s="493">
        <f t="shared" ref="J280:J320" si="42">IF($I$278&gt;0,IF(OR(I280&lt;0,I280&lt;0),ROUNDDOWN(I280/$I$278,0),CEILING(I280/$I$278,1)),0)</f>
        <v>0</v>
      </c>
      <c r="K280" s="475"/>
      <c r="L280" s="493">
        <f t="shared" ref="L280:L320" si="43">IF($K$278&gt;0,IF(OR(I280&lt;0,K280&lt;0),ROUNDDOWN(K280/$K$278,0),CEILING(K280/$K$278,1)),0)</f>
        <v>0</v>
      </c>
      <c r="M280" s="491">
        <f>IFERROR(ROUNDUP(SUMIF(Name,"Ensuite 2 Floor Tile",Area)/(I278*K278),0),0)+IFERROR(ROUNDUP(SUMIF('CSV FF'!A:A,"Ensuite 2 Floor Tile",'CSV FF'!F:F)/(I278*K278),0),0)</f>
        <v>0</v>
      </c>
    </row>
    <row r="281" spans="1:13" ht="15" outlineLevel="1" x14ac:dyDescent="0.2">
      <c r="A281" s="479"/>
      <c r="B281" s="477"/>
      <c r="C281" s="332">
        <f t="shared" si="39"/>
        <v>0</v>
      </c>
      <c r="D281" s="478"/>
      <c r="E281" s="334">
        <f t="shared" si="40"/>
        <v>0</v>
      </c>
      <c r="F281" s="338">
        <f t="shared" si="41"/>
        <v>0</v>
      </c>
      <c r="G281" s="472"/>
      <c r="H281" s="479"/>
      <c r="I281" s="477"/>
      <c r="J281" s="332">
        <f t="shared" si="42"/>
        <v>0</v>
      </c>
      <c r="K281" s="478"/>
      <c r="L281" s="332">
        <f t="shared" si="43"/>
        <v>0</v>
      </c>
      <c r="M281" s="338">
        <f t="shared" ref="M281:M320" si="44">J281*L281</f>
        <v>0</v>
      </c>
    </row>
    <row r="282" spans="1:13" ht="15" outlineLevel="1" x14ac:dyDescent="0.2">
      <c r="A282" s="479"/>
      <c r="B282" s="477"/>
      <c r="C282" s="332">
        <f t="shared" si="39"/>
        <v>0</v>
      </c>
      <c r="D282" s="478"/>
      <c r="E282" s="334">
        <f t="shared" si="40"/>
        <v>0</v>
      </c>
      <c r="F282" s="338">
        <f t="shared" si="41"/>
        <v>0</v>
      </c>
      <c r="G282" s="472"/>
      <c r="H282" s="479"/>
      <c r="I282" s="477"/>
      <c r="J282" s="332">
        <f t="shared" si="42"/>
        <v>0</v>
      </c>
      <c r="K282" s="478"/>
      <c r="L282" s="332">
        <f t="shared" si="43"/>
        <v>0</v>
      </c>
      <c r="M282" s="338">
        <f t="shared" si="44"/>
        <v>0</v>
      </c>
    </row>
    <row r="283" spans="1:13" ht="15" outlineLevel="1" x14ac:dyDescent="0.2">
      <c r="A283" s="479"/>
      <c r="B283" s="477"/>
      <c r="C283" s="332">
        <f t="shared" si="39"/>
        <v>0</v>
      </c>
      <c r="D283" s="478"/>
      <c r="E283" s="334">
        <f t="shared" si="40"/>
        <v>0</v>
      </c>
      <c r="F283" s="338">
        <f t="shared" si="41"/>
        <v>0</v>
      </c>
      <c r="G283" s="472"/>
      <c r="H283" s="479"/>
      <c r="I283" s="477"/>
      <c r="J283" s="332">
        <f t="shared" si="42"/>
        <v>0</v>
      </c>
      <c r="K283" s="478"/>
      <c r="L283" s="332">
        <f t="shared" si="43"/>
        <v>0</v>
      </c>
      <c r="M283" s="338">
        <f t="shared" si="44"/>
        <v>0</v>
      </c>
    </row>
    <row r="284" spans="1:13" ht="15" outlineLevel="1" x14ac:dyDescent="0.2">
      <c r="A284" s="479"/>
      <c r="B284" s="477"/>
      <c r="C284" s="332">
        <f t="shared" si="39"/>
        <v>0</v>
      </c>
      <c r="D284" s="478"/>
      <c r="E284" s="334">
        <f t="shared" si="40"/>
        <v>0</v>
      </c>
      <c r="F284" s="338">
        <f t="shared" si="41"/>
        <v>0</v>
      </c>
      <c r="G284" s="472"/>
      <c r="H284" s="479"/>
      <c r="I284" s="477"/>
      <c r="J284" s="332">
        <f t="shared" si="42"/>
        <v>0</v>
      </c>
      <c r="K284" s="478"/>
      <c r="L284" s="332">
        <f t="shared" si="43"/>
        <v>0</v>
      </c>
      <c r="M284" s="338">
        <f t="shared" si="44"/>
        <v>0</v>
      </c>
    </row>
    <row r="285" spans="1:13" ht="15" outlineLevel="1" x14ac:dyDescent="0.2">
      <c r="A285" s="479"/>
      <c r="B285" s="477"/>
      <c r="C285" s="332">
        <f t="shared" si="39"/>
        <v>0</v>
      </c>
      <c r="D285" s="478"/>
      <c r="E285" s="334">
        <f t="shared" si="40"/>
        <v>0</v>
      </c>
      <c r="F285" s="338">
        <f t="shared" si="41"/>
        <v>0</v>
      </c>
      <c r="G285" s="472"/>
      <c r="H285" s="479"/>
      <c r="I285" s="477"/>
      <c r="J285" s="332">
        <f t="shared" si="42"/>
        <v>0</v>
      </c>
      <c r="K285" s="478"/>
      <c r="L285" s="332">
        <f t="shared" si="43"/>
        <v>0</v>
      </c>
      <c r="M285" s="338">
        <f t="shared" si="44"/>
        <v>0</v>
      </c>
    </row>
    <row r="286" spans="1:13" ht="15" outlineLevel="1" x14ac:dyDescent="0.2">
      <c r="A286" s="479"/>
      <c r="B286" s="477"/>
      <c r="C286" s="332">
        <f t="shared" si="39"/>
        <v>0</v>
      </c>
      <c r="D286" s="478"/>
      <c r="E286" s="334">
        <f t="shared" si="40"/>
        <v>0</v>
      </c>
      <c r="F286" s="338">
        <f t="shared" si="41"/>
        <v>0</v>
      </c>
      <c r="G286" s="472"/>
      <c r="H286" s="479"/>
      <c r="I286" s="477"/>
      <c r="J286" s="332">
        <f t="shared" si="42"/>
        <v>0</v>
      </c>
      <c r="K286" s="478"/>
      <c r="L286" s="332">
        <f t="shared" si="43"/>
        <v>0</v>
      </c>
      <c r="M286" s="338">
        <f t="shared" si="44"/>
        <v>0</v>
      </c>
    </row>
    <row r="287" spans="1:13" ht="15" outlineLevel="1" x14ac:dyDescent="0.2">
      <c r="A287" s="479"/>
      <c r="B287" s="477"/>
      <c r="C287" s="332">
        <f t="shared" si="39"/>
        <v>0</v>
      </c>
      <c r="D287" s="478"/>
      <c r="E287" s="334">
        <f t="shared" si="40"/>
        <v>0</v>
      </c>
      <c r="F287" s="338">
        <f t="shared" si="41"/>
        <v>0</v>
      </c>
      <c r="G287" s="472"/>
      <c r="H287" s="479"/>
      <c r="I287" s="477"/>
      <c r="J287" s="332">
        <f t="shared" si="42"/>
        <v>0</v>
      </c>
      <c r="K287" s="478"/>
      <c r="L287" s="332">
        <f t="shared" si="43"/>
        <v>0</v>
      </c>
      <c r="M287" s="338">
        <f t="shared" si="44"/>
        <v>0</v>
      </c>
    </row>
    <row r="288" spans="1:13" ht="15" outlineLevel="1" x14ac:dyDescent="0.2">
      <c r="A288" s="479"/>
      <c r="B288" s="477"/>
      <c r="C288" s="332">
        <f t="shared" si="39"/>
        <v>0</v>
      </c>
      <c r="D288" s="478"/>
      <c r="E288" s="334">
        <f t="shared" si="40"/>
        <v>0</v>
      </c>
      <c r="F288" s="338">
        <f t="shared" si="41"/>
        <v>0</v>
      </c>
      <c r="G288" s="472"/>
      <c r="H288" s="479"/>
      <c r="I288" s="477"/>
      <c r="J288" s="332">
        <f t="shared" si="42"/>
        <v>0</v>
      </c>
      <c r="K288" s="478"/>
      <c r="L288" s="332">
        <f t="shared" si="43"/>
        <v>0</v>
      </c>
      <c r="M288" s="338">
        <f t="shared" si="44"/>
        <v>0</v>
      </c>
    </row>
    <row r="289" spans="1:13" ht="15" outlineLevel="1" x14ac:dyDescent="0.2">
      <c r="A289" s="479"/>
      <c r="B289" s="477"/>
      <c r="C289" s="332">
        <f t="shared" si="39"/>
        <v>0</v>
      </c>
      <c r="D289" s="478"/>
      <c r="E289" s="334">
        <f t="shared" si="40"/>
        <v>0</v>
      </c>
      <c r="F289" s="338">
        <f t="shared" si="41"/>
        <v>0</v>
      </c>
      <c r="G289" s="472"/>
      <c r="H289" s="479"/>
      <c r="I289" s="477"/>
      <c r="J289" s="332">
        <f t="shared" si="42"/>
        <v>0</v>
      </c>
      <c r="K289" s="478"/>
      <c r="L289" s="332">
        <f t="shared" si="43"/>
        <v>0</v>
      </c>
      <c r="M289" s="338">
        <f t="shared" si="44"/>
        <v>0</v>
      </c>
    </row>
    <row r="290" spans="1:13" ht="15" outlineLevel="1" x14ac:dyDescent="0.2">
      <c r="A290" s="479"/>
      <c r="B290" s="477"/>
      <c r="C290" s="332">
        <f t="shared" si="39"/>
        <v>0</v>
      </c>
      <c r="D290" s="478"/>
      <c r="E290" s="334">
        <f t="shared" si="40"/>
        <v>0</v>
      </c>
      <c r="F290" s="338">
        <f t="shared" si="41"/>
        <v>0</v>
      </c>
      <c r="G290" s="472"/>
      <c r="H290" s="479"/>
      <c r="I290" s="477"/>
      <c r="J290" s="332">
        <f t="shared" si="42"/>
        <v>0</v>
      </c>
      <c r="K290" s="478"/>
      <c r="L290" s="332">
        <f t="shared" si="43"/>
        <v>0</v>
      </c>
      <c r="M290" s="338">
        <f t="shared" si="44"/>
        <v>0</v>
      </c>
    </row>
    <row r="291" spans="1:13" ht="15" outlineLevel="1" x14ac:dyDescent="0.2">
      <c r="A291" s="479"/>
      <c r="B291" s="477"/>
      <c r="C291" s="332">
        <f t="shared" si="39"/>
        <v>0</v>
      </c>
      <c r="D291" s="478"/>
      <c r="E291" s="334">
        <f t="shared" si="40"/>
        <v>0</v>
      </c>
      <c r="F291" s="338">
        <f t="shared" si="41"/>
        <v>0</v>
      </c>
      <c r="G291" s="472"/>
      <c r="H291" s="479"/>
      <c r="I291" s="477"/>
      <c r="J291" s="332">
        <f t="shared" si="42"/>
        <v>0</v>
      </c>
      <c r="K291" s="478"/>
      <c r="L291" s="332">
        <f t="shared" si="43"/>
        <v>0</v>
      </c>
      <c r="M291" s="338">
        <f t="shared" si="44"/>
        <v>0</v>
      </c>
    </row>
    <row r="292" spans="1:13" ht="15" outlineLevel="1" x14ac:dyDescent="0.2">
      <c r="A292" s="479"/>
      <c r="B292" s="477"/>
      <c r="C292" s="332">
        <f t="shared" si="39"/>
        <v>0</v>
      </c>
      <c r="D292" s="478"/>
      <c r="E292" s="334">
        <f t="shared" si="40"/>
        <v>0</v>
      </c>
      <c r="F292" s="338">
        <f t="shared" si="41"/>
        <v>0</v>
      </c>
      <c r="G292" s="472"/>
      <c r="H292" s="479"/>
      <c r="I292" s="477"/>
      <c r="J292" s="332">
        <f t="shared" si="42"/>
        <v>0</v>
      </c>
      <c r="K292" s="478"/>
      <c r="L292" s="332">
        <f t="shared" si="43"/>
        <v>0</v>
      </c>
      <c r="M292" s="338">
        <f t="shared" si="44"/>
        <v>0</v>
      </c>
    </row>
    <row r="293" spans="1:13" ht="15" outlineLevel="1" x14ac:dyDescent="0.2">
      <c r="A293" s="479"/>
      <c r="B293" s="477"/>
      <c r="C293" s="332">
        <f t="shared" si="39"/>
        <v>0</v>
      </c>
      <c r="D293" s="478"/>
      <c r="E293" s="334">
        <f t="shared" si="40"/>
        <v>0</v>
      </c>
      <c r="F293" s="338">
        <f t="shared" si="41"/>
        <v>0</v>
      </c>
      <c r="G293" s="472"/>
      <c r="H293" s="479"/>
      <c r="I293" s="477"/>
      <c r="J293" s="332">
        <f t="shared" si="42"/>
        <v>0</v>
      </c>
      <c r="K293" s="478"/>
      <c r="L293" s="332">
        <f t="shared" si="43"/>
        <v>0</v>
      </c>
      <c r="M293" s="338">
        <f t="shared" si="44"/>
        <v>0</v>
      </c>
    </row>
    <row r="294" spans="1:13" ht="15" outlineLevel="1" x14ac:dyDescent="0.2">
      <c r="A294" s="479"/>
      <c r="B294" s="477"/>
      <c r="C294" s="332">
        <f t="shared" si="39"/>
        <v>0</v>
      </c>
      <c r="D294" s="478"/>
      <c r="E294" s="334">
        <f t="shared" si="40"/>
        <v>0</v>
      </c>
      <c r="F294" s="338">
        <f t="shared" si="41"/>
        <v>0</v>
      </c>
      <c r="G294" s="472"/>
      <c r="H294" s="479"/>
      <c r="I294" s="477"/>
      <c r="J294" s="332">
        <f t="shared" si="42"/>
        <v>0</v>
      </c>
      <c r="K294" s="478"/>
      <c r="L294" s="332">
        <f t="shared" si="43"/>
        <v>0</v>
      </c>
      <c r="M294" s="338">
        <f t="shared" si="44"/>
        <v>0</v>
      </c>
    </row>
    <row r="295" spans="1:13" ht="15" outlineLevel="1" x14ac:dyDescent="0.2">
      <c r="A295" s="479"/>
      <c r="B295" s="482"/>
      <c r="C295" s="332">
        <f t="shared" si="39"/>
        <v>0</v>
      </c>
      <c r="D295" s="483"/>
      <c r="E295" s="334">
        <f t="shared" si="40"/>
        <v>0</v>
      </c>
      <c r="F295" s="338">
        <f t="shared" si="41"/>
        <v>0</v>
      </c>
      <c r="G295" s="472"/>
      <c r="H295" s="479"/>
      <c r="I295" s="482"/>
      <c r="J295" s="332">
        <f t="shared" si="42"/>
        <v>0</v>
      </c>
      <c r="K295" s="483"/>
      <c r="L295" s="332">
        <f t="shared" si="43"/>
        <v>0</v>
      </c>
      <c r="M295" s="338">
        <f t="shared" si="44"/>
        <v>0</v>
      </c>
    </row>
    <row r="296" spans="1:13" ht="15" outlineLevel="1" x14ac:dyDescent="0.2">
      <c r="A296" s="479"/>
      <c r="B296" s="482"/>
      <c r="C296" s="332">
        <f t="shared" si="39"/>
        <v>0</v>
      </c>
      <c r="D296" s="483"/>
      <c r="E296" s="334">
        <f t="shared" si="40"/>
        <v>0</v>
      </c>
      <c r="F296" s="338">
        <f t="shared" si="41"/>
        <v>0</v>
      </c>
      <c r="G296" s="472"/>
      <c r="H296" s="479"/>
      <c r="I296" s="482"/>
      <c r="J296" s="332">
        <f t="shared" si="42"/>
        <v>0</v>
      </c>
      <c r="K296" s="483"/>
      <c r="L296" s="332">
        <f t="shared" si="43"/>
        <v>0</v>
      </c>
      <c r="M296" s="338">
        <f t="shared" si="44"/>
        <v>0</v>
      </c>
    </row>
    <row r="297" spans="1:13" ht="15" outlineLevel="1" x14ac:dyDescent="0.2">
      <c r="A297" s="479"/>
      <c r="B297" s="482"/>
      <c r="C297" s="332">
        <f t="shared" si="39"/>
        <v>0</v>
      </c>
      <c r="D297" s="483"/>
      <c r="E297" s="334">
        <f t="shared" si="40"/>
        <v>0</v>
      </c>
      <c r="F297" s="338">
        <f t="shared" si="41"/>
        <v>0</v>
      </c>
      <c r="G297" s="472"/>
      <c r="H297" s="479"/>
      <c r="I297" s="482"/>
      <c r="J297" s="332">
        <f t="shared" si="42"/>
        <v>0</v>
      </c>
      <c r="K297" s="483"/>
      <c r="L297" s="332">
        <f t="shared" si="43"/>
        <v>0</v>
      </c>
      <c r="M297" s="338">
        <f t="shared" si="44"/>
        <v>0</v>
      </c>
    </row>
    <row r="298" spans="1:13" ht="15" outlineLevel="1" x14ac:dyDescent="0.2">
      <c r="A298" s="479"/>
      <c r="B298" s="482"/>
      <c r="C298" s="332">
        <f t="shared" si="39"/>
        <v>0</v>
      </c>
      <c r="D298" s="483"/>
      <c r="E298" s="334">
        <f t="shared" si="40"/>
        <v>0</v>
      </c>
      <c r="F298" s="338">
        <f t="shared" si="41"/>
        <v>0</v>
      </c>
      <c r="G298" s="472"/>
      <c r="H298" s="479"/>
      <c r="I298" s="482"/>
      <c r="J298" s="332">
        <f t="shared" si="42"/>
        <v>0</v>
      </c>
      <c r="K298" s="483"/>
      <c r="L298" s="332">
        <f t="shared" si="43"/>
        <v>0</v>
      </c>
      <c r="M298" s="338">
        <f t="shared" si="44"/>
        <v>0</v>
      </c>
    </row>
    <row r="299" spans="1:13" ht="15" outlineLevel="1" x14ac:dyDescent="0.2">
      <c r="A299" s="479"/>
      <c r="B299" s="482"/>
      <c r="C299" s="332">
        <f t="shared" si="39"/>
        <v>0</v>
      </c>
      <c r="D299" s="483"/>
      <c r="E299" s="334">
        <f t="shared" si="40"/>
        <v>0</v>
      </c>
      <c r="F299" s="338">
        <f t="shared" si="41"/>
        <v>0</v>
      </c>
      <c r="G299" s="472"/>
      <c r="H299" s="479"/>
      <c r="I299" s="482"/>
      <c r="J299" s="332">
        <f t="shared" si="42"/>
        <v>0</v>
      </c>
      <c r="K299" s="483"/>
      <c r="L299" s="332">
        <f t="shared" si="43"/>
        <v>0</v>
      </c>
      <c r="M299" s="338">
        <f t="shared" si="44"/>
        <v>0</v>
      </c>
    </row>
    <row r="300" spans="1:13" ht="15" outlineLevel="1" x14ac:dyDescent="0.2">
      <c r="A300" s="479"/>
      <c r="B300" s="482"/>
      <c r="C300" s="332">
        <f t="shared" si="39"/>
        <v>0</v>
      </c>
      <c r="D300" s="483"/>
      <c r="E300" s="334">
        <f t="shared" si="40"/>
        <v>0</v>
      </c>
      <c r="F300" s="338">
        <f t="shared" si="41"/>
        <v>0</v>
      </c>
      <c r="G300" s="472"/>
      <c r="H300" s="479"/>
      <c r="I300" s="482"/>
      <c r="J300" s="332">
        <f t="shared" si="42"/>
        <v>0</v>
      </c>
      <c r="K300" s="483"/>
      <c r="L300" s="332">
        <f t="shared" si="43"/>
        <v>0</v>
      </c>
      <c r="M300" s="338">
        <f t="shared" si="44"/>
        <v>0</v>
      </c>
    </row>
    <row r="301" spans="1:13" ht="15" outlineLevel="1" x14ac:dyDescent="0.2">
      <c r="A301" s="479"/>
      <c r="B301" s="482"/>
      <c r="C301" s="332">
        <f t="shared" si="39"/>
        <v>0</v>
      </c>
      <c r="D301" s="483"/>
      <c r="E301" s="334">
        <f t="shared" si="40"/>
        <v>0</v>
      </c>
      <c r="F301" s="338">
        <f t="shared" si="41"/>
        <v>0</v>
      </c>
      <c r="H301" s="479"/>
      <c r="I301" s="482"/>
      <c r="J301" s="332">
        <f t="shared" si="42"/>
        <v>0</v>
      </c>
      <c r="K301" s="483"/>
      <c r="L301" s="332">
        <f t="shared" si="43"/>
        <v>0</v>
      </c>
      <c r="M301" s="338">
        <f t="shared" si="44"/>
        <v>0</v>
      </c>
    </row>
    <row r="302" spans="1:13" ht="15" outlineLevel="1" x14ac:dyDescent="0.2">
      <c r="A302" s="479"/>
      <c r="B302" s="482"/>
      <c r="C302" s="332">
        <f t="shared" si="39"/>
        <v>0</v>
      </c>
      <c r="D302" s="483"/>
      <c r="E302" s="334">
        <f t="shared" si="40"/>
        <v>0</v>
      </c>
      <c r="F302" s="338">
        <f t="shared" si="41"/>
        <v>0</v>
      </c>
      <c r="H302" s="479"/>
      <c r="I302" s="482"/>
      <c r="J302" s="332">
        <f t="shared" si="42"/>
        <v>0</v>
      </c>
      <c r="K302" s="483"/>
      <c r="L302" s="332">
        <f t="shared" si="43"/>
        <v>0</v>
      </c>
      <c r="M302" s="338">
        <f t="shared" si="44"/>
        <v>0</v>
      </c>
    </row>
    <row r="303" spans="1:13" ht="15" outlineLevel="1" x14ac:dyDescent="0.2">
      <c r="A303" s="479"/>
      <c r="B303" s="482"/>
      <c r="C303" s="332">
        <f t="shared" si="39"/>
        <v>0</v>
      </c>
      <c r="D303" s="483"/>
      <c r="E303" s="334">
        <f t="shared" si="40"/>
        <v>0</v>
      </c>
      <c r="F303" s="338">
        <f t="shared" si="41"/>
        <v>0</v>
      </c>
      <c r="G303" s="472"/>
      <c r="H303" s="479"/>
      <c r="I303" s="482"/>
      <c r="J303" s="332">
        <f t="shared" si="42"/>
        <v>0</v>
      </c>
      <c r="K303" s="483"/>
      <c r="L303" s="332">
        <f t="shared" si="43"/>
        <v>0</v>
      </c>
      <c r="M303" s="338">
        <f t="shared" si="44"/>
        <v>0</v>
      </c>
    </row>
    <row r="304" spans="1:13" ht="15" outlineLevel="1" x14ac:dyDescent="0.2">
      <c r="A304" s="479"/>
      <c r="B304" s="482"/>
      <c r="C304" s="332">
        <f t="shared" si="39"/>
        <v>0</v>
      </c>
      <c r="D304" s="483"/>
      <c r="E304" s="334">
        <f t="shared" si="40"/>
        <v>0</v>
      </c>
      <c r="F304" s="341">
        <f t="shared" si="41"/>
        <v>0</v>
      </c>
      <c r="G304" s="472"/>
      <c r="H304" s="479"/>
      <c r="I304" s="482"/>
      <c r="J304" s="332">
        <f t="shared" si="42"/>
        <v>0</v>
      </c>
      <c r="K304" s="483"/>
      <c r="L304" s="332">
        <f t="shared" si="43"/>
        <v>0</v>
      </c>
      <c r="M304" s="341">
        <f t="shared" si="44"/>
        <v>0</v>
      </c>
    </row>
    <row r="305" spans="1:13" ht="15" outlineLevel="1" x14ac:dyDescent="0.2">
      <c r="A305" s="479"/>
      <c r="B305" s="482"/>
      <c r="C305" s="332">
        <f t="shared" si="39"/>
        <v>0</v>
      </c>
      <c r="D305" s="483"/>
      <c r="E305" s="334">
        <f t="shared" si="40"/>
        <v>0</v>
      </c>
      <c r="F305" s="338">
        <f t="shared" si="41"/>
        <v>0</v>
      </c>
      <c r="G305" s="472"/>
      <c r="H305" s="479"/>
      <c r="I305" s="482"/>
      <c r="J305" s="332">
        <f t="shared" si="42"/>
        <v>0</v>
      </c>
      <c r="K305" s="483"/>
      <c r="L305" s="332">
        <f t="shared" si="43"/>
        <v>0</v>
      </c>
      <c r="M305" s="338">
        <f t="shared" si="44"/>
        <v>0</v>
      </c>
    </row>
    <row r="306" spans="1:13" ht="15" outlineLevel="1" x14ac:dyDescent="0.2">
      <c r="A306" s="479"/>
      <c r="B306" s="482"/>
      <c r="C306" s="332">
        <f t="shared" si="39"/>
        <v>0</v>
      </c>
      <c r="D306" s="483"/>
      <c r="E306" s="334">
        <f t="shared" si="40"/>
        <v>0</v>
      </c>
      <c r="F306" s="338">
        <f t="shared" si="41"/>
        <v>0</v>
      </c>
      <c r="G306" s="472"/>
      <c r="H306" s="479"/>
      <c r="I306" s="482"/>
      <c r="J306" s="332">
        <f t="shared" si="42"/>
        <v>0</v>
      </c>
      <c r="K306" s="483"/>
      <c r="L306" s="332">
        <f t="shared" si="43"/>
        <v>0</v>
      </c>
      <c r="M306" s="338">
        <f t="shared" si="44"/>
        <v>0</v>
      </c>
    </row>
    <row r="307" spans="1:13" ht="15" outlineLevel="1" x14ac:dyDescent="0.2">
      <c r="A307" s="479"/>
      <c r="B307" s="482"/>
      <c r="C307" s="332">
        <f t="shared" si="39"/>
        <v>0</v>
      </c>
      <c r="D307" s="483"/>
      <c r="E307" s="334">
        <f t="shared" si="40"/>
        <v>0</v>
      </c>
      <c r="F307" s="338">
        <f t="shared" si="41"/>
        <v>0</v>
      </c>
      <c r="G307" s="472"/>
      <c r="H307" s="479"/>
      <c r="I307" s="482"/>
      <c r="J307" s="332">
        <f t="shared" si="42"/>
        <v>0</v>
      </c>
      <c r="K307" s="483"/>
      <c r="L307" s="332">
        <f t="shared" si="43"/>
        <v>0</v>
      </c>
      <c r="M307" s="338">
        <f t="shared" si="44"/>
        <v>0</v>
      </c>
    </row>
    <row r="308" spans="1:13" ht="15" outlineLevel="1" x14ac:dyDescent="0.2">
      <c r="A308" s="481"/>
      <c r="B308" s="482"/>
      <c r="C308" s="760">
        <f t="shared" si="39"/>
        <v>0</v>
      </c>
      <c r="D308" s="483"/>
      <c r="E308" s="757">
        <f t="shared" si="40"/>
        <v>0</v>
      </c>
      <c r="F308" s="341">
        <f t="shared" si="41"/>
        <v>0</v>
      </c>
      <c r="G308" s="472"/>
      <c r="H308" s="481"/>
      <c r="I308" s="482"/>
      <c r="J308" s="760">
        <f t="shared" si="42"/>
        <v>0</v>
      </c>
      <c r="K308" s="483"/>
      <c r="L308" s="760">
        <f t="shared" si="43"/>
        <v>0</v>
      </c>
      <c r="M308" s="338">
        <f t="shared" si="44"/>
        <v>0</v>
      </c>
    </row>
    <row r="309" spans="1:13" ht="15" outlineLevel="1" x14ac:dyDescent="0.2">
      <c r="A309" s="481"/>
      <c r="B309" s="482"/>
      <c r="C309" s="760">
        <f t="shared" si="39"/>
        <v>0</v>
      </c>
      <c r="D309" s="483"/>
      <c r="E309" s="757">
        <f t="shared" si="40"/>
        <v>0</v>
      </c>
      <c r="F309" s="341">
        <f t="shared" si="41"/>
        <v>0</v>
      </c>
      <c r="G309" s="472"/>
      <c r="H309" s="481"/>
      <c r="I309" s="482"/>
      <c r="J309" s="760">
        <f t="shared" si="42"/>
        <v>0</v>
      </c>
      <c r="K309" s="483"/>
      <c r="L309" s="760">
        <f t="shared" si="43"/>
        <v>0</v>
      </c>
      <c r="M309" s="338">
        <f t="shared" si="44"/>
        <v>0</v>
      </c>
    </row>
    <row r="310" spans="1:13" ht="15" outlineLevel="1" x14ac:dyDescent="0.2">
      <c r="A310" s="479"/>
      <c r="B310" s="482"/>
      <c r="C310" s="332">
        <f t="shared" si="39"/>
        <v>0</v>
      </c>
      <c r="D310" s="483"/>
      <c r="E310" s="334">
        <f t="shared" si="40"/>
        <v>0</v>
      </c>
      <c r="F310" s="338">
        <f t="shared" si="41"/>
        <v>0</v>
      </c>
      <c r="G310" s="472"/>
      <c r="H310" s="481"/>
      <c r="I310" s="482"/>
      <c r="J310" s="332">
        <f t="shared" si="42"/>
        <v>0</v>
      </c>
      <c r="K310" s="483"/>
      <c r="L310" s="332">
        <f t="shared" si="43"/>
        <v>0</v>
      </c>
      <c r="M310" s="338">
        <f t="shared" si="44"/>
        <v>0</v>
      </c>
    </row>
    <row r="311" spans="1:13" ht="15" outlineLevel="1" x14ac:dyDescent="0.2">
      <c r="A311" s="479"/>
      <c r="B311" s="482"/>
      <c r="C311" s="332">
        <f t="shared" si="39"/>
        <v>0</v>
      </c>
      <c r="D311" s="483"/>
      <c r="E311" s="334">
        <f t="shared" si="40"/>
        <v>0</v>
      </c>
      <c r="F311" s="338">
        <f t="shared" si="41"/>
        <v>0</v>
      </c>
      <c r="G311" s="472"/>
      <c r="H311" s="481"/>
      <c r="I311" s="482"/>
      <c r="J311" s="332">
        <f t="shared" si="42"/>
        <v>0</v>
      </c>
      <c r="K311" s="483"/>
      <c r="L311" s="332">
        <f t="shared" si="43"/>
        <v>0</v>
      </c>
      <c r="M311" s="338">
        <f t="shared" si="44"/>
        <v>0</v>
      </c>
    </row>
    <row r="312" spans="1:13" ht="15" outlineLevel="1" x14ac:dyDescent="0.2">
      <c r="A312" s="479"/>
      <c r="B312" s="482"/>
      <c r="C312" s="332">
        <f t="shared" si="39"/>
        <v>0</v>
      </c>
      <c r="D312" s="483"/>
      <c r="E312" s="334">
        <f t="shared" si="40"/>
        <v>0</v>
      </c>
      <c r="F312" s="338">
        <f t="shared" si="41"/>
        <v>0</v>
      </c>
      <c r="G312" s="472"/>
      <c r="H312" s="481"/>
      <c r="I312" s="482"/>
      <c r="J312" s="332">
        <f t="shared" si="42"/>
        <v>0</v>
      </c>
      <c r="K312" s="483"/>
      <c r="L312" s="332">
        <f t="shared" si="43"/>
        <v>0</v>
      </c>
      <c r="M312" s="338">
        <f t="shared" si="44"/>
        <v>0</v>
      </c>
    </row>
    <row r="313" spans="1:13" ht="15" outlineLevel="1" x14ac:dyDescent="0.2">
      <c r="A313" s="479"/>
      <c r="B313" s="482"/>
      <c r="C313" s="332">
        <f t="shared" si="39"/>
        <v>0</v>
      </c>
      <c r="D313" s="483"/>
      <c r="E313" s="334">
        <f t="shared" si="40"/>
        <v>0</v>
      </c>
      <c r="F313" s="338">
        <f t="shared" si="41"/>
        <v>0</v>
      </c>
      <c r="G313" s="472"/>
      <c r="H313" s="481"/>
      <c r="I313" s="482"/>
      <c r="J313" s="332">
        <f t="shared" si="42"/>
        <v>0</v>
      </c>
      <c r="K313" s="483"/>
      <c r="L313" s="332">
        <f t="shared" si="43"/>
        <v>0</v>
      </c>
      <c r="M313" s="338">
        <f t="shared" si="44"/>
        <v>0</v>
      </c>
    </row>
    <row r="314" spans="1:13" ht="15" outlineLevel="1" x14ac:dyDescent="0.2">
      <c r="A314" s="479"/>
      <c r="B314" s="482"/>
      <c r="C314" s="332">
        <f t="shared" si="39"/>
        <v>0</v>
      </c>
      <c r="D314" s="483"/>
      <c r="E314" s="334">
        <f t="shared" si="40"/>
        <v>0</v>
      </c>
      <c r="F314" s="338">
        <f t="shared" si="41"/>
        <v>0</v>
      </c>
      <c r="G314" s="472"/>
      <c r="H314" s="481"/>
      <c r="I314" s="482"/>
      <c r="J314" s="332">
        <f t="shared" si="42"/>
        <v>0</v>
      </c>
      <c r="K314" s="483"/>
      <c r="L314" s="332">
        <f t="shared" si="43"/>
        <v>0</v>
      </c>
      <c r="M314" s="338">
        <f t="shared" si="44"/>
        <v>0</v>
      </c>
    </row>
    <row r="315" spans="1:13" ht="15" outlineLevel="1" x14ac:dyDescent="0.2">
      <c r="A315" s="479"/>
      <c r="B315" s="482"/>
      <c r="C315" s="332">
        <f t="shared" si="39"/>
        <v>0</v>
      </c>
      <c r="D315" s="483"/>
      <c r="E315" s="334">
        <f t="shared" si="40"/>
        <v>0</v>
      </c>
      <c r="F315" s="338">
        <f t="shared" si="41"/>
        <v>0</v>
      </c>
      <c r="G315" s="472"/>
      <c r="H315" s="481"/>
      <c r="I315" s="482"/>
      <c r="J315" s="332">
        <f t="shared" si="42"/>
        <v>0</v>
      </c>
      <c r="K315" s="483"/>
      <c r="L315" s="332">
        <f t="shared" si="43"/>
        <v>0</v>
      </c>
      <c r="M315" s="338">
        <f t="shared" si="44"/>
        <v>0</v>
      </c>
    </row>
    <row r="316" spans="1:13" ht="15" outlineLevel="1" x14ac:dyDescent="0.2">
      <c r="A316" s="479"/>
      <c r="B316" s="482"/>
      <c r="C316" s="332">
        <f t="shared" si="39"/>
        <v>0</v>
      </c>
      <c r="D316" s="483"/>
      <c r="E316" s="334">
        <f t="shared" si="40"/>
        <v>0</v>
      </c>
      <c r="F316" s="338">
        <f t="shared" si="41"/>
        <v>0</v>
      </c>
      <c r="G316" s="472"/>
      <c r="H316" s="481"/>
      <c r="I316" s="482"/>
      <c r="J316" s="332">
        <f t="shared" si="42"/>
        <v>0</v>
      </c>
      <c r="K316" s="483"/>
      <c r="L316" s="332">
        <f t="shared" si="43"/>
        <v>0</v>
      </c>
      <c r="M316" s="338">
        <f t="shared" si="44"/>
        <v>0</v>
      </c>
    </row>
    <row r="317" spans="1:13" ht="15" outlineLevel="1" x14ac:dyDescent="0.2">
      <c r="A317" s="479"/>
      <c r="B317" s="482"/>
      <c r="C317" s="332">
        <f t="shared" si="39"/>
        <v>0</v>
      </c>
      <c r="D317" s="483"/>
      <c r="E317" s="334">
        <f t="shared" si="40"/>
        <v>0</v>
      </c>
      <c r="F317" s="338">
        <f t="shared" si="41"/>
        <v>0</v>
      </c>
      <c r="G317" s="472"/>
      <c r="H317" s="481"/>
      <c r="I317" s="482"/>
      <c r="J317" s="332">
        <f t="shared" si="42"/>
        <v>0</v>
      </c>
      <c r="K317" s="483"/>
      <c r="L317" s="332">
        <f t="shared" si="43"/>
        <v>0</v>
      </c>
      <c r="M317" s="338">
        <f t="shared" si="44"/>
        <v>0</v>
      </c>
    </row>
    <row r="318" spans="1:13" ht="15" outlineLevel="1" x14ac:dyDescent="0.2">
      <c r="A318" s="479"/>
      <c r="B318" s="482"/>
      <c r="C318" s="332">
        <f t="shared" si="39"/>
        <v>0</v>
      </c>
      <c r="D318" s="483"/>
      <c r="E318" s="334">
        <f t="shared" si="40"/>
        <v>0</v>
      </c>
      <c r="F318" s="338">
        <f t="shared" si="41"/>
        <v>0</v>
      </c>
      <c r="G318" s="472"/>
      <c r="H318" s="481"/>
      <c r="I318" s="482"/>
      <c r="J318" s="332">
        <f t="shared" si="42"/>
        <v>0</v>
      </c>
      <c r="K318" s="483"/>
      <c r="L318" s="332">
        <f t="shared" si="43"/>
        <v>0</v>
      </c>
      <c r="M318" s="338">
        <f t="shared" si="44"/>
        <v>0</v>
      </c>
    </row>
    <row r="319" spans="1:13" ht="15" outlineLevel="1" x14ac:dyDescent="0.2">
      <c r="A319" s="479"/>
      <c r="B319" s="482"/>
      <c r="C319" s="332">
        <f t="shared" si="39"/>
        <v>0</v>
      </c>
      <c r="D319" s="483"/>
      <c r="E319" s="334">
        <f t="shared" si="40"/>
        <v>0</v>
      </c>
      <c r="F319" s="338">
        <f t="shared" si="41"/>
        <v>0</v>
      </c>
      <c r="G319" s="472"/>
      <c r="H319" s="481"/>
      <c r="I319" s="482"/>
      <c r="J319" s="332">
        <f t="shared" si="42"/>
        <v>0</v>
      </c>
      <c r="K319" s="483"/>
      <c r="L319" s="332">
        <f t="shared" si="43"/>
        <v>0</v>
      </c>
      <c r="M319" s="338">
        <f t="shared" si="44"/>
        <v>0</v>
      </c>
    </row>
    <row r="320" spans="1:13" ht="15.75" outlineLevel="1" thickBot="1" x14ac:dyDescent="0.25">
      <c r="A320" s="479"/>
      <c r="B320" s="482"/>
      <c r="C320" s="332">
        <f t="shared" si="39"/>
        <v>0</v>
      </c>
      <c r="D320" s="483"/>
      <c r="E320" s="334">
        <f t="shared" si="40"/>
        <v>0</v>
      </c>
      <c r="F320" s="338">
        <f t="shared" si="41"/>
        <v>0</v>
      </c>
      <c r="G320" s="472"/>
      <c r="H320" s="481"/>
      <c r="I320" s="482"/>
      <c r="J320" s="332">
        <f t="shared" si="42"/>
        <v>0</v>
      </c>
      <c r="K320" s="483"/>
      <c r="L320" s="332">
        <f t="shared" si="43"/>
        <v>0</v>
      </c>
      <c r="M320" s="338">
        <f t="shared" si="44"/>
        <v>0</v>
      </c>
    </row>
    <row r="321" spans="1:13" ht="15.75" outlineLevel="1" thickBot="1" x14ac:dyDescent="0.25">
      <c r="A321" s="348" t="s">
        <v>1007</v>
      </c>
      <c r="B321" s="376"/>
      <c r="C321" s="492" t="s">
        <v>107</v>
      </c>
      <c r="D321" s="359">
        <f>ROUND(SUMPRODUCT(Ensuite2WallTable[Height],Ensuite2WallTable[Width]),1)</f>
        <v>0</v>
      </c>
      <c r="E321" s="358"/>
      <c r="F321" s="806">
        <f>SUM(F280:F320)*(B278*D278)</f>
        <v>0</v>
      </c>
      <c r="G321" s="472"/>
      <c r="H321" s="348" t="s">
        <v>1007</v>
      </c>
      <c r="I321" s="376"/>
      <c r="J321" s="492" t="s">
        <v>107</v>
      </c>
      <c r="K321" s="359">
        <f>ROUND(SUMPRODUCT(Ensuite2FloorTable[Height],Ensuite2FloorTable[Width])+SUMIF(Name,"Ensuite 2 Floor Tile",Area)+SUMIF('CSV FF'!A:A,"Ensuite 2 Floor Tile",'CSV FF'!F:F),1)</f>
        <v>0</v>
      </c>
      <c r="L321" s="358"/>
      <c r="M321" s="806">
        <f>SUM(M280:M320)*(I278*K278)</f>
        <v>0</v>
      </c>
    </row>
    <row r="322" spans="1:13" ht="13.5" thickBot="1" x14ac:dyDescent="0.25"/>
    <row r="323" spans="1:13" ht="21.75" outlineLevel="1" thickBot="1" x14ac:dyDescent="0.25">
      <c r="A323" s="1369" t="s">
        <v>1627</v>
      </c>
      <c r="B323" s="1370"/>
      <c r="C323" s="1370"/>
      <c r="D323" s="1370"/>
      <c r="E323" s="1370"/>
      <c r="F323" s="1371"/>
      <c r="H323" s="1369" t="s">
        <v>1628</v>
      </c>
      <c r="I323" s="1370"/>
      <c r="J323" s="1370"/>
      <c r="K323" s="1370"/>
      <c r="L323" s="1370"/>
      <c r="M323" s="1371"/>
    </row>
    <row r="324" spans="1:13" ht="15.75" outlineLevel="1" thickBot="1" x14ac:dyDescent="0.25">
      <c r="A324" s="353" t="s">
        <v>551</v>
      </c>
      <c r="B324" s="812" t="s">
        <v>661</v>
      </c>
      <c r="C324" s="354" t="s">
        <v>672</v>
      </c>
      <c r="D324" s="355">
        <v>44</v>
      </c>
      <c r="E324" s="360">
        <f>IF($B$1="Magic Tiles",0.3,IF($B$1="Tiles Plus",0.3,0.2))</f>
        <v>0.2</v>
      </c>
      <c r="F324" s="471">
        <f>IF(C324="Nett",ROUND(D324/1.1,2),IF(C324="Each",(1/(B326*D326)*D324/1.1),IF(C324="M2",(IF(AND(OR($B$1="Armanti Bunbury",$B$1="Armanti Busselton"),(D324&lt;=44)),30,IF(AND($B$1="Magic Tiles",D324&lt;=44),25.46,IF(AND(OR($B$1="Trimview"),(D324&lt;=44)),32,IF(C324="M2",D324/1.1-E324*D324/1.1,0))))))))</f>
        <v>32</v>
      </c>
      <c r="H324" s="353" t="s">
        <v>551</v>
      </c>
      <c r="I324" s="812" t="s">
        <v>661</v>
      </c>
      <c r="J324" s="354" t="s">
        <v>672</v>
      </c>
      <c r="K324" s="355">
        <v>44</v>
      </c>
      <c r="L324" s="360">
        <f>IF($B$1="Magic Tiles",0.3,IF($B$1="Tiles Plus",0.3,0.2))</f>
        <v>0.2</v>
      </c>
      <c r="M324" s="471">
        <f>IF(J324="Nett",ROUND(K324/1.1,2),IF(J324="Each",(1/(I326*K326)*K324/1.1),IF(J324="M2",(IF(AND(OR($B$1="Armanti Bunbury",$B$1="Armanti Busselton"),(K324&lt;=44)),30,IF(AND($B$1="Magic Tiles",K324&lt;=44),25.46,IF(AND(OR($B$1="Trimview"),(K324&lt;=44)),32,IF(J324="M2",K324/1.1-L324*K324/1.1,0))))))))</f>
        <v>32</v>
      </c>
    </row>
    <row r="325" spans="1:13" ht="15.75" outlineLevel="1" thickBot="1" x14ac:dyDescent="0.25">
      <c r="A325" s="810" t="s">
        <v>1595</v>
      </c>
      <c r="B325" s="1372" t="s">
        <v>136</v>
      </c>
      <c r="C325" s="1373"/>
      <c r="D325" s="1372" t="s">
        <v>99</v>
      </c>
      <c r="E325" s="1373"/>
      <c r="F325" s="1374" t="s">
        <v>11</v>
      </c>
      <c r="H325" s="810" t="s">
        <v>1595</v>
      </c>
      <c r="I325" s="1372" t="s">
        <v>34</v>
      </c>
      <c r="J325" s="1373"/>
      <c r="K325" s="1372" t="s">
        <v>99</v>
      </c>
      <c r="L325" s="1373"/>
      <c r="M325" s="1374" t="s">
        <v>11</v>
      </c>
    </row>
    <row r="326" spans="1:13" ht="15.75" outlineLevel="1" thickBot="1" x14ac:dyDescent="0.25">
      <c r="A326" s="754" t="s">
        <v>551</v>
      </c>
      <c r="B326" s="1377"/>
      <c r="C326" s="1378"/>
      <c r="D326" s="1377"/>
      <c r="E326" s="1378"/>
      <c r="F326" s="1375"/>
      <c r="H326" s="754" t="s">
        <v>551</v>
      </c>
      <c r="I326" s="1379"/>
      <c r="J326" s="1380"/>
      <c r="K326" s="1379"/>
      <c r="L326" s="1380"/>
      <c r="M326" s="1376"/>
    </row>
    <row r="327" spans="1:13" ht="15.75" outlineLevel="1" thickBot="1" x14ac:dyDescent="0.25">
      <c r="A327" s="492" t="s">
        <v>7</v>
      </c>
      <c r="B327" s="362" t="s">
        <v>136</v>
      </c>
      <c r="C327" s="363" t="s">
        <v>1001</v>
      </c>
      <c r="D327" s="364" t="s">
        <v>99</v>
      </c>
      <c r="E327" s="365" t="s">
        <v>1002</v>
      </c>
      <c r="F327" s="366" t="s">
        <v>11</v>
      </c>
      <c r="H327" s="492" t="s">
        <v>7</v>
      </c>
      <c r="I327" s="362" t="s">
        <v>136</v>
      </c>
      <c r="J327" s="363" t="s">
        <v>1001</v>
      </c>
      <c r="K327" s="364" t="s">
        <v>99</v>
      </c>
      <c r="L327" s="363" t="s">
        <v>1002</v>
      </c>
      <c r="M327" s="366" t="s">
        <v>11</v>
      </c>
    </row>
    <row r="328" spans="1:13" ht="15.75" outlineLevel="1" thickBot="1" x14ac:dyDescent="0.25">
      <c r="A328" s="361"/>
      <c r="B328" s="793"/>
      <c r="C328" s="363">
        <f t="shared" ref="C328:C352" si="45">IF($B$326&gt;0,IF(OR(B328&lt;0,D328&lt;0),ROUNDDOWN(B328/$B$326,0),(CEILING(B328/$B$326,1))),0)</f>
        <v>0</v>
      </c>
      <c r="D328" s="796"/>
      <c r="E328" s="365">
        <f t="shared" ref="E328:E352" si="46">IF($D$326&gt;0,IF(OR(B328&lt;0,D328&lt;0),ROUNDDOWN(D328/$D$326,0),CEILING(D328/$D$326,1)),0)</f>
        <v>0</v>
      </c>
      <c r="F328" s="366">
        <f t="shared" ref="F328:F352" si="47">C328*E328</f>
        <v>0</v>
      </c>
      <c r="H328" s="473" t="s">
        <v>408</v>
      </c>
      <c r="I328" s="362"/>
      <c r="J328" s="363">
        <f t="shared" ref="J328:J352" si="48">IF($I$326&gt;0,IF(OR(I328&lt;0,I328&lt;0),ROUNDDOWN(I328/$I$326,0),CEILING(I328/$I$326,1)),0)</f>
        <v>0</v>
      </c>
      <c r="K328" s="364"/>
      <c r="L328" s="363">
        <f t="shared" ref="L328:L352" si="49">IF($K$326&gt;0,IF(OR(I328&lt;0,K328&lt;0),ROUNDDOWN(K328/$K$326,0),CEILING(K328/K$326,1)),0)</f>
        <v>0</v>
      </c>
      <c r="M328" s="491">
        <f>IFERROR(ROUNDUP(SUMIF(Name,"Powder Floor Tile",Area)/(I326*K326),0),0)+IFERROR(ROUNDUP(SUMIF('CSV FF'!A:A,"Powder Floor Tile",'CSV FF'!F:F)/(I326*K326),0),0)</f>
        <v>0</v>
      </c>
    </row>
    <row r="329" spans="1:13" ht="15" outlineLevel="1" x14ac:dyDescent="0.2">
      <c r="A329" s="367"/>
      <c r="B329" s="794"/>
      <c r="C329" s="363">
        <f t="shared" si="45"/>
        <v>0</v>
      </c>
      <c r="D329" s="797"/>
      <c r="E329" s="365">
        <f t="shared" si="46"/>
        <v>0</v>
      </c>
      <c r="F329" s="370">
        <f t="shared" si="47"/>
        <v>0</v>
      </c>
      <c r="H329" s="371"/>
      <c r="I329" s="368"/>
      <c r="J329" s="363">
        <f t="shared" si="48"/>
        <v>0</v>
      </c>
      <c r="K329" s="369"/>
      <c r="L329" s="363">
        <f t="shared" si="49"/>
        <v>0</v>
      </c>
      <c r="M329" s="370">
        <f t="shared" ref="M329:M352" si="50">J329*L329</f>
        <v>0</v>
      </c>
    </row>
    <row r="330" spans="1:13" ht="15" outlineLevel="1" x14ac:dyDescent="0.2">
      <c r="A330" s="371"/>
      <c r="B330" s="794"/>
      <c r="C330" s="363">
        <f t="shared" si="45"/>
        <v>0</v>
      </c>
      <c r="D330" s="797"/>
      <c r="E330" s="365">
        <f t="shared" si="46"/>
        <v>0</v>
      </c>
      <c r="F330" s="370">
        <f t="shared" si="47"/>
        <v>0</v>
      </c>
      <c r="H330" s="371"/>
      <c r="I330" s="368"/>
      <c r="J330" s="363">
        <f t="shared" si="48"/>
        <v>0</v>
      </c>
      <c r="K330" s="369"/>
      <c r="L330" s="363">
        <f t="shared" si="49"/>
        <v>0</v>
      </c>
      <c r="M330" s="370">
        <f t="shared" si="50"/>
        <v>0</v>
      </c>
    </row>
    <row r="331" spans="1:13" ht="15" outlineLevel="1" x14ac:dyDescent="0.2">
      <c r="A331" s="371"/>
      <c r="B331" s="794"/>
      <c r="C331" s="363">
        <f t="shared" si="45"/>
        <v>0</v>
      </c>
      <c r="D331" s="797"/>
      <c r="E331" s="365">
        <f t="shared" si="46"/>
        <v>0</v>
      </c>
      <c r="F331" s="370">
        <f t="shared" si="47"/>
        <v>0</v>
      </c>
      <c r="H331" s="371"/>
      <c r="I331" s="368"/>
      <c r="J331" s="363">
        <f t="shared" si="48"/>
        <v>0</v>
      </c>
      <c r="K331" s="369"/>
      <c r="L331" s="363">
        <f t="shared" si="49"/>
        <v>0</v>
      </c>
      <c r="M331" s="370">
        <f t="shared" si="50"/>
        <v>0</v>
      </c>
    </row>
    <row r="332" spans="1:13" ht="15" outlineLevel="1" x14ac:dyDescent="0.2">
      <c r="A332" s="371"/>
      <c r="B332" s="794"/>
      <c r="C332" s="363">
        <f t="shared" si="45"/>
        <v>0</v>
      </c>
      <c r="D332" s="797"/>
      <c r="E332" s="365">
        <f t="shared" si="46"/>
        <v>0</v>
      </c>
      <c r="F332" s="370">
        <f t="shared" si="47"/>
        <v>0</v>
      </c>
      <c r="H332" s="371"/>
      <c r="I332" s="368"/>
      <c r="J332" s="363">
        <f t="shared" si="48"/>
        <v>0</v>
      </c>
      <c r="K332" s="369"/>
      <c r="L332" s="363">
        <f t="shared" si="49"/>
        <v>0</v>
      </c>
      <c r="M332" s="370">
        <f t="shared" si="50"/>
        <v>0</v>
      </c>
    </row>
    <row r="333" spans="1:13" ht="15" outlineLevel="1" x14ac:dyDescent="0.2">
      <c r="A333" s="371"/>
      <c r="B333" s="794"/>
      <c r="C333" s="363">
        <f t="shared" si="45"/>
        <v>0</v>
      </c>
      <c r="D333" s="797"/>
      <c r="E333" s="365">
        <f t="shared" si="46"/>
        <v>0</v>
      </c>
      <c r="F333" s="370">
        <f t="shared" si="47"/>
        <v>0</v>
      </c>
      <c r="H333" s="371"/>
      <c r="I333" s="368"/>
      <c r="J333" s="363">
        <f t="shared" si="48"/>
        <v>0</v>
      </c>
      <c r="K333" s="369"/>
      <c r="L333" s="363">
        <f t="shared" si="49"/>
        <v>0</v>
      </c>
      <c r="M333" s="370">
        <f t="shared" si="50"/>
        <v>0</v>
      </c>
    </row>
    <row r="334" spans="1:13" ht="15" outlineLevel="1" x14ac:dyDescent="0.2">
      <c r="A334" s="371"/>
      <c r="B334" s="794"/>
      <c r="C334" s="363">
        <f t="shared" si="45"/>
        <v>0</v>
      </c>
      <c r="D334" s="797"/>
      <c r="E334" s="365">
        <f t="shared" si="46"/>
        <v>0</v>
      </c>
      <c r="F334" s="370">
        <f t="shared" si="47"/>
        <v>0</v>
      </c>
      <c r="H334" s="371"/>
      <c r="I334" s="368"/>
      <c r="J334" s="363">
        <f t="shared" si="48"/>
        <v>0</v>
      </c>
      <c r="K334" s="369"/>
      <c r="L334" s="363">
        <f t="shared" si="49"/>
        <v>0</v>
      </c>
      <c r="M334" s="370">
        <f t="shared" si="50"/>
        <v>0</v>
      </c>
    </row>
    <row r="335" spans="1:13" ht="15" outlineLevel="1" x14ac:dyDescent="0.2">
      <c r="A335" s="371"/>
      <c r="B335" s="794"/>
      <c r="C335" s="363">
        <f t="shared" si="45"/>
        <v>0</v>
      </c>
      <c r="D335" s="797"/>
      <c r="E335" s="365">
        <f t="shared" si="46"/>
        <v>0</v>
      </c>
      <c r="F335" s="370">
        <f t="shared" si="47"/>
        <v>0</v>
      </c>
      <c r="H335" s="371"/>
      <c r="I335" s="368"/>
      <c r="J335" s="363">
        <f t="shared" si="48"/>
        <v>0</v>
      </c>
      <c r="K335" s="369"/>
      <c r="L335" s="363">
        <f t="shared" si="49"/>
        <v>0</v>
      </c>
      <c r="M335" s="370">
        <f t="shared" si="50"/>
        <v>0</v>
      </c>
    </row>
    <row r="336" spans="1:13" ht="15" outlineLevel="1" x14ac:dyDescent="0.2">
      <c r="A336" s="371"/>
      <c r="B336" s="794"/>
      <c r="C336" s="363">
        <f t="shared" si="45"/>
        <v>0</v>
      </c>
      <c r="D336" s="797"/>
      <c r="E336" s="365">
        <f t="shared" si="46"/>
        <v>0</v>
      </c>
      <c r="F336" s="370">
        <f t="shared" si="47"/>
        <v>0</v>
      </c>
      <c r="H336" s="371"/>
      <c r="I336" s="368"/>
      <c r="J336" s="363">
        <f t="shared" si="48"/>
        <v>0</v>
      </c>
      <c r="K336" s="369"/>
      <c r="L336" s="363">
        <f t="shared" si="49"/>
        <v>0</v>
      </c>
      <c r="M336" s="370">
        <f t="shared" si="50"/>
        <v>0</v>
      </c>
    </row>
    <row r="337" spans="1:13" ht="15" outlineLevel="1" x14ac:dyDescent="0.2">
      <c r="A337" s="371"/>
      <c r="B337" s="794"/>
      <c r="C337" s="363">
        <f t="shared" si="45"/>
        <v>0</v>
      </c>
      <c r="D337" s="797"/>
      <c r="E337" s="365">
        <f t="shared" si="46"/>
        <v>0</v>
      </c>
      <c r="F337" s="370">
        <f t="shared" si="47"/>
        <v>0</v>
      </c>
      <c r="H337" s="371"/>
      <c r="I337" s="368"/>
      <c r="J337" s="363">
        <f t="shared" si="48"/>
        <v>0</v>
      </c>
      <c r="K337" s="369"/>
      <c r="L337" s="363">
        <f t="shared" si="49"/>
        <v>0</v>
      </c>
      <c r="M337" s="370">
        <f t="shared" si="50"/>
        <v>0</v>
      </c>
    </row>
    <row r="338" spans="1:13" ht="15" outlineLevel="1" x14ac:dyDescent="0.2">
      <c r="A338" s="371"/>
      <c r="B338" s="794"/>
      <c r="C338" s="363">
        <f t="shared" si="45"/>
        <v>0</v>
      </c>
      <c r="D338" s="797"/>
      <c r="E338" s="365">
        <f t="shared" si="46"/>
        <v>0</v>
      </c>
      <c r="F338" s="370">
        <f t="shared" si="47"/>
        <v>0</v>
      </c>
      <c r="H338" s="371"/>
      <c r="I338" s="368"/>
      <c r="J338" s="363">
        <f t="shared" si="48"/>
        <v>0</v>
      </c>
      <c r="K338" s="369"/>
      <c r="L338" s="363">
        <f t="shared" si="49"/>
        <v>0</v>
      </c>
      <c r="M338" s="370">
        <f t="shared" si="50"/>
        <v>0</v>
      </c>
    </row>
    <row r="339" spans="1:13" ht="15" outlineLevel="1" x14ac:dyDescent="0.2">
      <c r="A339" s="371"/>
      <c r="B339" s="794"/>
      <c r="C339" s="363">
        <f t="shared" si="45"/>
        <v>0</v>
      </c>
      <c r="D339" s="797"/>
      <c r="E339" s="365">
        <f t="shared" si="46"/>
        <v>0</v>
      </c>
      <c r="F339" s="370">
        <f t="shared" si="47"/>
        <v>0</v>
      </c>
      <c r="H339" s="371"/>
      <c r="I339" s="368"/>
      <c r="J339" s="363">
        <f t="shared" si="48"/>
        <v>0</v>
      </c>
      <c r="K339" s="369"/>
      <c r="L339" s="363">
        <f t="shared" si="49"/>
        <v>0</v>
      </c>
      <c r="M339" s="370">
        <f t="shared" si="50"/>
        <v>0</v>
      </c>
    </row>
    <row r="340" spans="1:13" ht="15" outlineLevel="1" x14ac:dyDescent="0.2">
      <c r="A340" s="371"/>
      <c r="B340" s="794"/>
      <c r="C340" s="363">
        <f t="shared" si="45"/>
        <v>0</v>
      </c>
      <c r="D340" s="797"/>
      <c r="E340" s="365">
        <f t="shared" si="46"/>
        <v>0</v>
      </c>
      <c r="F340" s="370">
        <f t="shared" si="47"/>
        <v>0</v>
      </c>
      <c r="H340" s="371"/>
      <c r="I340" s="368"/>
      <c r="J340" s="363">
        <f t="shared" si="48"/>
        <v>0</v>
      </c>
      <c r="K340" s="369"/>
      <c r="L340" s="363">
        <f t="shared" si="49"/>
        <v>0</v>
      </c>
      <c r="M340" s="370">
        <f t="shared" si="50"/>
        <v>0</v>
      </c>
    </row>
    <row r="341" spans="1:13" ht="15" outlineLevel="1" x14ac:dyDescent="0.2">
      <c r="A341" s="371"/>
      <c r="B341" s="794"/>
      <c r="C341" s="363">
        <f t="shared" si="45"/>
        <v>0</v>
      </c>
      <c r="D341" s="797"/>
      <c r="E341" s="365">
        <f t="shared" si="46"/>
        <v>0</v>
      </c>
      <c r="F341" s="370">
        <f t="shared" si="47"/>
        <v>0</v>
      </c>
      <c r="H341" s="371"/>
      <c r="I341" s="368"/>
      <c r="J341" s="363">
        <f t="shared" si="48"/>
        <v>0</v>
      </c>
      <c r="K341" s="369"/>
      <c r="L341" s="363">
        <f t="shared" si="49"/>
        <v>0</v>
      </c>
      <c r="M341" s="370">
        <f t="shared" si="50"/>
        <v>0</v>
      </c>
    </row>
    <row r="342" spans="1:13" ht="15" outlineLevel="1" x14ac:dyDescent="0.2">
      <c r="A342" s="371"/>
      <c r="B342" s="794"/>
      <c r="C342" s="363">
        <f t="shared" si="45"/>
        <v>0</v>
      </c>
      <c r="D342" s="797"/>
      <c r="E342" s="365">
        <f t="shared" si="46"/>
        <v>0</v>
      </c>
      <c r="F342" s="370">
        <f t="shared" si="47"/>
        <v>0</v>
      </c>
      <c r="H342" s="371"/>
      <c r="I342" s="368"/>
      <c r="J342" s="363">
        <f t="shared" si="48"/>
        <v>0</v>
      </c>
      <c r="K342" s="369"/>
      <c r="L342" s="363">
        <f t="shared" si="49"/>
        <v>0</v>
      </c>
      <c r="M342" s="370">
        <f t="shared" si="50"/>
        <v>0</v>
      </c>
    </row>
    <row r="343" spans="1:13" ht="15" outlineLevel="1" x14ac:dyDescent="0.2">
      <c r="A343" s="372"/>
      <c r="B343" s="795"/>
      <c r="C343" s="363">
        <f t="shared" si="45"/>
        <v>0</v>
      </c>
      <c r="D343" s="798"/>
      <c r="E343" s="365">
        <f t="shared" si="46"/>
        <v>0</v>
      </c>
      <c r="F343" s="370">
        <f t="shared" si="47"/>
        <v>0</v>
      </c>
      <c r="H343" s="372"/>
      <c r="I343" s="373"/>
      <c r="J343" s="363">
        <f t="shared" si="48"/>
        <v>0</v>
      </c>
      <c r="K343" s="374"/>
      <c r="L343" s="363">
        <f t="shared" si="49"/>
        <v>0</v>
      </c>
      <c r="M343" s="370">
        <f t="shared" si="50"/>
        <v>0</v>
      </c>
    </row>
    <row r="344" spans="1:13" ht="15" outlineLevel="1" x14ac:dyDescent="0.2">
      <c r="A344" s="372"/>
      <c r="B344" s="795"/>
      <c r="C344" s="363">
        <f t="shared" si="45"/>
        <v>0</v>
      </c>
      <c r="D344" s="798"/>
      <c r="E344" s="365">
        <f t="shared" si="46"/>
        <v>0</v>
      </c>
      <c r="F344" s="370">
        <f t="shared" si="47"/>
        <v>0</v>
      </c>
      <c r="H344" s="372"/>
      <c r="I344" s="373"/>
      <c r="J344" s="363">
        <f t="shared" si="48"/>
        <v>0</v>
      </c>
      <c r="K344" s="374"/>
      <c r="L344" s="363">
        <f t="shared" si="49"/>
        <v>0</v>
      </c>
      <c r="M344" s="370">
        <f t="shared" si="50"/>
        <v>0</v>
      </c>
    </row>
    <row r="345" spans="1:13" ht="15" outlineLevel="1" x14ac:dyDescent="0.2">
      <c r="A345" s="372"/>
      <c r="B345" s="795"/>
      <c r="C345" s="363">
        <f t="shared" si="45"/>
        <v>0</v>
      </c>
      <c r="D345" s="798"/>
      <c r="E345" s="365">
        <f t="shared" si="46"/>
        <v>0</v>
      </c>
      <c r="F345" s="370">
        <f t="shared" si="47"/>
        <v>0</v>
      </c>
      <c r="H345" s="372"/>
      <c r="I345" s="373"/>
      <c r="J345" s="363">
        <f t="shared" si="48"/>
        <v>0</v>
      </c>
      <c r="K345" s="374"/>
      <c r="L345" s="363">
        <f t="shared" si="49"/>
        <v>0</v>
      </c>
      <c r="M345" s="370">
        <f t="shared" si="50"/>
        <v>0</v>
      </c>
    </row>
    <row r="346" spans="1:13" ht="15" outlineLevel="1" x14ac:dyDescent="0.2">
      <c r="A346" s="372"/>
      <c r="B346" s="795"/>
      <c r="C346" s="363">
        <f t="shared" si="45"/>
        <v>0</v>
      </c>
      <c r="D346" s="798"/>
      <c r="E346" s="365">
        <f t="shared" si="46"/>
        <v>0</v>
      </c>
      <c r="F346" s="370">
        <f t="shared" si="47"/>
        <v>0</v>
      </c>
      <c r="H346" s="372"/>
      <c r="I346" s="373"/>
      <c r="J346" s="363">
        <f t="shared" si="48"/>
        <v>0</v>
      </c>
      <c r="K346" s="374"/>
      <c r="L346" s="363">
        <f t="shared" si="49"/>
        <v>0</v>
      </c>
      <c r="M346" s="370">
        <f t="shared" si="50"/>
        <v>0</v>
      </c>
    </row>
    <row r="347" spans="1:13" ht="15" outlineLevel="1" x14ac:dyDescent="0.2">
      <c r="A347" s="372"/>
      <c r="B347" s="795"/>
      <c r="C347" s="363">
        <f t="shared" si="45"/>
        <v>0</v>
      </c>
      <c r="D347" s="798"/>
      <c r="E347" s="365">
        <f t="shared" si="46"/>
        <v>0</v>
      </c>
      <c r="F347" s="370">
        <f t="shared" si="47"/>
        <v>0</v>
      </c>
      <c r="H347" s="372"/>
      <c r="I347" s="373"/>
      <c r="J347" s="363">
        <f t="shared" si="48"/>
        <v>0</v>
      </c>
      <c r="K347" s="374"/>
      <c r="L347" s="363">
        <f t="shared" si="49"/>
        <v>0</v>
      </c>
      <c r="M347" s="370">
        <f t="shared" si="50"/>
        <v>0</v>
      </c>
    </row>
    <row r="348" spans="1:13" ht="15" outlineLevel="1" x14ac:dyDescent="0.2">
      <c r="A348" s="372"/>
      <c r="B348" s="795"/>
      <c r="C348" s="363">
        <f t="shared" si="45"/>
        <v>0</v>
      </c>
      <c r="D348" s="798"/>
      <c r="E348" s="365">
        <f t="shared" si="46"/>
        <v>0</v>
      </c>
      <c r="F348" s="370">
        <f t="shared" si="47"/>
        <v>0</v>
      </c>
      <c r="H348" s="372"/>
      <c r="I348" s="373"/>
      <c r="J348" s="363">
        <f t="shared" si="48"/>
        <v>0</v>
      </c>
      <c r="K348" s="374"/>
      <c r="L348" s="363">
        <f t="shared" si="49"/>
        <v>0</v>
      </c>
      <c r="M348" s="370">
        <f t="shared" si="50"/>
        <v>0</v>
      </c>
    </row>
    <row r="349" spans="1:13" ht="15" outlineLevel="1" x14ac:dyDescent="0.2">
      <c r="A349" s="372"/>
      <c r="B349" s="795"/>
      <c r="C349" s="363">
        <f t="shared" si="45"/>
        <v>0</v>
      </c>
      <c r="D349" s="798"/>
      <c r="E349" s="365">
        <f t="shared" si="46"/>
        <v>0</v>
      </c>
      <c r="F349" s="370">
        <f t="shared" si="47"/>
        <v>0</v>
      </c>
      <c r="H349" s="372"/>
      <c r="I349" s="373"/>
      <c r="J349" s="363">
        <f t="shared" si="48"/>
        <v>0</v>
      </c>
      <c r="K349" s="374"/>
      <c r="L349" s="363">
        <f t="shared" si="49"/>
        <v>0</v>
      </c>
      <c r="M349" s="370">
        <f t="shared" si="50"/>
        <v>0</v>
      </c>
    </row>
    <row r="350" spans="1:13" ht="15" outlineLevel="1" x14ac:dyDescent="0.2">
      <c r="A350" s="372"/>
      <c r="B350" s="795"/>
      <c r="C350" s="363">
        <f t="shared" si="45"/>
        <v>0</v>
      </c>
      <c r="D350" s="798"/>
      <c r="E350" s="365">
        <f t="shared" si="46"/>
        <v>0</v>
      </c>
      <c r="F350" s="370">
        <f t="shared" si="47"/>
        <v>0</v>
      </c>
      <c r="H350" s="372"/>
      <c r="I350" s="373"/>
      <c r="J350" s="363">
        <f t="shared" si="48"/>
        <v>0</v>
      </c>
      <c r="K350" s="374"/>
      <c r="L350" s="363">
        <f t="shared" si="49"/>
        <v>0</v>
      </c>
      <c r="M350" s="370">
        <f t="shared" si="50"/>
        <v>0</v>
      </c>
    </row>
    <row r="351" spans="1:13" ht="15" outlineLevel="1" x14ac:dyDescent="0.2">
      <c r="A351" s="372"/>
      <c r="B351" s="795"/>
      <c r="C351" s="363">
        <f t="shared" si="45"/>
        <v>0</v>
      </c>
      <c r="D351" s="798"/>
      <c r="E351" s="365">
        <f t="shared" si="46"/>
        <v>0</v>
      </c>
      <c r="F351" s="370">
        <f t="shared" si="47"/>
        <v>0</v>
      </c>
      <c r="H351" s="372"/>
      <c r="I351" s="373"/>
      <c r="J351" s="363">
        <f t="shared" si="48"/>
        <v>0</v>
      </c>
      <c r="K351" s="374"/>
      <c r="L351" s="363">
        <f t="shared" si="49"/>
        <v>0</v>
      </c>
      <c r="M351" s="370">
        <f t="shared" si="50"/>
        <v>0</v>
      </c>
    </row>
    <row r="352" spans="1:13" ht="15.75" outlineLevel="1" thickBot="1" x14ac:dyDescent="0.25">
      <c r="A352" s="372"/>
      <c r="B352" s="795"/>
      <c r="C352" s="363">
        <f t="shared" si="45"/>
        <v>0</v>
      </c>
      <c r="D352" s="798"/>
      <c r="E352" s="365">
        <f t="shared" si="46"/>
        <v>0</v>
      </c>
      <c r="F352" s="375">
        <f t="shared" si="47"/>
        <v>0</v>
      </c>
      <c r="H352" s="372"/>
      <c r="I352" s="373"/>
      <c r="J352" s="363">
        <f t="shared" si="48"/>
        <v>0</v>
      </c>
      <c r="K352" s="374"/>
      <c r="L352" s="363">
        <f t="shared" si="49"/>
        <v>0</v>
      </c>
      <c r="M352" s="375">
        <f t="shared" si="50"/>
        <v>0</v>
      </c>
    </row>
    <row r="353" spans="1:13" ht="15.75" outlineLevel="1" thickBot="1" x14ac:dyDescent="0.25">
      <c r="A353" s="348" t="s">
        <v>1007</v>
      </c>
      <c r="B353" s="358"/>
      <c r="C353" s="492" t="s">
        <v>107</v>
      </c>
      <c r="D353" s="359">
        <f>ROUND(SUMPRODUCT(TablePowder2Wall[Height],TablePowder2Wall[Width]),1)</f>
        <v>0</v>
      </c>
      <c r="E353" s="358" t="s">
        <v>106</v>
      </c>
      <c r="F353" s="359">
        <f>SUM(F328:F352)*(B326*D326)</f>
        <v>0</v>
      </c>
      <c r="H353" s="348" t="s">
        <v>1007</v>
      </c>
      <c r="I353" s="376"/>
      <c r="J353" s="492" t="s">
        <v>107</v>
      </c>
      <c r="K353" s="359">
        <f>ROUND(SUMPRODUCT(TablePowder2Floor[Height],TablePowder2Floor[Width])+SUMIF(Name,"Powder 2 Floor Tile",Area)+SUMIF('CSV FF'!A:A,"Powder 2 Floor Tile",'CSV FF'!F:F),1)</f>
        <v>0</v>
      </c>
      <c r="L353" s="358" t="s">
        <v>106</v>
      </c>
      <c r="M353" s="359">
        <f>SUM(M328:M352)*(I326*K326)</f>
        <v>0</v>
      </c>
    </row>
    <row r="355" spans="1:13" ht="13.5" thickBot="1" x14ac:dyDescent="0.25">
      <c r="A355" s="342" t="s">
        <v>106</v>
      </c>
      <c r="B355" s="342" t="s">
        <v>672</v>
      </c>
    </row>
    <row r="356" spans="1:13" ht="15" x14ac:dyDescent="0.2">
      <c r="A356" s="516" t="str">
        <f>$A$3</f>
        <v>Bathroom Wall Tile</v>
      </c>
      <c r="B356" s="327">
        <f>ROUNDUP($F$49*1.1,1)</f>
        <v>0</v>
      </c>
      <c r="C356" s="328">
        <f>$F$4</f>
        <v>32</v>
      </c>
      <c r="E356" s="325"/>
      <c r="H356" s="325"/>
    </row>
    <row r="357" spans="1:13" ht="15" x14ac:dyDescent="0.2">
      <c r="A357" s="517" t="str">
        <f>$A$227</f>
        <v>Bathroom 2 Wall Tile</v>
      </c>
      <c r="B357" s="329">
        <f>ROUNDUP($F$273*1.1,1)</f>
        <v>0</v>
      </c>
      <c r="C357" s="330">
        <f>$F$228</f>
        <v>32</v>
      </c>
      <c r="E357" s="325"/>
      <c r="H357" s="325"/>
    </row>
    <row r="358" spans="1:13" ht="15" x14ac:dyDescent="0.2">
      <c r="A358" s="517" t="str">
        <f>$A$51</f>
        <v>Ensuite Wall Tile</v>
      </c>
      <c r="B358" s="329">
        <f>ROUNDUP($F$97*1.1,1)</f>
        <v>0</v>
      </c>
      <c r="C358" s="330">
        <f>$F$52</f>
        <v>32</v>
      </c>
      <c r="E358" s="325"/>
      <c r="H358" s="325"/>
    </row>
    <row r="359" spans="1:13" ht="15" x14ac:dyDescent="0.2">
      <c r="A359" s="517" t="str">
        <f>$A$275</f>
        <v>Ensuite 2 Wall Tile</v>
      </c>
      <c r="B359" s="329">
        <f>ROUNDUP($F$321*1.1,1)</f>
        <v>0</v>
      </c>
      <c r="C359" s="330">
        <f>$F$276</f>
        <v>32</v>
      </c>
      <c r="E359" s="325"/>
      <c r="H359" s="325"/>
    </row>
    <row r="360" spans="1:13" ht="15" x14ac:dyDescent="0.2">
      <c r="A360" s="517" t="str">
        <f>$A$163</f>
        <v>Kitchen Wall Tile</v>
      </c>
      <c r="B360" s="329">
        <f>ROUNDUP($F$193*1.1,1)</f>
        <v>0</v>
      </c>
      <c r="C360" s="330">
        <f>$F$164</f>
        <v>32</v>
      </c>
      <c r="E360" s="325"/>
      <c r="H360" s="325"/>
    </row>
    <row r="361" spans="1:13" ht="15" x14ac:dyDescent="0.2">
      <c r="A361" s="517" t="str">
        <f>$A$99</f>
        <v>Laundry Wall Tile</v>
      </c>
      <c r="B361" s="329">
        <f>ROUNDUP($F$129*1.1,1)</f>
        <v>0</v>
      </c>
      <c r="C361" s="330">
        <f>$F$100</f>
        <v>32</v>
      </c>
      <c r="E361" s="325"/>
      <c r="H361" s="325"/>
    </row>
    <row r="362" spans="1:13" ht="15" x14ac:dyDescent="0.2">
      <c r="A362" s="517" t="str">
        <f>$A$195</f>
        <v>Powder Wall Tile</v>
      </c>
      <c r="B362" s="329">
        <f>ROUNDUP($F$225*1.1,1)</f>
        <v>0</v>
      </c>
      <c r="C362" s="330">
        <f>$F$196</f>
        <v>32</v>
      </c>
      <c r="E362" s="325"/>
      <c r="H362" s="325"/>
    </row>
    <row r="363" spans="1:13" ht="15" x14ac:dyDescent="0.2">
      <c r="A363" s="517" t="str">
        <f>$A$323</f>
        <v>Powder 2 Wall Tile</v>
      </c>
      <c r="B363" s="329">
        <f>ROUNDUP($F$353*1.1,1)</f>
        <v>0</v>
      </c>
      <c r="C363" s="330">
        <f>$F$324</f>
        <v>32</v>
      </c>
      <c r="E363" s="325"/>
      <c r="H363" s="325"/>
    </row>
    <row r="364" spans="1:13" ht="15" x14ac:dyDescent="0.2">
      <c r="A364" s="517" t="str">
        <f>$A$131</f>
        <v>WC Wall Tile</v>
      </c>
      <c r="B364" s="329">
        <f>ROUNDUP($F$161*1.1,1)</f>
        <v>0</v>
      </c>
      <c r="C364" s="330">
        <f>$F$132</f>
        <v>32</v>
      </c>
      <c r="E364" s="325"/>
      <c r="H364" s="325"/>
    </row>
    <row r="365" spans="1:13" ht="15" x14ac:dyDescent="0.2">
      <c r="A365" s="517" t="str">
        <f>$H$3</f>
        <v>Bathroom Floor Tile</v>
      </c>
      <c r="B365" s="329">
        <f>ROUNDUP($M$49*1.1,1)</f>
        <v>0</v>
      </c>
      <c r="C365" s="330">
        <f>$M$4</f>
        <v>32</v>
      </c>
    </row>
    <row r="366" spans="1:13" ht="15" x14ac:dyDescent="0.2">
      <c r="A366" s="517" t="str">
        <f>$H$227</f>
        <v>Bathroom 2 Floor Tile</v>
      </c>
      <c r="B366" s="329">
        <f>ROUNDUP($M$273*1.1,1)</f>
        <v>0</v>
      </c>
      <c r="C366" s="330">
        <f>$M$228</f>
        <v>32</v>
      </c>
    </row>
    <row r="367" spans="1:13" ht="15" x14ac:dyDescent="0.2">
      <c r="A367" s="517" t="str">
        <f>$H$51</f>
        <v>Ensuite Floor Tile</v>
      </c>
      <c r="B367" s="329">
        <f>ROUNDUP($M$97*1.1,1)</f>
        <v>0</v>
      </c>
      <c r="C367" s="330">
        <f>$M$52</f>
        <v>32</v>
      </c>
    </row>
    <row r="368" spans="1:13" ht="15" x14ac:dyDescent="0.2">
      <c r="A368" s="517" t="str">
        <f>$H$275</f>
        <v>Ensuite 2 Floor Tile</v>
      </c>
      <c r="B368" s="329">
        <f>ROUNDUP($M$321*1.1,1)</f>
        <v>0</v>
      </c>
      <c r="C368" s="330">
        <f>$M$276</f>
        <v>32</v>
      </c>
    </row>
    <row r="369" spans="1:4" ht="15" x14ac:dyDescent="0.2">
      <c r="A369" s="517" t="str">
        <f>$H$99</f>
        <v>Laundry Floor Tile</v>
      </c>
      <c r="B369" s="329">
        <f>ROUNDUP($M$129*1.1,1)</f>
        <v>0</v>
      </c>
      <c r="C369" s="330">
        <f>$M$100</f>
        <v>32</v>
      </c>
    </row>
    <row r="370" spans="1:4" ht="15" x14ac:dyDescent="0.2">
      <c r="A370" s="517" t="str">
        <f>$H$195</f>
        <v>Powder Floor Tile</v>
      </c>
      <c r="B370" s="329">
        <f>ROUNDUP($M$225*1.1,1)</f>
        <v>0</v>
      </c>
      <c r="C370" s="330">
        <f>$M$196</f>
        <v>32</v>
      </c>
    </row>
    <row r="371" spans="1:4" ht="15" x14ac:dyDescent="0.2">
      <c r="A371" s="517" t="str">
        <f>$H$323</f>
        <v>Powder 2 Floor Tile</v>
      </c>
      <c r="B371" s="329">
        <f>ROUNDUP($M$353*1.1,1)</f>
        <v>0</v>
      </c>
      <c r="C371" s="330">
        <f>$M$324</f>
        <v>32</v>
      </c>
    </row>
    <row r="372" spans="1:4" ht="15" x14ac:dyDescent="0.2">
      <c r="A372" s="517" t="str">
        <f>$H$131</f>
        <v>WC Floor Tile</v>
      </c>
      <c r="B372" s="329">
        <f>ROUNDUP($M$161*1.1,1)</f>
        <v>0</v>
      </c>
      <c r="C372" s="330">
        <f>$M$132</f>
        <v>32</v>
      </c>
    </row>
    <row r="373" spans="1:4" ht="15" x14ac:dyDescent="0.2">
      <c r="A373" s="517" t="s">
        <v>155</v>
      </c>
      <c r="B373" s="501" cm="1">
        <f t="array" ref="B373">ROUNDUP(SUM(B356:B372)+SUMPRODUCT(--(Name="External Wall Tile"),Length,Height),0)*0.5+SUMIF(G389:G396,"M2",E389:E396)</f>
        <v>0</v>
      </c>
      <c r="C373" s="349"/>
    </row>
    <row r="374" spans="1:4" ht="15" x14ac:dyDescent="0.2">
      <c r="A374" s="517" t="s">
        <v>156</v>
      </c>
      <c r="B374" s="501">
        <f>ROUNDUP(SUM(B356:B364),0)+SUMIF(G389:G396,"M2",E389:E396)</f>
        <v>0</v>
      </c>
      <c r="C374" s="349"/>
    </row>
    <row r="375" spans="1:4" ht="15.75" thickBot="1" x14ac:dyDescent="0.25">
      <c r="A375" s="518" t="s">
        <v>157</v>
      </c>
      <c r="B375" s="502">
        <f>ROUNDUP(SUM(B365:B372),0)</f>
        <v>0</v>
      </c>
      <c r="C375" s="377"/>
    </row>
    <row r="377" spans="1:4" ht="13.5" thickBot="1" x14ac:dyDescent="0.25">
      <c r="A377" s="342" t="s">
        <v>107</v>
      </c>
      <c r="B377" s="342" t="s">
        <v>672</v>
      </c>
    </row>
    <row r="378" spans="1:4" ht="15" x14ac:dyDescent="0.2">
      <c r="A378" s="516" t="s">
        <v>1012</v>
      </c>
      <c r="B378" s="610">
        <f>ROUNDUP(D49+D97+D129+D161+D193+D225+D273+D321+D353,1)+SUMIF(G389:G396,"M2",C389:C396)</f>
        <v>0</v>
      </c>
    </row>
    <row r="379" spans="1:4" ht="15" x14ac:dyDescent="0.2">
      <c r="A379" s="517" t="s">
        <v>1013</v>
      </c>
      <c r="B379" s="609">
        <f>ROUNDUP(K49+K97+K129+K161+K193+K225+K273+K321+K353,1)</f>
        <v>0</v>
      </c>
    </row>
    <row r="380" spans="1:4" ht="15" x14ac:dyDescent="0.2">
      <c r="A380" s="517" t="s">
        <v>3570</v>
      </c>
      <c r="B380" s="609">
        <f>ROUND(IF(OR(Bath_Wall_Height&lt;=0.1,Bath_Wall_Width&lt;=0.1),D49,0)+IF(OR(Ens_Wall_Height&lt;=0.1,Ens_Wall_Width&lt;=0.1),D97,0)+IF(OR(Laundry_Wall_Height&lt;=0.1,Laundry_Wall_Width&lt;=0.1),D129,0)+IF(OR(WC_Wall_Height&lt;=0.1,WC_Wall_Width&lt;=0.1),D161,0)+IF(OR(Kitch_Wall_Height&lt;=0.1,Kitch_Wall_Width&lt;=0.1),D193,0)+IF(OR(B198&lt;=0.1,D198&lt;=0.1),D225,0)+IF(OR(B230&lt;=0.1,D230&lt;=0.1),D273,0)+IF(OR(B278&lt;=0.1,D278&lt;=0.1),D321,0)+IF(OR(B326&lt;=0.1,D326&lt;=0.1),D353,0),1)</f>
        <v>0</v>
      </c>
      <c r="C380" s="813"/>
    </row>
    <row r="381" spans="1:4" ht="15" x14ac:dyDescent="0.2">
      <c r="A381" s="517" t="s">
        <v>3148</v>
      </c>
      <c r="B381" s="609">
        <f>ROUND(IF(OR(Bath_Wall_Height&gt;0.3,Bath_Wall_Width&gt;0.3),D49,0)+IF(OR(Ens_Wall_Height&gt;0.3,Ens_Wall_Width&gt;0.3),D97,0)+IF(OR(Laundry_Wall_Height&gt;0.3,Laundry_Wall_Width&gt;0.3),D129,0)+IF(OR(WC_Wall_Height&gt;0.3,WC_Wall_Width&gt;0.3),D161,0)+IF(OR(Kitch_Wall_Height&gt;0.3,Kitch_Wall_Width&gt;0.3),D193,0)+IF(OR(B198&gt;0.3,D198&gt;0.3),D225,0)+IF(OR(Ens2_Wall_Height&gt;0.3,Ens2_Wall_Width&gt;0.3),D321,0)+IF(OR(Bath2_Wall_Height&gt;0.3,Bath2_Wall_Width&gt;0.3),D273,0)+IF(OR(I326&gt;0.3,K326&gt;0.3),K353,0)+IF(OR(B326&gt;0.3,D326&gt;0.3),D353,0),1)</f>
        <v>0</v>
      </c>
      <c r="C381" s="813"/>
    </row>
    <row r="382" spans="1:4" ht="15" x14ac:dyDescent="0.2">
      <c r="A382" s="517" t="s">
        <v>1014</v>
      </c>
      <c r="B382" s="609">
        <f>ROUND(IF(A4="Rectified",D49,0)+IF(H4="Rectified",K49,0)+IF(A52="Rectified",D97,0)+IF(H52="Rectified",K97,0)+IF(A100="Rectified",D129,0)+IF(H100="Rectified",K129,0)+IF(A132="Rectified",D161,0)+IF(H132="Rectified",K161,0)+IF(A164="Rectified",D193,0)+IF(H164="Rectified",K193,0)+IF(A196="Rectified",D225,0)+IF(H196="Rectified",K225,0)+IF(A228="Rectified",D273,0)+IF(H228="Rectified",K273,0)+IF(A276="Rectified",D321,0)+IF(H276="Rectified",K321,0)+IF(A324="Rectified",D353,0)+IF(H324="Rectified",K353,0),1)</f>
        <v>0</v>
      </c>
      <c r="C382" s="813"/>
    </row>
    <row r="383" spans="1:4" ht="15" x14ac:dyDescent="0.2">
      <c r="A383" s="517" t="s">
        <v>2302</v>
      </c>
      <c r="B383" s="833">
        <f>COUNTIF(A:A,"VANITY HOB")+COUNTIF(H:H,"VANITY HOB")</f>
        <v>0</v>
      </c>
      <c r="C383" s="813"/>
      <c r="D383" s="503" t="s">
        <v>2303</v>
      </c>
    </row>
    <row r="384" spans="1:4" ht="15" x14ac:dyDescent="0.2">
      <c r="A384" s="517" t="s">
        <v>3140</v>
      </c>
      <c r="B384" s="609">
        <f>SUMIF($A$6,"Checkerboard",WallTileLabourBath)+SUMIF($H$6,"Checkerboard",$K$49)+SUMIF($A$54,"Checkerboard",$D$97)+SUMIF($H$54,"Checkerboard",$K$97)+SUMIF($A$102,"Checkerboard",$D$129)+SUMIF($H$102,"Checkerboard",$K$129)+SUMIF($A$134,"Checkerboard",$D$161)+SUMIF($H$134,"Checkerboard",$K$161)+SUMIF($A$166,"Checkerboard",$D$193)+SUMIF($H$166,"Checkerboard",$K$193)+SUMIF($A$198,"Checkerboard",$D$225)+SUMIF($H$198,"Checkerboard",$K$225)+SUMIF($A$230,"Checkerboard",$D$273)+SUMIF($H$230,"Checkerboard",$K$273)+SUMIF($A$278,"Checkerboard",$D$321)+SUMIF($H$278,"Checkerboard",$K$321)+SUMIF($A$326,"Checkerboard",$D$353)+SUMIF($H$326,"Checkerboard",$K$353)</f>
        <v>0</v>
      </c>
      <c r="C384" s="813"/>
      <c r="D384" s="503"/>
    </row>
    <row r="385" spans="1:13" ht="15.75" thickBot="1" x14ac:dyDescent="0.25">
      <c r="A385" s="518" t="s">
        <v>3142</v>
      </c>
      <c r="B385" s="611">
        <f>SUMIF($A$6,"Hexagonal",WallTileLabourBath)+SUMIF($H$6,"Hexagonal",$K$49)+SUMIF($A$54,"Hexagonal",$D$97)+SUMIF($H$54,"Hexagonal",$K$97)+SUMIF($A$102,"Hexagonal",$D$129)+SUMIF($H$102,"Hexagonal",$K$129)+SUMIF($A$134,"Hexagonal",$D$161)+SUMIF($H$134,"Hexagonal",$K$161)+SUMIF($A$166,"Hexagonal",$D$193)+SUMIF($H$166,"Hexagonal",$K$193)+SUMIF($A$198,"Hexagonal",$D$225)+SUMIF($H$198,"Hexagonal",$K$225)+SUMIF($A$230,"Hexagonal",$D$273)+SUMIF($H$230,"Hexagonal",$K$273)+SUMIF($A$278,"Hexagonal",$D$321)+SUMIF($H$278,"Hexagonal",$K$321)+SUMIF($A$326,"Hexagonal",$D$353)+SUMIF($H$326,"Hexagonal",$K$353)</f>
        <v>0</v>
      </c>
      <c r="C385" s="813"/>
    </row>
    <row r="386" spans="1:13" x14ac:dyDescent="0.2">
      <c r="B386" s="325"/>
    </row>
    <row r="387" spans="1:13" x14ac:dyDescent="0.2">
      <c r="B387" s="325"/>
    </row>
    <row r="388" spans="1:13" x14ac:dyDescent="0.2">
      <c r="A388" s="342" t="s">
        <v>1226</v>
      </c>
      <c r="B388" s="561" t="s">
        <v>1472</v>
      </c>
      <c r="C388" s="342" t="s">
        <v>1473</v>
      </c>
      <c r="D388" s="342" t="s">
        <v>1474</v>
      </c>
      <c r="E388" s="342" t="s">
        <v>1227</v>
      </c>
      <c r="F388" s="342" t="s">
        <v>1228</v>
      </c>
      <c r="G388" s="342" t="s">
        <v>1470</v>
      </c>
      <c r="H388" s="1368" t="s">
        <v>1230</v>
      </c>
      <c r="I388" s="1368"/>
      <c r="J388" s="342" t="s">
        <v>1350</v>
      </c>
      <c r="K388" s="342" t="s">
        <v>1024</v>
      </c>
      <c r="L388" s="342" t="s">
        <v>3147</v>
      </c>
      <c r="M388" s="342" t="s">
        <v>3152</v>
      </c>
    </row>
    <row r="389" spans="1:13" ht="15" x14ac:dyDescent="0.2">
      <c r="A389" s="1154" t="s">
        <v>28</v>
      </c>
      <c r="B389" s="637"/>
      <c r="C389" s="761" cm="1">
        <f t="array" ref="C389">IF(G389="M2",ROUNDUP(SUMPRODUCT(--(Name="Bathroom Feature Tile"),Length,Height),1),IF(G389="LM",SUMIF(Name,"Bathroom Feature Tile",Length),0))+IF(G389="M2",ROUNDUP(SUMPRODUCT(--('CSV FF'!A:A="Bathroom Feature Tile"),'CSV FF'!C:C,'CSV FF'!E:E),1),IF(G389="LM",SUMIF('CSV FF'!A:A,"Bathroom Feature Tile",'CSV FF'!C:C),0))</f>
        <v>0</v>
      </c>
      <c r="D389" s="337"/>
      <c r="E389" s="816">
        <f t="shared" ref="E389:E396" si="51">ROUND(IF(G389="M2",IF(C389*K389&gt;D389,CEILING(C389*K389-D389,B389)/B389*B389,0),0)+IF(G389="LM",IF(C389*K389&gt;D389,CEILING(C389*K389-D389,B389)/B389,0),0),1)</f>
        <v>0</v>
      </c>
      <c r="F389" s="740"/>
      <c r="G389" s="649"/>
      <c r="H389" s="1367" t="str">
        <f t="shared" ref="H389:H394" si="52">IF(AND(C389&gt;0,D389&gt;0),IF(CEILING(C389,B389)&gt;D389,D389,IF(D389&gt;0,CEILING(C389,B389),""))&amp;G389&amp;" "&amp;UPPER(A389)&amp;" FEATURES INCLUDED","")</f>
        <v/>
      </c>
      <c r="I389" s="1367"/>
      <c r="J389" s="815"/>
      <c r="K389" s="649">
        <v>1.1000000000000001</v>
      </c>
      <c r="L389" s="649">
        <f>IF(J389="Listello",ROUNDUP(IF(G389="M2",E389/B389,C389/B389),0),0)</f>
        <v>0</v>
      </c>
      <c r="M389" s="649">
        <f t="shared" ref="M389:M395" si="53">IF(AND(J389="Mosaic",G389="M2"),E389,0)</f>
        <v>0</v>
      </c>
    </row>
    <row r="390" spans="1:13" ht="15" x14ac:dyDescent="0.2">
      <c r="A390" s="1154" t="s">
        <v>29</v>
      </c>
      <c r="B390" s="637"/>
      <c r="C390" s="761" cm="1">
        <f t="array" ref="C390">IF(G390="M2",ROUNDUP(SUMPRODUCT(--(Name="Ensuite Feature Tile"),Length,Height),1),IF(G390="LM",SUMIF(Name,"Ensuite Feature Tile",Length),0))+IF(G390="M2",ROUNDUP(SUMPRODUCT(--('CSV FF'!A:A="Ensuite Feature Tile"),'CSV FF'!C:C,'CSV FF'!E:E),1),IF(G390="LM",SUMIF('CSV FF'!A:A,"Ensuite Feature Tile",'CSV FF'!C:C),0))</f>
        <v>0</v>
      </c>
      <c r="D390" s="337"/>
      <c r="E390" s="816">
        <f t="shared" si="51"/>
        <v>0</v>
      </c>
      <c r="F390" s="740"/>
      <c r="G390" s="649"/>
      <c r="H390" s="1367" t="str">
        <f t="shared" si="52"/>
        <v/>
      </c>
      <c r="I390" s="1367"/>
      <c r="J390" s="815"/>
      <c r="K390" s="649">
        <f t="shared" ref="K390:K394" si="54">IF(AND(G390="M2",B390&gt;=0.12),1.2,IF(AND(G390="LM",B390&gt;=0.6),1.2,1.1))</f>
        <v>1.1000000000000001</v>
      </c>
      <c r="L390" s="649">
        <f t="shared" ref="L390:L396" si="55">IF(J390="Listello",ROUNDUP(IF(G390="M2",E390/B390,C390/B390),0),0)</f>
        <v>0</v>
      </c>
      <c r="M390" s="649">
        <f t="shared" si="53"/>
        <v>0</v>
      </c>
    </row>
    <row r="391" spans="1:13" ht="15" x14ac:dyDescent="0.2">
      <c r="A391" s="1154" t="s">
        <v>1629</v>
      </c>
      <c r="B391" s="637"/>
      <c r="C391" s="761" cm="1">
        <f t="array" ref="C391">IF(G391="M2",ROUNDUP(SUMPRODUCT(--(Name="Bath 2 Feature Tile"),Length,Height),1),IF(G391="LM",SUMIF(Name,"Bath 2 Feature Tile",Length),0))+IF(G391="M2",ROUNDUP(SUMPRODUCT(--('CSV FF'!A:A="Bath 2 Feature Tile"),'CSV FF'!C:C,'CSV FF'!E:E),1),IF(G391="LM",SUMIF('CSV FF'!A:A,"Bath 2 Feature Tile",'CSV FF'!C:C),0))</f>
        <v>0</v>
      </c>
      <c r="D391" s="337"/>
      <c r="E391" s="816">
        <f t="shared" si="51"/>
        <v>0</v>
      </c>
      <c r="F391" s="740"/>
      <c r="G391" s="649"/>
      <c r="H391" s="1367" t="str">
        <f t="shared" si="52"/>
        <v/>
      </c>
      <c r="I391" s="1367"/>
      <c r="J391" s="815"/>
      <c r="K391" s="649">
        <f t="shared" si="54"/>
        <v>1.1000000000000001</v>
      </c>
      <c r="L391" s="649">
        <f t="shared" si="55"/>
        <v>0</v>
      </c>
      <c r="M391" s="649">
        <f t="shared" si="53"/>
        <v>0</v>
      </c>
    </row>
    <row r="392" spans="1:13" ht="15" x14ac:dyDescent="0.2">
      <c r="A392" s="1154" t="s">
        <v>1609</v>
      </c>
      <c r="B392" s="637"/>
      <c r="C392" s="761" cm="1">
        <f t="array" ref="C392">IF(G392="M2",ROUNDUP(SUMPRODUCT(--(Name="Ensuite 2 Feature Tile"),Length,Height),1),IF(G392="LM",SUMIF(Name,"Ensuite 2 Feature Tile",Length),0))+IF(G392="M2",ROUNDUP(SUMPRODUCT(--('CSV FF'!A:A="Ensuite 2 Feature Tile"),'CSV FF'!C:C,'CSV FF'!E:E),1),IF(G392="LM",SUMIF('CSV FF'!A:A,"Ensuite 2 Feature Tile",'CSV FF'!C:C),0))</f>
        <v>0</v>
      </c>
      <c r="D392" s="337"/>
      <c r="E392" s="816">
        <f t="shared" si="51"/>
        <v>0</v>
      </c>
      <c r="F392" s="740"/>
      <c r="G392" s="649"/>
      <c r="H392" s="1367" t="str">
        <f t="shared" si="52"/>
        <v/>
      </c>
      <c r="I392" s="1367"/>
      <c r="J392" s="815"/>
      <c r="K392" s="649">
        <f t="shared" si="54"/>
        <v>1.1000000000000001</v>
      </c>
      <c r="L392" s="649">
        <f t="shared" si="55"/>
        <v>0</v>
      </c>
      <c r="M392" s="649">
        <f t="shared" si="53"/>
        <v>0</v>
      </c>
    </row>
    <row r="393" spans="1:13" ht="15" x14ac:dyDescent="0.2">
      <c r="A393" s="1154" t="s">
        <v>14</v>
      </c>
      <c r="B393" s="637"/>
      <c r="C393" s="337"/>
      <c r="D393" s="337"/>
      <c r="E393" s="816">
        <f t="shared" si="51"/>
        <v>0</v>
      </c>
      <c r="F393" s="740"/>
      <c r="G393" s="649"/>
      <c r="H393" s="1367" t="str">
        <f t="shared" si="52"/>
        <v/>
      </c>
      <c r="I393" s="1367"/>
      <c r="J393" s="815"/>
      <c r="K393" s="649">
        <f t="shared" si="54"/>
        <v>1.1000000000000001</v>
      </c>
      <c r="L393" s="649">
        <f t="shared" si="55"/>
        <v>0</v>
      </c>
      <c r="M393" s="649">
        <f t="shared" si="53"/>
        <v>0</v>
      </c>
    </row>
    <row r="394" spans="1:13" ht="15" x14ac:dyDescent="0.2">
      <c r="A394" s="1154" t="s">
        <v>154</v>
      </c>
      <c r="B394" s="637"/>
      <c r="C394" s="337"/>
      <c r="D394" s="337"/>
      <c r="E394" s="816">
        <f t="shared" si="51"/>
        <v>0</v>
      </c>
      <c r="F394" s="740"/>
      <c r="G394" s="649"/>
      <c r="H394" s="1367" t="str">
        <f t="shared" si="52"/>
        <v/>
      </c>
      <c r="I394" s="1367"/>
      <c r="J394" s="815"/>
      <c r="K394" s="649">
        <f t="shared" si="54"/>
        <v>1.1000000000000001</v>
      </c>
      <c r="L394" s="649">
        <f t="shared" si="55"/>
        <v>0</v>
      </c>
      <c r="M394" s="649">
        <f t="shared" si="53"/>
        <v>0</v>
      </c>
    </row>
    <row r="395" spans="1:13" ht="15" x14ac:dyDescent="0.2">
      <c r="A395" s="1154" t="s">
        <v>1630</v>
      </c>
      <c r="B395" s="637"/>
      <c r="C395" s="337"/>
      <c r="D395" s="337"/>
      <c r="E395" s="816">
        <f t="shared" si="51"/>
        <v>0</v>
      </c>
      <c r="F395" s="740"/>
      <c r="G395" s="649"/>
      <c r="H395" s="1367" t="str">
        <f>IF(AND(C395&gt;0,D395&gt;0),IF(CEILING(C395,B395)&gt;D395,D395,IF(D395&gt;0,CEILING(C395,B395),""))&amp;G395&amp;" "&amp;UPPER(A395)&amp;" FEATURES INCLUDED","")</f>
        <v/>
      </c>
      <c r="I395" s="1367"/>
      <c r="J395" s="815"/>
      <c r="K395" s="649">
        <f>IF(AND(G395="M2",B395&gt;=0.12),1.2,IF(AND(G395="LM",B395&gt;=0.6),1.2,1.1))</f>
        <v>1.1000000000000001</v>
      </c>
      <c r="L395" s="649">
        <f t="shared" si="55"/>
        <v>0</v>
      </c>
      <c r="M395" s="649">
        <f t="shared" si="53"/>
        <v>0</v>
      </c>
    </row>
    <row r="396" spans="1:13" ht="15" x14ac:dyDescent="0.2">
      <c r="A396" s="1154" t="s">
        <v>17</v>
      </c>
      <c r="B396" s="637"/>
      <c r="C396" s="761" cm="1">
        <f t="array" ref="C396">IF(G396="M2",ROUNDUP(SUMPRODUCT(--(Name="Laundry Feature Tile"),Length,Height),1),IF(G396="LM",SUMIF(Name,"Laundry Feature Tile",Length),0))+IF(G396="M2",ROUNDUP(SUMPRODUCT(--('CSV FF'!A:A="Laundry Feature Tile"),'CSV FF'!C:C,'CSV FF'!E:E),1),IF(G396="LM",SUMIF('CSV FF'!A:A,"Laundry Feature Tile",'CSV FF'!C:C),0))</f>
        <v>0</v>
      </c>
      <c r="D396" s="337"/>
      <c r="E396" s="816">
        <f t="shared" si="51"/>
        <v>0</v>
      </c>
      <c r="F396" s="740"/>
      <c r="G396" s="649"/>
      <c r="H396" s="1367" t="str">
        <f>IF(AND(C396&gt;0,D396&gt;0),IF(CEILING(C396,B396)&gt;D396,D396,IF(D396&gt;0,CEILING(C396,B396),""))&amp;G396&amp;" "&amp;UPPER(A396)&amp;" FEATURES INCLUDED","")</f>
        <v/>
      </c>
      <c r="I396" s="1367"/>
      <c r="J396" s="815"/>
      <c r="K396" s="649">
        <f>IF(AND(G396="M2",B396&gt;=0.12),1.2,IF(AND(G396="LM",B396&gt;=0.6),1.2,1.1))</f>
        <v>1.1000000000000001</v>
      </c>
      <c r="L396" s="649">
        <f t="shared" si="55"/>
        <v>0</v>
      </c>
      <c r="M396" s="649">
        <f>IF(AND(J396="Mosaic",G396="M2"),E396,0)</f>
        <v>0</v>
      </c>
    </row>
    <row r="398" spans="1:13" ht="13.5" thickBot="1" x14ac:dyDescent="0.25">
      <c r="A398" s="342" t="s">
        <v>153</v>
      </c>
      <c r="B398" s="342" t="s">
        <v>662</v>
      </c>
      <c r="C398" s="342" t="s">
        <v>661</v>
      </c>
    </row>
    <row r="399" spans="1:13" ht="15" x14ac:dyDescent="0.2">
      <c r="A399" s="563" t="s">
        <v>28</v>
      </c>
      <c r="B399" s="565"/>
      <c r="C399" s="567">
        <v>22</v>
      </c>
    </row>
    <row r="400" spans="1:13" ht="15.75" thickBot="1" x14ac:dyDescent="0.25">
      <c r="A400" s="564" t="s">
        <v>29</v>
      </c>
      <c r="B400" s="566"/>
      <c r="C400" s="568">
        <v>22</v>
      </c>
    </row>
    <row r="402" spans="1:4" ht="13.5" thickBot="1" x14ac:dyDescent="0.25">
      <c r="A402" s="342"/>
      <c r="B402" s="342" t="s">
        <v>1355</v>
      </c>
    </row>
    <row r="403" spans="1:4" ht="15.75" thickBot="1" x14ac:dyDescent="0.25">
      <c r="A403" s="810" t="s">
        <v>1356</v>
      </c>
      <c r="B403" s="598"/>
    </row>
    <row r="405" spans="1:4" x14ac:dyDescent="0.2">
      <c r="A405" s="342" t="s">
        <v>1613</v>
      </c>
    </row>
    <row r="406" spans="1:4" x14ac:dyDescent="0.2">
      <c r="A406" s="342" t="s">
        <v>552</v>
      </c>
      <c r="B406" s="342" t="s">
        <v>679</v>
      </c>
    </row>
    <row r="407" spans="1:4" x14ac:dyDescent="0.2">
      <c r="A407" s="324" t="s">
        <v>28</v>
      </c>
    </row>
    <row r="408" spans="1:4" x14ac:dyDescent="0.2">
      <c r="A408" s="324" t="s">
        <v>29</v>
      </c>
    </row>
    <row r="409" spans="1:4" x14ac:dyDescent="0.2">
      <c r="A409" s="324" t="s">
        <v>17</v>
      </c>
    </row>
    <row r="410" spans="1:4" x14ac:dyDescent="0.2">
      <c r="A410" s="324" t="s">
        <v>14</v>
      </c>
    </row>
    <row r="411" spans="1:4" x14ac:dyDescent="0.2">
      <c r="A411" s="324" t="s">
        <v>30</v>
      </c>
    </row>
    <row r="412" spans="1:4" x14ac:dyDescent="0.2">
      <c r="A412" s="324" t="s">
        <v>154</v>
      </c>
    </row>
    <row r="413" spans="1:4" x14ac:dyDescent="0.2">
      <c r="A413" s="324" t="s">
        <v>1629</v>
      </c>
    </row>
    <row r="414" spans="1:4" x14ac:dyDescent="0.2">
      <c r="A414" s="324" t="s">
        <v>1609</v>
      </c>
    </row>
    <row r="415" spans="1:4" x14ac:dyDescent="0.2">
      <c r="A415" s="324" t="s">
        <v>1630</v>
      </c>
    </row>
    <row r="416" spans="1:4" x14ac:dyDescent="0.2">
      <c r="A416" s="342" t="s">
        <v>11</v>
      </c>
      <c r="B416" s="342">
        <f>ROUND(SUM(B407:B415),1)</f>
        <v>0</v>
      </c>
      <c r="D416" s="814"/>
    </row>
  </sheetData>
  <sheetProtection selectLockedCells="1"/>
  <mergeCells count="118">
    <mergeCell ref="A195:F195"/>
    <mergeCell ref="H195:M195"/>
    <mergeCell ref="B197:C197"/>
    <mergeCell ref="D197:E197"/>
    <mergeCell ref="F197:F198"/>
    <mergeCell ref="K197:L197"/>
    <mergeCell ref="M197:M198"/>
    <mergeCell ref="B198:C198"/>
    <mergeCell ref="D198:E198"/>
    <mergeCell ref="I198:J198"/>
    <mergeCell ref="K198:L198"/>
    <mergeCell ref="I197:J197"/>
    <mergeCell ref="A163:F163"/>
    <mergeCell ref="H163:M163"/>
    <mergeCell ref="B165:C165"/>
    <mergeCell ref="D165:E165"/>
    <mergeCell ref="F165:F166"/>
    <mergeCell ref="I165:J165"/>
    <mergeCell ref="K165:L165"/>
    <mergeCell ref="M165:M166"/>
    <mergeCell ref="B166:C166"/>
    <mergeCell ref="D166:E166"/>
    <mergeCell ref="I166:J166"/>
    <mergeCell ref="K166:L166"/>
    <mergeCell ref="A131:F131"/>
    <mergeCell ref="H131:M131"/>
    <mergeCell ref="B133:C133"/>
    <mergeCell ref="D133:E133"/>
    <mergeCell ref="F133:F134"/>
    <mergeCell ref="K133:L133"/>
    <mergeCell ref="M133:M134"/>
    <mergeCell ref="B134:C134"/>
    <mergeCell ref="D134:E134"/>
    <mergeCell ref="I134:J134"/>
    <mergeCell ref="K134:L134"/>
    <mergeCell ref="I133:J133"/>
    <mergeCell ref="A99:F99"/>
    <mergeCell ref="H99:M99"/>
    <mergeCell ref="B101:C101"/>
    <mergeCell ref="D101:E101"/>
    <mergeCell ref="F101:F102"/>
    <mergeCell ref="I101:J101"/>
    <mergeCell ref="K101:L101"/>
    <mergeCell ref="M101:M102"/>
    <mergeCell ref="B102:C102"/>
    <mergeCell ref="D102:E102"/>
    <mergeCell ref="I102:J102"/>
    <mergeCell ref="K102:L102"/>
    <mergeCell ref="K53:L53"/>
    <mergeCell ref="A51:F51"/>
    <mergeCell ref="H51:M51"/>
    <mergeCell ref="M53:M54"/>
    <mergeCell ref="B54:C54"/>
    <mergeCell ref="D54:E54"/>
    <mergeCell ref="I54:J54"/>
    <mergeCell ref="K54:L54"/>
    <mergeCell ref="I53:J53"/>
    <mergeCell ref="B53:C53"/>
    <mergeCell ref="D53:E53"/>
    <mergeCell ref="F53:F54"/>
    <mergeCell ref="B1:F1"/>
    <mergeCell ref="A3:F3"/>
    <mergeCell ref="H3:M3"/>
    <mergeCell ref="B5:C5"/>
    <mergeCell ref="D5:E5"/>
    <mergeCell ref="F5:F6"/>
    <mergeCell ref="I5:J5"/>
    <mergeCell ref="K5:L5"/>
    <mergeCell ref="M5:M6"/>
    <mergeCell ref="B6:C6"/>
    <mergeCell ref="D6:E6"/>
    <mergeCell ref="I6:J6"/>
    <mergeCell ref="K6:L6"/>
    <mergeCell ref="A227:F227"/>
    <mergeCell ref="H227:M227"/>
    <mergeCell ref="B229:C229"/>
    <mergeCell ref="D229:E229"/>
    <mergeCell ref="F229:F230"/>
    <mergeCell ref="I229:J229"/>
    <mergeCell ref="K229:L229"/>
    <mergeCell ref="M229:M230"/>
    <mergeCell ref="B230:C230"/>
    <mergeCell ref="D230:E230"/>
    <mergeCell ref="I230:J230"/>
    <mergeCell ref="K230:L230"/>
    <mergeCell ref="A275:F275"/>
    <mergeCell ref="H275:M275"/>
    <mergeCell ref="B277:C277"/>
    <mergeCell ref="D277:E277"/>
    <mergeCell ref="F277:F278"/>
    <mergeCell ref="I277:J277"/>
    <mergeCell ref="K277:L277"/>
    <mergeCell ref="M277:M278"/>
    <mergeCell ref="B278:C278"/>
    <mergeCell ref="D278:E278"/>
    <mergeCell ref="I278:J278"/>
    <mergeCell ref="K278:L278"/>
    <mergeCell ref="H393:I393"/>
    <mergeCell ref="H394:I394"/>
    <mergeCell ref="H396:I396"/>
    <mergeCell ref="H388:I388"/>
    <mergeCell ref="H389:I389"/>
    <mergeCell ref="H390:I390"/>
    <mergeCell ref="H391:I391"/>
    <mergeCell ref="H392:I392"/>
    <mergeCell ref="A323:F323"/>
    <mergeCell ref="H323:M323"/>
    <mergeCell ref="B325:C325"/>
    <mergeCell ref="D325:E325"/>
    <mergeCell ref="F325:F326"/>
    <mergeCell ref="I325:J325"/>
    <mergeCell ref="K325:L325"/>
    <mergeCell ref="M325:M326"/>
    <mergeCell ref="B326:C326"/>
    <mergeCell ref="D326:E326"/>
    <mergeCell ref="I326:J326"/>
    <mergeCell ref="K326:L326"/>
    <mergeCell ref="H395:I395"/>
  </mergeCells>
  <conditionalFormatting sqref="A3:F3 A51:C51 A99:C99 A131:C131 A163:C163 A195:C195 H51:J51 H99:J99 H131:J131 H163:J163 H195:J195">
    <cfRule type="expression" dxfId="209" priority="16">
      <formula>IF(OR(A4="",C4="",D4="",B6="",D6=""),1,0)</formula>
    </cfRule>
  </conditionalFormatting>
  <conditionalFormatting sqref="H3:M3">
    <cfRule type="expression" dxfId="208" priority="15">
      <formula>IF(OR(H4="",J4="",K4="",I6="",K6=""),1,0)</formula>
    </cfRule>
  </conditionalFormatting>
  <conditionalFormatting sqref="B1">
    <cfRule type="expression" dxfId="207" priority="14">
      <formula>$B$1=""</formula>
    </cfRule>
  </conditionalFormatting>
  <conditionalFormatting sqref="D51 K51">
    <cfRule type="expression" dxfId="206" priority="17">
      <formula>IF(OR(D52="",F52="",G40="",E54="",G42=""),1,0)</formula>
    </cfRule>
  </conditionalFormatting>
  <conditionalFormatting sqref="M51">
    <cfRule type="expression" dxfId="205" priority="18">
      <formula>IF(OR(M52="",O40="",P40="",N42="",P42=""),1,0)</formula>
    </cfRule>
  </conditionalFormatting>
  <conditionalFormatting sqref="L51">
    <cfRule type="expression" dxfId="204" priority="19">
      <formula>IF(OR(L52="",N40="",O40="",M54="",O42=""),1,0)</formula>
    </cfRule>
  </conditionalFormatting>
  <conditionalFormatting sqref="F51">
    <cfRule type="expression" dxfId="203" priority="20">
      <formula>IF(OR(F52="",H52="",I52="",G42="",I54=""),1,0)</formula>
    </cfRule>
  </conditionalFormatting>
  <conditionalFormatting sqref="E51">
    <cfRule type="expression" dxfId="202" priority="21">
      <formula>IF(OR(E52="",G40="",H52="",F54="",H54=""),1,0)</formula>
    </cfRule>
  </conditionalFormatting>
  <conditionalFormatting sqref="D131 D163 D195 K131 K163 K195">
    <cfRule type="expression" dxfId="201" priority="22">
      <formula>IF(OR(D132="",F132="",G106="",E134="",G108=""),1,0)</formula>
    </cfRule>
  </conditionalFormatting>
  <conditionalFormatting sqref="D99 K99">
    <cfRule type="expression" dxfId="200" priority="23">
      <formula>IF(OR(D100="",F100="",G72="",E102="",G76=""),1,0)</formula>
    </cfRule>
  </conditionalFormatting>
  <conditionalFormatting sqref="M131 M163 M195">
    <cfRule type="expression" dxfId="199" priority="24">
      <formula>IF(OR(M132="",O106="",P106="",N108="",P108=""),1,0)</formula>
    </cfRule>
  </conditionalFormatting>
  <conditionalFormatting sqref="L131 L163 L195">
    <cfRule type="expression" dxfId="198" priority="25">
      <formula>IF(OR(L132="",N106="",O106="",M134="",O108=""),1,0)</formula>
    </cfRule>
  </conditionalFormatting>
  <conditionalFormatting sqref="M99">
    <cfRule type="expression" dxfId="197" priority="26">
      <formula>IF(OR(M100="",O72="",P72="",N76="",P76=""),1,0)</formula>
    </cfRule>
  </conditionalFormatting>
  <conditionalFormatting sqref="L99">
    <cfRule type="expression" dxfId="196" priority="27">
      <formula>IF(OR(L100="",N72="",O72="",M102="",O76=""),1,0)</formula>
    </cfRule>
  </conditionalFormatting>
  <conditionalFormatting sqref="F99 F131 F163 F195">
    <cfRule type="expression" dxfId="195" priority="28">
      <formula>IF(OR(F100="",H100="",I100="",G76="",I102=""),1,0)</formula>
    </cfRule>
  </conditionalFormatting>
  <conditionalFormatting sqref="E131 E163 E195">
    <cfRule type="expression" dxfId="194" priority="29">
      <formula>IF(OR(E132="",G106="",H132="",F134="",H134=""),1,0)</formula>
    </cfRule>
  </conditionalFormatting>
  <conditionalFormatting sqref="E99">
    <cfRule type="expression" dxfId="193" priority="30">
      <formula>IF(OR(E100="",G72="",H100="",F102="",H102=""),1,0)</formula>
    </cfRule>
  </conditionalFormatting>
  <conditionalFormatting sqref="A227:F227 A275:C275 H275:J275">
    <cfRule type="expression" dxfId="192" priority="8">
      <formula>IF(OR(A228="",C228="",D228="",B230="",D230=""),1,0)</formula>
    </cfRule>
  </conditionalFormatting>
  <conditionalFormatting sqref="H227:M227">
    <cfRule type="expression" dxfId="191" priority="7">
      <formula>IF(OR(H228="",J228="",K228="",I230="",K230=""),1,0)</formula>
    </cfRule>
  </conditionalFormatting>
  <conditionalFormatting sqref="D275 K275">
    <cfRule type="expression" dxfId="190" priority="9">
      <formula>IF(OR(D276="",F276="",G264="",E278="",G266=""),1,0)</formula>
    </cfRule>
  </conditionalFormatting>
  <conditionalFormatting sqref="M275">
    <cfRule type="expression" dxfId="189" priority="10">
      <formula>IF(OR(M276="",O264="",P264="",N266="",P266=""),1,0)</formula>
    </cfRule>
  </conditionalFormatting>
  <conditionalFormatting sqref="L275">
    <cfRule type="expression" dxfId="188" priority="11">
      <formula>IF(OR(L276="",N264="",O264="",M278="",O266=""),1,0)</formula>
    </cfRule>
  </conditionalFormatting>
  <conditionalFormatting sqref="F275">
    <cfRule type="expression" dxfId="187" priority="12">
      <formula>IF(OR(F276="",H276="",I276="",G266="",I278=""),1,0)</formula>
    </cfRule>
  </conditionalFormatting>
  <conditionalFormatting sqref="E275">
    <cfRule type="expression" dxfId="186" priority="13">
      <formula>IF(OR(E276="",G264="",H276="",F278="",H278=""),1,0)</formula>
    </cfRule>
  </conditionalFormatting>
  <conditionalFormatting sqref="A323:C323 H323:J323">
    <cfRule type="expression" dxfId="185" priority="1">
      <formula>IF(OR(A324="",C324="",D324="",B326="",D326=""),1,0)</formula>
    </cfRule>
  </conditionalFormatting>
  <conditionalFormatting sqref="D323 K323">
    <cfRule type="expression" dxfId="184" priority="2">
      <formula>IF(OR(D324="",F324="",G298="",E326="",G300=""),1,0)</formula>
    </cfRule>
  </conditionalFormatting>
  <conditionalFormatting sqref="M323">
    <cfRule type="expression" dxfId="183" priority="3">
      <formula>IF(OR(M324="",O298="",P298="",N300="",P300=""),1,0)</formula>
    </cfRule>
  </conditionalFormatting>
  <conditionalFormatting sqref="L323">
    <cfRule type="expression" dxfId="182" priority="4">
      <formula>IF(OR(L324="",N298="",O298="",M326="",O300=""),1,0)</formula>
    </cfRule>
  </conditionalFormatting>
  <conditionalFormatting sqref="F323">
    <cfRule type="expression" dxfId="181" priority="5">
      <formula>IF(OR(F324="",H324="",I324="",G300="",I326=""),1,0)</formula>
    </cfRule>
  </conditionalFormatting>
  <conditionalFormatting sqref="E323">
    <cfRule type="expression" dxfId="180" priority="6">
      <formula>IF(OR(E324="",G298="",H324="",F326="",H326=""),1,0)</formula>
    </cfRule>
  </conditionalFormatting>
  <dataValidations count="3">
    <dataValidation type="list" allowBlank="1" showInputMessage="1" sqref="H137:H160 H168:H192 H105:H128 A200:A224 H201:H224 A168:A192 A104:A128 A136:A160 A8:A48 H9:H48 A56:A96 H57:H96 A232:A272 H233:H272 A280:A320 H281:H320 A328:A352 H329:H352" xr:uid="{16881B08-BF2C-4EEB-86A8-411199E51DBF}">
      <formula1>"shower wall, shower hob,vanity hob,bath riser,nib wall"</formula1>
    </dataValidation>
    <dataValidation type="list" allowBlank="1" showInputMessage="1" showErrorMessage="1" sqref="J389:J396" xr:uid="{5B66D686-5E02-4A53-B4B9-91072FD7B5C7}">
      <formula1>"Listello, Mosaic"</formula1>
    </dataValidation>
    <dataValidation type="list" allowBlank="1" showInputMessage="1" showErrorMessage="1" sqref="G389:G396" xr:uid="{DC37CB24-7EF1-4FD0-8E73-D5D15921DF87}">
      <formula1>"LM,M2"</formula1>
    </dataValidation>
  </dataValidations>
  <pageMargins left="0.7" right="0.7" top="0.75" bottom="0.75" header="0.3" footer="0.3"/>
  <pageSetup paperSize="9" scale="34" orientation="landscape" r:id="rId1"/>
  <rowBreaks count="5" manualBreakCount="5">
    <brk id="49" max="12" man="1"/>
    <brk id="129" max="12" man="1"/>
    <brk id="193" max="12" man="1"/>
    <brk id="273" max="12" man="1"/>
    <brk id="353" max="12" man="1"/>
  </rowBreaks>
  <colBreaks count="1" manualBreakCount="1">
    <brk id="13" max="231" man="1"/>
  </colBreaks>
  <legacyDrawing r:id="rId2"/>
  <tableParts count="18">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s>
  <extLst>
    <ext xmlns:x14="http://schemas.microsoft.com/office/spreadsheetml/2009/9/main" uri="{CCE6A557-97BC-4b89-ADB6-D9C93CAAB3DF}">
      <x14:dataValidations xmlns:xm="http://schemas.microsoft.com/office/excel/2006/main" count="4">
        <x14:dataValidation type="list" allowBlank="1" showInputMessage="1" showErrorMessage="1" xr:uid="{A50CE748-0F50-4767-AFD2-C7BF2DB51B82}">
          <x14:formula1>
            <xm:f>'Lists &amp; Tables'!$A$379:$A$382</xm:f>
          </x14:formula1>
          <xm:sqref>C324 C4 J324 C52 J52 J100 C100 C132 J132 C164 J164 C196 J196 C228 C276 J276 J4 J228</xm:sqref>
        </x14:dataValidation>
        <x14:dataValidation type="list" allowBlank="1" showInputMessage="1" showErrorMessage="1" xr:uid="{C61A3757-8136-45E0-82ED-CB9012E6A4E7}">
          <x14:formula1>
            <xm:f>'Lists &amp; Tables'!$A$385:$A$392</xm:f>
          </x14:formula1>
          <xm:sqref>B1:F1</xm:sqref>
        </x14:dataValidation>
        <x14:dataValidation type="list" allowBlank="1" showInputMessage="1" showErrorMessage="1" xr:uid="{1B8AADBA-DFB9-4080-AE64-3864E1264A5B}">
          <x14:formula1>
            <xm:f>'Lists &amp; Tables'!$A$395:$A$397</xm:f>
          </x14:formula1>
          <xm:sqref>H4 H324 A324 H276 A276 H228 A228 H196 A196 H164 A164 H132 A132 H100 A100 H52 A52 A4</xm:sqref>
        </x14:dataValidation>
        <x14:dataValidation type="list" allowBlank="1" showInputMessage="1" showErrorMessage="1" xr:uid="{0B980E39-F269-44CB-8F85-2BDD33291F22}">
          <x14:formula1>
            <xm:f>'Lists &amp; Tables'!$B$395:$B$398</xm:f>
          </x14:formula1>
          <xm:sqref>H326 A6 A326 A278 H278 H230 A230 H198 H166 A166 H134 A134 H102 A102 A54 H54 H6 A198</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8">
    <pageSetUpPr fitToPage="1"/>
  </sheetPr>
  <dimension ref="A1:O23"/>
  <sheetViews>
    <sheetView workbookViewId="0"/>
  </sheetViews>
  <sheetFormatPr defaultRowHeight="12.75" x14ac:dyDescent="0.2"/>
  <cols>
    <col min="1" max="1" width="65.7109375" customWidth="1"/>
    <col min="2" max="9" width="16.7109375" customWidth="1"/>
    <col min="10" max="10" width="2.7109375" customWidth="1"/>
    <col min="11" max="11" width="27.85546875" customWidth="1"/>
    <col min="12" max="12" width="14.7109375" customWidth="1"/>
    <col min="13" max="13" width="19" customWidth="1"/>
  </cols>
  <sheetData>
    <row r="1" spans="1:15" ht="23.25" x14ac:dyDescent="0.35">
      <c r="A1" s="976" t="s">
        <v>2344</v>
      </c>
      <c r="B1" s="977"/>
      <c r="C1" s="977"/>
      <c r="D1" s="977"/>
      <c r="E1" s="977"/>
      <c r="F1" s="977"/>
      <c r="G1" s="977"/>
      <c r="H1" s="977"/>
      <c r="I1" s="977"/>
      <c r="J1" s="978"/>
      <c r="K1" s="10" t="s">
        <v>344</v>
      </c>
      <c r="L1" s="10" t="s">
        <v>373</v>
      </c>
      <c r="M1" s="13" t="s">
        <v>345</v>
      </c>
      <c r="N1" s="8"/>
      <c r="O1" s="9"/>
    </row>
    <row r="2" spans="1:15" ht="13.5" thickBot="1" x14ac:dyDescent="0.25">
      <c r="A2" s="981" t="s">
        <v>116</v>
      </c>
      <c r="B2" s="7" t="s">
        <v>60</v>
      </c>
      <c r="C2" s="7" t="s">
        <v>109</v>
      </c>
      <c r="D2" s="5"/>
      <c r="E2" s="1393" t="s">
        <v>2321</v>
      </c>
      <c r="F2" s="1393"/>
      <c r="G2" s="1"/>
      <c r="H2" s="1"/>
      <c r="I2" s="1"/>
      <c r="J2" s="980"/>
      <c r="K2" s="26"/>
      <c r="L2" s="24"/>
      <c r="M2" s="15"/>
      <c r="N2" s="14"/>
      <c r="O2" s="19"/>
    </row>
    <row r="3" spans="1:15" ht="13.5" thickBot="1" x14ac:dyDescent="0.25">
      <c r="A3" s="982" t="s">
        <v>246</v>
      </c>
      <c r="B3" s="991">
        <f>IF(OR(Brick_type="Timber Frame",Brick_type="Reverse Brick Veneer"),0,Garage_Area)</f>
        <v>0</v>
      </c>
      <c r="C3" s="991">
        <f>B3*0.1</f>
        <v>0</v>
      </c>
      <c r="D3" s="989"/>
      <c r="E3" s="886" t="s">
        <v>420</v>
      </c>
      <c r="F3" s="11"/>
      <c r="G3" s="1"/>
      <c r="H3" s="1"/>
      <c r="I3" s="1"/>
      <c r="J3" s="980"/>
      <c r="K3" s="26"/>
      <c r="L3" s="24"/>
      <c r="M3" s="15"/>
      <c r="N3" s="14"/>
      <c r="O3" s="19"/>
    </row>
    <row r="4" spans="1:15" ht="13.5" thickBot="1" x14ac:dyDescent="0.25">
      <c r="A4" s="982" t="s">
        <v>1537</v>
      </c>
      <c r="B4" s="11"/>
      <c r="C4" s="991">
        <f>B4*0.1</f>
        <v>0</v>
      </c>
      <c r="D4" s="990"/>
      <c r="E4" s="994" t="s">
        <v>421</v>
      </c>
      <c r="F4" s="11"/>
      <c r="G4" s="1"/>
      <c r="H4" s="1"/>
      <c r="I4" s="1"/>
      <c r="J4" s="980"/>
      <c r="K4" s="26"/>
      <c r="L4" s="24"/>
      <c r="M4" s="15"/>
      <c r="N4" s="14"/>
      <c r="O4" s="19"/>
    </row>
    <row r="5" spans="1:15" ht="13.5" thickBot="1" x14ac:dyDescent="0.25">
      <c r="A5" s="981" t="s">
        <v>201</v>
      </c>
      <c r="B5" s="992">
        <f>CEILING(SUM(B3:B4),0.1)</f>
        <v>0</v>
      </c>
      <c r="C5" s="988">
        <f>SUM(C3:C4)</f>
        <v>0</v>
      </c>
      <c r="D5" s="690"/>
      <c r="E5" s="1"/>
      <c r="F5" s="1"/>
      <c r="G5" s="1"/>
      <c r="H5" s="1"/>
      <c r="I5" s="1"/>
      <c r="J5" s="980"/>
      <c r="K5" s="26"/>
      <c r="L5" s="24"/>
      <c r="M5" s="15"/>
      <c r="N5" s="14"/>
      <c r="O5" s="19"/>
    </row>
    <row r="6" spans="1:15" ht="13.5" customHeight="1" thickBot="1" x14ac:dyDescent="0.25">
      <c r="A6" s="981" t="s">
        <v>347</v>
      </c>
      <c r="B6" s="690"/>
      <c r="C6" s="988">
        <f>CEILING(SUM(C3:C4)*1.05,0.2)</f>
        <v>0</v>
      </c>
      <c r="D6" s="690"/>
      <c r="E6" s="1"/>
      <c r="F6" s="1"/>
      <c r="G6" s="1"/>
      <c r="H6" s="1"/>
      <c r="I6" s="1"/>
      <c r="J6" s="980"/>
      <c r="K6" s="26"/>
      <c r="L6" s="24"/>
      <c r="M6" s="15"/>
      <c r="N6" s="14"/>
      <c r="O6" s="19"/>
    </row>
    <row r="7" spans="1:15" ht="23.25" x14ac:dyDescent="0.35">
      <c r="A7" s="993"/>
      <c r="B7" s="690"/>
      <c r="C7" s="690"/>
      <c r="D7" s="690"/>
      <c r="E7" s="1"/>
      <c r="F7" s="1"/>
      <c r="G7" s="1"/>
      <c r="H7" s="1"/>
      <c r="I7" s="1"/>
      <c r="J7" s="980"/>
      <c r="K7" s="26"/>
      <c r="L7" s="24"/>
      <c r="M7" s="15"/>
      <c r="N7" s="14"/>
      <c r="O7" s="19"/>
    </row>
    <row r="8" spans="1:15" s="41" customFormat="1" ht="23.25" x14ac:dyDescent="0.2">
      <c r="A8" s="995" t="s">
        <v>2345</v>
      </c>
      <c r="B8" s="385" t="s">
        <v>7</v>
      </c>
      <c r="C8" s="385" t="s">
        <v>420</v>
      </c>
      <c r="D8" s="996" t="s">
        <v>421</v>
      </c>
      <c r="E8" s="996" t="s">
        <v>418</v>
      </c>
      <c r="F8" s="996" t="s">
        <v>419</v>
      </c>
      <c r="G8" s="996" t="s">
        <v>126</v>
      </c>
      <c r="H8" s="996" t="s">
        <v>789</v>
      </c>
      <c r="I8" s="996" t="s">
        <v>442</v>
      </c>
      <c r="J8" s="892"/>
      <c r="K8" s="997"/>
      <c r="L8" s="894"/>
      <c r="M8" s="998"/>
      <c r="N8" s="420"/>
      <c r="O8" s="895"/>
    </row>
    <row r="9" spans="1:15" ht="13.5" thickBot="1" x14ac:dyDescent="0.25">
      <c r="A9" s="981" t="s">
        <v>124</v>
      </c>
      <c r="B9" s="1"/>
      <c r="C9" s="1"/>
      <c r="D9" s="1"/>
      <c r="E9" s="1"/>
      <c r="F9" s="1"/>
      <c r="G9" s="1"/>
      <c r="H9" s="1"/>
      <c r="I9" s="1"/>
      <c r="J9" s="980"/>
      <c r="K9" s="323"/>
      <c r="L9" s="24"/>
      <c r="M9" s="15"/>
      <c r="N9" s="14"/>
      <c r="O9" s="19"/>
    </row>
    <row r="10" spans="1:15" ht="13.5" thickBot="1" x14ac:dyDescent="0.25">
      <c r="A10" s="1129" t="str">
        <f>IFERROR(INDEX(Addenda!A:A,MATCH(IF(COUNTIF(Addenda!A:A,"*Flagstone*")&gt;0,"*Flagstone *","")&amp;IF(COUNTIF(Addenda!A:A,"*Masterpave*")&gt;0,"*Masterpave *","")&amp;IF(COUNTIF(Addenda!A:A,"*Vistapave*")&gt;0,"*Vistapave *","")&amp;IF(COUNTIF(Addenda!A:A,"*Grandpave*")&gt;0,"*Grandpave *",""),Addenda!A:A,0),1),"")</f>
        <v/>
      </c>
      <c r="B10" s="318"/>
      <c r="C10" s="11"/>
      <c r="D10" s="1"/>
      <c r="E10" s="1"/>
      <c r="F10" s="1084">
        <f ca="1">C10*1.1-(D13*E13)</f>
        <v>0</v>
      </c>
      <c r="G10" s="992">
        <f>IF(A10="",0,ROUNDUP(F10/IF(COUNTIF(A10,"*Grandpave*")&gt;0,12,IF(COUNTIF(A10,"*Flagstone*")&gt;0,7.5,IF(COUNTIF(A10,"*Vistapave*")&gt;0,8.4,IF(COUNTIF(A10,"*Masterpave*")&gt;0,9.2)))),IF(COUNTIF(A10,"*Grandpave*")&gt;0,0.5,IF(COUNTIF(A10,"*Flagstone*")&gt;0,0.33,0.5))))</f>
        <v>0</v>
      </c>
      <c r="H10" s="1186">
        <f>IF(ISBLANK(A10),0,ROUNDUP(G10*IF(COUNTIF(A10,"*Grandpave*")&gt;0,108,IF(COUNTIF(A10,"*Flagstone*")&gt;0,135,IF(COUNTIF(A10,"*Vistapave*")&gt;0,228,IF(COUNTIF(A10,"*Masterpave*")&gt;0,230,0)))),0))</f>
        <v>0</v>
      </c>
      <c r="I10" s="992">
        <f>G10*IF(COUNTIF(A10,"*Grandpave*")&gt;0,12,IF(COUNTIF(A10,"*Flagstone*")&gt;0,7.5,IF(COUNTIF(A10,"*Vistapave*")&gt;0,8.4,IF(COUNTIF(A10,"*Masterpave*")&gt;0,9.2))))</f>
        <v>0</v>
      </c>
      <c r="J10" s="980"/>
      <c r="K10" s="323"/>
      <c r="L10" s="24"/>
      <c r="M10" s="15"/>
      <c r="N10" s="14"/>
      <c r="O10" s="19"/>
    </row>
    <row r="11" spans="1:15" x14ac:dyDescent="0.2">
      <c r="A11" s="979"/>
      <c r="B11" s="7"/>
      <c r="C11" s="690"/>
      <c r="D11" s="1"/>
      <c r="E11" s="1"/>
      <c r="F11" s="1"/>
      <c r="G11" s="1"/>
      <c r="H11" s="1"/>
      <c r="I11" s="1"/>
      <c r="J11" s="980"/>
      <c r="K11" s="323"/>
      <c r="L11" s="24"/>
      <c r="M11" s="15"/>
      <c r="N11" s="14"/>
      <c r="O11" s="19"/>
    </row>
    <row r="12" spans="1:15" ht="13.5" thickBot="1" x14ac:dyDescent="0.25">
      <c r="A12" s="981" t="s">
        <v>122</v>
      </c>
      <c r="B12" s="690"/>
      <c r="C12" s="690"/>
      <c r="D12" s="1"/>
      <c r="E12" s="1"/>
      <c r="F12" s="1"/>
      <c r="G12" s="1"/>
      <c r="H12" s="1"/>
      <c r="I12" s="1"/>
      <c r="J12" s="980"/>
      <c r="K12" s="323"/>
      <c r="L12" s="24"/>
      <c r="M12" s="15"/>
      <c r="N12" s="14"/>
      <c r="O12" s="19"/>
    </row>
    <row r="13" spans="1:15" ht="13.5" thickBot="1" x14ac:dyDescent="0.25">
      <c r="A13" s="1129" t="str">
        <f ca="1">IFERROR(INDEX(INDIRECT("Addenda!A"&amp;IFERROR(MATCH(IFERROR(INDEX(Addenda!A:A,MATCH(IF(COUNTIF(Addenda!A:A,"*Flagstone*")&gt;0,"*Flagstone *","")&amp;IF(COUNTIF(Addenda!A:A,"*Vistapave*")&gt;0,"*Vistapave *","")&amp;IF(COUNTIF(Addenda!A:A,"*Grandpave*")&gt;0,"*Grandpave *",""),Addenda!A:A,0),1),""),Addenda!A:A,0),"")+1&amp;":A10000",TRUE),MATCH(IF(COUNTIF(Addenda!A:A,"*Flagstone*")&gt;0,"*Flagstone *","")&amp;IF(COUNTIF(Addenda!A:A,"*Vistapave*")&gt;0,"*Vistapave *","")&amp;IF(COUNTIF(Addenda!A:A,"*Grandpave*")&gt;0,"*Grandpave *",""),INDIRECT("Addenda!A"&amp;IFERROR(MATCH(IFERROR(INDEX(Addenda!A:A,MATCH(IF(COUNTIF(Addenda!A:A,"*Flagstone*")&gt;0,"*Flagstone *","")&amp;IF(COUNTIF(Addenda!A:A,"*Vistapave*")&gt;0,"*Vistapave *","")&amp;IF(COUNTIF(Addenda!A:A,"*Grandpave*")&gt;0,"*Grandpave *",""),Addenda!A:A,0),1),""),Addenda!A:A,0),"")+1&amp;":A10000",TRUE),0),1),"")</f>
        <v/>
      </c>
      <c r="B13" s="318"/>
      <c r="C13" s="690"/>
      <c r="D13" s="11"/>
      <c r="E13" s="1084">
        <f ca="1">IF(A13&lt;&gt;A10,IF(ISNUMBER(FIND("Vistapave",A13)),0.19,IF(ISNUMBER(FIND("Masterpave",A13)),0.2,IF(ISNUMBER(FIND("Flagstone",A13)),0.33,IF(ISNUMBER(FIND("Grandpave",A13)),0.33,0)))),0)</f>
        <v>0</v>
      </c>
      <c r="F13" s="1084">
        <f ca="1">(D13*E13)*1.1</f>
        <v>0</v>
      </c>
      <c r="G13" s="992">
        <f ca="1">IF(A13="",0,ROUNDUP(F13/IF(COUNTIF(A13,"*Grandpave*")&gt;0,12,IF(COUNTIF(A13,"*Flagstone*")&gt;0,7.5,IF(COUNTIF(A13,"*Vistapave*")&gt;0,8.4,IF(COUNTIF(A13,"*Masterpave*")&gt;0,9.2)))),IF(COUNTIF(A13,"*Grandpave*")&gt;0,0.5,IF(COUNTIF(A13,"*Flagstone*")&gt;0,0.33,0.5))))</f>
        <v>0</v>
      </c>
      <c r="H13" s="1186">
        <f ca="1">IF(ISBLANK(A13),0,ROUNDUP(G13*IF(COUNTIF(A13,"*Grandpave*")&gt;0,108,IF(COUNTIF(A13,"*Flagstone*")&gt;0,135,IF(COUNTIF(A13,"*Vistapave*")&gt;0,228,IF(COUNTIF(A13,"*Masterpave*")&gt;0,230,0)))),0))</f>
        <v>0</v>
      </c>
      <c r="I13" s="992">
        <f ca="1">G13*IF(COUNTIF(A13,"*Grandpave*")&gt;0,12,IF(COUNTIF(A13,"*Flagstone*")&gt;0,7.5,IF(COUNTIF(A13,"*Vistapave*")&gt;0,8.4,IF(COUNTIF(A13,"*Masterpave*")&gt;0,9.2))))</f>
        <v>0</v>
      </c>
      <c r="J13" s="980"/>
      <c r="K13" s="323"/>
      <c r="L13" s="24"/>
      <c r="M13" s="15"/>
      <c r="N13" s="14"/>
      <c r="O13" s="19"/>
    </row>
    <row r="14" spans="1:15" x14ac:dyDescent="0.2">
      <c r="A14" s="979"/>
      <c r="B14" s="690"/>
      <c r="C14" s="690"/>
      <c r="D14" s="1"/>
      <c r="E14" s="1"/>
      <c r="F14" s="1"/>
      <c r="G14" s="1"/>
      <c r="H14" s="1"/>
      <c r="I14" s="1"/>
      <c r="J14" s="980"/>
      <c r="K14" s="323"/>
      <c r="L14" s="24"/>
      <c r="M14" s="15"/>
      <c r="N14" s="14"/>
      <c r="O14" s="19"/>
    </row>
    <row r="15" spans="1:15" ht="13.5" thickBot="1" x14ac:dyDescent="0.25">
      <c r="A15" s="981" t="s">
        <v>125</v>
      </c>
      <c r="B15" s="690"/>
      <c r="C15" s="690"/>
      <c r="D15" s="1"/>
      <c r="E15" s="1"/>
      <c r="F15" s="1"/>
      <c r="G15" s="1"/>
      <c r="H15" s="1"/>
      <c r="I15" s="1"/>
      <c r="J15" s="980"/>
      <c r="K15" s="323"/>
      <c r="L15" s="24"/>
      <c r="M15" s="15"/>
      <c r="N15" s="14"/>
      <c r="O15" s="19"/>
    </row>
    <row r="16" spans="1:15" ht="13.5" thickBot="1" x14ac:dyDescent="0.25">
      <c r="A16" s="1129"/>
      <c r="B16" s="11"/>
      <c r="C16" s="11"/>
      <c r="D16" s="1"/>
      <c r="E16" s="1"/>
      <c r="F16" s="1084">
        <f>C16*1.1-(D19*E19)</f>
        <v>0</v>
      </c>
      <c r="G16" s="992">
        <f>IF(A16="",0,ROUNDUP(F16/IF(COUNTIF(A16,"*Grandpave*")&gt;0,12,IF(COUNTIF(A16,"*Flagstone*")&gt;0,7.5,IF(COUNTIF(A16,"*Vistapave*")&gt;0,8.4,IF(COUNTIF(A16,"*Masterpave*")&gt;0,9.2)))),IF(COUNTIF(A16,"*Grandpave*")&gt;0,0.5,IF(COUNTIF(A16,"*Flagstone*")&gt;0,0.33,0.5))))</f>
        <v>0</v>
      </c>
      <c r="H16" s="1186">
        <f>IF(ISBLANK(A16),0,ROUNDUP(G16*IF(COUNTIF(A16,"*Grandpave*")&gt;0,108,IF(COUNTIF(A16,"*Flagstone*")&gt;0,135,IF(COUNTIF(A16,"*Vistapave*")&gt;0,228,IF(COUNTIF(A16,"*Masterpave*")&gt;0,230,0)))),0))</f>
        <v>0</v>
      </c>
      <c r="I16" s="992">
        <f>G16*IF(COUNTIF(A16,"*Grandpave*")&gt;0,12,IF(COUNTIF(A16,"*Flagstone*")&gt;0,7.5,IF(COUNTIF(A16,"*Vistapave*")&gt;0,8.4,IF(COUNTIF(A16,"*Masterpave*")&gt;0,9.2))))</f>
        <v>0</v>
      </c>
      <c r="J16" s="980"/>
      <c r="K16" s="323"/>
      <c r="L16" s="24"/>
      <c r="M16" s="15"/>
      <c r="N16" s="14"/>
      <c r="O16" s="19"/>
    </row>
    <row r="17" spans="1:15" x14ac:dyDescent="0.2">
      <c r="A17" s="979"/>
      <c r="B17" s="690"/>
      <c r="C17" s="690"/>
      <c r="D17" s="1"/>
      <c r="E17" s="1"/>
      <c r="F17" s="1"/>
      <c r="G17" s="1"/>
      <c r="H17" s="1"/>
      <c r="I17" s="1"/>
      <c r="J17" s="980"/>
      <c r="K17" s="32"/>
      <c r="L17" s="24"/>
      <c r="M17" s="15"/>
      <c r="N17" s="14"/>
      <c r="O17" s="19"/>
    </row>
    <row r="18" spans="1:15" ht="13.5" thickBot="1" x14ac:dyDescent="0.25">
      <c r="A18" s="981" t="s">
        <v>123</v>
      </c>
      <c r="B18" s="690"/>
      <c r="C18" s="690"/>
      <c r="D18" s="1"/>
      <c r="E18" s="1"/>
      <c r="F18" s="1"/>
      <c r="G18" s="1"/>
      <c r="H18" s="1"/>
      <c r="I18" s="1"/>
      <c r="J18" s="980"/>
      <c r="K18" s="32"/>
      <c r="L18" s="24"/>
      <c r="M18" s="15"/>
      <c r="N18" s="14"/>
      <c r="O18" s="19"/>
    </row>
    <row r="19" spans="1:15" ht="13.5" thickBot="1" x14ac:dyDescent="0.25">
      <c r="A19" s="983"/>
      <c r="B19" s="11"/>
      <c r="C19" s="690"/>
      <c r="D19" s="11"/>
      <c r="E19" s="1084">
        <f>IF(A19&lt;&gt;A16,IF(ISNUMBER(FIND("Vistapave",A19)),0.19,IF(ISNUMBER(FIND("Masterpave",A19)),0.2,IF(ISNUMBER(FIND("Flagstone",A19)),0.33,IF(ISNUMBER(FIND("Grandpave",A19)),0.33,0)))),0)</f>
        <v>0</v>
      </c>
      <c r="F19" s="1084">
        <f>(D19*E19)*1.1</f>
        <v>0</v>
      </c>
      <c r="G19" s="992">
        <f>IF(A19="",0,ROUNDUP(F19/IF(COUNTIF(A19,"*Grandpave*")&gt;0,12,IF(COUNTIF(A19,"*Flagstone*")&gt;0,7.5,IF(COUNTIF(A19,"*Vistapave*")&gt;0,8.4,IF(COUNTIF(A19,"*Masterpave*")&gt;0,9.2)))),IF(COUNTIF(A19,"*Grandpave*")&gt;0,0.5,IF(COUNTIF(A19,"*Flagstone*")&gt;0,0.33,0.5))))</f>
        <v>0</v>
      </c>
      <c r="H19" s="1186">
        <f>IF(ISBLANK(A19),0,ROUNDUP(G19*IF(COUNTIF(A19,"*Grandpave*")&gt;0,108,IF(COUNTIF(A19,"*Flagstone*")&gt;0,135,IF(COUNTIF(A19,"*Vistapave*")&gt;0,228,IF(COUNTIF(A19,"*Masterpave*")&gt;0,230,0)))),0))</f>
        <v>0</v>
      </c>
      <c r="I19" s="992">
        <f>G19*IF(COUNTIF(A19,"*Grandpave*")&gt;0,12,IF(COUNTIF(A19,"*Flagstone*")&gt;0,7.5,IF(COUNTIF(A19,"*Vistapave*")&gt;0,8.4,IF(COUNTIF(A19,"*Masterpave*")&gt;0,9.2))))</f>
        <v>0</v>
      </c>
      <c r="J19" s="980"/>
      <c r="K19" s="26"/>
      <c r="L19" s="24"/>
      <c r="M19" s="15"/>
      <c r="N19" s="14"/>
      <c r="O19" s="19"/>
    </row>
    <row r="20" spans="1:15" x14ac:dyDescent="0.2">
      <c r="A20" s="979"/>
      <c r="B20" s="690"/>
      <c r="C20" s="690"/>
      <c r="D20" s="1"/>
      <c r="E20" s="1"/>
      <c r="F20" s="1"/>
      <c r="G20" s="1"/>
      <c r="H20" s="1"/>
      <c r="I20" s="1"/>
      <c r="J20" s="980"/>
      <c r="K20" s="26"/>
      <c r="L20" s="24"/>
      <c r="M20" s="15"/>
      <c r="N20" s="14"/>
      <c r="O20" s="19"/>
    </row>
    <row r="21" spans="1:15" ht="13.5" thickBot="1" x14ac:dyDescent="0.25">
      <c r="A21" s="981"/>
      <c r="B21" s="690"/>
      <c r="C21" s="690"/>
      <c r="D21" s="1"/>
      <c r="E21" s="1"/>
      <c r="F21" s="1"/>
      <c r="G21" s="1"/>
      <c r="H21" s="1"/>
      <c r="I21" s="1"/>
      <c r="J21" s="980"/>
      <c r="K21" s="26"/>
      <c r="L21" s="24"/>
      <c r="M21" s="15"/>
      <c r="N21" s="14"/>
      <c r="O21" s="19"/>
    </row>
    <row r="22" spans="1:15" ht="13.5" thickBot="1" x14ac:dyDescent="0.25">
      <c r="A22" s="981" t="s">
        <v>309</v>
      </c>
      <c r="B22" s="690"/>
      <c r="C22" s="690"/>
      <c r="D22" s="1"/>
      <c r="E22" s="1"/>
      <c r="F22" s="1"/>
      <c r="G22" s="988">
        <f ca="1">G10+G13+G16+G19</f>
        <v>0</v>
      </c>
      <c r="H22" s="1187">
        <f ca="1">SUM(H10,H13,H16,H19)</f>
        <v>0</v>
      </c>
      <c r="I22" s="988">
        <f ca="1">SUM(I10,I13,I16,I19)</f>
        <v>0</v>
      </c>
      <c r="J22" s="980"/>
      <c r="K22" s="26"/>
      <c r="L22" s="24"/>
      <c r="M22" s="15"/>
      <c r="N22" s="14"/>
      <c r="O22" s="19"/>
    </row>
    <row r="23" spans="1:15" x14ac:dyDescent="0.2">
      <c r="A23" s="984"/>
      <c r="B23" s="985"/>
      <c r="C23" s="985"/>
      <c r="D23" s="986"/>
      <c r="E23" s="986"/>
      <c r="F23" s="986"/>
      <c r="G23" s="986"/>
      <c r="H23" s="986"/>
      <c r="I23" s="986"/>
      <c r="J23" s="987"/>
      <c r="K23" s="30"/>
      <c r="L23" s="12"/>
      <c r="M23" s="23"/>
      <c r="N23" s="21"/>
      <c r="O23" s="22"/>
    </row>
  </sheetData>
  <sheetProtection selectLockedCells="1"/>
  <mergeCells count="1">
    <mergeCell ref="E2:F2"/>
  </mergeCells>
  <phoneticPr fontId="12" type="noConversion"/>
  <dataValidations count="1">
    <dataValidation type="list" allowBlank="1" showInputMessage="1" showErrorMessage="1" sqref="B19 B13 B16" xr:uid="{00000000-0002-0000-1800-000000000000}">
      <formula1>Paverlocations</formula1>
    </dataValidation>
  </dataValidations>
  <pageMargins left="0.47244094488188981" right="0.19685039370078741" top="0.39370078740157483" bottom="0.39370078740157483" header="0.51181102362204722" footer="0.51181102362204722"/>
  <pageSetup paperSize="9" scale="54" orientation="portrait" r:id="rId1"/>
  <headerFooter alignWithMargins="0">
    <oddFooter>Page &amp;P of &amp;N</oddFooter>
  </headerFooter>
  <legacy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8"/>
  <dimension ref="A1:Q584"/>
  <sheetViews>
    <sheetView zoomScale="70" zoomScaleNormal="70" workbookViewId="0"/>
  </sheetViews>
  <sheetFormatPr defaultColWidth="9.140625" defaultRowHeight="12.75" x14ac:dyDescent="0.2"/>
  <cols>
    <col min="1" max="1" width="39.5703125" style="282" bestFit="1" customWidth="1"/>
    <col min="2" max="14" width="22.7109375" style="282" customWidth="1"/>
    <col min="15" max="15" width="11" style="282" bestFit="1" customWidth="1"/>
    <col min="16" max="16" width="13.7109375" style="282" bestFit="1" customWidth="1"/>
    <col min="17" max="17" width="23.5703125" style="282" bestFit="1" customWidth="1"/>
    <col min="18" max="16384" width="9.140625" style="282"/>
  </cols>
  <sheetData>
    <row r="1" spans="1:17" ht="15" x14ac:dyDescent="0.25">
      <c r="A1" s="304" t="s">
        <v>680</v>
      </c>
      <c r="B1" s="304" t="s">
        <v>681</v>
      </c>
      <c r="C1" s="304" t="s">
        <v>682</v>
      </c>
      <c r="D1" s="304" t="s">
        <v>683</v>
      </c>
      <c r="E1" s="304" t="s">
        <v>684</v>
      </c>
      <c r="F1" s="304" t="s">
        <v>110</v>
      </c>
      <c r="G1" s="304" t="s">
        <v>685</v>
      </c>
      <c r="H1" s="304" t="s">
        <v>34</v>
      </c>
      <c r="I1" s="304" t="s">
        <v>686</v>
      </c>
      <c r="J1" s="304" t="s">
        <v>34</v>
      </c>
      <c r="K1" s="304" t="s">
        <v>687</v>
      </c>
      <c r="L1" s="304" t="s">
        <v>688</v>
      </c>
      <c r="M1" s="304" t="s">
        <v>114</v>
      </c>
      <c r="N1" s="304" t="s">
        <v>689</v>
      </c>
      <c r="O1" s="304" t="s">
        <v>690</v>
      </c>
      <c r="P1" s="304" t="s">
        <v>110</v>
      </c>
      <c r="Q1" s="304" t="s">
        <v>1596</v>
      </c>
    </row>
    <row r="2" spans="1:17" ht="15" x14ac:dyDescent="0.25">
      <c r="A2" s="305" t="s">
        <v>252</v>
      </c>
      <c r="B2" s="305">
        <v>200</v>
      </c>
      <c r="C2" s="305">
        <v>300</v>
      </c>
      <c r="D2" s="305" t="s">
        <v>253</v>
      </c>
      <c r="E2" s="305" t="s">
        <v>253</v>
      </c>
      <c r="F2" s="305" t="s">
        <v>253</v>
      </c>
      <c r="G2" s="305" t="s">
        <v>253</v>
      </c>
      <c r="H2" s="305"/>
      <c r="I2" s="305" t="s">
        <v>253</v>
      </c>
      <c r="J2" s="305"/>
      <c r="K2" s="305" t="s">
        <v>253</v>
      </c>
      <c r="L2" s="305" t="s">
        <v>158</v>
      </c>
      <c r="M2" s="305" t="b">
        <f>IF(Eng_Footing=$A2,IF('Data Sheet'!$B$22&lt;=22,"SL53",IF(AND('Data Sheet'!$B$22&gt;22,'Data Sheet'!$B$22&lt;=26),"SL63",IF(AND('Data Sheet'!$B$22&gt;26,'Data Sheet'!$B$22&lt;=28),"SL62","Engineer"))))</f>
        <v>0</v>
      </c>
      <c r="N2" s="305">
        <v>8.5000000000000006E-2</v>
      </c>
      <c r="O2" s="305" t="s">
        <v>158</v>
      </c>
      <c r="P2" s="305">
        <v>0</v>
      </c>
      <c r="Q2" s="305">
        <f>B2</f>
        <v>200</v>
      </c>
    </row>
    <row r="3" spans="1:17" ht="15" x14ac:dyDescent="0.25">
      <c r="A3" s="305" t="s">
        <v>1329</v>
      </c>
      <c r="B3" s="305">
        <v>280</v>
      </c>
      <c r="C3" s="305">
        <v>300</v>
      </c>
      <c r="D3" s="305" t="s">
        <v>253</v>
      </c>
      <c r="E3" s="305" t="s">
        <v>253</v>
      </c>
      <c r="F3" s="305" t="s">
        <v>253</v>
      </c>
      <c r="G3" s="305" t="s">
        <v>253</v>
      </c>
      <c r="H3" s="305"/>
      <c r="I3" s="305" t="s">
        <v>253</v>
      </c>
      <c r="J3" s="305"/>
      <c r="K3" s="305" t="s">
        <v>253</v>
      </c>
      <c r="L3" s="305" t="s">
        <v>158</v>
      </c>
      <c r="M3" s="305" t="b">
        <f>IF(Eng_Footing=$A3,IF('Data Sheet'!$B$22&lt;=22,"SL53",IF(AND('Data Sheet'!$B$22&gt;22,'Data Sheet'!$B$22&lt;=26),"SL62",IF(AND('Data Sheet'!$B$22&gt;26,'Data Sheet'!$B$22&lt;=28),"SL72",IF(AND('Data Sheet'!$B$22&gt;28,'Data Sheet'!$B$22&lt;=30),"SL82","Engineer")))))</f>
        <v>0</v>
      </c>
      <c r="N3" s="305">
        <v>0.1</v>
      </c>
      <c r="O3" s="305" t="s">
        <v>158</v>
      </c>
      <c r="P3" s="305">
        <v>0</v>
      </c>
      <c r="Q3" s="305">
        <f t="shared" ref="Q3:Q29" si="0">B3</f>
        <v>280</v>
      </c>
    </row>
    <row r="4" spans="1:17" ht="15" x14ac:dyDescent="0.25">
      <c r="A4" s="305" t="s">
        <v>530</v>
      </c>
      <c r="B4" s="305">
        <v>200</v>
      </c>
      <c r="C4" s="305">
        <v>300</v>
      </c>
      <c r="D4" s="305" t="s">
        <v>253</v>
      </c>
      <c r="E4" s="305" t="s">
        <v>253</v>
      </c>
      <c r="F4" s="305" t="s">
        <v>253</v>
      </c>
      <c r="G4" s="305" t="s">
        <v>253</v>
      </c>
      <c r="H4" s="305"/>
      <c r="I4" s="305" t="s">
        <v>253</v>
      </c>
      <c r="J4" s="305"/>
      <c r="K4" s="305" t="s">
        <v>253</v>
      </c>
      <c r="L4" s="305" t="s">
        <v>158</v>
      </c>
      <c r="M4" s="305" t="b">
        <f>IF(Eng_Footing=$A4,IF('Data Sheet'!$B$22&lt;=22,"SL53",IF(AND('Data Sheet'!$B$22&gt;22,'Data Sheet'!$B$22&lt;=26),"SL62",IF(AND('Data Sheet'!$B$22&gt;26,'Data Sheet'!$B$22&lt;=30),"SL72",IF(AND('Data Sheet'!$B$22&gt;30,'Data Sheet'!$B$22&lt;=32),"SL82","Engineer")))))</f>
        <v>0</v>
      </c>
      <c r="N4" s="305">
        <v>0.1</v>
      </c>
      <c r="O4" s="305" t="s">
        <v>158</v>
      </c>
      <c r="P4" s="305">
        <v>0</v>
      </c>
      <c r="Q4" s="305">
        <f t="shared" si="0"/>
        <v>200</v>
      </c>
    </row>
    <row r="5" spans="1:17" ht="15" x14ac:dyDescent="0.25">
      <c r="A5" s="305" t="s">
        <v>1218</v>
      </c>
      <c r="B5" s="305">
        <v>200</v>
      </c>
      <c r="C5" s="305">
        <v>375</v>
      </c>
      <c r="D5" s="305" t="s">
        <v>253</v>
      </c>
      <c r="E5" s="305" t="s">
        <v>253</v>
      </c>
      <c r="F5" s="305" t="s">
        <v>253</v>
      </c>
      <c r="G5" s="305" t="s">
        <v>253</v>
      </c>
      <c r="H5" s="305"/>
      <c r="I5" s="305" t="s">
        <v>253</v>
      </c>
      <c r="J5" s="305"/>
      <c r="K5" s="305" t="s">
        <v>253</v>
      </c>
      <c r="L5" s="305" t="s">
        <v>158</v>
      </c>
      <c r="M5" s="305" t="b">
        <f>IF(Eng_Footing=$A5,IF('Data Sheet'!$B$22&lt;=22,"SL53",IF(AND('Data Sheet'!$B$22&gt;22,'Data Sheet'!$B$22&lt;=26),"SL62",IF(AND('Data Sheet'!$B$22&gt;26,'Data Sheet'!$B$22&lt;=30),"SL72",IF(AND('Data Sheet'!$B$22&gt;30,'Data Sheet'!$B$22&lt;=32),"SL82","Engineer")))))</f>
        <v>0</v>
      </c>
      <c r="N5" s="305">
        <v>0.1</v>
      </c>
      <c r="O5" s="305" t="s">
        <v>158</v>
      </c>
      <c r="P5" s="305">
        <v>0</v>
      </c>
      <c r="Q5" s="305">
        <f t="shared" si="0"/>
        <v>200</v>
      </c>
    </row>
    <row r="6" spans="1:17" ht="15" x14ac:dyDescent="0.25">
      <c r="A6" s="305" t="s">
        <v>254</v>
      </c>
      <c r="B6" s="305">
        <v>200</v>
      </c>
      <c r="C6" s="305">
        <v>375</v>
      </c>
      <c r="D6" s="305" t="s">
        <v>253</v>
      </c>
      <c r="E6" s="305" t="s">
        <v>253</v>
      </c>
      <c r="F6" s="305" t="s">
        <v>255</v>
      </c>
      <c r="G6" s="305" t="s">
        <v>253</v>
      </c>
      <c r="H6" s="305"/>
      <c r="I6" s="305" t="s">
        <v>253</v>
      </c>
      <c r="J6" s="305"/>
      <c r="K6" s="305" t="s">
        <v>253</v>
      </c>
      <c r="L6" s="305" t="s">
        <v>158</v>
      </c>
      <c r="M6" s="305" t="b">
        <f>IF(Eng_Footing=$A6,IF('Data Sheet'!$B$22&lt;=22,"SL53",IF(AND('Data Sheet'!$B$22&gt;22,'Data Sheet'!$B$22&lt;=26),"SL63",IF(AND('Data Sheet'!$B$22&gt;26,'Data Sheet'!$B$22&lt;=28),"SL62","Engineer"))))</f>
        <v>0</v>
      </c>
      <c r="N6" s="305">
        <v>0.1</v>
      </c>
      <c r="O6" s="305" t="s">
        <v>158</v>
      </c>
      <c r="P6" s="305">
        <v>1</v>
      </c>
      <c r="Q6" s="305">
        <f t="shared" si="0"/>
        <v>200</v>
      </c>
    </row>
    <row r="7" spans="1:17" ht="15" x14ac:dyDescent="0.25">
      <c r="A7" s="305" t="s">
        <v>1030</v>
      </c>
      <c r="B7" s="305">
        <v>200</v>
      </c>
      <c r="C7" s="305">
        <v>375</v>
      </c>
      <c r="D7" s="305" t="s">
        <v>253</v>
      </c>
      <c r="E7" s="305" t="s">
        <v>253</v>
      </c>
      <c r="F7" s="305" t="s">
        <v>253</v>
      </c>
      <c r="G7" s="305" t="s">
        <v>253</v>
      </c>
      <c r="H7" s="305"/>
      <c r="I7" s="305" t="s">
        <v>253</v>
      </c>
      <c r="J7" s="305"/>
      <c r="K7" s="305" t="s">
        <v>253</v>
      </c>
      <c r="L7" s="305" t="s">
        <v>158</v>
      </c>
      <c r="M7" s="305" t="b">
        <f>IF(Eng_Footing=$A7,IF('Data Sheet'!$B$22&lt;=22,"SL53",IF(AND('Data Sheet'!$B$22&gt;22,'Data Sheet'!$B$22&lt;=26),"SL63",IF(AND('Data Sheet'!$B$22&gt;26,'Data Sheet'!$B$22&lt;=28),"SL62",IF(AND('Data Sheet'!$B$22&gt;28,'Data Sheet'!$B$22&lt;=32),"SL72","Engineer")))))</f>
        <v>0</v>
      </c>
      <c r="N7" s="305">
        <v>8.5000000000000006E-2</v>
      </c>
      <c r="O7" s="305" t="s">
        <v>158</v>
      </c>
      <c r="P7" s="305">
        <v>0</v>
      </c>
      <c r="Q7" s="305">
        <f t="shared" si="0"/>
        <v>200</v>
      </c>
    </row>
    <row r="8" spans="1:17" ht="15" x14ac:dyDescent="0.25">
      <c r="A8" s="305" t="s">
        <v>872</v>
      </c>
      <c r="B8" s="305">
        <v>280</v>
      </c>
      <c r="C8" s="305">
        <v>300</v>
      </c>
      <c r="D8" s="305" t="s">
        <v>253</v>
      </c>
      <c r="E8" s="305" t="s">
        <v>253</v>
      </c>
      <c r="F8" s="305" t="s">
        <v>255</v>
      </c>
      <c r="G8" s="305" t="s">
        <v>253</v>
      </c>
      <c r="H8" s="305"/>
      <c r="I8" s="305" t="s">
        <v>253</v>
      </c>
      <c r="J8" s="305"/>
      <c r="K8" s="305" t="s">
        <v>253</v>
      </c>
      <c r="L8" s="305" t="s">
        <v>158</v>
      </c>
      <c r="M8" s="305"/>
      <c r="N8" s="305">
        <v>0.1</v>
      </c>
      <c r="O8" s="305" t="s">
        <v>158</v>
      </c>
      <c r="P8" s="305">
        <v>1</v>
      </c>
      <c r="Q8" s="305">
        <f t="shared" si="0"/>
        <v>280</v>
      </c>
    </row>
    <row r="9" spans="1:17" ht="15" x14ac:dyDescent="0.25">
      <c r="A9" s="305" t="s">
        <v>256</v>
      </c>
      <c r="B9" s="305">
        <v>280</v>
      </c>
      <c r="C9" s="305">
        <v>300</v>
      </c>
      <c r="D9" s="305" t="s">
        <v>253</v>
      </c>
      <c r="E9" s="305" t="s">
        <v>253</v>
      </c>
      <c r="F9" s="305" t="s">
        <v>255</v>
      </c>
      <c r="G9" s="305" t="s">
        <v>253</v>
      </c>
      <c r="H9" s="305"/>
      <c r="I9" s="305" t="s">
        <v>253</v>
      </c>
      <c r="J9" s="305"/>
      <c r="K9" s="305" t="s">
        <v>253</v>
      </c>
      <c r="L9" s="305" t="s">
        <v>158</v>
      </c>
      <c r="M9" s="305" t="b">
        <f>IF(Eng_Footing=$A9,IF('Data Sheet'!$B$22&lt;=22,"SL63",IF(AND('Data Sheet'!$B$22&gt;22,'Data Sheet'!$B$22&lt;=26),"SL62",IF(AND('Data Sheet'!$B$22&gt;26,'Data Sheet'!$B$22&lt;=30),"SL72","Engineer"))))</f>
        <v>0</v>
      </c>
      <c r="N9" s="305">
        <v>0.1</v>
      </c>
      <c r="O9" s="305" t="s">
        <v>158</v>
      </c>
      <c r="P9" s="305">
        <v>1</v>
      </c>
      <c r="Q9" s="305">
        <f t="shared" si="0"/>
        <v>280</v>
      </c>
    </row>
    <row r="10" spans="1:17" ht="15" x14ac:dyDescent="0.25">
      <c r="A10" s="305" t="s">
        <v>257</v>
      </c>
      <c r="B10" s="305">
        <v>200</v>
      </c>
      <c r="C10" s="305">
        <v>375</v>
      </c>
      <c r="D10" s="305" t="s">
        <v>253</v>
      </c>
      <c r="E10" s="305" t="s">
        <v>253</v>
      </c>
      <c r="F10" s="305" t="s">
        <v>255</v>
      </c>
      <c r="G10" s="305" t="s">
        <v>253</v>
      </c>
      <c r="H10" s="305"/>
      <c r="I10" s="305" t="s">
        <v>253</v>
      </c>
      <c r="J10" s="305"/>
      <c r="K10" s="305" t="s">
        <v>253</v>
      </c>
      <c r="L10" s="305" t="s">
        <v>158</v>
      </c>
      <c r="M10" s="305" t="b">
        <f>IF(Eng_Footing=$A10,IF('Data Sheet'!$B$22&lt;=30,"SL62","Engineer"))</f>
        <v>0</v>
      </c>
      <c r="N10" s="305">
        <v>0.1</v>
      </c>
      <c r="O10" s="305" t="s">
        <v>158</v>
      </c>
      <c r="P10" s="305">
        <v>1</v>
      </c>
      <c r="Q10" s="305">
        <f t="shared" si="0"/>
        <v>200</v>
      </c>
    </row>
    <row r="11" spans="1:17" ht="15" x14ac:dyDescent="0.25">
      <c r="A11" s="305" t="s">
        <v>259</v>
      </c>
      <c r="B11" s="305">
        <v>280</v>
      </c>
      <c r="C11" s="305">
        <v>300</v>
      </c>
      <c r="D11" s="305" t="s">
        <v>253</v>
      </c>
      <c r="E11" s="305" t="s">
        <v>253</v>
      </c>
      <c r="F11" s="305" t="s">
        <v>255</v>
      </c>
      <c r="G11" s="305" t="s">
        <v>253</v>
      </c>
      <c r="H11" s="305"/>
      <c r="I11" s="305" t="s">
        <v>253</v>
      </c>
      <c r="J11" s="305"/>
      <c r="K11" s="305" t="s">
        <v>253</v>
      </c>
      <c r="L11" s="305" t="s">
        <v>158</v>
      </c>
      <c r="M11" s="305" t="b">
        <f>IF(Eng_Footing=$A11,IF('Data Sheet'!$B$22&lt;=22,"SL63",IF(AND('Data Sheet'!$B$22&gt;22,'Data Sheet'!$B$22&lt;=30),"SL62","Engineer")))</f>
        <v>0</v>
      </c>
      <c r="N11" s="305">
        <v>0.1</v>
      </c>
      <c r="O11" s="305" t="s">
        <v>269</v>
      </c>
      <c r="P11" s="305">
        <v>1</v>
      </c>
      <c r="Q11" s="305">
        <f t="shared" si="0"/>
        <v>280</v>
      </c>
    </row>
    <row r="12" spans="1:17" ht="15" x14ac:dyDescent="0.25">
      <c r="A12" s="305" t="s">
        <v>518</v>
      </c>
      <c r="B12" s="305">
        <v>200</v>
      </c>
      <c r="C12" s="305">
        <v>300</v>
      </c>
      <c r="D12" s="305" t="s">
        <v>253</v>
      </c>
      <c r="E12" s="305" t="s">
        <v>253</v>
      </c>
      <c r="F12" s="305" t="s">
        <v>255</v>
      </c>
      <c r="G12" s="305" t="s">
        <v>1348</v>
      </c>
      <c r="H12" s="305">
        <v>0.5</v>
      </c>
      <c r="I12" s="305" t="s">
        <v>253</v>
      </c>
      <c r="J12" s="305"/>
      <c r="K12" s="305" t="s">
        <v>253</v>
      </c>
      <c r="L12" s="305" t="s">
        <v>158</v>
      </c>
      <c r="M12" s="305" t="b">
        <f>IF(Eng_Footing=$A12,IF('Data Sheet'!$B$22&lt;=22,"SL63",IF(AND('Data Sheet'!$B$22&gt;22,'Data Sheet'!$B$22&lt;=26),"SL62",IF(AND('Data Sheet'!$B$22&gt;26,'Data Sheet'!$B$22&lt;=30),"SL72","Engineer"))))</f>
        <v>0</v>
      </c>
      <c r="N12" s="305">
        <v>0.1</v>
      </c>
      <c r="O12" s="305" t="s">
        <v>269</v>
      </c>
      <c r="P12" s="305">
        <v>1</v>
      </c>
      <c r="Q12" s="305">
        <f t="shared" si="0"/>
        <v>200</v>
      </c>
    </row>
    <row r="13" spans="1:17" ht="15" x14ac:dyDescent="0.25">
      <c r="A13" s="305" t="s">
        <v>260</v>
      </c>
      <c r="B13" s="305">
        <v>280</v>
      </c>
      <c r="C13" s="305">
        <v>300</v>
      </c>
      <c r="D13" s="305" t="s">
        <v>253</v>
      </c>
      <c r="E13" s="305" t="s">
        <v>253</v>
      </c>
      <c r="F13" s="305" t="s">
        <v>255</v>
      </c>
      <c r="G13" s="305" t="s">
        <v>261</v>
      </c>
      <c r="H13" s="305">
        <v>0.62</v>
      </c>
      <c r="I13" s="305" t="s">
        <v>253</v>
      </c>
      <c r="J13" s="305"/>
      <c r="K13" s="305" t="s">
        <v>253</v>
      </c>
      <c r="L13" s="305" t="s">
        <v>158</v>
      </c>
      <c r="M13" s="305" t="b">
        <f>IF(Eng_Footing=$A13,IF('Data Sheet'!$B$22&lt;=22,"SL63",IF(AND('Data Sheet'!$B$22&gt;22,'Data Sheet'!$B$22&lt;=26),"SL62","Engineer")))</f>
        <v>0</v>
      </c>
      <c r="N13" s="305">
        <v>0.1</v>
      </c>
      <c r="O13" s="305" t="s">
        <v>269</v>
      </c>
      <c r="P13" s="305">
        <v>1</v>
      </c>
      <c r="Q13" s="305">
        <f t="shared" si="0"/>
        <v>280</v>
      </c>
    </row>
    <row r="14" spans="1:17" ht="15" x14ac:dyDescent="0.25">
      <c r="A14" s="305" t="s">
        <v>519</v>
      </c>
      <c r="B14" s="305">
        <v>200</v>
      </c>
      <c r="C14" s="305">
        <v>300</v>
      </c>
      <c r="D14" s="305" t="s">
        <v>253</v>
      </c>
      <c r="E14" s="305" t="s">
        <v>253</v>
      </c>
      <c r="F14" s="305" t="s">
        <v>255</v>
      </c>
      <c r="G14" s="305" t="s">
        <v>1036</v>
      </c>
      <c r="H14" s="305">
        <v>0.54</v>
      </c>
      <c r="I14" s="305" t="s">
        <v>253</v>
      </c>
      <c r="J14" s="305"/>
      <c r="K14" s="305" t="s">
        <v>253</v>
      </c>
      <c r="L14" s="305" t="s">
        <v>158</v>
      </c>
      <c r="M14" s="305" t="b">
        <f>IF(Eng_Footing=$A14,IF('Data Sheet'!$B$22&lt;=22,"SL63",IF(AND('Data Sheet'!$B$22&gt;22,'Data Sheet'!$B$22&lt;=26),"SL62",IF(AND('Data Sheet'!$B$22&gt;26,'Data Sheet'!$B$22&lt;=30),"SL72","Engineer"))))</f>
        <v>0</v>
      </c>
      <c r="N14" s="305">
        <v>0.1</v>
      </c>
      <c r="O14" s="305" t="s">
        <v>269</v>
      </c>
      <c r="P14" s="305">
        <v>1</v>
      </c>
      <c r="Q14" s="305">
        <f t="shared" si="0"/>
        <v>200</v>
      </c>
    </row>
    <row r="15" spans="1:17" ht="15" x14ac:dyDescent="0.25">
      <c r="A15" s="305" t="s">
        <v>262</v>
      </c>
      <c r="B15" s="305">
        <v>280</v>
      </c>
      <c r="C15" s="305">
        <v>300</v>
      </c>
      <c r="D15" s="305">
        <v>150</v>
      </c>
      <c r="E15" s="305">
        <v>300</v>
      </c>
      <c r="F15" s="305" t="s">
        <v>255</v>
      </c>
      <c r="G15" s="305" t="s">
        <v>261</v>
      </c>
      <c r="H15" s="305">
        <v>0.62</v>
      </c>
      <c r="I15" s="411" t="s">
        <v>253</v>
      </c>
      <c r="J15" s="305"/>
      <c r="K15" s="305" t="s">
        <v>263</v>
      </c>
      <c r="L15" s="305" t="s">
        <v>158</v>
      </c>
      <c r="M15" s="305" t="b">
        <f>IF(Eng_Footing=$A15,IF('Data Sheet'!$B$22&lt;=26,"SL62","Engineer"))</f>
        <v>0</v>
      </c>
      <c r="N15" s="305">
        <v>0.1</v>
      </c>
      <c r="O15" s="305" t="s">
        <v>269</v>
      </c>
      <c r="P15" s="305">
        <v>1</v>
      </c>
      <c r="Q15" s="305">
        <f t="shared" si="0"/>
        <v>280</v>
      </c>
    </row>
    <row r="16" spans="1:17" ht="15" x14ac:dyDescent="0.25">
      <c r="A16" s="305" t="s">
        <v>520</v>
      </c>
      <c r="B16" s="305">
        <v>200</v>
      </c>
      <c r="C16" s="305">
        <v>300</v>
      </c>
      <c r="D16" s="305" t="s">
        <v>253</v>
      </c>
      <c r="E16" s="305" t="s">
        <v>253</v>
      </c>
      <c r="F16" s="305" t="s">
        <v>255</v>
      </c>
      <c r="G16" s="305" t="s">
        <v>261</v>
      </c>
      <c r="H16" s="305">
        <v>0.62</v>
      </c>
      <c r="I16" s="305" t="s">
        <v>253</v>
      </c>
      <c r="J16" s="305"/>
      <c r="K16" s="305" t="s">
        <v>263</v>
      </c>
      <c r="L16" s="305" t="s">
        <v>158</v>
      </c>
      <c r="M16" s="305" t="b">
        <f>IF(Eng_Footing=$A16,IF('Data Sheet'!$B$22&lt;=30,"SL72","Engineer"))</f>
        <v>0</v>
      </c>
      <c r="N16" s="305">
        <v>0.1</v>
      </c>
      <c r="O16" s="305" t="s">
        <v>269</v>
      </c>
      <c r="P16" s="305">
        <v>1</v>
      </c>
      <c r="Q16" s="305">
        <f t="shared" si="0"/>
        <v>200</v>
      </c>
    </row>
    <row r="17" spans="1:17" ht="15" x14ac:dyDescent="0.25">
      <c r="A17" s="305" t="s">
        <v>264</v>
      </c>
      <c r="B17" s="305">
        <v>350</v>
      </c>
      <c r="C17" s="305">
        <v>300</v>
      </c>
      <c r="D17" s="305">
        <v>200</v>
      </c>
      <c r="E17" s="305">
        <v>300</v>
      </c>
      <c r="F17" s="305" t="s">
        <v>265</v>
      </c>
      <c r="G17" s="305" t="s">
        <v>266</v>
      </c>
      <c r="H17" s="305">
        <v>0.69499999999999995</v>
      </c>
      <c r="I17" s="305" t="s">
        <v>267</v>
      </c>
      <c r="J17" s="305">
        <v>0.47</v>
      </c>
      <c r="K17" s="305" t="s">
        <v>268</v>
      </c>
      <c r="L17" s="305" t="s">
        <v>269</v>
      </c>
      <c r="M17" s="305" t="b">
        <f>IF(Eng_Footing=$A17,IF('Data Sheet'!$B$22&lt;=26,"SL62","Engineer"))</f>
        <v>0</v>
      </c>
      <c r="N17" s="305">
        <v>0.1</v>
      </c>
      <c r="O17" s="305" t="s">
        <v>269</v>
      </c>
      <c r="P17" s="305">
        <v>1</v>
      </c>
      <c r="Q17" s="305">
        <f t="shared" si="0"/>
        <v>350</v>
      </c>
    </row>
    <row r="18" spans="1:17" ht="15" x14ac:dyDescent="0.25">
      <c r="A18" s="305" t="s">
        <v>270</v>
      </c>
      <c r="B18" s="305">
        <v>350</v>
      </c>
      <c r="C18" s="305">
        <v>350</v>
      </c>
      <c r="D18" s="305">
        <v>250</v>
      </c>
      <c r="E18" s="305">
        <v>300</v>
      </c>
      <c r="F18" s="305" t="s">
        <v>265</v>
      </c>
      <c r="G18" s="305" t="s">
        <v>266</v>
      </c>
      <c r="H18" s="305">
        <v>0.69499999999999995</v>
      </c>
      <c r="I18" s="305" t="s">
        <v>271</v>
      </c>
      <c r="J18" s="305">
        <v>0.52</v>
      </c>
      <c r="K18" s="305" t="s">
        <v>268</v>
      </c>
      <c r="L18" s="305" t="s">
        <v>269</v>
      </c>
      <c r="M18" s="305" t="b">
        <f>IF(Eng_Footing=$A18,IF('Data Sheet'!$B$22&lt;=30,"SL72","Engineer"))</f>
        <v>0</v>
      </c>
      <c r="N18" s="305">
        <v>0.1</v>
      </c>
      <c r="O18" s="305" t="s">
        <v>269</v>
      </c>
      <c r="P18" s="305">
        <v>1</v>
      </c>
      <c r="Q18" s="305">
        <f t="shared" si="0"/>
        <v>350</v>
      </c>
    </row>
    <row r="19" spans="1:17" ht="15" x14ac:dyDescent="0.25">
      <c r="A19" s="305" t="s">
        <v>272</v>
      </c>
      <c r="B19" s="305">
        <v>400</v>
      </c>
      <c r="C19" s="305">
        <v>350</v>
      </c>
      <c r="D19" s="305">
        <v>350</v>
      </c>
      <c r="E19" s="305">
        <v>300</v>
      </c>
      <c r="F19" s="305" t="s">
        <v>265</v>
      </c>
      <c r="G19" s="305" t="s">
        <v>273</v>
      </c>
      <c r="H19" s="305">
        <v>0.74</v>
      </c>
      <c r="I19" s="305" t="s">
        <v>261</v>
      </c>
      <c r="J19" s="305">
        <v>0.62</v>
      </c>
      <c r="K19" s="305" t="s">
        <v>268</v>
      </c>
      <c r="L19" s="305" t="s">
        <v>269</v>
      </c>
      <c r="M19" s="305" t="b">
        <f>IF(Eng_Footing=$A19,IF('Data Sheet'!$B$22&lt;=30,"SL72","Engineer"))</f>
        <v>0</v>
      </c>
      <c r="N19" s="305">
        <v>0.1</v>
      </c>
      <c r="O19" s="305" t="s">
        <v>269</v>
      </c>
      <c r="P19" s="305">
        <v>1</v>
      </c>
      <c r="Q19" s="305">
        <f t="shared" si="0"/>
        <v>400</v>
      </c>
    </row>
    <row r="20" spans="1:17" ht="15" x14ac:dyDescent="0.25">
      <c r="A20" s="305" t="s">
        <v>274</v>
      </c>
      <c r="B20" s="305">
        <v>450</v>
      </c>
      <c r="C20" s="305">
        <v>350</v>
      </c>
      <c r="D20" s="305">
        <v>450</v>
      </c>
      <c r="E20" s="305">
        <v>300</v>
      </c>
      <c r="F20" s="305" t="s">
        <v>265</v>
      </c>
      <c r="G20" s="305" t="s">
        <v>275</v>
      </c>
      <c r="H20" s="305">
        <v>0.79</v>
      </c>
      <c r="I20" s="305" t="s">
        <v>276</v>
      </c>
      <c r="J20" s="305">
        <v>0.72</v>
      </c>
      <c r="K20" s="305" t="s">
        <v>268</v>
      </c>
      <c r="L20" s="305" t="s">
        <v>269</v>
      </c>
      <c r="M20" s="305" t="b">
        <f>IF(Eng_Footing=$A20,IF('Data Sheet'!$B$22&lt;=30,"SL72","Engineer"))</f>
        <v>0</v>
      </c>
      <c r="N20" s="305">
        <v>0.1</v>
      </c>
      <c r="O20" s="305" t="s">
        <v>269</v>
      </c>
      <c r="P20" s="305">
        <v>1</v>
      </c>
      <c r="Q20" s="305">
        <f t="shared" si="0"/>
        <v>450</v>
      </c>
    </row>
    <row r="21" spans="1:17" ht="15" x14ac:dyDescent="0.25">
      <c r="A21" s="305" t="s">
        <v>277</v>
      </c>
      <c r="B21" s="305">
        <v>500</v>
      </c>
      <c r="C21" s="305">
        <v>350</v>
      </c>
      <c r="D21" s="305">
        <v>550</v>
      </c>
      <c r="E21" s="305">
        <v>300</v>
      </c>
      <c r="F21" s="305" t="s">
        <v>265</v>
      </c>
      <c r="G21" s="305" t="s">
        <v>278</v>
      </c>
      <c r="H21" s="305">
        <v>0.84</v>
      </c>
      <c r="I21" s="305" t="s">
        <v>279</v>
      </c>
      <c r="J21" s="305">
        <v>0.82</v>
      </c>
      <c r="K21" s="305" t="s">
        <v>268</v>
      </c>
      <c r="L21" s="305" t="s">
        <v>269</v>
      </c>
      <c r="M21" s="305" t="b">
        <f>IF(Eng_Footing=$A21,IF('Data Sheet'!$B$22&lt;=30,"SL72","Engineer"))</f>
        <v>0</v>
      </c>
      <c r="N21" s="305">
        <v>0.1</v>
      </c>
      <c r="O21" s="305" t="s">
        <v>269</v>
      </c>
      <c r="P21" s="305">
        <v>1</v>
      </c>
      <c r="Q21" s="305">
        <f t="shared" si="0"/>
        <v>500</v>
      </c>
    </row>
    <row r="22" spans="1:17" ht="15" x14ac:dyDescent="0.25">
      <c r="A22" s="305" t="s">
        <v>280</v>
      </c>
      <c r="B22" s="305">
        <v>600</v>
      </c>
      <c r="C22" s="305">
        <v>350</v>
      </c>
      <c r="D22" s="305">
        <v>650</v>
      </c>
      <c r="E22" s="305">
        <v>300</v>
      </c>
      <c r="F22" s="305" t="s">
        <v>281</v>
      </c>
      <c r="G22" s="305" t="s">
        <v>282</v>
      </c>
      <c r="H22" s="305">
        <v>0.94</v>
      </c>
      <c r="I22" s="305" t="s">
        <v>283</v>
      </c>
      <c r="J22" s="305">
        <v>0.92</v>
      </c>
      <c r="K22" s="305" t="s">
        <v>268</v>
      </c>
      <c r="L22" s="305" t="s">
        <v>269</v>
      </c>
      <c r="M22" s="305" t="b">
        <f>IF(Eng_Footing=$A22,IF('Data Sheet'!$B$22&lt;=30,"SL82","Engineer"))</f>
        <v>0</v>
      </c>
      <c r="N22" s="305">
        <v>0.1</v>
      </c>
      <c r="O22" s="305" t="s">
        <v>269</v>
      </c>
      <c r="P22" s="305">
        <v>1</v>
      </c>
      <c r="Q22" s="305">
        <f t="shared" si="0"/>
        <v>600</v>
      </c>
    </row>
    <row r="23" spans="1:17" ht="15" x14ac:dyDescent="0.25">
      <c r="A23" s="305" t="s">
        <v>284</v>
      </c>
      <c r="B23" s="305">
        <v>650</v>
      </c>
      <c r="C23" s="305">
        <v>300</v>
      </c>
      <c r="D23" s="305">
        <v>700</v>
      </c>
      <c r="E23" s="305">
        <v>300</v>
      </c>
      <c r="F23" s="305" t="s">
        <v>285</v>
      </c>
      <c r="G23" s="305" t="s">
        <v>286</v>
      </c>
      <c r="H23" s="305">
        <v>0.98</v>
      </c>
      <c r="I23" s="305" t="s">
        <v>287</v>
      </c>
      <c r="J23" s="305">
        <v>0.95</v>
      </c>
      <c r="K23" s="305" t="s">
        <v>268</v>
      </c>
      <c r="L23" s="305" t="s">
        <v>269</v>
      </c>
      <c r="M23" s="305" t="b">
        <f>IF(Eng_Footing=$A23,IF('Data Sheet'!$B$22&lt;=30,"SL92","Engineer"))</f>
        <v>0</v>
      </c>
      <c r="N23" s="305">
        <v>0.1</v>
      </c>
      <c r="O23" s="305" t="s">
        <v>269</v>
      </c>
      <c r="P23" s="305">
        <v>1</v>
      </c>
      <c r="Q23" s="305">
        <f t="shared" si="0"/>
        <v>650</v>
      </c>
    </row>
    <row r="24" spans="1:17" ht="15" x14ac:dyDescent="0.25">
      <c r="A24" s="305" t="s">
        <v>653</v>
      </c>
      <c r="B24" s="305">
        <v>200</v>
      </c>
      <c r="C24" s="305">
        <v>300</v>
      </c>
      <c r="D24" s="305" t="s">
        <v>253</v>
      </c>
      <c r="E24" s="305" t="s">
        <v>253</v>
      </c>
      <c r="F24" s="305" t="s">
        <v>253</v>
      </c>
      <c r="G24" s="305" t="s">
        <v>253</v>
      </c>
      <c r="H24" s="305"/>
      <c r="I24" s="305" t="s">
        <v>253</v>
      </c>
      <c r="J24" s="305"/>
      <c r="K24" s="305" t="s">
        <v>253</v>
      </c>
      <c r="L24" s="305" t="s">
        <v>158</v>
      </c>
      <c r="M24" s="305" t="b">
        <f>IF(Eng_Footing=$A24,IF('Data Sheet'!$B$22&lt;=22,"SL53",IF(AND('Data Sheet'!$B$22&gt;22,'Data Sheet'!$B$22&lt;=26),"SL63",IF(AND('Data Sheet'!$B$22&gt;26,'Data Sheet'!$B$22&lt;=28),"SL62","Engineer"))))</f>
        <v>0</v>
      </c>
      <c r="N24" s="305">
        <v>8.5000000000000006E-2</v>
      </c>
      <c r="O24" s="305" t="s">
        <v>158</v>
      </c>
      <c r="P24" s="305">
        <v>1</v>
      </c>
      <c r="Q24" s="305">
        <f t="shared" si="0"/>
        <v>200</v>
      </c>
    </row>
    <row r="25" spans="1:17" ht="15" x14ac:dyDescent="0.25">
      <c r="A25" s="305" t="s">
        <v>1671</v>
      </c>
      <c r="B25" s="305">
        <v>200</v>
      </c>
      <c r="C25" s="305">
        <v>300</v>
      </c>
      <c r="D25" s="305" t="s">
        <v>253</v>
      </c>
      <c r="E25" s="305" t="s">
        <v>253</v>
      </c>
      <c r="F25" s="305" t="s">
        <v>253</v>
      </c>
      <c r="G25" s="305" t="s">
        <v>253</v>
      </c>
      <c r="H25" s="305"/>
      <c r="I25" s="305" t="s">
        <v>253</v>
      </c>
      <c r="J25" s="305"/>
      <c r="K25" s="305" t="s">
        <v>253</v>
      </c>
      <c r="L25" s="305" t="s">
        <v>158</v>
      </c>
      <c r="M25" s="305" t="b">
        <f>IF(Eng_Footing=$A25,IF('Data Sheet'!$B$22&lt;=22,"SL53",IF(AND('Data Sheet'!$B$22&gt;22,'Data Sheet'!$B$22&lt;=26),"SL63",IF(AND('Data Sheet'!$B$22&gt;26,'Data Sheet'!$B$22&lt;=28),"SL62","Engineer"))))</f>
        <v>0</v>
      </c>
      <c r="N25" s="305">
        <v>8.5000000000000006E-2</v>
      </c>
      <c r="O25" s="305" t="s">
        <v>158</v>
      </c>
      <c r="P25" s="305">
        <v>1</v>
      </c>
      <c r="Q25" s="305">
        <f>B25</f>
        <v>200</v>
      </c>
    </row>
    <row r="26" spans="1:17" ht="15" x14ac:dyDescent="0.25">
      <c r="A26" s="305" t="s">
        <v>3572</v>
      </c>
      <c r="B26" s="305">
        <v>300</v>
      </c>
      <c r="C26" s="305">
        <v>300</v>
      </c>
      <c r="D26" s="305">
        <f>150-90</f>
        <v>60</v>
      </c>
      <c r="E26" s="305">
        <v>300</v>
      </c>
      <c r="F26" s="305" t="s">
        <v>253</v>
      </c>
      <c r="G26" s="305" t="s">
        <v>253</v>
      </c>
      <c r="H26" s="305"/>
      <c r="I26" s="305" t="s">
        <v>253</v>
      </c>
      <c r="J26" s="305"/>
      <c r="K26" s="305" t="s">
        <v>253</v>
      </c>
      <c r="L26" s="305" t="s">
        <v>158</v>
      </c>
      <c r="M26" s="305" t="b">
        <f>IF(Eng_Footing=$A26,IF('Data Sheet'!$B$22&lt;=22,"SL63",IF(AND('Data Sheet'!$B$22&gt;22,'Data Sheet'!$B$22&lt;=26),"SL62",IF(AND('Data Sheet'!$B$22&gt;26,'Data Sheet'!$B$22&lt;=30),"SL72",IF(AND('Data Sheet'!$B$22&gt;30,'Data Sheet'!$B$22&lt;=35),"SL82","Engineer")))))</f>
        <v>0</v>
      </c>
      <c r="N26" s="305">
        <v>0.09</v>
      </c>
      <c r="O26" s="305" t="s">
        <v>158</v>
      </c>
      <c r="P26" s="305" t="s">
        <v>158</v>
      </c>
      <c r="Q26" s="305">
        <f>B26</f>
        <v>300</v>
      </c>
    </row>
    <row r="27" spans="1:17" ht="15" x14ac:dyDescent="0.25">
      <c r="A27" s="305" t="s">
        <v>526</v>
      </c>
      <c r="B27" s="305">
        <v>200</v>
      </c>
      <c r="C27" s="305">
        <v>300</v>
      </c>
      <c r="D27" s="305" t="s">
        <v>253</v>
      </c>
      <c r="E27" s="305" t="s">
        <v>253</v>
      </c>
      <c r="F27" s="305" t="s">
        <v>255</v>
      </c>
      <c r="G27" s="305" t="s">
        <v>253</v>
      </c>
      <c r="H27" s="305"/>
      <c r="I27" s="305" t="s">
        <v>253</v>
      </c>
      <c r="J27" s="305"/>
      <c r="K27" s="305" t="s">
        <v>253</v>
      </c>
      <c r="L27" s="305" t="s">
        <v>158</v>
      </c>
      <c r="M27" s="305" t="b">
        <f>IF(Eng_Footing=$A27,IF('Data Sheet'!$B$22&lt;=26,"SL62",IF(AND('Data Sheet'!$B$22&gt;26,'Data Sheet'!$B$22&lt;=30),"SL72",IF(AND('Data Sheet'!$B$22&gt;30,'Data Sheet'!$B$22&lt;=32),"SL82","Engineer"))))</f>
        <v>0</v>
      </c>
      <c r="N27" s="305">
        <v>0.1</v>
      </c>
      <c r="O27" s="305" t="s">
        <v>158</v>
      </c>
      <c r="P27" s="305">
        <v>1</v>
      </c>
      <c r="Q27" s="305">
        <f t="shared" si="0"/>
        <v>200</v>
      </c>
    </row>
    <row r="28" spans="1:17" ht="15" x14ac:dyDescent="0.25">
      <c r="A28" s="305" t="s">
        <v>1570</v>
      </c>
      <c r="B28" s="305">
        <v>430</v>
      </c>
      <c r="C28" s="305">
        <v>320</v>
      </c>
      <c r="D28" s="305" t="s">
        <v>253</v>
      </c>
      <c r="E28" s="305" t="s">
        <v>253</v>
      </c>
      <c r="F28" s="305" t="s">
        <v>253</v>
      </c>
      <c r="G28" s="305" t="s">
        <v>253</v>
      </c>
      <c r="H28" s="305"/>
      <c r="I28" s="305" t="s">
        <v>253</v>
      </c>
      <c r="J28" s="305"/>
      <c r="K28" s="305" t="s">
        <v>253</v>
      </c>
      <c r="L28" s="305" t="s">
        <v>158</v>
      </c>
      <c r="M28" s="305" t="b">
        <f>IF(Eng_Footing=$A28,IF('Data Sheet'!$B$22&lt;=22,"SL53",IF(AND('Data Sheet'!$B$22&gt;22,'Data Sheet'!$B$22&lt;=26),"SL63",IF(AND('Data Sheet'!$B$22&gt;26,'Data Sheet'!$B$22&lt;=28),"SL62","Engineer"))))</f>
        <v>0</v>
      </c>
      <c r="N28" s="305">
        <v>0.1</v>
      </c>
      <c r="O28" s="305" t="s">
        <v>158</v>
      </c>
      <c r="P28" s="305">
        <v>1</v>
      </c>
      <c r="Q28" s="305">
        <f t="shared" si="0"/>
        <v>430</v>
      </c>
    </row>
    <row r="29" spans="1:17" ht="15" x14ac:dyDescent="0.25">
      <c r="A29" s="305" t="s">
        <v>3378</v>
      </c>
      <c r="B29" s="305">
        <v>280</v>
      </c>
      <c r="C29" s="305">
        <v>300</v>
      </c>
      <c r="D29" s="305">
        <v>200</v>
      </c>
      <c r="E29" s="305">
        <v>300</v>
      </c>
      <c r="F29" s="305" t="s">
        <v>255</v>
      </c>
      <c r="G29" s="305" t="s">
        <v>261</v>
      </c>
      <c r="H29" s="305">
        <v>0.62</v>
      </c>
      <c r="I29" s="305" t="s">
        <v>253</v>
      </c>
      <c r="J29" s="305"/>
      <c r="K29" s="305" t="s">
        <v>263</v>
      </c>
      <c r="L29" s="305" t="s">
        <v>158</v>
      </c>
      <c r="M29" s="305" t="b">
        <f>IF(Eng_Footing=$A29,IF('Data Sheet'!$B$22&lt;=24,"SL63",IF(AND('Data Sheet'!$B$22&gt;24,'Data Sheet'!$B$22&lt;=30),"SL62",IF(AND('Data Sheet'!$B$22&gt;30,'Data Sheet'!$B$22&lt;=35),"SL72","Engineer"))))</f>
        <v>0</v>
      </c>
      <c r="N29" s="305">
        <v>0.1</v>
      </c>
      <c r="O29" s="305" t="s">
        <v>269</v>
      </c>
      <c r="P29" s="305">
        <v>1</v>
      </c>
      <c r="Q29" s="305">
        <f t="shared" si="0"/>
        <v>280</v>
      </c>
    </row>
    <row r="30" spans="1:17" ht="15" x14ac:dyDescent="0.25">
      <c r="A30" s="305" t="s">
        <v>1746</v>
      </c>
      <c r="B30" s="305">
        <v>200</v>
      </c>
      <c r="C30" s="305">
        <v>300</v>
      </c>
      <c r="D30" s="305" t="s">
        <v>253</v>
      </c>
      <c r="E30" s="305" t="s">
        <v>253</v>
      </c>
      <c r="F30" s="305" t="s">
        <v>255</v>
      </c>
      <c r="G30" s="305" t="s">
        <v>533</v>
      </c>
      <c r="H30" s="305">
        <v>0.55000000000000004</v>
      </c>
      <c r="I30" s="305" t="s">
        <v>253</v>
      </c>
      <c r="J30" s="305"/>
      <c r="K30" s="305" t="s">
        <v>253</v>
      </c>
      <c r="L30" s="305" t="s">
        <v>158</v>
      </c>
      <c r="M30" s="305" t="b">
        <f>IF(Eng_Footing=$A30,IF('Data Sheet'!$B$22&lt;=22,"SL53",IF(AND('Data Sheet'!$B$22&gt;22,'Data Sheet'!$B$22&lt;=26),"SL63",IF(AND('Data Sheet'!$B$22&gt;26,'Data Sheet'!$B$22&lt;=28),"SL62",IF(AND('Data Sheet'!$B$22&gt;28,'Data Sheet'!$B$22&lt;=32),"SL72","Engineer")))))</f>
        <v>0</v>
      </c>
      <c r="N30" s="305">
        <v>8.5000000000000006E-2</v>
      </c>
      <c r="O30" s="305" t="s">
        <v>158</v>
      </c>
      <c r="P30" s="305">
        <v>1</v>
      </c>
      <c r="Q30" s="305">
        <v>280</v>
      </c>
    </row>
    <row r="31" spans="1:17" ht="15" x14ac:dyDescent="0.25">
      <c r="A31" s="305" t="s">
        <v>1582</v>
      </c>
      <c r="B31" s="305">
        <v>200</v>
      </c>
      <c r="C31" s="305">
        <v>300</v>
      </c>
      <c r="D31" s="305"/>
      <c r="E31" s="305"/>
      <c r="F31" s="305" t="s">
        <v>255</v>
      </c>
      <c r="G31" s="305" t="s">
        <v>533</v>
      </c>
      <c r="H31" s="305">
        <v>0.55000000000000004</v>
      </c>
      <c r="I31" s="305" t="s">
        <v>253</v>
      </c>
      <c r="J31" s="305"/>
      <c r="K31" s="305" t="s">
        <v>253</v>
      </c>
      <c r="L31" s="305" t="s">
        <v>158</v>
      </c>
      <c r="M31" s="305" t="b">
        <f>IF(Eng_Footing=$A31,IF('Data Sheet'!$B$22&lt;=30,"SL62","Engineer"))</f>
        <v>0</v>
      </c>
      <c r="N31" s="305">
        <v>0.1</v>
      </c>
      <c r="O31" s="305" t="s">
        <v>158</v>
      </c>
      <c r="P31" s="305">
        <v>1</v>
      </c>
      <c r="Q31" s="305">
        <v>270</v>
      </c>
    </row>
    <row r="32" spans="1:17" ht="15" x14ac:dyDescent="0.25">
      <c r="A32" s="305" t="s">
        <v>1588</v>
      </c>
      <c r="B32" s="305">
        <v>200</v>
      </c>
      <c r="C32" s="305">
        <v>300</v>
      </c>
      <c r="D32" s="305"/>
      <c r="E32" s="305"/>
      <c r="F32" s="305" t="s">
        <v>255</v>
      </c>
      <c r="G32" s="305" t="s">
        <v>533</v>
      </c>
      <c r="H32" s="305">
        <v>0.55000000000000004</v>
      </c>
      <c r="I32" s="305" t="s">
        <v>253</v>
      </c>
      <c r="J32" s="305"/>
      <c r="K32" s="305" t="s">
        <v>253</v>
      </c>
      <c r="L32" s="305" t="s">
        <v>269</v>
      </c>
      <c r="M32" s="305" t="b">
        <f>IF(Eng_Footing=$A32,IF('Data Sheet'!$B$22&lt;=30,"SL72","Engineer"))</f>
        <v>0</v>
      </c>
      <c r="N32" s="305">
        <v>0.155</v>
      </c>
      <c r="O32" s="305" t="s">
        <v>158</v>
      </c>
      <c r="P32" s="305">
        <v>1</v>
      </c>
      <c r="Q32" s="305">
        <v>350</v>
      </c>
    </row>
    <row r="33" spans="1:17" ht="15" x14ac:dyDescent="0.25">
      <c r="A33" s="305" t="s">
        <v>1597</v>
      </c>
      <c r="B33" s="305">
        <v>200</v>
      </c>
      <c r="C33" s="305">
        <v>300</v>
      </c>
      <c r="D33" s="305"/>
      <c r="E33" s="305"/>
      <c r="F33" s="305" t="s">
        <v>255</v>
      </c>
      <c r="G33" s="305" t="s">
        <v>533</v>
      </c>
      <c r="H33" s="305">
        <v>0.55000000000000004</v>
      </c>
      <c r="I33" s="305" t="s">
        <v>253</v>
      </c>
      <c r="J33" s="305"/>
      <c r="K33" s="305" t="s">
        <v>253</v>
      </c>
      <c r="L33" s="305" t="s">
        <v>269</v>
      </c>
      <c r="M33" s="305" t="s">
        <v>1598</v>
      </c>
      <c r="N33" s="305">
        <v>0.17199999999999999</v>
      </c>
      <c r="O33" s="305" t="s">
        <v>158</v>
      </c>
      <c r="P33" s="305">
        <v>1</v>
      </c>
      <c r="Q33" s="305">
        <v>400</v>
      </c>
    </row>
    <row r="34" spans="1:17" ht="15" x14ac:dyDescent="0.25">
      <c r="A34" s="305" t="s">
        <v>527</v>
      </c>
      <c r="B34" s="305">
        <v>200</v>
      </c>
      <c r="C34" s="305">
        <v>300</v>
      </c>
      <c r="D34" s="305">
        <v>200</v>
      </c>
      <c r="E34" s="305">
        <v>300</v>
      </c>
      <c r="F34" s="305" t="s">
        <v>255</v>
      </c>
      <c r="G34" s="305" t="s">
        <v>253</v>
      </c>
      <c r="H34" s="305"/>
      <c r="I34" s="305" t="s">
        <v>253</v>
      </c>
      <c r="J34" s="305"/>
      <c r="K34" s="305" t="s">
        <v>253</v>
      </c>
      <c r="L34" s="305" t="s">
        <v>158</v>
      </c>
      <c r="M34" s="305" t="b">
        <f>IF(Eng_Footing=$A34,IF('Data Sheet'!$B$22&lt;=26,"SL62",IF(AND('Data Sheet'!$B$22&gt;26,'Data Sheet'!$B$22&lt;=30),"SL72",IF(AND('Data Sheet'!$B$22&gt;30,'Data Sheet'!$B$22&lt;=32),"82","Engineer"))))</f>
        <v>0</v>
      </c>
      <c r="N34" s="305">
        <v>0.1</v>
      </c>
      <c r="O34" s="305" t="s">
        <v>158</v>
      </c>
      <c r="P34" s="305">
        <v>1</v>
      </c>
      <c r="Q34" s="305">
        <f>B34</f>
        <v>200</v>
      </c>
    </row>
    <row r="35" spans="1:17" ht="15" x14ac:dyDescent="0.25">
      <c r="A35" s="305" t="s">
        <v>3043</v>
      </c>
      <c r="B35" s="305">
        <v>280</v>
      </c>
      <c r="C35" s="305">
        <v>300</v>
      </c>
      <c r="D35" s="305"/>
      <c r="E35" s="305"/>
      <c r="F35" s="305" t="s">
        <v>255</v>
      </c>
      <c r="G35" s="305"/>
      <c r="H35" s="305"/>
      <c r="I35" s="305" t="s">
        <v>253</v>
      </c>
      <c r="J35" s="305"/>
      <c r="K35" s="305" t="s">
        <v>253</v>
      </c>
      <c r="L35" s="305" t="s">
        <v>158</v>
      </c>
      <c r="M35" s="305" t="b">
        <f>IF(Eng_Footing=$A35,IF('Data Sheet'!$B$22&lt;=26,"SL63",IF(AND('Data Sheet'!$B$22&gt;26,'Data Sheet'!$B$22&lt;=28),"SL62",IF(AND('Data Sheet'!$B$22&gt;28,'Data Sheet'!$B$22&lt;=32),"72","Engineer"))))</f>
        <v>0</v>
      </c>
      <c r="N35" s="305">
        <v>0.1</v>
      </c>
      <c r="O35" s="305" t="s">
        <v>158</v>
      </c>
      <c r="P35" s="305">
        <v>0</v>
      </c>
      <c r="Q35" s="305">
        <v>280</v>
      </c>
    </row>
    <row r="36" spans="1:17" ht="15" x14ac:dyDescent="0.25">
      <c r="A36" s="305" t="s">
        <v>3078</v>
      </c>
      <c r="B36" s="305">
        <v>280</v>
      </c>
      <c r="C36" s="305">
        <v>300</v>
      </c>
      <c r="D36" s="305"/>
      <c r="E36" s="305"/>
      <c r="F36" s="305"/>
      <c r="G36" s="305"/>
      <c r="H36" s="305"/>
      <c r="I36" s="305"/>
      <c r="J36" s="305"/>
      <c r="K36" s="305" t="s">
        <v>253</v>
      </c>
      <c r="L36" s="305" t="s">
        <v>158</v>
      </c>
      <c r="M36" s="305" t="b">
        <f>IF(Eng_Footing=$A36,IF('Data Sheet'!$B$22&lt;=26,"SL63",IF(AND('Data Sheet'!$B$22&gt;26,'Data Sheet'!$B$22&lt;=28),"SL62",IF(AND('Data Sheet'!$B$22&gt;28,'Data Sheet'!$B$22&lt;=32),"72","Engineer"))))</f>
        <v>0</v>
      </c>
      <c r="N36" s="305">
        <v>0.1</v>
      </c>
      <c r="O36" s="305" t="s">
        <v>158</v>
      </c>
      <c r="P36" s="305">
        <v>0</v>
      </c>
      <c r="Q36" s="305">
        <v>280</v>
      </c>
    </row>
    <row r="37" spans="1:17" ht="15" x14ac:dyDescent="0.25">
      <c r="A37" s="305" t="s">
        <v>3820</v>
      </c>
      <c r="B37" s="305">
        <v>175</v>
      </c>
      <c r="C37" s="305">
        <v>325</v>
      </c>
      <c r="D37" s="305" t="s">
        <v>253</v>
      </c>
      <c r="E37" s="305" t="s">
        <v>253</v>
      </c>
      <c r="F37" s="305" t="s">
        <v>253</v>
      </c>
      <c r="G37" s="305" t="s">
        <v>253</v>
      </c>
      <c r="H37" s="305"/>
      <c r="I37" s="305" t="s">
        <v>253</v>
      </c>
      <c r="J37" s="305"/>
      <c r="K37" s="305" t="s">
        <v>253</v>
      </c>
      <c r="L37" s="305" t="s">
        <v>158</v>
      </c>
      <c r="M37" s="305" t="b">
        <f>IF(Eng_Footing=$A37,IF('Data Sheet'!$B$22&lt;=22,"SL63",IF(AND('Data Sheet'!$B$22&gt;22,'Data Sheet'!$B$22&lt;=26),"SL63",IF(AND('Data Sheet'!$B$22&gt;26,'Data Sheet'!$B$22&lt;=28),"SL62",IF(AND('Data Sheet'!$B$22&gt;28,'Data Sheet'!$B$22&lt;=32),"SL72",IF('Data Sheet'!$B$22&gt;32,"Engineer"))))))</f>
        <v>0</v>
      </c>
      <c r="N37" s="305">
        <v>8.5000000000000006E-2</v>
      </c>
      <c r="O37" s="305" t="s">
        <v>158</v>
      </c>
      <c r="P37" s="305">
        <v>0</v>
      </c>
      <c r="Q37" s="305">
        <v>175</v>
      </c>
    </row>
    <row r="38" spans="1:17" ht="15" x14ac:dyDescent="0.25">
      <c r="A38" s="305" t="s">
        <v>3722</v>
      </c>
      <c r="B38" s="305">
        <v>300</v>
      </c>
      <c r="C38" s="305">
        <v>300</v>
      </c>
      <c r="D38" s="305">
        <f>300-85</f>
        <v>215</v>
      </c>
      <c r="E38" s="305">
        <v>300</v>
      </c>
      <c r="F38" s="305" t="s">
        <v>265</v>
      </c>
      <c r="G38" s="305" t="s">
        <v>1348</v>
      </c>
      <c r="H38" s="305">
        <v>0.5</v>
      </c>
      <c r="I38" s="305" t="s">
        <v>1348</v>
      </c>
      <c r="J38" s="305">
        <f>0.2+0.15+0.15</f>
        <v>0.5</v>
      </c>
      <c r="K38" s="305" t="s">
        <v>253</v>
      </c>
      <c r="L38" s="305" t="s">
        <v>158</v>
      </c>
      <c r="M38" s="305" t="b">
        <f>IF(Eng_Footing=$A38,IF('Data Sheet'!$B$22&lt;=25,"SL62",IF(AND('Data Sheet'!$B$22&gt;25,'Data Sheet'!$B$22&lt;=30),"SL72",IF(AND('Data Sheet'!$B$22&gt;30,'Data Sheet'!$B$22&lt;=35),"SL82",IF('Data Sheet'!$B$22&gt;35,"Engineer")))))</f>
        <v>0</v>
      </c>
      <c r="N38" s="305">
        <v>8.5000000000000006E-2</v>
      </c>
      <c r="O38" s="305" t="s">
        <v>269</v>
      </c>
      <c r="P38" s="305">
        <v>1</v>
      </c>
      <c r="Q38" s="305">
        <v>300</v>
      </c>
    </row>
    <row r="39" spans="1:17" ht="15" x14ac:dyDescent="0.25">
      <c r="A39" s="305" t="s">
        <v>3090</v>
      </c>
      <c r="B39" s="305">
        <v>200</v>
      </c>
      <c r="C39" s="305">
        <v>300</v>
      </c>
      <c r="D39" s="305">
        <f>370-85</f>
        <v>285</v>
      </c>
      <c r="E39" s="305">
        <v>300</v>
      </c>
      <c r="F39" s="305" t="s">
        <v>265</v>
      </c>
      <c r="G39" s="305" t="s">
        <v>1348</v>
      </c>
      <c r="H39" s="305">
        <v>0.5</v>
      </c>
      <c r="I39" s="305" t="s">
        <v>3091</v>
      </c>
      <c r="J39" s="305">
        <f>0.27+0.15+0.15</f>
        <v>0.57000000000000006</v>
      </c>
      <c r="K39" s="305" t="s">
        <v>253</v>
      </c>
      <c r="L39" s="305" t="s">
        <v>269</v>
      </c>
      <c r="M39" s="305" t="b">
        <f>IF(Eng_Footing=$A39,IF('Data Sheet'!$B$22&lt;=22,"SL63",IF(AND('Data Sheet'!$B$22&gt;22,'Data Sheet'!$B$22&lt;=25),"SL62",IF(AND('Data Sheet'!$B$22&gt;25,'Data Sheet'!$B$22&lt;=30),"SL72",IF(AND('Data Sheet'!$B$22&gt;30,'Data Sheet'!$B$22&lt;=35),"SL82",IF('Data Sheet'!$B$22&gt;35,"Engineer"))))))</f>
        <v>0</v>
      </c>
      <c r="N39" s="305">
        <v>8.5000000000000006E-2</v>
      </c>
      <c r="O39" s="305" t="s">
        <v>269</v>
      </c>
      <c r="P39" s="305">
        <v>1</v>
      </c>
      <c r="Q39" s="305">
        <v>350</v>
      </c>
    </row>
    <row r="40" spans="1:17" ht="15" x14ac:dyDescent="0.25">
      <c r="A40" s="305" t="s">
        <v>2552</v>
      </c>
      <c r="B40" s="305">
        <v>200</v>
      </c>
      <c r="C40" s="305">
        <v>300</v>
      </c>
      <c r="D40" s="305" t="s">
        <v>253</v>
      </c>
      <c r="E40" s="305" t="s">
        <v>253</v>
      </c>
      <c r="F40" s="305" t="s">
        <v>255</v>
      </c>
      <c r="G40" s="305" t="s">
        <v>1348</v>
      </c>
      <c r="H40" s="305">
        <v>0.5</v>
      </c>
      <c r="I40" s="305" t="s">
        <v>253</v>
      </c>
      <c r="J40" s="305"/>
      <c r="K40" s="305" t="s">
        <v>253</v>
      </c>
      <c r="L40" s="305" t="s">
        <v>158</v>
      </c>
      <c r="M40" s="305" t="b">
        <f>IF(Eng_Footing=$A40,IF('Data Sheet'!$B$22&lt;=22,"SL63",IF(AND('Data Sheet'!$B$22&gt;22,'Data Sheet'!$B$22&lt;=25),"SL62",IF(AND('Data Sheet'!$B$22&gt;25,'Data Sheet'!$B$22&lt;=30),"SL72",IF(AND('Data Sheet'!$B$22&gt;30,'Data Sheet'!$B$22&lt;=35),"SL82",IF('Data Sheet'!$B$22&gt;35,"Engineer"))))))</f>
        <v>0</v>
      </c>
      <c r="N40" s="305">
        <v>0.1</v>
      </c>
      <c r="O40" s="305" t="s">
        <v>269</v>
      </c>
      <c r="P40" s="305">
        <v>1</v>
      </c>
      <c r="Q40" s="305">
        <v>250</v>
      </c>
    </row>
    <row r="41" spans="1:17" x14ac:dyDescent="0.2">
      <c r="I41" s="319" t="s">
        <v>1100</v>
      </c>
    </row>
    <row r="42" spans="1:17" ht="15" x14ac:dyDescent="0.25">
      <c r="A42" s="306" t="s">
        <v>691</v>
      </c>
    </row>
    <row r="43" spans="1:17" ht="15" x14ac:dyDescent="0.25">
      <c r="A43" s="307" t="s">
        <v>269</v>
      </c>
      <c r="I43" s="282">
        <f>370-30-70</f>
        <v>270</v>
      </c>
    </row>
    <row r="44" spans="1:17" ht="15" x14ac:dyDescent="0.25">
      <c r="A44" s="308" t="s">
        <v>158</v>
      </c>
      <c r="I44" s="282">
        <f>300-70-30</f>
        <v>200</v>
      </c>
    </row>
    <row r="46" spans="1:17" ht="15" x14ac:dyDescent="0.25">
      <c r="A46" s="306" t="s">
        <v>585</v>
      </c>
    </row>
    <row r="47" spans="1:17" ht="15" x14ac:dyDescent="0.25">
      <c r="A47" s="307" t="s">
        <v>692</v>
      </c>
    </row>
    <row r="48" spans="1:17" ht="15" x14ac:dyDescent="0.25">
      <c r="A48" s="309" t="s">
        <v>693</v>
      </c>
    </row>
    <row r="49" spans="1:1" ht="15" x14ac:dyDescent="0.25">
      <c r="A49" s="308" t="s">
        <v>694</v>
      </c>
    </row>
    <row r="51" spans="1:1" ht="15" x14ac:dyDescent="0.25">
      <c r="A51" s="306" t="s">
        <v>695</v>
      </c>
    </row>
    <row r="52" spans="1:1" ht="15" x14ac:dyDescent="0.25">
      <c r="A52" s="307" t="s">
        <v>586</v>
      </c>
    </row>
    <row r="53" spans="1:1" ht="15" x14ac:dyDescent="0.25">
      <c r="A53" s="309" t="s">
        <v>696</v>
      </c>
    </row>
    <row r="54" spans="1:1" ht="15" x14ac:dyDescent="0.25">
      <c r="A54" s="309" t="s">
        <v>697</v>
      </c>
    </row>
    <row r="55" spans="1:1" ht="15" x14ac:dyDescent="0.25">
      <c r="A55" s="308" t="s">
        <v>539</v>
      </c>
    </row>
    <row r="57" spans="1:1" ht="15" x14ac:dyDescent="0.25">
      <c r="A57" s="310" t="s">
        <v>698</v>
      </c>
    </row>
    <row r="58" spans="1:1" ht="15" x14ac:dyDescent="0.25">
      <c r="A58" s="307"/>
    </row>
    <row r="59" spans="1:1" ht="15" x14ac:dyDescent="0.25">
      <c r="A59" s="309" t="s">
        <v>12</v>
      </c>
    </row>
    <row r="60" spans="1:1" ht="15" x14ac:dyDescent="0.25">
      <c r="A60" s="309" t="s">
        <v>699</v>
      </c>
    </row>
    <row r="61" spans="1:1" ht="15" x14ac:dyDescent="0.25">
      <c r="A61" s="309" t="s">
        <v>700</v>
      </c>
    </row>
    <row r="62" spans="1:1" ht="15" x14ac:dyDescent="0.25">
      <c r="A62" s="308" t="s">
        <v>701</v>
      </c>
    </row>
    <row r="63" spans="1:1" x14ac:dyDescent="0.2">
      <c r="A63" s="311"/>
    </row>
    <row r="64" spans="1:1" ht="15" x14ac:dyDescent="0.25">
      <c r="A64" s="310" t="s">
        <v>702</v>
      </c>
    </row>
    <row r="65" spans="1:1" ht="15" x14ac:dyDescent="0.25">
      <c r="A65" s="307"/>
    </row>
    <row r="66" spans="1:1" ht="15" x14ac:dyDescent="0.25">
      <c r="A66" s="309" t="s">
        <v>551</v>
      </c>
    </row>
    <row r="67" spans="1:1" ht="15" x14ac:dyDescent="0.25">
      <c r="A67" s="309" t="s">
        <v>30</v>
      </c>
    </row>
    <row r="68" spans="1:1" ht="15" x14ac:dyDescent="0.25">
      <c r="A68" s="309" t="s">
        <v>703</v>
      </c>
    </row>
    <row r="69" spans="1:1" ht="15" x14ac:dyDescent="0.25">
      <c r="A69" s="309" t="s">
        <v>587</v>
      </c>
    </row>
    <row r="70" spans="1:1" ht="15" x14ac:dyDescent="0.25">
      <c r="A70" s="308" t="s">
        <v>704</v>
      </c>
    </row>
    <row r="72" spans="1:1" ht="15" x14ac:dyDescent="0.25">
      <c r="A72" s="310" t="s">
        <v>1219</v>
      </c>
    </row>
    <row r="73" spans="1:1" ht="15" x14ac:dyDescent="0.25">
      <c r="A73" s="307"/>
    </row>
    <row r="74" spans="1:1" ht="15" x14ac:dyDescent="0.25">
      <c r="A74" s="309" t="s">
        <v>705</v>
      </c>
    </row>
    <row r="75" spans="1:1" ht="15" x14ac:dyDescent="0.25">
      <c r="A75" s="309" t="s">
        <v>703</v>
      </c>
    </row>
    <row r="76" spans="1:1" ht="15" x14ac:dyDescent="0.25">
      <c r="A76" s="309" t="s">
        <v>706</v>
      </c>
    </row>
    <row r="77" spans="1:1" ht="15" x14ac:dyDescent="0.25">
      <c r="A77" s="308" t="s">
        <v>707</v>
      </c>
    </row>
    <row r="79" spans="1:1" ht="15" x14ac:dyDescent="0.25">
      <c r="A79" s="306" t="s">
        <v>708</v>
      </c>
    </row>
    <row r="80" spans="1:1" ht="15" x14ac:dyDescent="0.25">
      <c r="A80" s="309"/>
    </row>
    <row r="81" spans="1:1" ht="15" x14ac:dyDescent="0.25">
      <c r="A81" s="309">
        <v>410</v>
      </c>
    </row>
    <row r="82" spans="1:1" ht="15" x14ac:dyDescent="0.25">
      <c r="A82" s="309">
        <v>520</v>
      </c>
    </row>
    <row r="83" spans="1:1" ht="15" x14ac:dyDescent="0.25">
      <c r="A83" s="309">
        <v>620</v>
      </c>
    </row>
    <row r="84" spans="1:1" ht="15" x14ac:dyDescent="0.25">
      <c r="A84" s="309">
        <v>720</v>
      </c>
    </row>
    <row r="85" spans="1:1" ht="15" x14ac:dyDescent="0.25">
      <c r="A85" s="309">
        <v>770</v>
      </c>
    </row>
    <row r="86" spans="1:1" ht="15" x14ac:dyDescent="0.25">
      <c r="A86" s="309">
        <v>820</v>
      </c>
    </row>
    <row r="87" spans="1:1" ht="15" x14ac:dyDescent="0.25">
      <c r="A87" s="309">
        <v>870</v>
      </c>
    </row>
    <row r="88" spans="1:1" ht="15" x14ac:dyDescent="0.25">
      <c r="A88" s="309">
        <v>920</v>
      </c>
    </row>
    <row r="89" spans="1:1" ht="15" x14ac:dyDescent="0.25">
      <c r="A89" s="309">
        <v>1200</v>
      </c>
    </row>
    <row r="90" spans="1:1" ht="15" x14ac:dyDescent="0.25">
      <c r="A90" s="308">
        <v>1210</v>
      </c>
    </row>
    <row r="92" spans="1:1" ht="15" x14ac:dyDescent="0.25">
      <c r="A92" s="310" t="s">
        <v>709</v>
      </c>
    </row>
    <row r="93" spans="1:1" ht="15" x14ac:dyDescent="0.25">
      <c r="A93" s="307"/>
    </row>
    <row r="94" spans="1:1" ht="15" x14ac:dyDescent="0.25">
      <c r="A94" s="309" t="s">
        <v>150</v>
      </c>
    </row>
    <row r="95" spans="1:1" ht="15" x14ac:dyDescent="0.25">
      <c r="A95" s="308" t="s">
        <v>710</v>
      </c>
    </row>
    <row r="97" spans="1:1" ht="15" x14ac:dyDescent="0.25">
      <c r="A97" s="306" t="s">
        <v>711</v>
      </c>
    </row>
    <row r="98" spans="1:1" ht="15" x14ac:dyDescent="0.25">
      <c r="A98" s="307"/>
    </row>
    <row r="99" spans="1:1" ht="15" x14ac:dyDescent="0.25">
      <c r="A99" s="309" t="s">
        <v>712</v>
      </c>
    </row>
    <row r="100" spans="1:1" ht="15" x14ac:dyDescent="0.25">
      <c r="A100" s="309" t="s">
        <v>713</v>
      </c>
    </row>
    <row r="101" spans="1:1" ht="15" x14ac:dyDescent="0.25">
      <c r="A101" s="309" t="s">
        <v>18</v>
      </c>
    </row>
    <row r="102" spans="1:1" ht="15" x14ac:dyDescent="0.25">
      <c r="A102" s="309" t="s">
        <v>714</v>
      </c>
    </row>
    <row r="103" spans="1:1" ht="15" x14ac:dyDescent="0.25">
      <c r="A103" s="309" t="s">
        <v>715</v>
      </c>
    </row>
    <row r="104" spans="1:1" ht="15" x14ac:dyDescent="0.25">
      <c r="A104" s="309" t="s">
        <v>716</v>
      </c>
    </row>
    <row r="105" spans="1:1" ht="15" x14ac:dyDescent="0.25">
      <c r="A105" s="309" t="s">
        <v>717</v>
      </c>
    </row>
    <row r="106" spans="1:1" ht="15" x14ac:dyDescent="0.25">
      <c r="A106" s="308" t="s">
        <v>718</v>
      </c>
    </row>
    <row r="108" spans="1:1" ht="15" x14ac:dyDescent="0.25">
      <c r="A108" s="310" t="s">
        <v>59</v>
      </c>
    </row>
    <row r="109" spans="1:1" ht="15" x14ac:dyDescent="0.25">
      <c r="A109" s="307"/>
    </row>
    <row r="110" spans="1:1" ht="15" x14ac:dyDescent="0.25">
      <c r="A110" s="309" t="s">
        <v>719</v>
      </c>
    </row>
    <row r="111" spans="1:1" ht="15" x14ac:dyDescent="0.25">
      <c r="A111" s="308" t="s">
        <v>720</v>
      </c>
    </row>
    <row r="113" spans="1:1" ht="15" x14ac:dyDescent="0.25">
      <c r="A113" s="310" t="s">
        <v>721</v>
      </c>
    </row>
    <row r="114" spans="1:1" ht="15" x14ac:dyDescent="0.25">
      <c r="A114" s="307"/>
    </row>
    <row r="115" spans="1:1" ht="15" x14ac:dyDescent="0.25">
      <c r="A115" s="309" t="s">
        <v>722</v>
      </c>
    </row>
    <row r="116" spans="1:1" ht="15" x14ac:dyDescent="0.25">
      <c r="A116" s="309" t="s">
        <v>723</v>
      </c>
    </row>
    <row r="117" spans="1:1" ht="15" x14ac:dyDescent="0.25">
      <c r="A117" s="309" t="s">
        <v>724</v>
      </c>
    </row>
    <row r="118" spans="1:1" ht="15" x14ac:dyDescent="0.25">
      <c r="A118" s="309" t="s">
        <v>1490</v>
      </c>
    </row>
    <row r="119" spans="1:1" ht="15" x14ac:dyDescent="0.25">
      <c r="A119" s="309" t="s">
        <v>1491</v>
      </c>
    </row>
    <row r="120" spans="1:1" ht="15" x14ac:dyDescent="0.25">
      <c r="A120" s="308" t="s">
        <v>1492</v>
      </c>
    </row>
    <row r="122" spans="1:1" ht="15" x14ac:dyDescent="0.25">
      <c r="A122" s="310" t="s">
        <v>725</v>
      </c>
    </row>
    <row r="123" spans="1:1" ht="15" x14ac:dyDescent="0.25">
      <c r="A123" s="307"/>
    </row>
    <row r="124" spans="1:1" ht="15" x14ac:dyDescent="0.25">
      <c r="A124" s="309" t="s">
        <v>726</v>
      </c>
    </row>
    <row r="125" spans="1:1" ht="15" x14ac:dyDescent="0.25">
      <c r="A125" s="308" t="s">
        <v>727</v>
      </c>
    </row>
    <row r="127" spans="1:1" ht="15" x14ac:dyDescent="0.25">
      <c r="A127" s="310" t="s">
        <v>728</v>
      </c>
    </row>
    <row r="128" spans="1:1" ht="15" x14ac:dyDescent="0.25">
      <c r="A128" s="307"/>
    </row>
    <row r="129" spans="1:1" ht="15" x14ac:dyDescent="0.25">
      <c r="A129" s="309" t="s">
        <v>729</v>
      </c>
    </row>
    <row r="130" spans="1:1" ht="15" x14ac:dyDescent="0.25">
      <c r="A130" s="308" t="s">
        <v>730</v>
      </c>
    </row>
    <row r="132" spans="1:1" ht="15" x14ac:dyDescent="0.25">
      <c r="A132" s="310" t="s">
        <v>731</v>
      </c>
    </row>
    <row r="133" spans="1:1" ht="15" x14ac:dyDescent="0.25">
      <c r="A133" s="307"/>
    </row>
    <row r="134" spans="1:1" ht="15" x14ac:dyDescent="0.25">
      <c r="A134" s="309" t="s">
        <v>732</v>
      </c>
    </row>
    <row r="135" spans="1:1" ht="15" x14ac:dyDescent="0.25">
      <c r="A135" s="308" t="s">
        <v>733</v>
      </c>
    </row>
    <row r="137" spans="1:1" ht="15" x14ac:dyDescent="0.25">
      <c r="A137" s="310" t="s">
        <v>734</v>
      </c>
    </row>
    <row r="138" spans="1:1" ht="15" x14ac:dyDescent="0.25">
      <c r="A138" s="307"/>
    </row>
    <row r="139" spans="1:1" ht="15" x14ac:dyDescent="0.25">
      <c r="A139" s="309" t="s">
        <v>735</v>
      </c>
    </row>
    <row r="140" spans="1:1" ht="15" x14ac:dyDescent="0.25">
      <c r="A140" s="309" t="s">
        <v>736</v>
      </c>
    </row>
    <row r="141" spans="1:1" ht="15" x14ac:dyDescent="0.25">
      <c r="A141" s="308" t="s">
        <v>737</v>
      </c>
    </row>
    <row r="143" spans="1:1" ht="15" x14ac:dyDescent="0.25">
      <c r="A143" s="310" t="s">
        <v>738</v>
      </c>
    </row>
    <row r="144" spans="1:1" ht="15" x14ac:dyDescent="0.25">
      <c r="A144" s="307"/>
    </row>
    <row r="145" spans="1:3" ht="15" x14ac:dyDescent="0.25">
      <c r="A145" s="309" t="s">
        <v>739</v>
      </c>
    </row>
    <row r="146" spans="1:3" ht="15" x14ac:dyDescent="0.25">
      <c r="A146" s="309" t="s">
        <v>740</v>
      </c>
    </row>
    <row r="147" spans="1:3" ht="15" x14ac:dyDescent="0.25">
      <c r="A147" s="309" t="s">
        <v>741</v>
      </c>
    </row>
    <row r="148" spans="1:3" ht="15" x14ac:dyDescent="0.25">
      <c r="A148" s="308" t="s">
        <v>742</v>
      </c>
    </row>
    <row r="150" spans="1:3" ht="15" x14ac:dyDescent="0.25">
      <c r="A150" s="310" t="s">
        <v>743</v>
      </c>
    </row>
    <row r="151" spans="1:3" ht="15" x14ac:dyDescent="0.25">
      <c r="A151" s="307"/>
    </row>
    <row r="152" spans="1:3" ht="15" x14ac:dyDescent="0.25">
      <c r="A152" s="309">
        <v>850</v>
      </c>
    </row>
    <row r="153" spans="1:3" ht="15" x14ac:dyDescent="0.25">
      <c r="A153" s="308">
        <v>851</v>
      </c>
    </row>
    <row r="155" spans="1:3" ht="15" x14ac:dyDescent="0.25">
      <c r="A155" s="310" t="s">
        <v>744</v>
      </c>
    </row>
    <row r="156" spans="1:3" ht="15" x14ac:dyDescent="0.25">
      <c r="A156" s="307"/>
    </row>
    <row r="157" spans="1:3" ht="15" x14ac:dyDescent="0.25">
      <c r="A157" s="308" t="s">
        <v>745</v>
      </c>
    </row>
    <row r="158" spans="1:3" x14ac:dyDescent="0.2">
      <c r="C158" s="312"/>
    </row>
    <row r="159" spans="1:3" ht="15" x14ac:dyDescent="0.25">
      <c r="A159" s="310" t="s">
        <v>746</v>
      </c>
    </row>
    <row r="160" spans="1:3" ht="15" x14ac:dyDescent="0.25">
      <c r="A160" s="307"/>
    </row>
    <row r="161" spans="1:1" ht="15" x14ac:dyDescent="0.25">
      <c r="A161" s="309" t="s">
        <v>747</v>
      </c>
    </row>
    <row r="162" spans="1:1" ht="15" x14ac:dyDescent="0.25">
      <c r="A162" s="309" t="s">
        <v>748</v>
      </c>
    </row>
    <row r="163" spans="1:1" ht="15" x14ac:dyDescent="0.25">
      <c r="A163" s="308" t="s">
        <v>749</v>
      </c>
    </row>
    <row r="165" spans="1:1" ht="15" x14ac:dyDescent="0.25">
      <c r="A165" s="310" t="s">
        <v>750</v>
      </c>
    </row>
    <row r="166" spans="1:1" ht="15" x14ac:dyDescent="0.25">
      <c r="A166" s="307"/>
    </row>
    <row r="167" spans="1:1" ht="15" x14ac:dyDescent="0.25">
      <c r="A167" s="309" t="s">
        <v>739</v>
      </c>
    </row>
    <row r="168" spans="1:1" ht="15" x14ac:dyDescent="0.25">
      <c r="A168" s="308" t="s">
        <v>751</v>
      </c>
    </row>
    <row r="170" spans="1:1" ht="15" x14ac:dyDescent="0.25">
      <c r="A170" s="310" t="s">
        <v>752</v>
      </c>
    </row>
    <row r="171" spans="1:1" ht="15" x14ac:dyDescent="0.25">
      <c r="A171" s="307"/>
    </row>
    <row r="172" spans="1:1" ht="15" x14ac:dyDescent="0.25">
      <c r="A172" s="309" t="s">
        <v>753</v>
      </c>
    </row>
    <row r="173" spans="1:1" ht="15" x14ac:dyDescent="0.25">
      <c r="A173" s="308" t="s">
        <v>754</v>
      </c>
    </row>
    <row r="175" spans="1:1" ht="15" x14ac:dyDescent="0.25">
      <c r="A175" s="310" t="s">
        <v>755</v>
      </c>
    </row>
    <row r="176" spans="1:1" ht="15" x14ac:dyDescent="0.25">
      <c r="A176" s="307"/>
    </row>
    <row r="177" spans="1:1" ht="15" x14ac:dyDescent="0.25">
      <c r="A177" s="309" t="s">
        <v>756</v>
      </c>
    </row>
    <row r="178" spans="1:1" ht="15" x14ac:dyDescent="0.25">
      <c r="A178" s="308" t="s">
        <v>757</v>
      </c>
    </row>
    <row r="180" spans="1:1" ht="15" x14ac:dyDescent="0.25">
      <c r="A180" s="310" t="s">
        <v>758</v>
      </c>
    </row>
    <row r="181" spans="1:1" ht="15" x14ac:dyDescent="0.25">
      <c r="A181" s="307"/>
    </row>
    <row r="182" spans="1:1" ht="15" x14ac:dyDescent="0.25">
      <c r="A182" s="309" t="s">
        <v>759</v>
      </c>
    </row>
    <row r="183" spans="1:1" ht="15" x14ac:dyDescent="0.25">
      <c r="A183" s="309" t="s">
        <v>760</v>
      </c>
    </row>
    <row r="184" spans="1:1" ht="15" x14ac:dyDescent="0.25">
      <c r="A184" s="308" t="s">
        <v>761</v>
      </c>
    </row>
    <row r="186" spans="1:1" ht="15" x14ac:dyDescent="0.25">
      <c r="A186" s="310" t="s">
        <v>762</v>
      </c>
    </row>
    <row r="187" spans="1:1" ht="15" x14ac:dyDescent="0.25">
      <c r="A187" s="307"/>
    </row>
    <row r="188" spans="1:1" ht="15" x14ac:dyDescent="0.25">
      <c r="A188" s="309">
        <v>1</v>
      </c>
    </row>
    <row r="189" spans="1:1" ht="15" x14ac:dyDescent="0.25">
      <c r="A189" s="308">
        <v>3</v>
      </c>
    </row>
    <row r="191" spans="1:1" ht="15" x14ac:dyDescent="0.25">
      <c r="A191" s="310" t="s">
        <v>763</v>
      </c>
    </row>
    <row r="192" spans="1:1" ht="15" x14ac:dyDescent="0.25">
      <c r="A192" s="307"/>
    </row>
    <row r="193" spans="1:1" ht="15" x14ac:dyDescent="0.25">
      <c r="A193" s="309" t="s">
        <v>764</v>
      </c>
    </row>
    <row r="194" spans="1:1" ht="15" x14ac:dyDescent="0.25">
      <c r="A194" s="309" t="s">
        <v>765</v>
      </c>
    </row>
    <row r="195" spans="1:1" ht="15" x14ac:dyDescent="0.25">
      <c r="A195" s="308" t="s">
        <v>766</v>
      </c>
    </row>
    <row r="197" spans="1:1" ht="15" x14ac:dyDescent="0.25">
      <c r="A197" s="310" t="s">
        <v>588</v>
      </c>
    </row>
    <row r="198" spans="1:1" ht="15" x14ac:dyDescent="0.25">
      <c r="A198" s="307"/>
    </row>
    <row r="199" spans="1:1" ht="15" x14ac:dyDescent="0.25">
      <c r="A199" s="309" t="s">
        <v>1493</v>
      </c>
    </row>
    <row r="200" spans="1:1" ht="15" x14ac:dyDescent="0.25">
      <c r="A200" s="309" t="s">
        <v>1494</v>
      </c>
    </row>
    <row r="201" spans="1:1" ht="15" x14ac:dyDescent="0.25">
      <c r="A201" s="308" t="s">
        <v>767</v>
      </c>
    </row>
    <row r="203" spans="1:1" ht="15" x14ac:dyDescent="0.25">
      <c r="A203" s="310" t="s">
        <v>152</v>
      </c>
    </row>
    <row r="204" spans="1:1" ht="15" x14ac:dyDescent="0.25">
      <c r="A204" s="307"/>
    </row>
    <row r="205" spans="1:1" ht="15" x14ac:dyDescent="0.25">
      <c r="A205" s="309" t="s">
        <v>768</v>
      </c>
    </row>
    <row r="206" spans="1:1" ht="15" x14ac:dyDescent="0.25">
      <c r="A206" s="309" t="s">
        <v>769</v>
      </c>
    </row>
    <row r="207" spans="1:1" ht="15" x14ac:dyDescent="0.25">
      <c r="A207" s="308"/>
    </row>
    <row r="209" spans="1:1" ht="15" x14ac:dyDescent="0.25">
      <c r="A209" s="310" t="s">
        <v>770</v>
      </c>
    </row>
    <row r="210" spans="1:1" ht="15" x14ac:dyDescent="0.25">
      <c r="A210" s="307"/>
    </row>
    <row r="211" spans="1:1" ht="15" x14ac:dyDescent="0.25">
      <c r="A211" s="309" t="s">
        <v>1495</v>
      </c>
    </row>
    <row r="212" spans="1:1" ht="15" x14ac:dyDescent="0.25">
      <c r="A212" s="309" t="s">
        <v>1496</v>
      </c>
    </row>
    <row r="213" spans="1:1" ht="15" x14ac:dyDescent="0.25">
      <c r="A213" s="309" t="s">
        <v>1497</v>
      </c>
    </row>
    <row r="214" spans="1:1" ht="15" x14ac:dyDescent="0.25">
      <c r="A214" s="309" t="s">
        <v>1498</v>
      </c>
    </row>
    <row r="215" spans="1:1" ht="15" x14ac:dyDescent="0.25">
      <c r="A215" s="308" t="s">
        <v>771</v>
      </c>
    </row>
    <row r="217" spans="1:1" ht="15" x14ac:dyDescent="0.25">
      <c r="A217" s="310" t="s">
        <v>772</v>
      </c>
    </row>
    <row r="218" spans="1:1" ht="15" x14ac:dyDescent="0.25">
      <c r="A218" s="307"/>
    </row>
    <row r="219" spans="1:1" ht="15" x14ac:dyDescent="0.25">
      <c r="A219" s="309" t="s">
        <v>1499</v>
      </c>
    </row>
    <row r="220" spans="1:1" ht="15" x14ac:dyDescent="0.25">
      <c r="A220" s="309" t="s">
        <v>1500</v>
      </c>
    </row>
    <row r="221" spans="1:1" ht="15" x14ac:dyDescent="0.25">
      <c r="A221" s="308" t="s">
        <v>1501</v>
      </c>
    </row>
    <row r="223" spans="1:1" ht="15" x14ac:dyDescent="0.25">
      <c r="A223" s="310" t="s">
        <v>773</v>
      </c>
    </row>
    <row r="224" spans="1:1" ht="15" x14ac:dyDescent="0.25">
      <c r="A224" s="307"/>
    </row>
    <row r="225" spans="1:4" ht="15" x14ac:dyDescent="0.25">
      <c r="A225" s="309" t="s">
        <v>774</v>
      </c>
    </row>
    <row r="226" spans="1:4" ht="15" x14ac:dyDescent="0.25">
      <c r="A226" s="308" t="s">
        <v>775</v>
      </c>
    </row>
    <row r="228" spans="1:4" ht="15" x14ac:dyDescent="0.25">
      <c r="A228" s="310" t="s">
        <v>776</v>
      </c>
    </row>
    <row r="229" spans="1:4" ht="15" x14ac:dyDescent="0.25">
      <c r="A229" s="307"/>
      <c r="D229" s="312"/>
    </row>
    <row r="230" spans="1:4" ht="15" x14ac:dyDescent="0.25">
      <c r="A230" s="309" t="s">
        <v>1502</v>
      </c>
    </row>
    <row r="231" spans="1:4" ht="15" x14ac:dyDescent="0.25">
      <c r="A231" s="309" t="s">
        <v>1503</v>
      </c>
    </row>
    <row r="232" spans="1:4" ht="15" x14ac:dyDescent="0.25">
      <c r="A232" s="309" t="s">
        <v>1504</v>
      </c>
    </row>
    <row r="233" spans="1:4" ht="15" x14ac:dyDescent="0.25">
      <c r="A233" s="308" t="s">
        <v>777</v>
      </c>
    </row>
    <row r="235" spans="1:4" ht="15" x14ac:dyDescent="0.25">
      <c r="A235" s="310" t="s">
        <v>778</v>
      </c>
      <c r="C235" s="312"/>
    </row>
    <row r="236" spans="1:4" ht="15" x14ac:dyDescent="0.25">
      <c r="A236" s="307"/>
    </row>
    <row r="237" spans="1:4" ht="15" x14ac:dyDescent="0.25">
      <c r="A237" s="309" t="s">
        <v>779</v>
      </c>
    </row>
    <row r="238" spans="1:4" ht="15" x14ac:dyDescent="0.25">
      <c r="A238" s="309" t="s">
        <v>780</v>
      </c>
    </row>
    <row r="239" spans="1:4" ht="15" x14ac:dyDescent="0.25">
      <c r="A239" s="308" t="s">
        <v>781</v>
      </c>
    </row>
    <row r="241" spans="1:3" ht="15" x14ac:dyDescent="0.25">
      <c r="A241" s="310" t="s">
        <v>782</v>
      </c>
    </row>
    <row r="242" spans="1:3" ht="15" x14ac:dyDescent="0.25">
      <c r="A242" s="307"/>
      <c r="C242" s="282" t="s">
        <v>783</v>
      </c>
    </row>
    <row r="243" spans="1:3" ht="15" x14ac:dyDescent="0.25">
      <c r="A243" s="309" t="s">
        <v>1505</v>
      </c>
    </row>
    <row r="244" spans="1:3" ht="15" x14ac:dyDescent="0.25">
      <c r="A244" s="308" t="s">
        <v>784</v>
      </c>
    </row>
    <row r="246" spans="1:3" ht="15" x14ac:dyDescent="0.25">
      <c r="A246" s="310" t="s">
        <v>785</v>
      </c>
    </row>
    <row r="247" spans="1:3" ht="15" x14ac:dyDescent="0.25">
      <c r="A247" s="307"/>
    </row>
    <row r="248" spans="1:3" ht="15" x14ac:dyDescent="0.25">
      <c r="A248" s="309" t="s">
        <v>739</v>
      </c>
    </row>
    <row r="249" spans="1:3" ht="15" x14ac:dyDescent="0.25">
      <c r="A249" s="309" t="s">
        <v>740</v>
      </c>
    </row>
    <row r="250" spans="1:3" ht="15" x14ac:dyDescent="0.25">
      <c r="A250" s="309" t="s">
        <v>741</v>
      </c>
    </row>
    <row r="251" spans="1:3" ht="15" x14ac:dyDescent="0.25">
      <c r="A251" s="308" t="s">
        <v>742</v>
      </c>
    </row>
    <row r="253" spans="1:3" ht="15" x14ac:dyDescent="0.25">
      <c r="A253" s="310" t="s">
        <v>786</v>
      </c>
    </row>
    <row r="254" spans="1:3" ht="15" x14ac:dyDescent="0.25">
      <c r="A254" s="307"/>
    </row>
    <row r="255" spans="1:3" ht="15" x14ac:dyDescent="0.25">
      <c r="A255" s="309" t="s">
        <v>787</v>
      </c>
    </row>
    <row r="256" spans="1:3" ht="15" x14ac:dyDescent="0.25">
      <c r="A256" s="308" t="s">
        <v>788</v>
      </c>
    </row>
    <row r="257" spans="1:3" x14ac:dyDescent="0.2">
      <c r="C257" s="312"/>
    </row>
    <row r="258" spans="1:3" ht="15" x14ac:dyDescent="0.25">
      <c r="A258" s="306" t="s">
        <v>789</v>
      </c>
    </row>
    <row r="259" spans="1:3" ht="15" x14ac:dyDescent="0.25">
      <c r="A259" s="309"/>
    </row>
    <row r="260" spans="1:3" ht="15" x14ac:dyDescent="0.25">
      <c r="A260" s="313" t="s">
        <v>790</v>
      </c>
    </row>
    <row r="261" spans="1:3" ht="15" x14ac:dyDescent="0.25">
      <c r="A261" s="313" t="s">
        <v>791</v>
      </c>
    </row>
    <row r="262" spans="1:3" ht="15" x14ac:dyDescent="0.25">
      <c r="A262" s="313" t="s">
        <v>792</v>
      </c>
    </row>
    <row r="263" spans="1:3" ht="15" x14ac:dyDescent="0.25">
      <c r="A263" s="313" t="s">
        <v>793</v>
      </c>
    </row>
    <row r="264" spans="1:3" ht="15" x14ac:dyDescent="0.25">
      <c r="A264" s="313" t="s">
        <v>794</v>
      </c>
    </row>
    <row r="265" spans="1:3" ht="15" x14ac:dyDescent="0.25">
      <c r="A265" s="313" t="s">
        <v>795</v>
      </c>
    </row>
    <row r="266" spans="1:3" ht="15" x14ac:dyDescent="0.25">
      <c r="A266" s="313" t="s">
        <v>796</v>
      </c>
    </row>
    <row r="267" spans="1:3" ht="15" x14ac:dyDescent="0.25">
      <c r="A267" s="313" t="s">
        <v>797</v>
      </c>
    </row>
    <row r="268" spans="1:3" ht="15" x14ac:dyDescent="0.25">
      <c r="A268" s="313" t="s">
        <v>798</v>
      </c>
    </row>
    <row r="269" spans="1:3" ht="15" x14ac:dyDescent="0.25">
      <c r="A269" s="313" t="s">
        <v>799</v>
      </c>
    </row>
    <row r="270" spans="1:3" ht="15" x14ac:dyDescent="0.25">
      <c r="A270" s="313" t="s">
        <v>800</v>
      </c>
    </row>
    <row r="271" spans="1:3" ht="15" x14ac:dyDescent="0.25">
      <c r="A271" s="313" t="s">
        <v>801</v>
      </c>
    </row>
    <row r="272" spans="1:3" ht="15" x14ac:dyDescent="0.25">
      <c r="A272" s="313" t="s">
        <v>802</v>
      </c>
    </row>
    <row r="273" spans="1:1" ht="15" x14ac:dyDescent="0.25">
      <c r="A273" s="313" t="s">
        <v>803</v>
      </c>
    </row>
    <row r="274" spans="1:1" ht="15" x14ac:dyDescent="0.25">
      <c r="A274" s="313" t="s">
        <v>804</v>
      </c>
    </row>
    <row r="275" spans="1:1" ht="15" x14ac:dyDescent="0.25">
      <c r="A275" s="313" t="s">
        <v>805</v>
      </c>
    </row>
    <row r="276" spans="1:1" ht="15" x14ac:dyDescent="0.25">
      <c r="A276" s="313" t="s">
        <v>806</v>
      </c>
    </row>
    <row r="277" spans="1:1" ht="15" x14ac:dyDescent="0.25">
      <c r="A277" s="313" t="s">
        <v>807</v>
      </c>
    </row>
    <row r="278" spans="1:1" ht="15" x14ac:dyDescent="0.25">
      <c r="A278" s="313" t="s">
        <v>808</v>
      </c>
    </row>
    <row r="279" spans="1:1" ht="15" x14ac:dyDescent="0.25">
      <c r="A279" s="313" t="s">
        <v>809</v>
      </c>
    </row>
    <row r="280" spans="1:1" ht="15" x14ac:dyDescent="0.25">
      <c r="A280" s="313" t="s">
        <v>810</v>
      </c>
    </row>
    <row r="281" spans="1:1" ht="15" x14ac:dyDescent="0.25">
      <c r="A281" s="313" t="s">
        <v>811</v>
      </c>
    </row>
    <row r="282" spans="1:1" ht="15" x14ac:dyDescent="0.25">
      <c r="A282" s="313" t="s">
        <v>812</v>
      </c>
    </row>
    <row r="283" spans="1:1" ht="15" x14ac:dyDescent="0.25">
      <c r="A283" s="313" t="s">
        <v>813</v>
      </c>
    </row>
    <row r="284" spans="1:1" ht="15" x14ac:dyDescent="0.25">
      <c r="A284" s="313" t="s">
        <v>814</v>
      </c>
    </row>
    <row r="285" spans="1:1" ht="15" x14ac:dyDescent="0.25">
      <c r="A285" s="313" t="s">
        <v>815</v>
      </c>
    </row>
    <row r="286" spans="1:1" ht="15" x14ac:dyDescent="0.25">
      <c r="A286" s="313" t="s">
        <v>816</v>
      </c>
    </row>
    <row r="287" spans="1:1" ht="15" x14ac:dyDescent="0.25">
      <c r="A287" s="313" t="s">
        <v>817</v>
      </c>
    </row>
    <row r="288" spans="1:1" ht="15" x14ac:dyDescent="0.25">
      <c r="A288" s="313" t="s">
        <v>818</v>
      </c>
    </row>
    <row r="289" spans="1:1" ht="15" x14ac:dyDescent="0.25">
      <c r="A289" s="309"/>
    </row>
    <row r="290" spans="1:1" ht="15" x14ac:dyDescent="0.25">
      <c r="A290" s="313"/>
    </row>
    <row r="291" spans="1:1" ht="15" x14ac:dyDescent="0.25">
      <c r="A291" s="313"/>
    </row>
    <row r="292" spans="1:1" ht="15" x14ac:dyDescent="0.25">
      <c r="A292" s="314"/>
    </row>
    <row r="294" spans="1:1" ht="15" x14ac:dyDescent="0.25">
      <c r="A294" s="310" t="s">
        <v>819</v>
      </c>
    </row>
    <row r="295" spans="1:1" ht="15" x14ac:dyDescent="0.25">
      <c r="A295" s="307"/>
    </row>
    <row r="296" spans="1:1" ht="15" x14ac:dyDescent="0.25">
      <c r="A296" s="309" t="s">
        <v>820</v>
      </c>
    </row>
    <row r="297" spans="1:1" ht="15" x14ac:dyDescent="0.25">
      <c r="A297" s="309" t="s">
        <v>740</v>
      </c>
    </row>
    <row r="298" spans="1:1" ht="15" x14ac:dyDescent="0.25">
      <c r="A298" s="309" t="s">
        <v>821</v>
      </c>
    </row>
    <row r="299" spans="1:1" ht="15" x14ac:dyDescent="0.25">
      <c r="A299" s="308"/>
    </row>
    <row r="301" spans="1:1" ht="15" x14ac:dyDescent="0.25">
      <c r="A301" s="310" t="s">
        <v>822</v>
      </c>
    </row>
    <row r="302" spans="1:1" ht="15" x14ac:dyDescent="0.25">
      <c r="A302" s="307"/>
    </row>
    <row r="303" spans="1:1" ht="15" x14ac:dyDescent="0.25">
      <c r="A303" s="309" t="s">
        <v>823</v>
      </c>
    </row>
    <row r="304" spans="1:1" ht="15" x14ac:dyDescent="0.25">
      <c r="A304" s="309" t="s">
        <v>824</v>
      </c>
    </row>
    <row r="305" spans="1:1" ht="15" x14ac:dyDescent="0.25">
      <c r="A305" s="309" t="s">
        <v>825</v>
      </c>
    </row>
    <row r="306" spans="1:1" ht="15" x14ac:dyDescent="0.25">
      <c r="A306" s="308"/>
    </row>
    <row r="308" spans="1:1" ht="15" x14ac:dyDescent="0.25">
      <c r="A308" s="310" t="s">
        <v>826</v>
      </c>
    </row>
    <row r="309" spans="1:1" ht="15" x14ac:dyDescent="0.25">
      <c r="A309" s="307"/>
    </row>
    <row r="310" spans="1:1" ht="15" x14ac:dyDescent="0.25">
      <c r="A310" s="309" t="s">
        <v>827</v>
      </c>
    </row>
    <row r="311" spans="1:1" ht="15" x14ac:dyDescent="0.25">
      <c r="A311" s="308" t="s">
        <v>828</v>
      </c>
    </row>
    <row r="313" spans="1:1" ht="15" x14ac:dyDescent="0.25">
      <c r="A313" s="310" t="s">
        <v>829</v>
      </c>
    </row>
    <row r="314" spans="1:1" ht="15" x14ac:dyDescent="0.25">
      <c r="A314" s="307"/>
    </row>
    <row r="315" spans="1:1" ht="15" x14ac:dyDescent="0.25">
      <c r="A315" s="309" t="s">
        <v>830</v>
      </c>
    </row>
    <row r="316" spans="1:1" ht="15" x14ac:dyDescent="0.25">
      <c r="A316" s="308" t="s">
        <v>831</v>
      </c>
    </row>
    <row r="318" spans="1:1" ht="15" x14ac:dyDescent="0.25">
      <c r="A318" s="310" t="s">
        <v>832</v>
      </c>
    </row>
    <row r="319" spans="1:1" ht="15" x14ac:dyDescent="0.25">
      <c r="A319" s="307"/>
    </row>
    <row r="320" spans="1:1" ht="15" x14ac:dyDescent="0.25">
      <c r="A320" s="309" t="s">
        <v>833</v>
      </c>
    </row>
    <row r="321" spans="1:2" ht="15" x14ac:dyDescent="0.25">
      <c r="A321" s="308" t="s">
        <v>834</v>
      </c>
    </row>
    <row r="323" spans="1:2" ht="15" x14ac:dyDescent="0.25">
      <c r="A323" s="306" t="s">
        <v>835</v>
      </c>
      <c r="B323" s="306"/>
    </row>
    <row r="324" spans="1:2" ht="15" x14ac:dyDescent="0.25">
      <c r="A324" s="315" t="s">
        <v>836</v>
      </c>
      <c r="B324" s="316">
        <v>1</v>
      </c>
    </row>
    <row r="325" spans="1:2" ht="15" x14ac:dyDescent="0.25">
      <c r="A325" s="315" t="s">
        <v>837</v>
      </c>
      <c r="B325" s="316">
        <v>0</v>
      </c>
    </row>
    <row r="326" spans="1:2" ht="15" x14ac:dyDescent="0.25">
      <c r="A326" s="315" t="s">
        <v>838</v>
      </c>
      <c r="B326" s="316">
        <v>1</v>
      </c>
    </row>
    <row r="327" spans="1:2" ht="15" x14ac:dyDescent="0.25">
      <c r="A327" s="315" t="s">
        <v>839</v>
      </c>
      <c r="B327" s="316">
        <v>0</v>
      </c>
    </row>
    <row r="328" spans="1:2" ht="15" x14ac:dyDescent="0.25">
      <c r="A328" s="315" t="s">
        <v>840</v>
      </c>
      <c r="B328" s="316">
        <v>0</v>
      </c>
    </row>
    <row r="329" spans="1:2" ht="15" x14ac:dyDescent="0.25">
      <c r="A329" s="315" t="s">
        <v>841</v>
      </c>
      <c r="B329" s="316">
        <v>1</v>
      </c>
    </row>
    <row r="330" spans="1:2" ht="15" x14ac:dyDescent="0.25">
      <c r="A330" s="315" t="s">
        <v>842</v>
      </c>
      <c r="B330" s="316">
        <v>1</v>
      </c>
    </row>
    <row r="331" spans="1:2" ht="15" x14ac:dyDescent="0.25">
      <c r="A331" s="315" t="s">
        <v>843</v>
      </c>
      <c r="B331" s="316">
        <v>1</v>
      </c>
    </row>
    <row r="332" spans="1:2" ht="15" x14ac:dyDescent="0.25">
      <c r="A332" s="315" t="s">
        <v>844</v>
      </c>
      <c r="B332" s="316">
        <v>1</v>
      </c>
    </row>
    <row r="333" spans="1:2" ht="15" x14ac:dyDescent="0.25">
      <c r="A333" s="315" t="s">
        <v>845</v>
      </c>
      <c r="B333" s="316">
        <v>1</v>
      </c>
    </row>
    <row r="334" spans="1:2" ht="15" x14ac:dyDescent="0.25">
      <c r="A334" s="315" t="s">
        <v>846</v>
      </c>
      <c r="B334" s="316">
        <v>1</v>
      </c>
    </row>
    <row r="335" spans="1:2" ht="15" x14ac:dyDescent="0.25">
      <c r="A335" s="315" t="s">
        <v>847</v>
      </c>
      <c r="B335" s="316">
        <v>0</v>
      </c>
    </row>
    <row r="336" spans="1:2" ht="15" x14ac:dyDescent="0.25">
      <c r="A336" s="315" t="s">
        <v>848</v>
      </c>
      <c r="B336" s="316">
        <v>1</v>
      </c>
    </row>
    <row r="337" spans="1:4" ht="15" x14ac:dyDescent="0.25">
      <c r="A337" s="315" t="s">
        <v>849</v>
      </c>
      <c r="B337" s="316">
        <v>0</v>
      </c>
    </row>
    <row r="338" spans="1:4" ht="15" x14ac:dyDescent="0.25">
      <c r="A338" s="315" t="s">
        <v>850</v>
      </c>
      <c r="B338" s="316">
        <v>1</v>
      </c>
    </row>
    <row r="339" spans="1:4" ht="15" x14ac:dyDescent="0.25">
      <c r="A339" s="315" t="s">
        <v>851</v>
      </c>
      <c r="B339" s="316">
        <v>1</v>
      </c>
    </row>
    <row r="340" spans="1:4" ht="15" x14ac:dyDescent="0.25">
      <c r="A340" s="315" t="s">
        <v>852</v>
      </c>
      <c r="B340" s="316">
        <v>0</v>
      </c>
    </row>
    <row r="341" spans="1:4" ht="15" x14ac:dyDescent="0.25">
      <c r="A341" s="315" t="s">
        <v>853</v>
      </c>
      <c r="B341" s="316">
        <v>1</v>
      </c>
    </row>
    <row r="342" spans="1:4" ht="15" x14ac:dyDescent="0.25">
      <c r="A342" s="315" t="s">
        <v>854</v>
      </c>
      <c r="B342" s="316">
        <v>1</v>
      </c>
    </row>
    <row r="343" spans="1:4" ht="15" x14ac:dyDescent="0.25">
      <c r="A343" s="315" t="s">
        <v>855</v>
      </c>
      <c r="B343" s="316">
        <v>0</v>
      </c>
    </row>
    <row r="345" spans="1:4" ht="15" x14ac:dyDescent="0.25">
      <c r="A345" s="310" t="s">
        <v>856</v>
      </c>
    </row>
    <row r="346" spans="1:4" ht="15" x14ac:dyDescent="0.25">
      <c r="A346" s="307"/>
    </row>
    <row r="347" spans="1:4" ht="15" x14ac:dyDescent="0.25">
      <c r="A347" s="309" t="s">
        <v>857</v>
      </c>
    </row>
    <row r="348" spans="1:4" ht="15" x14ac:dyDescent="0.25">
      <c r="A348" s="309" t="s">
        <v>858</v>
      </c>
    </row>
    <row r="349" spans="1:4" ht="15" x14ac:dyDescent="0.25">
      <c r="A349" s="309" t="s">
        <v>859</v>
      </c>
    </row>
    <row r="350" spans="1:4" ht="15" x14ac:dyDescent="0.25">
      <c r="A350" s="308" t="s">
        <v>860</v>
      </c>
    </row>
    <row r="352" spans="1:4" ht="15" x14ac:dyDescent="0.25">
      <c r="A352" s="306" t="s">
        <v>244</v>
      </c>
      <c r="B352" s="317" t="s">
        <v>41</v>
      </c>
      <c r="C352" s="306" t="s">
        <v>184</v>
      </c>
      <c r="D352" s="317" t="s">
        <v>245</v>
      </c>
    </row>
    <row r="353" spans="1:4" ht="15" x14ac:dyDescent="0.25">
      <c r="A353" s="305">
        <v>1.5</v>
      </c>
      <c r="B353" s="305" t="s">
        <v>43</v>
      </c>
      <c r="C353" s="305" t="s">
        <v>43</v>
      </c>
      <c r="D353" s="316">
        <v>0.1</v>
      </c>
    </row>
    <row r="354" spans="1:4" ht="15" x14ac:dyDescent="0.25">
      <c r="A354" s="305">
        <v>2.4</v>
      </c>
      <c r="B354" s="305" t="s">
        <v>386</v>
      </c>
      <c r="C354" s="305" t="s">
        <v>45</v>
      </c>
      <c r="D354" s="316">
        <v>0.12</v>
      </c>
    </row>
    <row r="355" spans="1:4" ht="15" x14ac:dyDescent="0.25">
      <c r="A355" s="305">
        <v>3</v>
      </c>
      <c r="B355" s="305" t="s">
        <v>45</v>
      </c>
      <c r="C355" s="305" t="s">
        <v>46</v>
      </c>
      <c r="D355" s="316">
        <v>0.15</v>
      </c>
    </row>
    <row r="356" spans="1:4" ht="15" x14ac:dyDescent="0.25">
      <c r="A356" s="305">
        <v>3.6</v>
      </c>
      <c r="B356" s="305" t="s">
        <v>46</v>
      </c>
      <c r="C356" s="305" t="s">
        <v>32</v>
      </c>
      <c r="D356" s="316">
        <v>0.18</v>
      </c>
    </row>
    <row r="357" spans="1:4" ht="15" x14ac:dyDescent="0.25">
      <c r="A357" s="305">
        <v>4.4000000000000004</v>
      </c>
      <c r="B357" s="316" t="s">
        <v>32</v>
      </c>
      <c r="C357" s="305" t="s">
        <v>32</v>
      </c>
      <c r="D357" s="316">
        <v>0.25</v>
      </c>
    </row>
    <row r="359" spans="1:4" ht="15" x14ac:dyDescent="0.25">
      <c r="A359" s="310" t="s">
        <v>33</v>
      </c>
    </row>
    <row r="360" spans="1:4" ht="15" x14ac:dyDescent="0.25">
      <c r="A360" s="307"/>
    </row>
    <row r="361" spans="1:4" ht="15" x14ac:dyDescent="0.25">
      <c r="A361" s="309" t="s">
        <v>42</v>
      </c>
    </row>
    <row r="362" spans="1:4" ht="15" x14ac:dyDescent="0.25">
      <c r="A362" s="309" t="s">
        <v>43</v>
      </c>
    </row>
    <row r="363" spans="1:4" ht="15" x14ac:dyDescent="0.25">
      <c r="A363" s="309" t="s">
        <v>44</v>
      </c>
    </row>
    <row r="364" spans="1:4" ht="15" x14ac:dyDescent="0.25">
      <c r="A364" s="309" t="s">
        <v>386</v>
      </c>
    </row>
    <row r="365" spans="1:4" ht="15" x14ac:dyDescent="0.25">
      <c r="A365" s="309" t="s">
        <v>45</v>
      </c>
    </row>
    <row r="366" spans="1:4" ht="15" x14ac:dyDescent="0.25">
      <c r="A366" s="309" t="s">
        <v>46</v>
      </c>
    </row>
    <row r="367" spans="1:4" ht="15" x14ac:dyDescent="0.25">
      <c r="A367" s="309" t="s">
        <v>47</v>
      </c>
    </row>
    <row r="368" spans="1:4" ht="15" x14ac:dyDescent="0.25">
      <c r="A368" s="309" t="s">
        <v>48</v>
      </c>
    </row>
    <row r="369" spans="1:1" ht="15" x14ac:dyDescent="0.25">
      <c r="A369" s="309" t="s">
        <v>32</v>
      </c>
    </row>
    <row r="370" spans="1:1" ht="15" x14ac:dyDescent="0.25">
      <c r="A370" s="309" t="s">
        <v>49</v>
      </c>
    </row>
    <row r="371" spans="1:1" ht="15" x14ac:dyDescent="0.25">
      <c r="A371" s="309" t="s">
        <v>50</v>
      </c>
    </row>
    <row r="372" spans="1:1" ht="15" x14ac:dyDescent="0.25">
      <c r="A372" s="309" t="s">
        <v>51</v>
      </c>
    </row>
    <row r="373" spans="1:1" ht="15" x14ac:dyDescent="0.25">
      <c r="A373" s="309" t="s">
        <v>52</v>
      </c>
    </row>
    <row r="374" spans="1:1" ht="15" x14ac:dyDescent="0.25">
      <c r="A374" s="309" t="s">
        <v>53</v>
      </c>
    </row>
    <row r="375" spans="1:1" ht="15" x14ac:dyDescent="0.25">
      <c r="A375" s="309" t="s">
        <v>54</v>
      </c>
    </row>
    <row r="376" spans="1:1" ht="15" x14ac:dyDescent="0.25">
      <c r="A376" s="308" t="s">
        <v>412</v>
      </c>
    </row>
    <row r="378" spans="1:1" ht="15" x14ac:dyDescent="0.25">
      <c r="A378" s="306" t="s">
        <v>861</v>
      </c>
    </row>
    <row r="379" spans="1:1" ht="15" x14ac:dyDescent="0.25">
      <c r="A379" s="305"/>
    </row>
    <row r="380" spans="1:1" ht="15" x14ac:dyDescent="0.25">
      <c r="A380" s="305" t="s">
        <v>862</v>
      </c>
    </row>
    <row r="381" spans="1:1" ht="15" x14ac:dyDescent="0.25">
      <c r="A381" s="305" t="s">
        <v>672</v>
      </c>
    </row>
    <row r="382" spans="1:1" ht="15" x14ac:dyDescent="0.25">
      <c r="A382" s="305" t="s">
        <v>159</v>
      </c>
    </row>
    <row r="384" spans="1:1" ht="15" x14ac:dyDescent="0.25">
      <c r="A384" s="306" t="s">
        <v>863</v>
      </c>
    </row>
    <row r="385" spans="1:5" ht="15" x14ac:dyDescent="0.25">
      <c r="A385" s="305"/>
      <c r="B385" s="305"/>
    </row>
    <row r="386" spans="1:5" ht="15" x14ac:dyDescent="0.25">
      <c r="A386" s="305" t="s">
        <v>864</v>
      </c>
      <c r="B386" s="305">
        <v>503584</v>
      </c>
    </row>
    <row r="387" spans="1:5" ht="15" x14ac:dyDescent="0.25">
      <c r="A387" s="305" t="s">
        <v>865</v>
      </c>
      <c r="B387" s="305">
        <v>503584</v>
      </c>
    </row>
    <row r="388" spans="1:5" ht="15" x14ac:dyDescent="0.25">
      <c r="A388" s="305" t="s">
        <v>866</v>
      </c>
      <c r="B388" s="305">
        <v>52043</v>
      </c>
    </row>
    <row r="389" spans="1:5" ht="15" x14ac:dyDescent="0.25">
      <c r="A389" s="305" t="s">
        <v>867</v>
      </c>
      <c r="B389" s="305">
        <v>4389</v>
      </c>
    </row>
    <row r="390" spans="1:5" ht="15" x14ac:dyDescent="0.25">
      <c r="A390" s="305" t="s">
        <v>1489</v>
      </c>
      <c r="B390" s="305">
        <v>11147000</v>
      </c>
    </row>
    <row r="391" spans="1:5" ht="15" x14ac:dyDescent="0.25">
      <c r="A391" s="305" t="s">
        <v>1342</v>
      </c>
      <c r="B391" s="305">
        <v>52391</v>
      </c>
    </row>
    <row r="392" spans="1:5" ht="15" x14ac:dyDescent="0.25">
      <c r="A392" s="305" t="s">
        <v>869</v>
      </c>
      <c r="B392" s="305">
        <v>52453</v>
      </c>
    </row>
    <row r="394" spans="1:5" ht="15" x14ac:dyDescent="0.25">
      <c r="A394" s="306" t="s">
        <v>870</v>
      </c>
      <c r="B394" s="306" t="s">
        <v>1595</v>
      </c>
    </row>
    <row r="395" spans="1:5" ht="15" x14ac:dyDescent="0.25">
      <c r="A395" s="305"/>
      <c r="B395" s="305"/>
    </row>
    <row r="396" spans="1:5" ht="15" x14ac:dyDescent="0.25">
      <c r="A396" s="305" t="s">
        <v>551</v>
      </c>
      <c r="B396" s="305" t="s">
        <v>551</v>
      </c>
    </row>
    <row r="397" spans="1:5" ht="15" x14ac:dyDescent="0.25">
      <c r="A397" s="305" t="s">
        <v>871</v>
      </c>
      <c r="B397" s="305" t="s">
        <v>3141</v>
      </c>
    </row>
    <row r="398" spans="1:5" ht="15" x14ac:dyDescent="0.25">
      <c r="B398" s="305" t="s">
        <v>3143</v>
      </c>
    </row>
    <row r="400" spans="1:5" ht="15" x14ac:dyDescent="0.25">
      <c r="A400" s="306" t="s">
        <v>650</v>
      </c>
      <c r="B400" s="306" t="s">
        <v>34</v>
      </c>
      <c r="C400" s="306" t="s">
        <v>136</v>
      </c>
      <c r="D400" s="306" t="s">
        <v>651</v>
      </c>
      <c r="E400" s="306" t="s">
        <v>652</v>
      </c>
    </row>
    <row r="401" spans="1:5" ht="15" x14ac:dyDescent="0.25">
      <c r="A401" s="305" t="s">
        <v>644</v>
      </c>
      <c r="B401" s="305">
        <v>4200</v>
      </c>
      <c r="C401" s="305">
        <v>230</v>
      </c>
      <c r="D401" s="305">
        <v>205</v>
      </c>
      <c r="E401" s="305">
        <v>5</v>
      </c>
    </row>
    <row r="402" spans="1:5" ht="15" x14ac:dyDescent="0.25">
      <c r="A402" s="305" t="s">
        <v>645</v>
      </c>
      <c r="B402" s="305">
        <v>4200</v>
      </c>
      <c r="C402" s="305">
        <v>230</v>
      </c>
      <c r="D402" s="305">
        <v>205</v>
      </c>
      <c r="E402" s="305">
        <v>5</v>
      </c>
    </row>
    <row r="403" spans="1:5" ht="15" x14ac:dyDescent="0.25">
      <c r="A403" s="305" t="s">
        <v>646</v>
      </c>
      <c r="B403" s="305">
        <v>4200</v>
      </c>
      <c r="C403" s="305">
        <v>175</v>
      </c>
      <c r="D403" s="305">
        <v>150</v>
      </c>
      <c r="E403" s="305">
        <v>7</v>
      </c>
    </row>
    <row r="404" spans="1:5" ht="15" x14ac:dyDescent="0.25">
      <c r="A404" s="305" t="s">
        <v>647</v>
      </c>
      <c r="B404" s="305">
        <v>4200</v>
      </c>
      <c r="C404" s="305">
        <v>175</v>
      </c>
      <c r="D404" s="305">
        <v>150</v>
      </c>
      <c r="E404" s="305">
        <v>7</v>
      </c>
    </row>
    <row r="405" spans="1:5" ht="15" x14ac:dyDescent="0.25">
      <c r="A405" s="305" t="s">
        <v>648</v>
      </c>
      <c r="B405" s="305">
        <v>4200</v>
      </c>
      <c r="C405" s="305">
        <v>205</v>
      </c>
      <c r="D405" s="305">
        <v>180</v>
      </c>
      <c r="E405" s="305">
        <v>6</v>
      </c>
    </row>
    <row r="406" spans="1:5" ht="15" x14ac:dyDescent="0.25">
      <c r="A406" s="305" t="s">
        <v>649</v>
      </c>
      <c r="B406" s="305">
        <v>4200</v>
      </c>
      <c r="C406" s="305">
        <v>205</v>
      </c>
      <c r="D406" s="305">
        <v>180</v>
      </c>
      <c r="E406" s="305">
        <v>6</v>
      </c>
    </row>
    <row r="407" spans="1:5" ht="15" x14ac:dyDescent="0.25">
      <c r="A407" s="305" t="s">
        <v>240</v>
      </c>
      <c r="B407" s="305">
        <v>1000</v>
      </c>
      <c r="C407" s="305">
        <v>86</v>
      </c>
      <c r="D407" s="305">
        <v>86</v>
      </c>
      <c r="E407" s="305"/>
    </row>
    <row r="408" spans="1:5" ht="15" x14ac:dyDescent="0.25">
      <c r="A408" s="305" t="s">
        <v>1572</v>
      </c>
      <c r="B408" s="305">
        <v>4200</v>
      </c>
      <c r="C408" s="305">
        <v>300</v>
      </c>
      <c r="D408" s="305">
        <v>276</v>
      </c>
      <c r="E408" s="305">
        <v>4</v>
      </c>
    </row>
    <row r="409" spans="1:5" ht="15" x14ac:dyDescent="0.25">
      <c r="A409" s="305" t="s">
        <v>3573</v>
      </c>
      <c r="B409" s="305">
        <v>4200</v>
      </c>
      <c r="C409" s="305">
        <v>300</v>
      </c>
      <c r="D409" s="305">
        <v>278</v>
      </c>
      <c r="E409" s="305">
        <v>3.6</v>
      </c>
    </row>
    <row r="411" spans="1:5" ht="15" x14ac:dyDescent="0.25">
      <c r="A411" s="306" t="s">
        <v>57</v>
      </c>
      <c r="B411" s="306" t="s">
        <v>995</v>
      </c>
    </row>
    <row r="412" spans="1:5" ht="15" x14ac:dyDescent="0.25">
      <c r="A412" s="305" t="s">
        <v>403</v>
      </c>
      <c r="B412" s="305">
        <v>6230</v>
      </c>
    </row>
    <row r="413" spans="1:5" ht="15" x14ac:dyDescent="0.25">
      <c r="A413" s="305" t="s">
        <v>577</v>
      </c>
      <c r="B413" s="305">
        <v>6280</v>
      </c>
    </row>
    <row r="414" spans="1:5" ht="15" x14ac:dyDescent="0.25">
      <c r="A414" s="305" t="s">
        <v>996</v>
      </c>
      <c r="B414" s="305">
        <v>6280</v>
      </c>
    </row>
    <row r="415" spans="1:5" ht="15" x14ac:dyDescent="0.25">
      <c r="A415" s="305"/>
      <c r="B415" s="305"/>
    </row>
    <row r="416" spans="1:5" ht="15" x14ac:dyDescent="0.25">
      <c r="A416" s="305"/>
      <c r="B416" s="305"/>
    </row>
    <row r="417" spans="1:2" ht="15" x14ac:dyDescent="0.25">
      <c r="A417" s="305"/>
      <c r="B417" s="305"/>
    </row>
    <row r="418" spans="1:2" ht="15" x14ac:dyDescent="0.25">
      <c r="A418" s="305"/>
      <c r="B418" s="305"/>
    </row>
    <row r="420" spans="1:2" ht="15" x14ac:dyDescent="0.25">
      <c r="A420" s="306" t="s">
        <v>3844</v>
      </c>
    </row>
    <row r="421" spans="1:2" ht="15" x14ac:dyDescent="0.25">
      <c r="A421" s="307" t="s">
        <v>3845</v>
      </c>
    </row>
    <row r="422" spans="1:2" ht="15" x14ac:dyDescent="0.25">
      <c r="A422" s="309" t="s">
        <v>1645</v>
      </c>
    </row>
    <row r="423" spans="1:2" ht="15" x14ac:dyDescent="0.25">
      <c r="A423" s="309" t="s">
        <v>1034</v>
      </c>
    </row>
    <row r="424" spans="1:2" ht="15" x14ac:dyDescent="0.25">
      <c r="A424" s="309" t="s">
        <v>3846</v>
      </c>
    </row>
    <row r="425" spans="1:2" ht="15" x14ac:dyDescent="0.25">
      <c r="A425" s="309" t="s">
        <v>3847</v>
      </c>
    </row>
    <row r="426" spans="1:2" ht="15" x14ac:dyDescent="0.25">
      <c r="A426" s="309" t="s">
        <v>1035</v>
      </c>
    </row>
    <row r="427" spans="1:2" ht="15" x14ac:dyDescent="0.25">
      <c r="A427" s="309" t="s">
        <v>3848</v>
      </c>
    </row>
    <row r="428" spans="1:2" ht="15" x14ac:dyDescent="0.25">
      <c r="A428" s="308" t="s">
        <v>3849</v>
      </c>
    </row>
    <row r="430" spans="1:2" ht="15" x14ac:dyDescent="0.25">
      <c r="A430" s="310" t="s">
        <v>1110</v>
      </c>
    </row>
    <row r="431" spans="1:2" ht="15" x14ac:dyDescent="0.25">
      <c r="A431" s="307"/>
    </row>
    <row r="432" spans="1:2" ht="15" x14ac:dyDescent="0.25">
      <c r="A432" s="309" t="s">
        <v>1105</v>
      </c>
    </row>
    <row r="433" spans="1:4" ht="15" x14ac:dyDescent="0.25">
      <c r="A433" s="309" t="s">
        <v>1072</v>
      </c>
    </row>
    <row r="434" spans="1:4" ht="15" x14ac:dyDescent="0.25">
      <c r="A434" s="309" t="s">
        <v>1111</v>
      </c>
    </row>
    <row r="435" spans="1:4" ht="15" x14ac:dyDescent="0.25">
      <c r="A435" s="308"/>
    </row>
    <row r="437" spans="1:4" ht="15" x14ac:dyDescent="0.25">
      <c r="A437" s="310" t="s">
        <v>1506</v>
      </c>
      <c r="B437" s="310" t="s">
        <v>577</v>
      </c>
      <c r="C437" s="310" t="s">
        <v>403</v>
      </c>
      <c r="D437" s="310" t="s">
        <v>1147</v>
      </c>
    </row>
    <row r="438" spans="1:4" ht="15" x14ac:dyDescent="0.25">
      <c r="A438" s="307"/>
      <c r="B438" s="307"/>
      <c r="C438" s="307"/>
      <c r="D438" s="307"/>
    </row>
    <row r="439" spans="1:4" ht="15" x14ac:dyDescent="0.25">
      <c r="A439" s="309" t="s">
        <v>1148</v>
      </c>
      <c r="B439" s="309">
        <v>284.60000000000002</v>
      </c>
      <c r="C439" s="309">
        <v>284.60000000000002</v>
      </c>
      <c r="D439" s="309">
        <v>295.60000000000002</v>
      </c>
    </row>
    <row r="440" spans="1:4" ht="15" x14ac:dyDescent="0.25">
      <c r="A440" s="309" t="s">
        <v>1149</v>
      </c>
      <c r="B440" s="309">
        <v>284.60000000000002</v>
      </c>
      <c r="C440" s="309">
        <v>284.60000000000002</v>
      </c>
      <c r="D440" s="309">
        <v>295.60000000000002</v>
      </c>
    </row>
    <row r="441" spans="1:4" ht="15" x14ac:dyDescent="0.25">
      <c r="A441" s="309" t="s">
        <v>1150</v>
      </c>
      <c r="B441" s="309">
        <v>284.60000000000002</v>
      </c>
      <c r="C441" s="309">
        <v>284.60000000000002</v>
      </c>
      <c r="D441" s="309">
        <v>295.60000000000002</v>
      </c>
    </row>
    <row r="442" spans="1:4" ht="15" x14ac:dyDescent="0.25">
      <c r="A442" s="309" t="s">
        <v>1151</v>
      </c>
      <c r="B442" s="309">
        <v>334.1</v>
      </c>
      <c r="C442" s="309">
        <v>334.1</v>
      </c>
      <c r="D442" s="309">
        <v>345.1</v>
      </c>
    </row>
    <row r="443" spans="1:4" ht="15" x14ac:dyDescent="0.25">
      <c r="A443" s="309" t="s">
        <v>1152</v>
      </c>
      <c r="B443" s="309">
        <v>336.85</v>
      </c>
      <c r="C443" s="309">
        <v>336.85</v>
      </c>
      <c r="D443" s="309">
        <v>347.86</v>
      </c>
    </row>
    <row r="444" spans="1:4" ht="15" x14ac:dyDescent="0.25">
      <c r="A444" s="309" t="s">
        <v>1153</v>
      </c>
      <c r="B444" s="309">
        <v>334.1</v>
      </c>
      <c r="C444" s="309">
        <v>334.1</v>
      </c>
      <c r="D444" s="309">
        <v>345.1</v>
      </c>
    </row>
    <row r="445" spans="1:4" ht="15" x14ac:dyDescent="0.25">
      <c r="A445" s="309" t="s">
        <v>1154</v>
      </c>
      <c r="B445" s="309">
        <v>353.35</v>
      </c>
      <c r="C445" s="309">
        <v>353.35</v>
      </c>
      <c r="D445" s="309">
        <v>375.35</v>
      </c>
    </row>
    <row r="446" spans="1:4" ht="15" x14ac:dyDescent="0.25">
      <c r="A446" s="309" t="s">
        <v>1155</v>
      </c>
      <c r="B446" s="309">
        <v>353.35</v>
      </c>
      <c r="C446" s="309">
        <v>353.35</v>
      </c>
      <c r="D446" s="309">
        <v>375.35</v>
      </c>
    </row>
    <row r="447" spans="1:4" ht="15" x14ac:dyDescent="0.25">
      <c r="A447" s="309" t="s">
        <v>1157</v>
      </c>
      <c r="B447" s="309">
        <v>389.1</v>
      </c>
      <c r="C447" s="309">
        <v>389.1</v>
      </c>
      <c r="D447" s="309">
        <v>400.1</v>
      </c>
    </row>
    <row r="448" spans="1:4" ht="15" x14ac:dyDescent="0.25">
      <c r="A448" s="309" t="s">
        <v>1156</v>
      </c>
      <c r="B448" s="309">
        <v>405.6</v>
      </c>
      <c r="C448" s="309">
        <v>405.6</v>
      </c>
      <c r="D448" s="309">
        <v>416.6</v>
      </c>
    </row>
    <row r="449" spans="1:16" ht="15" x14ac:dyDescent="0.25">
      <c r="A449" s="309" t="s">
        <v>1187</v>
      </c>
      <c r="B449" s="309">
        <v>408.35</v>
      </c>
      <c r="C449" s="309">
        <v>408.35</v>
      </c>
      <c r="D449" s="309">
        <v>430.35</v>
      </c>
    </row>
    <row r="450" spans="1:16" ht="15" x14ac:dyDescent="0.25">
      <c r="A450" s="309" t="s">
        <v>1158</v>
      </c>
      <c r="B450" s="309">
        <v>427.66</v>
      </c>
      <c r="C450" s="309">
        <v>427.66</v>
      </c>
      <c r="D450" s="309">
        <v>438.66</v>
      </c>
    </row>
    <row r="451" spans="1:16" ht="15" x14ac:dyDescent="0.25">
      <c r="A451" s="309" t="s">
        <v>1159</v>
      </c>
      <c r="B451" s="309">
        <v>427.6</v>
      </c>
      <c r="C451" s="309">
        <v>427.6</v>
      </c>
      <c r="D451" s="309">
        <v>449.6</v>
      </c>
    </row>
    <row r="452" spans="1:16" ht="15" x14ac:dyDescent="0.25">
      <c r="A452" s="309" t="s">
        <v>1160</v>
      </c>
      <c r="B452" s="309">
        <v>446.85</v>
      </c>
      <c r="C452" s="309">
        <v>446.85</v>
      </c>
      <c r="D452" s="309">
        <v>468.85</v>
      </c>
    </row>
    <row r="453" spans="1:16" ht="15" x14ac:dyDescent="0.25">
      <c r="A453" s="309" t="s">
        <v>1161</v>
      </c>
      <c r="B453" s="309">
        <v>273.60000000000002</v>
      </c>
      <c r="C453" s="309">
        <v>273.60000000000002</v>
      </c>
      <c r="D453" s="309">
        <v>284.60000000000002</v>
      </c>
    </row>
    <row r="454" spans="1:16" ht="15" x14ac:dyDescent="0.25">
      <c r="A454" s="309" t="s">
        <v>1162</v>
      </c>
      <c r="B454" s="309">
        <v>302.75</v>
      </c>
      <c r="C454" s="309">
        <v>302.75</v>
      </c>
      <c r="D454" s="309">
        <v>324.75</v>
      </c>
    </row>
    <row r="455" spans="1:16" ht="15" x14ac:dyDescent="0.25">
      <c r="A455" s="308" t="s">
        <v>1163</v>
      </c>
      <c r="B455" s="308">
        <v>336.85</v>
      </c>
      <c r="C455" s="308">
        <v>336.85</v>
      </c>
      <c r="D455" s="308">
        <v>358.85</v>
      </c>
    </row>
    <row r="456" spans="1:16" ht="15.75" thickBot="1" x14ac:dyDescent="0.3">
      <c r="A456" s="306" t="s">
        <v>1482</v>
      </c>
      <c r="E456" s="282" t="s">
        <v>1536</v>
      </c>
    </row>
    <row r="457" spans="1:16" ht="15.75" thickBot="1" x14ac:dyDescent="0.3">
      <c r="A457" s="306" t="s">
        <v>136</v>
      </c>
      <c r="B457" s="306" t="s">
        <v>99</v>
      </c>
      <c r="E457" s="1397" t="s">
        <v>99</v>
      </c>
      <c r="F457" s="1398"/>
      <c r="G457" s="1398"/>
      <c r="H457" s="1398"/>
      <c r="I457" s="1398"/>
      <c r="J457" s="1398"/>
      <c r="K457" s="1398"/>
      <c r="L457" s="1398"/>
      <c r="M457" s="1398"/>
      <c r="N457" s="1398"/>
      <c r="O457" s="1398"/>
      <c r="P457" s="1399"/>
    </row>
    <row r="458" spans="1:16" ht="15" x14ac:dyDescent="0.25">
      <c r="A458" s="305" t="str">
        <f>IF(SUMIF(Name,"Garage Door Main",Height)&gt;0,SUMIF(Name,"Garage Door Main",Height)*86,"")</f>
        <v/>
      </c>
      <c r="B458" s="305" t="str">
        <f>IF(SUMIF(Name,"Garage Door Main",Length)&gt;0,SUMIF(Name,"Garage Door Main",Length)*1000+70,"")</f>
        <v/>
      </c>
      <c r="E458" s="1400" t="s">
        <v>136</v>
      </c>
      <c r="F458" s="680"/>
      <c r="G458" s="681">
        <v>2450</v>
      </c>
      <c r="H458" s="681">
        <v>3000</v>
      </c>
      <c r="I458" s="681">
        <v>3500</v>
      </c>
      <c r="J458" s="681">
        <v>4300</v>
      </c>
      <c r="K458" s="681">
        <v>4800</v>
      </c>
      <c r="L458" s="681">
        <v>4880</v>
      </c>
      <c r="M458" s="681">
        <v>5150</v>
      </c>
      <c r="N458" s="681">
        <v>5565</v>
      </c>
      <c r="O458" s="681">
        <v>5960</v>
      </c>
      <c r="P458" s="682">
        <v>6200</v>
      </c>
    </row>
    <row r="459" spans="1:16" ht="15" x14ac:dyDescent="0.25">
      <c r="A459"/>
      <c r="B459"/>
      <c r="E459" s="1401"/>
      <c r="F459" s="683">
        <v>2180</v>
      </c>
      <c r="G459" s="684">
        <v>633</v>
      </c>
      <c r="H459" s="684">
        <v>666</v>
      </c>
      <c r="I459" s="684">
        <v>783</v>
      </c>
      <c r="J459" s="684">
        <v>843</v>
      </c>
      <c r="K459" s="684">
        <v>860</v>
      </c>
      <c r="L459" s="684">
        <v>800</v>
      </c>
      <c r="M459" s="684">
        <v>800</v>
      </c>
      <c r="N459" s="684">
        <v>800</v>
      </c>
      <c r="O459" s="684">
        <v>1287</v>
      </c>
      <c r="P459" s="685">
        <v>1350</v>
      </c>
    </row>
    <row r="460" spans="1:16" ht="15" x14ac:dyDescent="0.25">
      <c r="A460" s="306" t="s">
        <v>661</v>
      </c>
      <c r="B460" s="684" t="str">
        <f>IFERROR(INDEX(F458:P464,IF(AND(A458&lt;F464,A458&gt;=F463),7,IF(AND(A458&lt;F463,A458&gt;=F462),6,IF(AND(A458&lt;F462,A458&gt;=F461),5,IF(AND(A458&lt;F461,A458&gt;=F460),4,IF(AND(A458&lt;F460,A458&gt;=F459),3,IF(AND(A458&lt;F459,A458&gt;=F458),2)))))),IF(AND(B458&lt;G458,B458&gt;=F458),2,IF(AND(B458&lt;H458,B458&gt;=G458),3,IF(AND(B458&lt;I458,B458&gt;=H458),4,IF(AND(B458&lt;J458,B458&gt;=I458),5,IF(AND(B458&lt;K458,B458&gt;=J458),6,IF(AND(B458&lt;L458,B458&gt;=K458),7,IF(AND(B458&lt;M458,B458&gt;=L458),8,IF(AND(B458&lt;N458,B458&gt;=M458),9,IF(AND(B458&lt;O458,B458&gt;=N458),10,IF(AND(B458&lt;=P458,B458&gt;=O458),11)))))))))))+68,"")</f>
        <v/>
      </c>
      <c r="C460"/>
      <c r="E460" s="1401"/>
      <c r="F460" s="683">
        <v>2285</v>
      </c>
      <c r="G460" s="684">
        <v>649</v>
      </c>
      <c r="H460" s="684">
        <v>680</v>
      </c>
      <c r="I460" s="684">
        <v>796</v>
      </c>
      <c r="J460" s="684">
        <v>843</v>
      </c>
      <c r="K460" s="684">
        <v>860</v>
      </c>
      <c r="L460" s="684">
        <v>800</v>
      </c>
      <c r="M460" s="684">
        <v>800</v>
      </c>
      <c r="N460" s="684">
        <v>800</v>
      </c>
      <c r="O460" s="684">
        <v>1306</v>
      </c>
      <c r="P460" s="685">
        <v>1368</v>
      </c>
    </row>
    <row r="461" spans="1:16" ht="15" x14ac:dyDescent="0.25">
      <c r="E461" s="1401"/>
      <c r="F461" s="683">
        <v>2380</v>
      </c>
      <c r="G461" s="684">
        <v>659</v>
      </c>
      <c r="H461" s="684">
        <v>695</v>
      </c>
      <c r="I461" s="684">
        <v>813</v>
      </c>
      <c r="J461" s="684">
        <v>906</v>
      </c>
      <c r="K461" s="684">
        <v>966</v>
      </c>
      <c r="L461" s="684">
        <v>800</v>
      </c>
      <c r="M461" s="684">
        <v>800</v>
      </c>
      <c r="N461" s="684">
        <v>800</v>
      </c>
      <c r="O461" s="684">
        <v>1334</v>
      </c>
      <c r="P461" s="685">
        <v>1399</v>
      </c>
    </row>
    <row r="462" spans="1:16" ht="15" x14ac:dyDescent="0.25">
      <c r="E462" s="1401"/>
      <c r="F462" s="683">
        <v>2730</v>
      </c>
      <c r="G462" s="684">
        <v>742</v>
      </c>
      <c r="H462" s="684">
        <v>781</v>
      </c>
      <c r="I462" s="684">
        <v>906</v>
      </c>
      <c r="J462" s="684">
        <v>933</v>
      </c>
      <c r="K462" s="684">
        <v>1085</v>
      </c>
      <c r="L462" s="684">
        <v>1108</v>
      </c>
      <c r="M462" s="684">
        <v>1129</v>
      </c>
      <c r="N462" s="684">
        <v>1224</v>
      </c>
      <c r="O462" s="684">
        <v>1519</v>
      </c>
      <c r="P462" s="685">
        <v>1587</v>
      </c>
    </row>
    <row r="463" spans="1:16" ht="15" x14ac:dyDescent="0.25">
      <c r="E463" s="1401"/>
      <c r="F463" s="683">
        <v>2955</v>
      </c>
      <c r="G463" s="684">
        <v>760</v>
      </c>
      <c r="H463" s="684">
        <v>804</v>
      </c>
      <c r="I463" s="684">
        <v>934</v>
      </c>
      <c r="J463" s="684">
        <v>1018</v>
      </c>
      <c r="K463" s="684">
        <v>1143</v>
      </c>
      <c r="L463" s="684">
        <v>1158</v>
      </c>
      <c r="M463" s="684">
        <v>1167</v>
      </c>
      <c r="N463" s="684">
        <v>1266</v>
      </c>
      <c r="O463" s="684">
        <v>1563</v>
      </c>
      <c r="P463" s="685">
        <v>1631</v>
      </c>
    </row>
    <row r="464" spans="1:16" ht="15.75" thickBot="1" x14ac:dyDescent="0.3">
      <c r="E464" s="1402"/>
      <c r="F464" s="686">
        <v>3170</v>
      </c>
      <c r="G464" s="687">
        <v>807</v>
      </c>
      <c r="H464" s="687">
        <v>850</v>
      </c>
      <c r="I464" s="687">
        <v>1011</v>
      </c>
      <c r="J464" s="687">
        <v>1125</v>
      </c>
      <c r="K464" s="687">
        <v>1265</v>
      </c>
      <c r="L464" s="687">
        <v>1298</v>
      </c>
      <c r="M464" s="687">
        <v>1357</v>
      </c>
      <c r="N464" s="687">
        <v>1454</v>
      </c>
      <c r="O464" s="687">
        <v>1684</v>
      </c>
      <c r="P464" s="688">
        <v>1765</v>
      </c>
    </row>
    <row r="466" spans="1:5" ht="15" x14ac:dyDescent="0.25">
      <c r="A466" s="1394" t="s">
        <v>2602</v>
      </c>
      <c r="B466" s="1395"/>
      <c r="C466" s="1395"/>
      <c r="D466" s="1395"/>
      <c r="E466" s="1396"/>
    </row>
    <row r="467" spans="1:5" ht="30" customHeight="1" x14ac:dyDescent="0.2">
      <c r="A467" s="1118" t="s">
        <v>2607</v>
      </c>
      <c r="B467" s="1119" t="s">
        <v>2603</v>
      </c>
      <c r="C467" s="1120" t="s">
        <v>2601</v>
      </c>
      <c r="D467" s="1121" t="s">
        <v>2609</v>
      </c>
      <c r="E467" s="1121" t="s">
        <v>3806</v>
      </c>
    </row>
    <row r="468" spans="1:5" ht="15" x14ac:dyDescent="0.25">
      <c r="A468" s="305" t="s">
        <v>1920</v>
      </c>
      <c r="B468" s="305" t="s">
        <v>1799</v>
      </c>
      <c r="C468" s="305" t="s">
        <v>1147</v>
      </c>
      <c r="D468" s="305" t="s">
        <v>1487</v>
      </c>
      <c r="E468" s="305" t="s">
        <v>1796</v>
      </c>
    </row>
    <row r="469" spans="1:5" ht="15" x14ac:dyDescent="0.25">
      <c r="A469" s="305" t="s">
        <v>1921</v>
      </c>
      <c r="B469" s="305" t="s">
        <v>2604</v>
      </c>
      <c r="C469" s="305" t="s">
        <v>1931</v>
      </c>
      <c r="D469" s="305" t="s">
        <v>1795</v>
      </c>
      <c r="E469" s="305" t="s">
        <v>1795</v>
      </c>
    </row>
    <row r="470" spans="1:5" ht="15" x14ac:dyDescent="0.25">
      <c r="A470" s="305" t="s">
        <v>1922</v>
      </c>
      <c r="B470" s="305" t="s">
        <v>2605</v>
      </c>
      <c r="D470" s="305" t="s">
        <v>2611</v>
      </c>
    </row>
    <row r="471" spans="1:5" ht="15" x14ac:dyDescent="0.25">
      <c r="A471" s="305" t="s">
        <v>1923</v>
      </c>
      <c r="B471" s="305" t="s">
        <v>2606</v>
      </c>
      <c r="D471" s="305" t="s">
        <v>2610</v>
      </c>
    </row>
    <row r="472" spans="1:5" ht="15" x14ac:dyDescent="0.25">
      <c r="A472" s="305" t="s">
        <v>577</v>
      </c>
      <c r="B472" s="305" t="s">
        <v>1798</v>
      </c>
      <c r="D472" s="305" t="s">
        <v>1930</v>
      </c>
    </row>
    <row r="473" spans="1:5" ht="15" x14ac:dyDescent="0.25">
      <c r="A473" s="305" t="s">
        <v>1924</v>
      </c>
    </row>
    <row r="474" spans="1:5" ht="15" x14ac:dyDescent="0.25">
      <c r="A474" s="305" t="s">
        <v>2402</v>
      </c>
    </row>
    <row r="475" spans="1:5" ht="15" x14ac:dyDescent="0.25">
      <c r="A475" s="305" t="s">
        <v>1925</v>
      </c>
    </row>
    <row r="476" spans="1:5" ht="15" x14ac:dyDescent="0.25">
      <c r="A476" s="305" t="s">
        <v>1926</v>
      </c>
    </row>
    <row r="477" spans="1:5" ht="15" x14ac:dyDescent="0.25">
      <c r="A477" s="305" t="s">
        <v>1927</v>
      </c>
    </row>
    <row r="478" spans="1:5" ht="15" x14ac:dyDescent="0.25">
      <c r="A478" s="305" t="s">
        <v>996</v>
      </c>
    </row>
    <row r="479" spans="1:5" ht="15" x14ac:dyDescent="0.25">
      <c r="A479" s="305" t="s">
        <v>1928</v>
      </c>
    </row>
    <row r="480" spans="1:5" ht="15" x14ac:dyDescent="0.25">
      <c r="A480" s="305" t="s">
        <v>1929</v>
      </c>
    </row>
    <row r="481" spans="1:6" x14ac:dyDescent="0.2">
      <c r="F481" s="285"/>
    </row>
    <row r="482" spans="1:6" ht="15" x14ac:dyDescent="0.25">
      <c r="A482" s="1394" t="s">
        <v>2331</v>
      </c>
      <c r="B482" s="1395"/>
      <c r="C482" s="1395"/>
      <c r="D482" s="1395"/>
      <c r="E482" s="1396"/>
      <c r="F482" s="285"/>
    </row>
    <row r="483" spans="1:6" ht="15" x14ac:dyDescent="0.25">
      <c r="A483" s="310" t="s">
        <v>403</v>
      </c>
      <c r="B483" s="306" t="s">
        <v>577</v>
      </c>
      <c r="C483" s="310" t="s">
        <v>1487</v>
      </c>
      <c r="D483" s="306" t="s">
        <v>1147</v>
      </c>
      <c r="E483" s="310" t="s">
        <v>1803</v>
      </c>
      <c r="F483" s="285"/>
    </row>
    <row r="484" spans="1:6" ht="15" x14ac:dyDescent="0.25">
      <c r="A484" s="305" t="s">
        <v>1778</v>
      </c>
      <c r="B484" s="305" t="s">
        <v>1920</v>
      </c>
      <c r="C484" s="305" t="s">
        <v>1487</v>
      </c>
      <c r="D484" s="305" t="s">
        <v>2915</v>
      </c>
      <c r="E484" s="305" t="s">
        <v>1803</v>
      </c>
      <c r="F484" s="285"/>
    </row>
    <row r="485" spans="1:6" ht="15" x14ac:dyDescent="0.25">
      <c r="A485" s="305" t="s">
        <v>1779</v>
      </c>
      <c r="B485" s="305" t="s">
        <v>1923</v>
      </c>
      <c r="C485" s="305" t="s">
        <v>1795</v>
      </c>
      <c r="D485" s="305" t="s">
        <v>1931</v>
      </c>
      <c r="E485" s="305" t="s">
        <v>1804</v>
      </c>
      <c r="F485" s="285"/>
    </row>
    <row r="486" spans="1:6" ht="15" x14ac:dyDescent="0.25">
      <c r="A486" s="305" t="s">
        <v>1780</v>
      </c>
      <c r="B486" s="305" t="s">
        <v>577</v>
      </c>
      <c r="C486" s="305" t="s">
        <v>2909</v>
      </c>
      <c r="D486" s="305" t="s">
        <v>2913</v>
      </c>
      <c r="E486" s="305" t="s">
        <v>1802</v>
      </c>
      <c r="F486" s="285"/>
    </row>
    <row r="487" spans="1:6" ht="15" x14ac:dyDescent="0.25">
      <c r="A487" s="305" t="s">
        <v>1781</v>
      </c>
      <c r="B487" s="305" t="s">
        <v>1924</v>
      </c>
      <c r="C487" s="305" t="s">
        <v>2611</v>
      </c>
      <c r="D487" s="305" t="s">
        <v>1797</v>
      </c>
      <c r="E487" s="285"/>
      <c r="F487" s="285"/>
    </row>
    <row r="488" spans="1:6" ht="15" x14ac:dyDescent="0.25">
      <c r="A488" s="305" t="s">
        <v>403</v>
      </c>
      <c r="B488" s="305" t="s">
        <v>996</v>
      </c>
      <c r="C488" s="305" t="s">
        <v>2610</v>
      </c>
      <c r="D488" s="305" t="s">
        <v>1147</v>
      </c>
      <c r="E488" s="285"/>
      <c r="F488" s="285"/>
    </row>
    <row r="489" spans="1:6" ht="15" x14ac:dyDescent="0.25">
      <c r="A489" s="305" t="s">
        <v>1782</v>
      </c>
      <c r="B489" s="305" t="s">
        <v>1929</v>
      </c>
      <c r="C489" s="305" t="s">
        <v>1930</v>
      </c>
      <c r="D489" s="305" t="s">
        <v>2910</v>
      </c>
      <c r="E489" s="285"/>
      <c r="F489" s="285"/>
    </row>
    <row r="490" spans="1:6" ht="15" x14ac:dyDescent="0.25">
      <c r="A490" s="305" t="s">
        <v>1486</v>
      </c>
      <c r="B490" s="285"/>
      <c r="C490" s="305" t="s">
        <v>1796</v>
      </c>
      <c r="D490" s="305" t="s">
        <v>2912</v>
      </c>
      <c r="E490" s="285"/>
      <c r="F490" s="285"/>
    </row>
    <row r="491" spans="1:6" ht="15" x14ac:dyDescent="0.25">
      <c r="A491" s="305" t="s">
        <v>1783</v>
      </c>
      <c r="B491" s="285"/>
      <c r="D491" s="305" t="s">
        <v>2914</v>
      </c>
      <c r="E491" s="285"/>
      <c r="F491" s="285"/>
    </row>
    <row r="492" spans="1:6" ht="15" x14ac:dyDescent="0.25">
      <c r="A492" s="305" t="s">
        <v>1784</v>
      </c>
      <c r="B492" s="285"/>
      <c r="D492" s="305" t="s">
        <v>2911</v>
      </c>
      <c r="E492" s="285"/>
      <c r="F492" s="285"/>
    </row>
    <row r="493" spans="1:6" ht="15" x14ac:dyDescent="0.25">
      <c r="A493" s="305" t="s">
        <v>1785</v>
      </c>
      <c r="B493" s="285"/>
      <c r="D493" s="305" t="s">
        <v>1800</v>
      </c>
      <c r="E493" s="285"/>
      <c r="F493" s="285"/>
    </row>
    <row r="494" spans="1:6" ht="15" x14ac:dyDescent="0.25">
      <c r="A494" s="305" t="s">
        <v>1786</v>
      </c>
      <c r="B494" s="285"/>
      <c r="D494" s="285"/>
      <c r="E494" s="285"/>
      <c r="F494" s="285"/>
    </row>
    <row r="495" spans="1:6" ht="15" x14ac:dyDescent="0.25">
      <c r="A495" s="305" t="s">
        <v>1787</v>
      </c>
      <c r="B495" s="285"/>
      <c r="D495" s="285"/>
      <c r="E495" s="285"/>
      <c r="F495" s="285"/>
    </row>
    <row r="496" spans="1:6" ht="15" x14ac:dyDescent="0.25">
      <c r="A496" s="305" t="s">
        <v>1788</v>
      </c>
      <c r="B496" s="285"/>
      <c r="D496" s="285"/>
      <c r="E496" s="285"/>
      <c r="F496" s="285"/>
    </row>
    <row r="497" spans="1:10" ht="15" x14ac:dyDescent="0.25">
      <c r="A497" s="305" t="s">
        <v>1789</v>
      </c>
      <c r="B497" s="285"/>
      <c r="D497" s="285"/>
      <c r="E497" s="285"/>
      <c r="F497" s="285"/>
    </row>
    <row r="498" spans="1:10" ht="15" x14ac:dyDescent="0.25">
      <c r="A498" s="305" t="s">
        <v>1777</v>
      </c>
      <c r="B498" s="285"/>
      <c r="D498" s="285"/>
      <c r="E498" s="285"/>
      <c r="F498" s="285"/>
    </row>
    <row r="500" spans="1:10" ht="15" x14ac:dyDescent="0.25">
      <c r="A500" s="1097" t="s">
        <v>2657</v>
      </c>
      <c r="B500" s="1098"/>
      <c r="C500" s="1098"/>
      <c r="D500" s="1098"/>
      <c r="E500" s="1098"/>
      <c r="F500" s="1098"/>
      <c r="G500" s="1098"/>
      <c r="H500" s="1098"/>
      <c r="I500" s="1098"/>
      <c r="J500" s="1099"/>
    </row>
    <row r="501" spans="1:10" ht="15" x14ac:dyDescent="0.25">
      <c r="A501" s="310" t="s">
        <v>1776</v>
      </c>
      <c r="B501" s="310" t="s">
        <v>1790</v>
      </c>
      <c r="C501" s="310" t="s">
        <v>1791</v>
      </c>
      <c r="D501" s="310" t="s">
        <v>1792</v>
      </c>
      <c r="E501" s="310" t="s">
        <v>1793</v>
      </c>
      <c r="F501" s="310" t="s">
        <v>1794</v>
      </c>
      <c r="G501" s="310" t="s">
        <v>2658</v>
      </c>
      <c r="H501" s="310" t="s">
        <v>2659</v>
      </c>
      <c r="I501" s="310" t="s">
        <v>2660</v>
      </c>
      <c r="J501" s="310" t="s">
        <v>2661</v>
      </c>
    </row>
    <row r="502" spans="1:10" ht="15" x14ac:dyDescent="0.25">
      <c r="A502" s="307" t="s">
        <v>403</v>
      </c>
      <c r="B502" s="307" t="s">
        <v>1807</v>
      </c>
      <c r="C502" s="307" t="s">
        <v>2662</v>
      </c>
      <c r="D502" s="307" t="s">
        <v>1486</v>
      </c>
      <c r="E502" s="307" t="s">
        <v>3046</v>
      </c>
      <c r="F502" s="307"/>
      <c r="G502" s="307" t="s">
        <v>1796</v>
      </c>
      <c r="H502" s="307" t="s">
        <v>1801</v>
      </c>
      <c r="I502" s="305" t="s">
        <v>2663</v>
      </c>
      <c r="J502" s="307" t="s">
        <v>2664</v>
      </c>
    </row>
    <row r="503" spans="1:10" ht="15" x14ac:dyDescent="0.25">
      <c r="A503" s="307" t="s">
        <v>1782</v>
      </c>
      <c r="B503" s="307" t="s">
        <v>1808</v>
      </c>
      <c r="C503" s="305" t="s">
        <v>1918</v>
      </c>
      <c r="D503" s="307" t="s">
        <v>1786</v>
      </c>
      <c r="E503" s="307" t="s">
        <v>3046</v>
      </c>
      <c r="F503" s="307"/>
      <c r="G503" s="307" t="s">
        <v>1931</v>
      </c>
      <c r="H503" s="307" t="s">
        <v>1806</v>
      </c>
      <c r="J503" s="307" t="s">
        <v>2665</v>
      </c>
    </row>
    <row r="504" spans="1:10" ht="15" x14ac:dyDescent="0.25">
      <c r="A504" s="307" t="s">
        <v>1919</v>
      </c>
      <c r="B504" s="307" t="s">
        <v>1780</v>
      </c>
      <c r="D504" s="305" t="s">
        <v>1805</v>
      </c>
      <c r="E504" s="307" t="s">
        <v>3046</v>
      </c>
      <c r="F504" s="307"/>
      <c r="G504" s="307" t="s">
        <v>1803</v>
      </c>
      <c r="H504" s="305" t="s">
        <v>1802</v>
      </c>
      <c r="J504" s="307" t="s">
        <v>1799</v>
      </c>
    </row>
    <row r="505" spans="1:10" ht="15" x14ac:dyDescent="0.25">
      <c r="A505" s="307" t="s">
        <v>1785</v>
      </c>
      <c r="B505" s="307" t="s">
        <v>1778</v>
      </c>
      <c r="E505" s="307" t="s">
        <v>3046</v>
      </c>
      <c r="F505" s="305"/>
      <c r="G505" s="305" t="s">
        <v>1147</v>
      </c>
      <c r="J505" s="305" t="s">
        <v>2666</v>
      </c>
    </row>
    <row r="506" spans="1:10" ht="15" x14ac:dyDescent="0.25">
      <c r="A506" s="307" t="s">
        <v>1784</v>
      </c>
      <c r="B506" s="307" t="s">
        <v>1788</v>
      </c>
      <c r="E506" s="305" t="s">
        <v>3046</v>
      </c>
    </row>
    <row r="507" spans="1:10" ht="15" x14ac:dyDescent="0.25">
      <c r="A507" s="305" t="s">
        <v>1781</v>
      </c>
      <c r="B507" s="307" t="s">
        <v>1787</v>
      </c>
    </row>
    <row r="508" spans="1:10" ht="15" x14ac:dyDescent="0.25">
      <c r="B508" s="305" t="s">
        <v>1917</v>
      </c>
    </row>
    <row r="510" spans="1:10" ht="15" x14ac:dyDescent="0.25">
      <c r="A510" s="1394" t="s">
        <v>3466</v>
      </c>
      <c r="B510" s="1395"/>
      <c r="C510" s="1396"/>
    </row>
    <row r="511" spans="1:10" ht="15" x14ac:dyDescent="0.25">
      <c r="A511" s="307">
        <f t="shared" ref="A511:A542" si="1">IF(COUNTIF(Address,"*"&amp;B511&amp;"*")&gt;0,1,0)</f>
        <v>0</v>
      </c>
      <c r="B511" s="307" t="s">
        <v>3467</v>
      </c>
      <c r="C511" s="307">
        <v>0.04</v>
      </c>
      <c r="E511" s="282" t="e">
        <f>VLOOKUP(1,AreaLoading,3,FALSE)</f>
        <v>#N/A</v>
      </c>
    </row>
    <row r="512" spans="1:10" ht="15" x14ac:dyDescent="0.25">
      <c r="A512" s="307">
        <f t="shared" si="1"/>
        <v>0</v>
      </c>
      <c r="B512" s="307" t="s">
        <v>3468</v>
      </c>
      <c r="C512" s="307">
        <v>0.01</v>
      </c>
    </row>
    <row r="513" spans="1:3" ht="15" x14ac:dyDescent="0.25">
      <c r="A513" s="307">
        <f t="shared" si="1"/>
        <v>0</v>
      </c>
      <c r="B513" s="307" t="s">
        <v>1799</v>
      </c>
      <c r="C513" s="307">
        <v>0.05</v>
      </c>
    </row>
    <row r="514" spans="1:3" ht="15" x14ac:dyDescent="0.25">
      <c r="A514" s="307">
        <f t="shared" si="1"/>
        <v>0</v>
      </c>
      <c r="B514" s="307" t="s">
        <v>1778</v>
      </c>
      <c r="C514" s="307">
        <v>0</v>
      </c>
    </row>
    <row r="515" spans="1:3" ht="15" x14ac:dyDescent="0.25">
      <c r="A515" s="307">
        <f t="shared" si="1"/>
        <v>0</v>
      </c>
      <c r="B515" s="307" t="s">
        <v>3469</v>
      </c>
      <c r="C515" s="307">
        <v>0.1</v>
      </c>
    </row>
    <row r="516" spans="1:3" ht="15" x14ac:dyDescent="0.25">
      <c r="A516" s="307">
        <f t="shared" si="1"/>
        <v>0</v>
      </c>
      <c r="B516" s="307" t="s">
        <v>3470</v>
      </c>
      <c r="C516" s="307">
        <v>0.06</v>
      </c>
    </row>
    <row r="517" spans="1:3" ht="15" x14ac:dyDescent="0.25">
      <c r="A517" s="307">
        <f t="shared" si="1"/>
        <v>0</v>
      </c>
      <c r="B517" s="307" t="s">
        <v>1779</v>
      </c>
      <c r="C517" s="307">
        <v>0.01</v>
      </c>
    </row>
    <row r="518" spans="1:3" ht="15" x14ac:dyDescent="0.25">
      <c r="A518" s="307">
        <f t="shared" si="1"/>
        <v>0</v>
      </c>
      <c r="B518" s="307" t="s">
        <v>1780</v>
      </c>
      <c r="C518" s="307">
        <v>0.02</v>
      </c>
    </row>
    <row r="519" spans="1:3" ht="15" x14ac:dyDescent="0.25">
      <c r="A519" s="307">
        <f t="shared" si="1"/>
        <v>0</v>
      </c>
      <c r="B519" s="307" t="s">
        <v>1781</v>
      </c>
      <c r="C519" s="307">
        <v>0</v>
      </c>
    </row>
    <row r="520" spans="1:3" ht="15" x14ac:dyDescent="0.25">
      <c r="A520" s="307">
        <f t="shared" si="1"/>
        <v>0</v>
      </c>
      <c r="B520" s="307" t="s">
        <v>1806</v>
      </c>
      <c r="C520" s="307">
        <v>0.09</v>
      </c>
    </row>
    <row r="521" spans="1:3" ht="15" x14ac:dyDescent="0.25">
      <c r="A521" s="307">
        <f t="shared" si="1"/>
        <v>0</v>
      </c>
      <c r="B521" s="307" t="s">
        <v>1803</v>
      </c>
      <c r="C521" s="307">
        <v>0.06</v>
      </c>
    </row>
    <row r="522" spans="1:3" ht="15" x14ac:dyDescent="0.25">
      <c r="A522" s="307">
        <f t="shared" si="1"/>
        <v>0</v>
      </c>
      <c r="B522" s="307" t="s">
        <v>3471</v>
      </c>
      <c r="C522" s="307">
        <v>0.04</v>
      </c>
    </row>
    <row r="523" spans="1:3" ht="15" x14ac:dyDescent="0.25">
      <c r="A523" s="307">
        <f t="shared" si="1"/>
        <v>0</v>
      </c>
      <c r="B523" s="307" t="s">
        <v>3472</v>
      </c>
      <c r="C523" s="307">
        <v>0</v>
      </c>
    </row>
    <row r="524" spans="1:3" ht="15" x14ac:dyDescent="0.25">
      <c r="A524" s="307">
        <f t="shared" si="1"/>
        <v>0</v>
      </c>
      <c r="B524" s="307" t="s">
        <v>403</v>
      </c>
      <c r="C524" s="307">
        <v>0</v>
      </c>
    </row>
    <row r="525" spans="1:3" ht="15" x14ac:dyDescent="0.25">
      <c r="A525" s="307">
        <f t="shared" si="1"/>
        <v>0</v>
      </c>
      <c r="B525" s="307" t="s">
        <v>1782</v>
      </c>
      <c r="C525" s="307">
        <v>0</v>
      </c>
    </row>
    <row r="526" spans="1:3" ht="15" x14ac:dyDescent="0.25">
      <c r="A526" s="307">
        <f t="shared" si="1"/>
        <v>0</v>
      </c>
      <c r="B526" s="307" t="s">
        <v>577</v>
      </c>
      <c r="C526" s="307">
        <v>0</v>
      </c>
    </row>
    <row r="527" spans="1:3" ht="15" x14ac:dyDescent="0.25">
      <c r="A527" s="307">
        <f t="shared" si="1"/>
        <v>0</v>
      </c>
      <c r="B527" s="307" t="s">
        <v>1486</v>
      </c>
      <c r="C527" s="307">
        <v>0</v>
      </c>
    </row>
    <row r="528" spans="1:3" ht="15" x14ac:dyDescent="0.25">
      <c r="A528" s="307">
        <f t="shared" si="1"/>
        <v>0</v>
      </c>
      <c r="B528" s="307" t="s">
        <v>3473</v>
      </c>
      <c r="C528" s="307">
        <v>0</v>
      </c>
    </row>
    <row r="529" spans="1:3" ht="15" x14ac:dyDescent="0.25">
      <c r="A529" s="307">
        <f t="shared" si="1"/>
        <v>0</v>
      </c>
      <c r="B529" s="307" t="s">
        <v>3474</v>
      </c>
      <c r="C529" s="307">
        <v>0</v>
      </c>
    </row>
    <row r="530" spans="1:3" ht="15" x14ac:dyDescent="0.25">
      <c r="A530" s="307">
        <f t="shared" si="1"/>
        <v>0</v>
      </c>
      <c r="B530" s="307" t="s">
        <v>1805</v>
      </c>
      <c r="C530" s="307">
        <v>0.04</v>
      </c>
    </row>
    <row r="531" spans="1:3" ht="15" x14ac:dyDescent="0.25">
      <c r="A531" s="307">
        <f t="shared" si="1"/>
        <v>0</v>
      </c>
      <c r="B531" s="307" t="s">
        <v>3475</v>
      </c>
      <c r="C531" s="307">
        <v>0.03</v>
      </c>
    </row>
    <row r="532" spans="1:3" ht="15" x14ac:dyDescent="0.25">
      <c r="A532" s="307">
        <f t="shared" si="1"/>
        <v>0</v>
      </c>
      <c r="B532" s="307" t="s">
        <v>1931</v>
      </c>
      <c r="C532" s="307">
        <v>0.03</v>
      </c>
    </row>
    <row r="533" spans="1:3" ht="15" x14ac:dyDescent="0.25">
      <c r="A533" s="307">
        <f t="shared" si="1"/>
        <v>0</v>
      </c>
      <c r="B533" s="307" t="s">
        <v>1784</v>
      </c>
      <c r="C533" s="307">
        <v>0</v>
      </c>
    </row>
    <row r="534" spans="1:3" ht="15" x14ac:dyDescent="0.25">
      <c r="A534" s="307">
        <f t="shared" si="1"/>
        <v>0</v>
      </c>
      <c r="B534" s="307" t="s">
        <v>1785</v>
      </c>
      <c r="C534" s="307">
        <v>0</v>
      </c>
    </row>
    <row r="535" spans="1:3" ht="15" x14ac:dyDescent="0.25">
      <c r="A535" s="307">
        <f t="shared" si="1"/>
        <v>0</v>
      </c>
      <c r="B535" s="307" t="s">
        <v>3476</v>
      </c>
      <c r="C535" s="307">
        <v>0.08</v>
      </c>
    </row>
    <row r="536" spans="1:3" ht="15" x14ac:dyDescent="0.25">
      <c r="A536" s="307">
        <f t="shared" si="1"/>
        <v>0</v>
      </c>
      <c r="B536" s="307" t="s">
        <v>1786</v>
      </c>
      <c r="C536" s="307">
        <v>0.02</v>
      </c>
    </row>
    <row r="537" spans="1:3" ht="15" x14ac:dyDescent="0.25">
      <c r="A537" s="307">
        <f t="shared" si="1"/>
        <v>0</v>
      </c>
      <c r="B537" s="307" t="s">
        <v>1487</v>
      </c>
      <c r="C537" s="307">
        <v>0</v>
      </c>
    </row>
    <row r="538" spans="1:3" ht="15" x14ac:dyDescent="0.25">
      <c r="A538" s="307">
        <f t="shared" si="1"/>
        <v>0</v>
      </c>
      <c r="B538" s="307" t="s">
        <v>1795</v>
      </c>
      <c r="C538" s="307">
        <v>0</v>
      </c>
    </row>
    <row r="539" spans="1:3" ht="15" x14ac:dyDescent="0.25">
      <c r="A539" s="307">
        <f t="shared" si="1"/>
        <v>0</v>
      </c>
      <c r="B539" s="307" t="s">
        <v>1787</v>
      </c>
      <c r="C539" s="307">
        <v>0</v>
      </c>
    </row>
    <row r="540" spans="1:3" ht="15" x14ac:dyDescent="0.25">
      <c r="A540" s="307">
        <f t="shared" si="1"/>
        <v>0</v>
      </c>
      <c r="B540" s="307" t="s">
        <v>3477</v>
      </c>
      <c r="C540" s="307">
        <v>0.02</v>
      </c>
    </row>
    <row r="541" spans="1:3" ht="15" x14ac:dyDescent="0.25">
      <c r="A541" s="307">
        <f t="shared" si="1"/>
        <v>0</v>
      </c>
      <c r="B541" s="307" t="s">
        <v>3478</v>
      </c>
      <c r="C541" s="307">
        <v>0</v>
      </c>
    </row>
    <row r="542" spans="1:3" ht="15" x14ac:dyDescent="0.25">
      <c r="A542" s="307">
        <f t="shared" si="1"/>
        <v>0</v>
      </c>
      <c r="B542" s="307" t="s">
        <v>3479</v>
      </c>
      <c r="C542" s="307">
        <v>0</v>
      </c>
    </row>
    <row r="543" spans="1:3" ht="15" x14ac:dyDescent="0.25">
      <c r="A543" s="307">
        <f t="shared" ref="A543:A574" si="2">IF(COUNTIF(Address,"*"&amp;B543&amp;"*")&gt;0,1,0)</f>
        <v>0</v>
      </c>
      <c r="B543" s="307" t="s">
        <v>1797</v>
      </c>
      <c r="C543" s="307">
        <v>0.03</v>
      </c>
    </row>
    <row r="544" spans="1:3" ht="15" x14ac:dyDescent="0.25">
      <c r="A544" s="307">
        <f t="shared" si="2"/>
        <v>0</v>
      </c>
      <c r="B544" s="307" t="s">
        <v>1804</v>
      </c>
      <c r="C544" s="307">
        <v>0.06</v>
      </c>
    </row>
    <row r="545" spans="1:3" ht="15" x14ac:dyDescent="0.25">
      <c r="A545" s="307">
        <f t="shared" si="2"/>
        <v>0</v>
      </c>
      <c r="B545" s="307" t="s">
        <v>1798</v>
      </c>
      <c r="C545" s="307">
        <v>7.0000000000000007E-2</v>
      </c>
    </row>
    <row r="546" spans="1:3" ht="15" x14ac:dyDescent="0.25">
      <c r="A546" s="307">
        <f t="shared" si="2"/>
        <v>0</v>
      </c>
      <c r="B546" s="307" t="s">
        <v>1808</v>
      </c>
      <c r="C546" s="307">
        <v>0.02</v>
      </c>
    </row>
    <row r="547" spans="1:3" ht="15" x14ac:dyDescent="0.25">
      <c r="A547" s="307">
        <f t="shared" si="2"/>
        <v>0</v>
      </c>
      <c r="B547" s="307" t="s">
        <v>3480</v>
      </c>
      <c r="C547" s="307">
        <v>0.11</v>
      </c>
    </row>
    <row r="548" spans="1:3" ht="15" x14ac:dyDescent="0.25">
      <c r="A548" s="307">
        <f t="shared" si="2"/>
        <v>0</v>
      </c>
      <c r="B548" s="307" t="s">
        <v>2604</v>
      </c>
      <c r="C548" s="307">
        <v>0.05</v>
      </c>
    </row>
    <row r="549" spans="1:3" ht="15" x14ac:dyDescent="0.25">
      <c r="A549" s="307">
        <f t="shared" si="2"/>
        <v>0</v>
      </c>
      <c r="B549" s="307" t="s">
        <v>3481</v>
      </c>
      <c r="C549" s="307">
        <v>0</v>
      </c>
    </row>
    <row r="550" spans="1:3" ht="15" x14ac:dyDescent="0.25">
      <c r="A550" s="307">
        <f t="shared" si="2"/>
        <v>0</v>
      </c>
      <c r="B550" s="307" t="s">
        <v>3482</v>
      </c>
      <c r="C550" s="307">
        <v>0.05</v>
      </c>
    </row>
    <row r="551" spans="1:3" ht="15" x14ac:dyDescent="0.25">
      <c r="A551" s="307">
        <f t="shared" si="2"/>
        <v>0</v>
      </c>
      <c r="B551" s="307" t="s">
        <v>3483</v>
      </c>
      <c r="C551" s="307">
        <v>0.15</v>
      </c>
    </row>
    <row r="552" spans="1:3" ht="15" x14ac:dyDescent="0.25">
      <c r="A552" s="307">
        <f t="shared" si="2"/>
        <v>0</v>
      </c>
      <c r="B552" s="307" t="s">
        <v>3484</v>
      </c>
      <c r="C552" s="307">
        <v>0</v>
      </c>
    </row>
    <row r="553" spans="1:3" ht="15" x14ac:dyDescent="0.25">
      <c r="A553" s="307">
        <f t="shared" si="2"/>
        <v>0</v>
      </c>
      <c r="B553" s="307" t="s">
        <v>1802</v>
      </c>
      <c r="C553" s="307">
        <v>0.1</v>
      </c>
    </row>
    <row r="554" spans="1:3" ht="15" x14ac:dyDescent="0.25">
      <c r="A554" s="307">
        <f t="shared" si="2"/>
        <v>0</v>
      </c>
      <c r="B554" s="307" t="s">
        <v>1147</v>
      </c>
      <c r="C554" s="307">
        <v>0.03</v>
      </c>
    </row>
    <row r="555" spans="1:3" ht="15" x14ac:dyDescent="0.25">
      <c r="A555" s="307">
        <f t="shared" si="2"/>
        <v>0</v>
      </c>
      <c r="B555" s="307" t="s">
        <v>1917</v>
      </c>
      <c r="C555" s="307">
        <v>0</v>
      </c>
    </row>
    <row r="556" spans="1:3" ht="15" x14ac:dyDescent="0.25">
      <c r="A556" s="307">
        <f t="shared" si="2"/>
        <v>0</v>
      </c>
      <c r="B556" s="307" t="s">
        <v>3485</v>
      </c>
      <c r="C556" s="307">
        <v>0.06</v>
      </c>
    </row>
    <row r="557" spans="1:3" ht="15" x14ac:dyDescent="0.25">
      <c r="A557" s="307">
        <f t="shared" si="2"/>
        <v>0</v>
      </c>
      <c r="B557" s="307" t="s">
        <v>3486</v>
      </c>
      <c r="C557" s="307">
        <v>0.06</v>
      </c>
    </row>
    <row r="558" spans="1:3" ht="15" x14ac:dyDescent="0.25">
      <c r="A558" s="307">
        <f t="shared" si="2"/>
        <v>0</v>
      </c>
      <c r="B558" s="307" t="s">
        <v>1807</v>
      </c>
      <c r="C558" s="307">
        <v>0.02</v>
      </c>
    </row>
    <row r="559" spans="1:3" ht="15" x14ac:dyDescent="0.25">
      <c r="A559" s="307">
        <f t="shared" si="2"/>
        <v>0</v>
      </c>
      <c r="B559" s="307" t="s">
        <v>1801</v>
      </c>
      <c r="C559" s="307">
        <v>0.03</v>
      </c>
    </row>
    <row r="560" spans="1:3" ht="15" x14ac:dyDescent="0.25">
      <c r="A560" s="307">
        <f t="shared" si="2"/>
        <v>0</v>
      </c>
      <c r="B560" s="307" t="s">
        <v>3487</v>
      </c>
      <c r="C560" s="307">
        <v>0.05</v>
      </c>
    </row>
    <row r="561" spans="1:3" ht="15" x14ac:dyDescent="0.25">
      <c r="A561" s="307">
        <f t="shared" si="2"/>
        <v>0</v>
      </c>
      <c r="B561" s="307" t="s">
        <v>3488</v>
      </c>
      <c r="C561" s="307">
        <v>7.0000000000000007E-2</v>
      </c>
    </row>
    <row r="562" spans="1:3" ht="15" x14ac:dyDescent="0.25">
      <c r="A562" s="307">
        <f t="shared" si="2"/>
        <v>0</v>
      </c>
      <c r="B562" s="307" t="s">
        <v>3489</v>
      </c>
      <c r="C562" s="307">
        <v>0.18</v>
      </c>
    </row>
    <row r="563" spans="1:3" ht="15" x14ac:dyDescent="0.25">
      <c r="A563" s="307">
        <f t="shared" si="2"/>
        <v>0</v>
      </c>
      <c r="B563" s="307" t="s">
        <v>3490</v>
      </c>
      <c r="C563" s="307">
        <v>0.1</v>
      </c>
    </row>
    <row r="564" spans="1:3" ht="15" x14ac:dyDescent="0.25">
      <c r="A564" s="307">
        <f t="shared" si="2"/>
        <v>0</v>
      </c>
      <c r="B564" s="307" t="s">
        <v>2666</v>
      </c>
      <c r="C564" s="307">
        <v>0.12</v>
      </c>
    </row>
    <row r="565" spans="1:3" ht="15" x14ac:dyDescent="0.25">
      <c r="A565" s="307">
        <f t="shared" si="2"/>
        <v>0</v>
      </c>
      <c r="B565" s="307" t="s">
        <v>3491</v>
      </c>
      <c r="C565" s="307">
        <v>0</v>
      </c>
    </row>
    <row r="566" spans="1:3" ht="15" x14ac:dyDescent="0.25">
      <c r="A566" s="307">
        <f t="shared" si="2"/>
        <v>0</v>
      </c>
      <c r="B566" s="307" t="s">
        <v>3492</v>
      </c>
      <c r="C566" s="307">
        <v>0.12</v>
      </c>
    </row>
    <row r="567" spans="1:3" ht="15" x14ac:dyDescent="0.25">
      <c r="A567" s="307">
        <f t="shared" si="2"/>
        <v>0</v>
      </c>
      <c r="B567" s="307" t="s">
        <v>3493</v>
      </c>
      <c r="C567" s="307">
        <v>0</v>
      </c>
    </row>
    <row r="568" spans="1:3" ht="15" x14ac:dyDescent="0.25">
      <c r="A568" s="307">
        <f t="shared" si="2"/>
        <v>0</v>
      </c>
      <c r="B568" s="307" t="s">
        <v>2912</v>
      </c>
      <c r="C568" s="307">
        <v>0.03</v>
      </c>
    </row>
    <row r="569" spans="1:3" ht="15" x14ac:dyDescent="0.25">
      <c r="A569" s="307">
        <f t="shared" si="2"/>
        <v>0</v>
      </c>
      <c r="B569" s="307" t="s">
        <v>3494</v>
      </c>
      <c r="C569" s="307">
        <v>0.12</v>
      </c>
    </row>
    <row r="570" spans="1:3" ht="15" x14ac:dyDescent="0.25">
      <c r="A570" s="307">
        <f t="shared" si="2"/>
        <v>0</v>
      </c>
      <c r="B570" s="307" t="s">
        <v>1788</v>
      </c>
      <c r="C570" s="307">
        <v>0</v>
      </c>
    </row>
    <row r="571" spans="1:3" ht="15" x14ac:dyDescent="0.25">
      <c r="A571" s="307">
        <f t="shared" si="2"/>
        <v>0</v>
      </c>
      <c r="B571" s="307" t="s">
        <v>3495</v>
      </c>
      <c r="C571" s="307">
        <v>0.04</v>
      </c>
    </row>
    <row r="572" spans="1:3" ht="15" x14ac:dyDescent="0.25">
      <c r="A572" s="307">
        <f t="shared" si="2"/>
        <v>0</v>
      </c>
      <c r="B572" s="307" t="s">
        <v>2914</v>
      </c>
      <c r="C572" s="307">
        <v>0.04</v>
      </c>
    </row>
    <row r="573" spans="1:3" ht="15" x14ac:dyDescent="0.25">
      <c r="A573" s="307">
        <f t="shared" si="2"/>
        <v>0</v>
      </c>
      <c r="B573" s="307" t="s">
        <v>3496</v>
      </c>
      <c r="C573" s="307">
        <v>0.01</v>
      </c>
    </row>
    <row r="574" spans="1:3" ht="15" x14ac:dyDescent="0.25">
      <c r="A574" s="307">
        <f t="shared" si="2"/>
        <v>0</v>
      </c>
      <c r="B574" s="307" t="s">
        <v>1789</v>
      </c>
      <c r="C574" s="307">
        <v>0</v>
      </c>
    </row>
    <row r="575" spans="1:3" ht="15" x14ac:dyDescent="0.25">
      <c r="A575" s="307">
        <f t="shared" ref="A575:A584" si="3">IF(COUNTIF(Address,"*"&amp;B575&amp;"*")&gt;0,1,0)</f>
        <v>0</v>
      </c>
      <c r="B575" s="307" t="s">
        <v>3497</v>
      </c>
      <c r="C575" s="307">
        <v>0.06</v>
      </c>
    </row>
    <row r="576" spans="1:3" ht="15" x14ac:dyDescent="0.25">
      <c r="A576" s="307">
        <f t="shared" si="3"/>
        <v>0</v>
      </c>
      <c r="B576" s="307" t="s">
        <v>3498</v>
      </c>
      <c r="C576" s="307">
        <v>0</v>
      </c>
    </row>
    <row r="577" spans="1:3" ht="15" x14ac:dyDescent="0.25">
      <c r="A577" s="307">
        <f t="shared" si="3"/>
        <v>0</v>
      </c>
      <c r="B577" s="307" t="s">
        <v>996</v>
      </c>
      <c r="C577" s="307">
        <v>0</v>
      </c>
    </row>
    <row r="578" spans="1:3" ht="15" x14ac:dyDescent="0.25">
      <c r="A578" s="307">
        <f t="shared" si="3"/>
        <v>0</v>
      </c>
      <c r="B578" s="307" t="s">
        <v>1918</v>
      </c>
      <c r="C578" s="307">
        <v>0.05</v>
      </c>
    </row>
    <row r="579" spans="1:3" ht="15" x14ac:dyDescent="0.25">
      <c r="A579" s="307">
        <f t="shared" si="3"/>
        <v>0</v>
      </c>
      <c r="B579" s="307" t="s">
        <v>3499</v>
      </c>
      <c r="C579" s="307">
        <v>0.03</v>
      </c>
    </row>
    <row r="580" spans="1:3" ht="15" x14ac:dyDescent="0.25">
      <c r="A580" s="307">
        <f t="shared" si="3"/>
        <v>0</v>
      </c>
      <c r="B580" s="307" t="s">
        <v>3500</v>
      </c>
      <c r="C580" s="307">
        <v>0.02</v>
      </c>
    </row>
    <row r="581" spans="1:3" ht="15" x14ac:dyDescent="0.25">
      <c r="A581" s="307">
        <f t="shared" si="3"/>
        <v>0</v>
      </c>
      <c r="B581" s="307" t="s">
        <v>3501</v>
      </c>
      <c r="C581" s="307">
        <v>0.06</v>
      </c>
    </row>
    <row r="582" spans="1:3" ht="15" x14ac:dyDescent="0.25">
      <c r="A582" s="307">
        <f t="shared" si="3"/>
        <v>0</v>
      </c>
      <c r="B582" s="307" t="s">
        <v>3502</v>
      </c>
      <c r="C582" s="307">
        <v>0</v>
      </c>
    </row>
    <row r="583" spans="1:3" ht="15" x14ac:dyDescent="0.25">
      <c r="A583" s="307">
        <f t="shared" si="3"/>
        <v>0</v>
      </c>
      <c r="B583" s="307" t="s">
        <v>3503</v>
      </c>
      <c r="C583" s="307">
        <v>0.03</v>
      </c>
    </row>
    <row r="584" spans="1:3" ht="15" x14ac:dyDescent="0.25">
      <c r="A584" s="307">
        <f t="shared" si="3"/>
        <v>0</v>
      </c>
      <c r="B584" s="307" t="s">
        <v>3504</v>
      </c>
      <c r="C584" s="307">
        <v>0.01</v>
      </c>
    </row>
  </sheetData>
  <sortState xmlns:xlrd2="http://schemas.microsoft.com/office/spreadsheetml/2017/richdata2" ref="E484:E486">
    <sortCondition ref="E484:E486"/>
  </sortState>
  <mergeCells count="5">
    <mergeCell ref="A482:E482"/>
    <mergeCell ref="E457:P457"/>
    <mergeCell ref="E458:E464"/>
    <mergeCell ref="A510:C510"/>
    <mergeCell ref="A466:E466"/>
  </mergeCells>
  <phoneticPr fontId="12" type="noConversion"/>
  <pageMargins left="0.7" right="0.7" top="0.75" bottom="0.75" header="0.3" footer="0.3"/>
  <pageSetup paperSize="8" orientation="portrait"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1">
    <pageSetUpPr fitToPage="1"/>
  </sheetPr>
  <dimension ref="A1:AV167"/>
  <sheetViews>
    <sheetView workbookViewId="0"/>
  </sheetViews>
  <sheetFormatPr defaultRowHeight="12.75" x14ac:dyDescent="0.2"/>
  <cols>
    <col min="1" max="1" width="15.7109375" customWidth="1"/>
    <col min="4" max="4" width="22.5703125" bestFit="1" customWidth="1"/>
    <col min="5" max="5" width="16.140625" customWidth="1"/>
    <col min="6" max="6" width="14.7109375" customWidth="1"/>
    <col min="10" max="10" width="16.28515625" bestFit="1" customWidth="1"/>
    <col min="11" max="11" width="14.5703125" bestFit="1" customWidth="1"/>
    <col min="15" max="15" width="17.140625" bestFit="1" customWidth="1"/>
    <col min="18" max="18" width="15.85546875" bestFit="1" customWidth="1"/>
    <col min="31" max="31" width="8.7109375" bestFit="1" customWidth="1"/>
    <col min="32" max="32" width="8.7109375" customWidth="1"/>
    <col min="33" max="38" width="5.85546875" bestFit="1" customWidth="1"/>
    <col min="39" max="39" width="19.28515625" bestFit="1" customWidth="1"/>
    <col min="40" max="40" width="12.140625" bestFit="1" customWidth="1"/>
    <col min="41" max="41" width="15" bestFit="1" customWidth="1"/>
    <col min="42" max="42" width="11.28515625" bestFit="1" customWidth="1"/>
    <col min="43" max="43" width="11.42578125" bestFit="1" customWidth="1"/>
    <col min="46" max="48" width="10.7109375" customWidth="1"/>
  </cols>
  <sheetData>
    <row r="1" spans="1:48" ht="23.25" x14ac:dyDescent="0.35">
      <c r="A1" s="4" t="s">
        <v>495</v>
      </c>
      <c r="B1" s="1"/>
      <c r="C1" s="1"/>
      <c r="D1" s="1"/>
      <c r="E1" s="1"/>
      <c r="F1" s="1"/>
      <c r="G1" s="1"/>
      <c r="H1" s="1"/>
      <c r="I1" s="1"/>
      <c r="J1" s="1"/>
      <c r="K1" s="1"/>
      <c r="L1" s="1"/>
      <c r="M1" s="1"/>
      <c r="N1" s="1"/>
      <c r="O1" s="1"/>
      <c r="P1" s="1"/>
      <c r="T1" s="576" t="s">
        <v>439</v>
      </c>
      <c r="U1" s="577" t="s">
        <v>34</v>
      </c>
      <c r="V1" s="577" t="s">
        <v>64</v>
      </c>
      <c r="W1" s="577" t="s">
        <v>136</v>
      </c>
      <c r="X1" s="578"/>
      <c r="Y1" s="577" t="s">
        <v>439</v>
      </c>
      <c r="Z1" s="577" t="s">
        <v>34</v>
      </c>
      <c r="AA1" s="577" t="s">
        <v>64</v>
      </c>
      <c r="AB1" s="579" t="s">
        <v>136</v>
      </c>
      <c r="AC1" s="580">
        <f>600/7</f>
        <v>85.714285714285708</v>
      </c>
      <c r="AE1" s="5" t="s">
        <v>92</v>
      </c>
      <c r="AF1" s="5"/>
      <c r="AG1" s="1403" t="s">
        <v>538</v>
      </c>
      <c r="AH1" s="1403"/>
      <c r="AI1" s="1403" t="s">
        <v>539</v>
      </c>
      <c r="AJ1" s="1404"/>
      <c r="AK1" s="1403" t="s">
        <v>246</v>
      </c>
      <c r="AL1" s="1404"/>
      <c r="AM1" s="1"/>
      <c r="AN1" s="1"/>
      <c r="AO1" s="1"/>
      <c r="AP1" s="1"/>
      <c r="AQ1" s="1"/>
      <c r="AT1" s="5" t="s">
        <v>114</v>
      </c>
      <c r="AU1" s="5"/>
      <c r="AV1" s="5"/>
    </row>
    <row r="2" spans="1:48" x14ac:dyDescent="0.2">
      <c r="A2" s="1"/>
      <c r="B2" s="1"/>
      <c r="C2" s="1"/>
      <c r="D2" s="1"/>
      <c r="E2" s="1"/>
      <c r="F2" s="1"/>
      <c r="G2" s="1"/>
      <c r="H2" s="1"/>
      <c r="I2" s="1"/>
      <c r="J2" s="1"/>
      <c r="K2" s="1"/>
      <c r="L2" s="1"/>
      <c r="M2" s="1"/>
      <c r="N2" s="1"/>
      <c r="O2" s="1"/>
      <c r="P2" s="1"/>
      <c r="T2" s="581">
        <v>1</v>
      </c>
      <c r="U2" s="582">
        <f>$T2*230</f>
        <v>230</v>
      </c>
      <c r="V2" s="582">
        <f t="shared" ref="V2:V65" si="0">$U2+20</f>
        <v>250</v>
      </c>
      <c r="W2" s="583">
        <f>CEILING($T2*CourseStd,1)</f>
        <v>86</v>
      </c>
      <c r="X2" s="584"/>
      <c r="Y2" s="585">
        <v>1</v>
      </c>
      <c r="Z2" s="586">
        <v>305</v>
      </c>
      <c r="AA2" s="586">
        <f t="shared" ref="AA2:AA65" si="1">Z2+20</f>
        <v>325</v>
      </c>
      <c r="AB2" s="583">
        <f>CEILING($Y2*CourseTwo,1)</f>
        <v>172</v>
      </c>
      <c r="AC2" s="580">
        <f>1200/7</f>
        <v>171.42857142857142</v>
      </c>
      <c r="AE2" s="1"/>
      <c r="AF2" s="54" t="s">
        <v>112</v>
      </c>
      <c r="AG2" s="1" t="s">
        <v>100</v>
      </c>
      <c r="AH2" s="1" t="s">
        <v>99</v>
      </c>
      <c r="AI2" s="1" t="s">
        <v>100</v>
      </c>
      <c r="AJ2" s="1" t="s">
        <v>99</v>
      </c>
      <c r="AK2" s="54" t="s">
        <v>100</v>
      </c>
      <c r="AL2" s="54" t="s">
        <v>99</v>
      </c>
      <c r="AM2" s="1" t="s">
        <v>110</v>
      </c>
      <c r="AN2" s="1" t="s">
        <v>248</v>
      </c>
      <c r="AO2" s="1" t="s">
        <v>249</v>
      </c>
      <c r="AP2" s="1" t="s">
        <v>250</v>
      </c>
      <c r="AQ2" s="1" t="s">
        <v>251</v>
      </c>
      <c r="AT2" s="5" t="s">
        <v>531</v>
      </c>
      <c r="AU2" s="5" t="s">
        <v>244</v>
      </c>
      <c r="AV2" s="5" t="s">
        <v>532</v>
      </c>
    </row>
    <row r="3" spans="1:48" x14ac:dyDescent="0.2">
      <c r="A3" s="1"/>
      <c r="B3" s="1"/>
      <c r="C3" s="1"/>
      <c r="D3" s="1"/>
      <c r="E3" s="1"/>
      <c r="F3" s="1"/>
      <c r="G3" s="1"/>
      <c r="H3" s="1"/>
      <c r="I3" s="1"/>
      <c r="J3" s="1"/>
      <c r="K3" s="1"/>
      <c r="L3" s="1"/>
      <c r="M3" s="1"/>
      <c r="N3" s="1"/>
      <c r="O3" s="1"/>
      <c r="P3" s="1"/>
      <c r="T3" s="587">
        <v>1.5</v>
      </c>
      <c r="U3" s="588">
        <f t="shared" ref="U3:U66" si="2">$T3*230+(($T3-1)/0.5)*5</f>
        <v>350</v>
      </c>
      <c r="V3" s="588">
        <f t="shared" si="0"/>
        <v>370</v>
      </c>
      <c r="W3" s="589"/>
      <c r="X3" s="584"/>
      <c r="Y3" s="590">
        <v>1.33</v>
      </c>
      <c r="Z3" s="591">
        <f>Z2+100</f>
        <v>405</v>
      </c>
      <c r="AA3" s="591">
        <f t="shared" si="1"/>
        <v>425</v>
      </c>
      <c r="AB3" s="589"/>
      <c r="AC3" s="580"/>
      <c r="AE3" s="300" t="s">
        <v>252</v>
      </c>
      <c r="AF3" s="94">
        <v>85</v>
      </c>
      <c r="AG3" s="83">
        <v>200</v>
      </c>
      <c r="AH3" s="83">
        <v>300</v>
      </c>
      <c r="AI3" s="83" t="s">
        <v>253</v>
      </c>
      <c r="AJ3" s="83" t="s">
        <v>253</v>
      </c>
      <c r="AK3" s="83">
        <v>200</v>
      </c>
      <c r="AL3" s="83">
        <v>300</v>
      </c>
      <c r="AM3" s="83" t="s">
        <v>253</v>
      </c>
      <c r="AN3" s="83" t="s">
        <v>253</v>
      </c>
      <c r="AO3" s="83" t="s">
        <v>253</v>
      </c>
      <c r="AP3" s="83" t="s">
        <v>253</v>
      </c>
      <c r="AQ3" s="84" t="s">
        <v>158</v>
      </c>
      <c r="AT3" s="74" t="s">
        <v>252</v>
      </c>
      <c r="AU3" s="75">
        <v>22</v>
      </c>
      <c r="AV3" s="76" t="s">
        <v>288</v>
      </c>
    </row>
    <row r="4" spans="1:48" x14ac:dyDescent="0.2">
      <c r="A4" s="5" t="s">
        <v>68</v>
      </c>
      <c r="B4" s="1"/>
      <c r="C4" s="1"/>
      <c r="D4" s="5" t="s">
        <v>305</v>
      </c>
      <c r="E4" s="1"/>
      <c r="F4" s="5" t="s">
        <v>33</v>
      </c>
      <c r="G4" s="1"/>
      <c r="H4" s="5" t="s">
        <v>66</v>
      </c>
      <c r="I4" s="1"/>
      <c r="J4" s="5" t="s">
        <v>37</v>
      </c>
      <c r="K4" s="1"/>
      <c r="L4" s="5" t="s">
        <v>492</v>
      </c>
      <c r="M4" s="1"/>
      <c r="N4" s="1"/>
      <c r="O4" s="5" t="s">
        <v>55</v>
      </c>
      <c r="P4" s="1"/>
      <c r="T4" s="587">
        <v>2</v>
      </c>
      <c r="U4" s="588">
        <f t="shared" si="2"/>
        <v>470</v>
      </c>
      <c r="V4" s="588">
        <f t="shared" si="0"/>
        <v>490</v>
      </c>
      <c r="W4" s="589">
        <f>CEILING($T4*CourseStd,1)</f>
        <v>172</v>
      </c>
      <c r="X4" s="584"/>
      <c r="Y4" s="590">
        <v>1.67</v>
      </c>
      <c r="Z4" s="591">
        <f>Z3+100</f>
        <v>505</v>
      </c>
      <c r="AA4" s="591">
        <f t="shared" si="1"/>
        <v>525</v>
      </c>
      <c r="AB4" s="589"/>
      <c r="AC4" s="580"/>
      <c r="AE4" s="85" t="s">
        <v>254</v>
      </c>
      <c r="AF4" s="95">
        <v>100</v>
      </c>
      <c r="AG4">
        <v>200</v>
      </c>
      <c r="AH4">
        <v>375</v>
      </c>
      <c r="AI4" t="s">
        <v>253</v>
      </c>
      <c r="AJ4" t="s">
        <v>253</v>
      </c>
      <c r="AK4">
        <v>200</v>
      </c>
      <c r="AL4">
        <v>375</v>
      </c>
      <c r="AM4" t="s">
        <v>255</v>
      </c>
      <c r="AN4" t="s">
        <v>253</v>
      </c>
      <c r="AO4" t="s">
        <v>253</v>
      </c>
      <c r="AP4" t="s">
        <v>253</v>
      </c>
      <c r="AQ4" s="86" t="s">
        <v>158</v>
      </c>
      <c r="AT4" s="77" t="s">
        <v>252</v>
      </c>
      <c r="AU4" s="2">
        <v>26</v>
      </c>
      <c r="AV4" s="78" t="s">
        <v>289</v>
      </c>
    </row>
    <row r="5" spans="1:48" x14ac:dyDescent="0.2">
      <c r="B5" s="1"/>
      <c r="C5" s="1"/>
      <c r="D5" s="33"/>
      <c r="E5" s="1"/>
      <c r="F5" s="592"/>
      <c r="G5" s="1"/>
      <c r="H5" s="37">
        <v>0.94</v>
      </c>
      <c r="I5" s="1"/>
      <c r="J5" t="s">
        <v>38</v>
      </c>
      <c r="K5" s="1"/>
      <c r="L5" t="s">
        <v>61</v>
      </c>
      <c r="M5" s="1"/>
      <c r="N5" s="1"/>
      <c r="O5" t="s">
        <v>41</v>
      </c>
      <c r="P5" s="1"/>
      <c r="T5" s="587">
        <v>2.5</v>
      </c>
      <c r="U5" s="588">
        <f t="shared" si="2"/>
        <v>590</v>
      </c>
      <c r="V5" s="588">
        <f t="shared" si="0"/>
        <v>610</v>
      </c>
      <c r="W5" s="589"/>
      <c r="X5" s="584"/>
      <c r="Y5" s="590">
        <v>2</v>
      </c>
      <c r="Z5" s="591">
        <f>$Y5*305+($Y5-1)*10</f>
        <v>620</v>
      </c>
      <c r="AA5" s="591">
        <f t="shared" si="1"/>
        <v>640</v>
      </c>
      <c r="AB5" s="589">
        <f>CEILING($Y5*CourseTwo,1)</f>
        <v>343</v>
      </c>
      <c r="AC5" s="580"/>
      <c r="AE5" s="85" t="s">
        <v>256</v>
      </c>
      <c r="AF5" s="95">
        <v>100</v>
      </c>
      <c r="AG5">
        <v>280</v>
      </c>
      <c r="AH5">
        <v>300</v>
      </c>
      <c r="AI5" t="s">
        <v>253</v>
      </c>
      <c r="AJ5" t="s">
        <v>253</v>
      </c>
      <c r="AK5">
        <v>280</v>
      </c>
      <c r="AL5">
        <v>300</v>
      </c>
      <c r="AM5" t="s">
        <v>255</v>
      </c>
      <c r="AN5" t="s">
        <v>253</v>
      </c>
      <c r="AO5" t="s">
        <v>253</v>
      </c>
      <c r="AP5" t="s">
        <v>253</v>
      </c>
      <c r="AQ5" s="86" t="s">
        <v>158</v>
      </c>
      <c r="AT5" s="77" t="s">
        <v>252</v>
      </c>
      <c r="AU5" s="2">
        <v>28</v>
      </c>
      <c r="AV5" s="78" t="s">
        <v>258</v>
      </c>
    </row>
    <row r="6" spans="1:48" x14ac:dyDescent="0.2">
      <c r="A6" t="s">
        <v>431</v>
      </c>
      <c r="B6" s="1"/>
      <c r="C6" s="1"/>
      <c r="D6" s="33" t="s">
        <v>22</v>
      </c>
      <c r="E6" s="1"/>
      <c r="F6" s="592" t="s">
        <v>42</v>
      </c>
      <c r="G6" s="1"/>
      <c r="H6" s="37">
        <v>1.25</v>
      </c>
      <c r="I6" s="1"/>
      <c r="J6" t="s">
        <v>39</v>
      </c>
      <c r="K6" s="1"/>
      <c r="L6" t="s">
        <v>202</v>
      </c>
      <c r="M6" s="1"/>
      <c r="N6" s="1"/>
      <c r="O6" t="s">
        <v>184</v>
      </c>
      <c r="P6" s="1"/>
      <c r="T6" s="587">
        <v>3</v>
      </c>
      <c r="U6" s="588">
        <f t="shared" si="2"/>
        <v>710</v>
      </c>
      <c r="V6" s="588">
        <f t="shared" si="0"/>
        <v>730</v>
      </c>
      <c r="W6" s="589">
        <f>FLOOR($T6*CourseStd,1)</f>
        <v>257</v>
      </c>
      <c r="X6" s="584"/>
      <c r="Y6" s="590">
        <v>2.33</v>
      </c>
      <c r="Z6" s="591">
        <f>Z5+100</f>
        <v>720</v>
      </c>
      <c r="AA6" s="591">
        <f t="shared" si="1"/>
        <v>740</v>
      </c>
      <c r="AB6" s="589"/>
      <c r="AC6" s="580"/>
      <c r="AE6" s="85" t="s">
        <v>257</v>
      </c>
      <c r="AF6" s="95">
        <v>100</v>
      </c>
      <c r="AG6">
        <v>200</v>
      </c>
      <c r="AH6">
        <v>375</v>
      </c>
      <c r="AI6" t="s">
        <v>253</v>
      </c>
      <c r="AJ6" t="s">
        <v>253</v>
      </c>
      <c r="AK6">
        <v>200</v>
      </c>
      <c r="AL6">
        <v>300</v>
      </c>
      <c r="AM6" t="s">
        <v>255</v>
      </c>
      <c r="AN6" t="s">
        <v>253</v>
      </c>
      <c r="AO6" t="s">
        <v>253</v>
      </c>
      <c r="AP6" t="s">
        <v>253</v>
      </c>
      <c r="AQ6" s="86" t="s">
        <v>158</v>
      </c>
      <c r="AT6" s="77" t="s">
        <v>254</v>
      </c>
      <c r="AU6" s="2">
        <v>26</v>
      </c>
      <c r="AV6" s="78" t="s">
        <v>258</v>
      </c>
    </row>
    <row r="7" spans="1:48" x14ac:dyDescent="0.2">
      <c r="A7" t="s">
        <v>71</v>
      </c>
      <c r="B7" s="1"/>
      <c r="C7" s="1"/>
      <c r="D7" s="33" t="s">
        <v>132</v>
      </c>
      <c r="E7" s="1"/>
      <c r="F7" s="592" t="s">
        <v>2738</v>
      </c>
      <c r="G7" s="1"/>
      <c r="H7" s="37">
        <v>1.57</v>
      </c>
      <c r="I7" s="1"/>
      <c r="J7" t="s">
        <v>40</v>
      </c>
      <c r="K7" s="1"/>
      <c r="L7" t="s">
        <v>203</v>
      </c>
      <c r="M7" s="1"/>
      <c r="N7" s="1"/>
      <c r="O7" s="1"/>
      <c r="P7" s="1"/>
      <c r="T7" s="587">
        <v>3.5</v>
      </c>
      <c r="U7" s="588">
        <f t="shared" si="2"/>
        <v>830</v>
      </c>
      <c r="V7" s="588">
        <f t="shared" si="0"/>
        <v>850</v>
      </c>
      <c r="W7" s="589"/>
      <c r="X7" s="584"/>
      <c r="Y7" s="590">
        <v>2.67</v>
      </c>
      <c r="Z7" s="591">
        <f>Z6+100</f>
        <v>820</v>
      </c>
      <c r="AA7" s="591">
        <f t="shared" si="1"/>
        <v>840</v>
      </c>
      <c r="AB7" s="589"/>
      <c r="AC7" s="580"/>
      <c r="AE7" s="85" t="s">
        <v>259</v>
      </c>
      <c r="AF7" s="95">
        <v>100</v>
      </c>
      <c r="AG7">
        <v>280</v>
      </c>
      <c r="AH7">
        <v>300</v>
      </c>
      <c r="AI7" t="s">
        <v>253</v>
      </c>
      <c r="AJ7" t="s">
        <v>253</v>
      </c>
      <c r="AK7">
        <v>280</v>
      </c>
      <c r="AL7">
        <v>300</v>
      </c>
      <c r="AM7" t="s">
        <v>255</v>
      </c>
      <c r="AN7" t="s">
        <v>253</v>
      </c>
      <c r="AO7" t="s">
        <v>253</v>
      </c>
      <c r="AP7" t="s">
        <v>253</v>
      </c>
      <c r="AQ7" s="86" t="s">
        <v>158</v>
      </c>
      <c r="AT7" s="77" t="s">
        <v>254</v>
      </c>
      <c r="AU7" s="2">
        <v>30</v>
      </c>
      <c r="AV7" s="78" t="s">
        <v>290</v>
      </c>
    </row>
    <row r="8" spans="1:48" x14ac:dyDescent="0.2">
      <c r="A8" t="s">
        <v>72</v>
      </c>
      <c r="B8" s="1"/>
      <c r="C8" s="1"/>
      <c r="D8" s="33" t="s">
        <v>28</v>
      </c>
      <c r="E8" s="1"/>
      <c r="F8" s="592" t="s">
        <v>386</v>
      </c>
      <c r="G8" s="1"/>
      <c r="H8" s="37">
        <v>1.89</v>
      </c>
      <c r="I8" s="1"/>
      <c r="J8" t="s">
        <v>508</v>
      </c>
      <c r="K8" s="1"/>
      <c r="L8" t="s">
        <v>204</v>
      </c>
      <c r="M8" s="1"/>
      <c r="N8" s="1"/>
      <c r="O8" s="1"/>
      <c r="P8" s="1"/>
      <c r="T8" s="587">
        <v>4</v>
      </c>
      <c r="U8" s="588">
        <f t="shared" si="2"/>
        <v>950</v>
      </c>
      <c r="V8" s="588">
        <f t="shared" si="0"/>
        <v>970</v>
      </c>
      <c r="W8" s="589">
        <f>CEILING($T8*CourseStd,1)</f>
        <v>343</v>
      </c>
      <c r="X8" s="584"/>
      <c r="Y8" s="590">
        <v>3</v>
      </c>
      <c r="Z8" s="591">
        <f>$Y8*305+($Y8-1)*10</f>
        <v>935</v>
      </c>
      <c r="AA8" s="591">
        <f t="shared" si="1"/>
        <v>955</v>
      </c>
      <c r="AB8" s="589">
        <f>FLOOR($Y8*CourseTwo,1)</f>
        <v>514</v>
      </c>
      <c r="AC8" s="580"/>
      <c r="AE8" s="85" t="s">
        <v>260</v>
      </c>
      <c r="AF8" s="95">
        <v>100</v>
      </c>
      <c r="AG8">
        <v>280</v>
      </c>
      <c r="AH8">
        <v>300</v>
      </c>
      <c r="AI8" t="s">
        <v>253</v>
      </c>
      <c r="AJ8" t="s">
        <v>253</v>
      </c>
      <c r="AK8">
        <v>280</v>
      </c>
      <c r="AL8">
        <v>300</v>
      </c>
      <c r="AM8" t="s">
        <v>255</v>
      </c>
      <c r="AN8" t="s">
        <v>261</v>
      </c>
      <c r="AO8" t="s">
        <v>253</v>
      </c>
      <c r="AP8" t="s">
        <v>253</v>
      </c>
      <c r="AQ8" s="86" t="s">
        <v>158</v>
      </c>
      <c r="AT8" s="77" t="s">
        <v>256</v>
      </c>
      <c r="AU8" s="2">
        <v>22</v>
      </c>
      <c r="AV8" s="78" t="s">
        <v>289</v>
      </c>
    </row>
    <row r="9" spans="1:48" x14ac:dyDescent="0.2">
      <c r="A9" t="s">
        <v>73</v>
      </c>
      <c r="B9" s="1"/>
      <c r="C9" s="1"/>
      <c r="D9" s="33" t="s">
        <v>16</v>
      </c>
      <c r="E9" s="1"/>
      <c r="F9" s="592" t="s">
        <v>386</v>
      </c>
      <c r="G9" s="1"/>
      <c r="H9" s="37">
        <v>2.2000000000000002</v>
      </c>
      <c r="I9" s="1"/>
      <c r="J9" s="1"/>
      <c r="K9" s="1"/>
      <c r="L9" s="1"/>
      <c r="M9" s="1"/>
      <c r="N9" s="1"/>
      <c r="O9" s="1"/>
      <c r="P9" s="1"/>
      <c r="T9" s="587">
        <v>4.5</v>
      </c>
      <c r="U9" s="588">
        <f t="shared" si="2"/>
        <v>1070</v>
      </c>
      <c r="V9" s="588">
        <f t="shared" si="0"/>
        <v>1090</v>
      </c>
      <c r="W9" s="589"/>
      <c r="X9" s="584"/>
      <c r="Y9" s="590">
        <v>3.33</v>
      </c>
      <c r="Z9" s="591">
        <f>Z8+100</f>
        <v>1035</v>
      </c>
      <c r="AA9" s="591">
        <f t="shared" si="1"/>
        <v>1055</v>
      </c>
      <c r="AB9" s="589"/>
      <c r="AC9" s="580"/>
      <c r="AE9" s="85" t="s">
        <v>262</v>
      </c>
      <c r="AF9" s="95">
        <v>100</v>
      </c>
      <c r="AG9">
        <v>280</v>
      </c>
      <c r="AH9">
        <v>300</v>
      </c>
      <c r="AI9">
        <v>150</v>
      </c>
      <c r="AJ9">
        <v>300</v>
      </c>
      <c r="AK9">
        <v>280</v>
      </c>
      <c r="AL9">
        <v>300</v>
      </c>
      <c r="AM9" t="s">
        <v>255</v>
      </c>
      <c r="AN9" t="s">
        <v>261</v>
      </c>
      <c r="AO9" t="s">
        <v>253</v>
      </c>
      <c r="AP9" t="s">
        <v>263</v>
      </c>
      <c r="AQ9" s="86" t="s">
        <v>158</v>
      </c>
      <c r="AT9" s="77" t="s">
        <v>256</v>
      </c>
      <c r="AU9" s="2">
        <v>26</v>
      </c>
      <c r="AV9" s="78" t="s">
        <v>258</v>
      </c>
    </row>
    <row r="10" spans="1:48" x14ac:dyDescent="0.2">
      <c r="A10" t="s">
        <v>74</v>
      </c>
      <c r="B10" s="1"/>
      <c r="C10" s="1"/>
      <c r="D10" s="33" t="s">
        <v>15</v>
      </c>
      <c r="E10" s="1"/>
      <c r="F10" s="592" t="s">
        <v>45</v>
      </c>
      <c r="G10" s="1"/>
      <c r="H10" s="37">
        <v>2.5</v>
      </c>
      <c r="I10" s="1"/>
      <c r="J10" s="1"/>
      <c r="K10" s="1"/>
      <c r="L10" s="1"/>
      <c r="M10" s="1"/>
      <c r="N10" s="1"/>
      <c r="O10" s="1"/>
      <c r="P10" s="1"/>
      <c r="T10" s="587">
        <v>5</v>
      </c>
      <c r="U10" s="588">
        <f t="shared" si="2"/>
        <v>1190</v>
      </c>
      <c r="V10" s="588">
        <f t="shared" si="0"/>
        <v>1210</v>
      </c>
      <c r="W10" s="589">
        <f>CEILING($T10*CourseStd,1)</f>
        <v>429</v>
      </c>
      <c r="X10" s="584"/>
      <c r="Y10" s="590">
        <v>3.67</v>
      </c>
      <c r="Z10" s="591">
        <f>Z9+100</f>
        <v>1135</v>
      </c>
      <c r="AA10" s="591">
        <f t="shared" si="1"/>
        <v>1155</v>
      </c>
      <c r="AB10" s="589"/>
      <c r="AC10" s="580"/>
      <c r="AE10" s="85" t="s">
        <v>264</v>
      </c>
      <c r="AF10" s="95">
        <v>100</v>
      </c>
      <c r="AG10">
        <v>350</v>
      </c>
      <c r="AH10">
        <v>300</v>
      </c>
      <c r="AI10">
        <v>200</v>
      </c>
      <c r="AJ10">
        <v>300</v>
      </c>
      <c r="AK10">
        <v>350</v>
      </c>
      <c r="AL10">
        <v>300</v>
      </c>
      <c r="AM10" t="s">
        <v>265</v>
      </c>
      <c r="AN10" t="s">
        <v>266</v>
      </c>
      <c r="AO10" t="s">
        <v>267</v>
      </c>
      <c r="AP10" t="s">
        <v>268</v>
      </c>
      <c r="AQ10" s="86" t="s">
        <v>269</v>
      </c>
      <c r="AT10" s="77" t="s">
        <v>256</v>
      </c>
      <c r="AU10" s="2">
        <v>30</v>
      </c>
      <c r="AV10" s="78" t="s">
        <v>290</v>
      </c>
    </row>
    <row r="11" spans="1:48" x14ac:dyDescent="0.2">
      <c r="A11" t="s">
        <v>75</v>
      </c>
      <c r="B11" s="1"/>
      <c r="C11" s="1"/>
      <c r="D11" s="33" t="s">
        <v>25</v>
      </c>
      <c r="E11" s="1"/>
      <c r="F11" s="592" t="s">
        <v>46</v>
      </c>
      <c r="G11" s="1"/>
      <c r="H11" s="37">
        <v>2.83</v>
      </c>
      <c r="I11" s="1"/>
      <c r="J11" s="1"/>
      <c r="K11" s="1"/>
      <c r="L11" s="1"/>
      <c r="M11" s="1"/>
      <c r="N11" s="1"/>
      <c r="O11" s="1"/>
      <c r="P11" s="1"/>
      <c r="T11" s="587">
        <v>5.5</v>
      </c>
      <c r="U11" s="588">
        <f t="shared" si="2"/>
        <v>1310</v>
      </c>
      <c r="V11" s="588">
        <f t="shared" si="0"/>
        <v>1330</v>
      </c>
      <c r="W11" s="589"/>
      <c r="X11" s="584"/>
      <c r="Y11" s="590">
        <v>4</v>
      </c>
      <c r="Z11" s="591">
        <f>$Y11*305+($Y11-1)*10</f>
        <v>1250</v>
      </c>
      <c r="AA11" s="591">
        <f t="shared" si="1"/>
        <v>1270</v>
      </c>
      <c r="AB11" s="589">
        <f>CEILING($Y11*CourseTwo,1)</f>
        <v>686</v>
      </c>
      <c r="AC11" s="580"/>
      <c r="AE11" s="85" t="s">
        <v>270</v>
      </c>
      <c r="AF11" s="95">
        <v>100</v>
      </c>
      <c r="AG11">
        <v>350</v>
      </c>
      <c r="AH11">
        <v>350</v>
      </c>
      <c r="AI11">
        <v>250</v>
      </c>
      <c r="AJ11">
        <v>300</v>
      </c>
      <c r="AK11">
        <v>350</v>
      </c>
      <c r="AL11">
        <v>300</v>
      </c>
      <c r="AM11" t="s">
        <v>265</v>
      </c>
      <c r="AN11" t="s">
        <v>266</v>
      </c>
      <c r="AO11" t="s">
        <v>271</v>
      </c>
      <c r="AP11" t="s">
        <v>268</v>
      </c>
      <c r="AQ11" s="86" t="s">
        <v>269</v>
      </c>
      <c r="AT11" s="77" t="s">
        <v>257</v>
      </c>
      <c r="AU11" s="2"/>
      <c r="AV11" s="78" t="s">
        <v>258</v>
      </c>
    </row>
    <row r="12" spans="1:48" x14ac:dyDescent="0.2">
      <c r="A12" t="s">
        <v>76</v>
      </c>
      <c r="B12" s="1"/>
      <c r="C12" s="1"/>
      <c r="D12" s="33" t="s">
        <v>26</v>
      </c>
      <c r="E12" s="1"/>
      <c r="F12" s="592" t="s">
        <v>47</v>
      </c>
      <c r="G12" s="1"/>
      <c r="H12" s="37">
        <v>3.14</v>
      </c>
      <c r="I12" s="1"/>
      <c r="J12" s="1"/>
      <c r="K12" s="1"/>
      <c r="L12" s="1"/>
      <c r="M12" s="1"/>
      <c r="N12" s="1"/>
      <c r="O12" s="1"/>
      <c r="P12" s="1"/>
      <c r="T12" s="587">
        <v>6</v>
      </c>
      <c r="U12" s="588">
        <f t="shared" si="2"/>
        <v>1430</v>
      </c>
      <c r="V12" s="588">
        <f t="shared" si="0"/>
        <v>1450</v>
      </c>
      <c r="W12" s="589">
        <f>FLOOR($T12*CourseStd,1)</f>
        <v>514</v>
      </c>
      <c r="X12" s="584"/>
      <c r="Y12" s="590">
        <v>4.33</v>
      </c>
      <c r="Z12" s="591">
        <f>Z11+100</f>
        <v>1350</v>
      </c>
      <c r="AA12" s="591">
        <f t="shared" si="1"/>
        <v>1370</v>
      </c>
      <c r="AB12" s="589"/>
      <c r="AC12" s="580"/>
      <c r="AE12" s="85" t="s">
        <v>272</v>
      </c>
      <c r="AF12" s="95">
        <v>100</v>
      </c>
      <c r="AG12">
        <v>400</v>
      </c>
      <c r="AH12">
        <v>350</v>
      </c>
      <c r="AI12">
        <v>350</v>
      </c>
      <c r="AJ12">
        <v>300</v>
      </c>
      <c r="AK12">
        <v>400</v>
      </c>
      <c r="AL12">
        <v>300</v>
      </c>
      <c r="AM12" t="s">
        <v>265</v>
      </c>
      <c r="AN12" t="s">
        <v>273</v>
      </c>
      <c r="AO12" t="s">
        <v>261</v>
      </c>
      <c r="AP12" t="s">
        <v>268</v>
      </c>
      <c r="AQ12" s="86" t="s">
        <v>269</v>
      </c>
      <c r="AT12" s="77" t="s">
        <v>259</v>
      </c>
      <c r="AU12" s="2">
        <v>26</v>
      </c>
      <c r="AV12" s="78" t="s">
        <v>289</v>
      </c>
    </row>
    <row r="13" spans="1:48" x14ac:dyDescent="0.2">
      <c r="B13" s="1"/>
      <c r="C13" s="1"/>
      <c r="D13" s="33" t="s">
        <v>27</v>
      </c>
      <c r="E13" s="1"/>
      <c r="F13" s="592" t="s">
        <v>48</v>
      </c>
      <c r="G13" s="1"/>
      <c r="H13" s="1"/>
      <c r="I13" s="1"/>
      <c r="J13" s="1"/>
      <c r="K13" s="1"/>
      <c r="L13" s="1"/>
      <c r="M13" s="1"/>
      <c r="N13" s="1"/>
      <c r="O13" s="1"/>
      <c r="P13" s="1"/>
      <c r="T13" s="587">
        <v>6.5</v>
      </c>
      <c r="U13" s="588">
        <f t="shared" si="2"/>
        <v>1550</v>
      </c>
      <c r="V13" s="588">
        <f t="shared" si="0"/>
        <v>1570</v>
      </c>
      <c r="W13" s="589"/>
      <c r="X13" s="584"/>
      <c r="Y13" s="590">
        <v>4.67</v>
      </c>
      <c r="Z13" s="591">
        <f>Z12+100</f>
        <v>1450</v>
      </c>
      <c r="AA13" s="591">
        <f t="shared" si="1"/>
        <v>1470</v>
      </c>
      <c r="AB13" s="589"/>
      <c r="AC13" s="580"/>
      <c r="AE13" s="85" t="s">
        <v>274</v>
      </c>
      <c r="AF13" s="95">
        <v>100</v>
      </c>
      <c r="AG13">
        <v>450</v>
      </c>
      <c r="AH13">
        <v>350</v>
      </c>
      <c r="AI13">
        <v>450</v>
      </c>
      <c r="AJ13">
        <v>300</v>
      </c>
      <c r="AK13">
        <v>450</v>
      </c>
      <c r="AL13">
        <v>300</v>
      </c>
      <c r="AM13" t="s">
        <v>265</v>
      </c>
      <c r="AN13" t="s">
        <v>275</v>
      </c>
      <c r="AO13" t="s">
        <v>276</v>
      </c>
      <c r="AP13" t="s">
        <v>268</v>
      </c>
      <c r="AQ13" s="86" t="s">
        <v>269</v>
      </c>
      <c r="AT13" s="77" t="s">
        <v>259</v>
      </c>
      <c r="AU13" s="2">
        <v>30</v>
      </c>
      <c r="AV13" s="78" t="s">
        <v>258</v>
      </c>
    </row>
    <row r="14" spans="1:48" x14ac:dyDescent="0.2">
      <c r="B14" s="1"/>
      <c r="C14" s="1"/>
      <c r="D14" s="33" t="s">
        <v>385</v>
      </c>
      <c r="E14" s="1"/>
      <c r="F14" s="592" t="s">
        <v>32</v>
      </c>
      <c r="G14" s="1"/>
      <c r="H14" s="1"/>
      <c r="I14" s="1"/>
      <c r="J14" s="1"/>
      <c r="K14" s="1"/>
      <c r="L14" s="1"/>
      <c r="M14" s="1"/>
      <c r="N14" s="1"/>
      <c r="O14" s="1"/>
      <c r="P14" s="1"/>
      <c r="T14" s="587">
        <v>7</v>
      </c>
      <c r="U14" s="588">
        <f t="shared" si="2"/>
        <v>1670</v>
      </c>
      <c r="V14" s="588">
        <f t="shared" si="0"/>
        <v>1690</v>
      </c>
      <c r="W14" s="589">
        <f>CEILING($T14*CourseStd,1)</f>
        <v>600</v>
      </c>
      <c r="X14" s="584"/>
      <c r="Y14" s="590">
        <v>5</v>
      </c>
      <c r="Z14" s="591">
        <f>$Y14*305+($Y14-1)*10</f>
        <v>1565</v>
      </c>
      <c r="AA14" s="591">
        <f t="shared" si="1"/>
        <v>1585</v>
      </c>
      <c r="AB14" s="589">
        <f>FLOOR($Y14*CourseTwo,1)</f>
        <v>857</v>
      </c>
      <c r="AC14" s="580"/>
      <c r="AE14" s="85" t="s">
        <v>277</v>
      </c>
      <c r="AF14" s="95">
        <v>100</v>
      </c>
      <c r="AG14">
        <v>500</v>
      </c>
      <c r="AH14">
        <v>350</v>
      </c>
      <c r="AI14">
        <v>550</v>
      </c>
      <c r="AJ14">
        <v>300</v>
      </c>
      <c r="AK14">
        <v>500</v>
      </c>
      <c r="AL14">
        <v>300</v>
      </c>
      <c r="AM14" t="s">
        <v>265</v>
      </c>
      <c r="AN14" t="s">
        <v>278</v>
      </c>
      <c r="AO14" t="s">
        <v>279</v>
      </c>
      <c r="AP14" t="s">
        <v>268</v>
      </c>
      <c r="AQ14" s="86" t="s">
        <v>269</v>
      </c>
      <c r="AT14" s="77" t="s">
        <v>260</v>
      </c>
      <c r="AU14" s="2">
        <v>22</v>
      </c>
      <c r="AV14" s="78" t="s">
        <v>289</v>
      </c>
    </row>
    <row r="15" spans="1:48" x14ac:dyDescent="0.2">
      <c r="B15" s="1"/>
      <c r="C15" s="1"/>
      <c r="D15" s="33" t="s">
        <v>247</v>
      </c>
      <c r="E15" s="1"/>
      <c r="F15" s="592" t="s">
        <v>49</v>
      </c>
      <c r="G15" s="1"/>
      <c r="H15" s="1"/>
      <c r="I15" s="1"/>
      <c r="J15" s="1"/>
      <c r="K15" s="1"/>
      <c r="L15" s="1"/>
      <c r="M15" s="1"/>
      <c r="N15" s="1"/>
      <c r="O15" s="1"/>
      <c r="P15" s="1"/>
      <c r="T15" s="587">
        <v>7.5</v>
      </c>
      <c r="U15" s="588">
        <f t="shared" si="2"/>
        <v>1790</v>
      </c>
      <c r="V15" s="588">
        <f t="shared" si="0"/>
        <v>1810</v>
      </c>
      <c r="W15" s="589"/>
      <c r="X15" s="584"/>
      <c r="Y15" s="590">
        <v>5.33</v>
      </c>
      <c r="Z15" s="591">
        <f>Z14+100</f>
        <v>1665</v>
      </c>
      <c r="AA15" s="591">
        <f t="shared" si="1"/>
        <v>1685</v>
      </c>
      <c r="AB15" s="589"/>
      <c r="AC15" s="580"/>
      <c r="AE15" s="85" t="s">
        <v>280</v>
      </c>
      <c r="AF15" s="95">
        <v>100</v>
      </c>
      <c r="AG15">
        <v>600</v>
      </c>
      <c r="AH15">
        <v>350</v>
      </c>
      <c r="AI15">
        <v>650</v>
      </c>
      <c r="AJ15">
        <v>300</v>
      </c>
      <c r="AK15">
        <v>600</v>
      </c>
      <c r="AL15">
        <v>300</v>
      </c>
      <c r="AM15" t="s">
        <v>281</v>
      </c>
      <c r="AN15" t="s">
        <v>282</v>
      </c>
      <c r="AO15" t="s">
        <v>283</v>
      </c>
      <c r="AP15" t="s">
        <v>268</v>
      </c>
      <c r="AQ15" s="86" t="s">
        <v>269</v>
      </c>
      <c r="AT15" s="77" t="s">
        <v>260</v>
      </c>
      <c r="AU15" s="2">
        <v>26</v>
      </c>
      <c r="AV15" s="78" t="s">
        <v>258</v>
      </c>
    </row>
    <row r="16" spans="1:48" x14ac:dyDescent="0.2">
      <c r="B16" s="1"/>
      <c r="C16" s="1"/>
      <c r="D16" s="33" t="s">
        <v>23</v>
      </c>
      <c r="E16" s="1"/>
      <c r="F16" s="592" t="s">
        <v>50</v>
      </c>
      <c r="G16" s="1"/>
      <c r="H16" s="1"/>
      <c r="I16" s="7" t="s">
        <v>244</v>
      </c>
      <c r="J16" s="7" t="s">
        <v>41</v>
      </c>
      <c r="K16" s="7" t="s">
        <v>184</v>
      </c>
      <c r="L16" s="7" t="s">
        <v>245</v>
      </c>
      <c r="M16" s="1"/>
      <c r="N16" s="1"/>
      <c r="O16" s="1"/>
      <c r="P16" s="1"/>
      <c r="T16" s="587">
        <v>8</v>
      </c>
      <c r="U16" s="588">
        <f t="shared" si="2"/>
        <v>1910</v>
      </c>
      <c r="V16" s="588">
        <f t="shared" si="0"/>
        <v>1930</v>
      </c>
      <c r="W16" s="589">
        <f>CEILING($T16*CourseStd,1)</f>
        <v>686</v>
      </c>
      <c r="X16" s="584"/>
      <c r="Y16" s="590">
        <v>5.67</v>
      </c>
      <c r="Z16" s="591">
        <f>Z15+100</f>
        <v>1765</v>
      </c>
      <c r="AA16" s="591">
        <f t="shared" si="1"/>
        <v>1785</v>
      </c>
      <c r="AB16" s="589"/>
      <c r="AC16" s="580"/>
      <c r="AE16" s="85" t="s">
        <v>284</v>
      </c>
      <c r="AF16" s="95">
        <v>100</v>
      </c>
      <c r="AG16">
        <v>650</v>
      </c>
      <c r="AH16">
        <v>300</v>
      </c>
      <c r="AI16">
        <v>700</v>
      </c>
      <c r="AJ16">
        <v>300</v>
      </c>
      <c r="AK16">
        <v>650</v>
      </c>
      <c r="AL16">
        <v>300</v>
      </c>
      <c r="AM16" t="s">
        <v>285</v>
      </c>
      <c r="AN16" t="s">
        <v>286</v>
      </c>
      <c r="AO16" t="s">
        <v>287</v>
      </c>
      <c r="AP16" t="s">
        <v>268</v>
      </c>
      <c r="AQ16" s="86" t="s">
        <v>269</v>
      </c>
      <c r="AT16" s="77" t="s">
        <v>262</v>
      </c>
      <c r="AU16" s="2">
        <v>26</v>
      </c>
      <c r="AV16" s="78" t="s">
        <v>258</v>
      </c>
    </row>
    <row r="17" spans="1:48" x14ac:dyDescent="0.2">
      <c r="A17" s="1"/>
      <c r="B17" s="1"/>
      <c r="C17" s="1"/>
      <c r="D17" s="33" t="s">
        <v>29</v>
      </c>
      <c r="E17" s="1"/>
      <c r="F17" s="592" t="s">
        <v>51</v>
      </c>
      <c r="G17" s="1"/>
      <c r="H17" s="1"/>
      <c r="I17" s="800">
        <v>1.5</v>
      </c>
      <c r="J17" s="801" t="s">
        <v>2738</v>
      </c>
      <c r="K17" s="801" t="s">
        <v>2738</v>
      </c>
      <c r="L17" s="802">
        <v>0.1</v>
      </c>
      <c r="M17" s="1"/>
      <c r="N17" s="1"/>
      <c r="O17" s="1"/>
      <c r="P17" s="1"/>
      <c r="T17" s="587">
        <v>8.5</v>
      </c>
      <c r="U17" s="588">
        <f t="shared" si="2"/>
        <v>2030</v>
      </c>
      <c r="V17" s="588">
        <f t="shared" si="0"/>
        <v>2050</v>
      </c>
      <c r="W17" s="589"/>
      <c r="X17" s="584"/>
      <c r="Y17" s="590">
        <v>6</v>
      </c>
      <c r="Z17" s="591">
        <f>$Y17*305+($Y17-1)*10</f>
        <v>1880</v>
      </c>
      <c r="AA17" s="591">
        <f t="shared" si="1"/>
        <v>1900</v>
      </c>
      <c r="AB17" s="589">
        <f>CEILING($Y17*CourseTwo,1)</f>
        <v>1029</v>
      </c>
      <c r="AC17" s="580"/>
      <c r="AE17" s="85" t="s">
        <v>518</v>
      </c>
      <c r="AF17" s="95">
        <v>100</v>
      </c>
      <c r="AG17">
        <v>200</v>
      </c>
      <c r="AH17">
        <v>300</v>
      </c>
      <c r="AI17" s="87" t="s">
        <v>253</v>
      </c>
      <c r="AJ17" s="87" t="s">
        <v>253</v>
      </c>
      <c r="AK17">
        <v>280</v>
      </c>
      <c r="AL17">
        <v>300</v>
      </c>
      <c r="AM17" s="87" t="s">
        <v>255</v>
      </c>
      <c r="AN17" s="87" t="s">
        <v>533</v>
      </c>
      <c r="AO17" s="87" t="s">
        <v>253</v>
      </c>
      <c r="AP17" s="87" t="s">
        <v>253</v>
      </c>
      <c r="AQ17" s="89" t="s">
        <v>158</v>
      </c>
      <c r="AT17" s="77" t="s">
        <v>264</v>
      </c>
      <c r="AU17" s="2">
        <v>26</v>
      </c>
      <c r="AV17" s="78" t="s">
        <v>258</v>
      </c>
    </row>
    <row r="18" spans="1:48" x14ac:dyDescent="0.2">
      <c r="A18" s="1"/>
      <c r="B18" s="1"/>
      <c r="C18" s="1"/>
      <c r="D18" s="33" t="s">
        <v>501</v>
      </c>
      <c r="E18" s="1"/>
      <c r="F18" s="592" t="s">
        <v>52</v>
      </c>
      <c r="G18" s="1"/>
      <c r="H18" s="1"/>
      <c r="I18" s="800">
        <v>2.4</v>
      </c>
      <c r="J18" s="801" t="s">
        <v>386</v>
      </c>
      <c r="K18" s="801" t="s">
        <v>45</v>
      </c>
      <c r="L18" s="802">
        <v>0.12</v>
      </c>
      <c r="M18" s="1"/>
      <c r="N18" s="1"/>
      <c r="O18" s="1"/>
      <c r="P18" s="1"/>
      <c r="T18" s="587">
        <v>9</v>
      </c>
      <c r="U18" s="588">
        <f t="shared" si="2"/>
        <v>2150</v>
      </c>
      <c r="V18" s="588">
        <f t="shared" si="0"/>
        <v>2170</v>
      </c>
      <c r="W18" s="589">
        <f>CEILING($T18*CourseStd,1)</f>
        <v>772</v>
      </c>
      <c r="X18" s="584"/>
      <c r="Y18" s="590">
        <v>6.33</v>
      </c>
      <c r="Z18" s="591">
        <f>Z17+100</f>
        <v>1980</v>
      </c>
      <c r="AA18" s="591">
        <f t="shared" si="1"/>
        <v>2000</v>
      </c>
      <c r="AB18" s="589"/>
      <c r="AC18" s="580"/>
      <c r="AE18" s="85" t="s">
        <v>519</v>
      </c>
      <c r="AF18" s="95">
        <v>100</v>
      </c>
      <c r="AG18">
        <v>200</v>
      </c>
      <c r="AH18">
        <v>300</v>
      </c>
      <c r="AI18" s="87" t="s">
        <v>253</v>
      </c>
      <c r="AJ18" s="87" t="s">
        <v>253</v>
      </c>
      <c r="AK18">
        <v>280</v>
      </c>
      <c r="AL18">
        <v>300</v>
      </c>
      <c r="AM18" s="87" t="s">
        <v>255</v>
      </c>
      <c r="AN18" s="87" t="s">
        <v>533</v>
      </c>
      <c r="AO18" s="87" t="s">
        <v>253</v>
      </c>
      <c r="AP18" s="87" t="s">
        <v>253</v>
      </c>
      <c r="AQ18" s="89" t="s">
        <v>158</v>
      </c>
      <c r="AT18" s="77" t="s">
        <v>270</v>
      </c>
      <c r="AU18" s="2">
        <v>30</v>
      </c>
      <c r="AV18" s="78" t="s">
        <v>290</v>
      </c>
    </row>
    <row r="19" spans="1:48" x14ac:dyDescent="0.2">
      <c r="A19" s="1"/>
      <c r="B19" s="1"/>
      <c r="C19" s="1"/>
      <c r="D19" s="33" t="s">
        <v>18</v>
      </c>
      <c r="E19" s="1"/>
      <c r="F19" s="592" t="s">
        <v>53</v>
      </c>
      <c r="G19" s="1"/>
      <c r="H19" s="1"/>
      <c r="I19" s="800">
        <v>3.01</v>
      </c>
      <c r="J19" s="801" t="s">
        <v>45</v>
      </c>
      <c r="K19" s="801" t="s">
        <v>46</v>
      </c>
      <c r="L19" s="802">
        <v>0.15</v>
      </c>
      <c r="M19" s="1"/>
      <c r="N19" s="1"/>
      <c r="O19" s="1"/>
      <c r="P19" s="1"/>
      <c r="T19" s="587">
        <v>9.5</v>
      </c>
      <c r="U19" s="588">
        <f t="shared" si="2"/>
        <v>2270</v>
      </c>
      <c r="V19" s="588">
        <f t="shared" si="0"/>
        <v>2290</v>
      </c>
      <c r="W19" s="589"/>
      <c r="X19" s="584"/>
      <c r="Y19" s="590">
        <v>6.67</v>
      </c>
      <c r="Z19" s="591">
        <f>Z18+100</f>
        <v>2080</v>
      </c>
      <c r="AA19" s="591">
        <f t="shared" si="1"/>
        <v>2100</v>
      </c>
      <c r="AB19" s="589"/>
      <c r="AC19" s="580"/>
      <c r="AE19" s="85" t="s">
        <v>520</v>
      </c>
      <c r="AF19" s="95">
        <v>100</v>
      </c>
      <c r="AG19">
        <v>200</v>
      </c>
      <c r="AH19">
        <v>300</v>
      </c>
      <c r="AI19" s="87" t="s">
        <v>253</v>
      </c>
      <c r="AJ19" s="87" t="s">
        <v>253</v>
      </c>
      <c r="AK19">
        <v>280</v>
      </c>
      <c r="AL19">
        <v>300</v>
      </c>
      <c r="AM19" s="87" t="s">
        <v>255</v>
      </c>
      <c r="AN19" s="87" t="s">
        <v>533</v>
      </c>
      <c r="AO19" s="87" t="s">
        <v>253</v>
      </c>
      <c r="AP19" s="87" t="s">
        <v>253</v>
      </c>
      <c r="AQ19" s="89" t="s">
        <v>158</v>
      </c>
      <c r="AT19" s="77" t="s">
        <v>272</v>
      </c>
      <c r="AU19" s="2">
        <v>30</v>
      </c>
      <c r="AV19" s="78" t="s">
        <v>290</v>
      </c>
    </row>
    <row r="20" spans="1:48" x14ac:dyDescent="0.2">
      <c r="A20" s="1"/>
      <c r="B20" s="1"/>
      <c r="C20" s="1"/>
      <c r="D20" s="33" t="s">
        <v>500</v>
      </c>
      <c r="E20" s="1"/>
      <c r="F20" s="592" t="s">
        <v>54</v>
      </c>
      <c r="G20" s="1"/>
      <c r="H20" s="1"/>
      <c r="I20" s="800">
        <v>3.6</v>
      </c>
      <c r="J20" s="801" t="s">
        <v>46</v>
      </c>
      <c r="K20" s="801" t="s">
        <v>32</v>
      </c>
      <c r="L20" s="802">
        <v>0.18</v>
      </c>
      <c r="M20" s="1"/>
      <c r="N20" s="1"/>
      <c r="O20" s="1"/>
      <c r="P20" s="1"/>
      <c r="T20" s="587">
        <v>10</v>
      </c>
      <c r="U20" s="588">
        <f t="shared" si="2"/>
        <v>2390</v>
      </c>
      <c r="V20" s="588">
        <f t="shared" si="0"/>
        <v>2410</v>
      </c>
      <c r="W20" s="589">
        <f>FLOOR($T20*CourseStd,1)</f>
        <v>857</v>
      </c>
      <c r="X20" s="584"/>
      <c r="Y20" s="590">
        <v>7</v>
      </c>
      <c r="Z20" s="591">
        <f>$Y20*305+($Y20-1)*10</f>
        <v>2195</v>
      </c>
      <c r="AA20" s="591">
        <f t="shared" si="1"/>
        <v>2215</v>
      </c>
      <c r="AB20" s="589">
        <f>CEILING($Y20*CourseTwo,1)</f>
        <v>1200</v>
      </c>
      <c r="AC20" s="580"/>
      <c r="AE20" s="85" t="s">
        <v>521</v>
      </c>
      <c r="AF20" s="95">
        <v>100</v>
      </c>
      <c r="AG20">
        <v>200</v>
      </c>
      <c r="AH20">
        <v>300</v>
      </c>
      <c r="AI20" s="87" t="s">
        <v>253</v>
      </c>
      <c r="AJ20" s="87" t="s">
        <v>253</v>
      </c>
      <c r="AK20">
        <v>300</v>
      </c>
      <c r="AL20">
        <v>300</v>
      </c>
      <c r="AM20" s="87" t="s">
        <v>265</v>
      </c>
      <c r="AN20" s="87" t="s">
        <v>533</v>
      </c>
      <c r="AO20" s="87" t="s">
        <v>253</v>
      </c>
      <c r="AP20" s="87" t="s">
        <v>253</v>
      </c>
      <c r="AQ20" s="89" t="s">
        <v>158</v>
      </c>
      <c r="AT20" s="77" t="s">
        <v>274</v>
      </c>
      <c r="AU20" s="2">
        <v>30</v>
      </c>
      <c r="AV20" s="78" t="s">
        <v>290</v>
      </c>
    </row>
    <row r="21" spans="1:48" x14ac:dyDescent="0.2">
      <c r="A21" s="1"/>
      <c r="B21" s="1"/>
      <c r="C21" s="1"/>
      <c r="D21" s="33" t="s">
        <v>503</v>
      </c>
      <c r="E21" s="1"/>
      <c r="F21" s="592" t="s">
        <v>412</v>
      </c>
      <c r="G21" s="1"/>
      <c r="H21" s="1"/>
      <c r="I21" s="800">
        <v>4.4000000000000004</v>
      </c>
      <c r="J21" s="801" t="s">
        <v>32</v>
      </c>
      <c r="K21" s="801" t="s">
        <v>32</v>
      </c>
      <c r="L21" s="802">
        <v>0.25</v>
      </c>
      <c r="M21" s="1"/>
      <c r="N21" s="1"/>
      <c r="O21" s="1"/>
      <c r="P21" s="1"/>
      <c r="T21" s="587">
        <v>10.5</v>
      </c>
      <c r="U21" s="588">
        <f t="shared" si="2"/>
        <v>2510</v>
      </c>
      <c r="V21" s="588">
        <f t="shared" si="0"/>
        <v>2530</v>
      </c>
      <c r="W21" s="589"/>
      <c r="X21" s="584"/>
      <c r="Y21" s="590">
        <v>7.33</v>
      </c>
      <c r="Z21" s="591">
        <f>Z20+100</f>
        <v>2295</v>
      </c>
      <c r="AA21" s="591">
        <f t="shared" si="1"/>
        <v>2315</v>
      </c>
      <c r="AB21" s="589"/>
      <c r="AC21" s="580"/>
      <c r="AE21" s="85" t="s">
        <v>522</v>
      </c>
      <c r="AF21" s="95">
        <v>100</v>
      </c>
      <c r="AG21">
        <v>280</v>
      </c>
      <c r="AH21">
        <v>300</v>
      </c>
      <c r="AI21">
        <v>250</v>
      </c>
      <c r="AJ21">
        <v>300</v>
      </c>
      <c r="AK21">
        <v>350</v>
      </c>
      <c r="AL21">
        <v>300</v>
      </c>
      <c r="AM21" s="87" t="s">
        <v>265</v>
      </c>
      <c r="AN21" s="87" t="s">
        <v>534</v>
      </c>
      <c r="AO21" s="87" t="s">
        <v>535</v>
      </c>
      <c r="AP21" s="87" t="s">
        <v>268</v>
      </c>
      <c r="AQ21" s="89" t="s">
        <v>269</v>
      </c>
      <c r="AT21" s="77" t="s">
        <v>277</v>
      </c>
      <c r="AU21" s="2">
        <v>30</v>
      </c>
      <c r="AV21" s="78" t="s">
        <v>290</v>
      </c>
    </row>
    <row r="22" spans="1:48" x14ac:dyDescent="0.2">
      <c r="A22" s="1"/>
      <c r="B22" s="1"/>
      <c r="C22" s="1"/>
      <c r="D22" s="33" t="s">
        <v>499</v>
      </c>
      <c r="E22" s="1"/>
      <c r="G22" s="1"/>
      <c r="H22" s="1"/>
      <c r="I22" s="1"/>
      <c r="J22" s="1"/>
      <c r="K22" s="1"/>
      <c r="L22" s="1"/>
      <c r="M22" s="1"/>
      <c r="N22" s="1"/>
      <c r="O22" s="1"/>
      <c r="P22" s="1"/>
      <c r="T22" s="587">
        <v>11</v>
      </c>
      <c r="U22" s="588">
        <f t="shared" si="2"/>
        <v>2630</v>
      </c>
      <c r="V22" s="588">
        <f t="shared" si="0"/>
        <v>2650</v>
      </c>
      <c r="W22" s="589">
        <f>CEILING($T22*CourseStd,1)</f>
        <v>943</v>
      </c>
      <c r="X22" s="584"/>
      <c r="Y22" s="590">
        <v>7.67</v>
      </c>
      <c r="Z22" s="591">
        <f>Z21+100</f>
        <v>2395</v>
      </c>
      <c r="AA22" s="591">
        <f t="shared" si="1"/>
        <v>2415</v>
      </c>
      <c r="AB22" s="589"/>
      <c r="AC22" s="580"/>
      <c r="AE22" s="85" t="s">
        <v>523</v>
      </c>
      <c r="AF22" s="95">
        <v>100</v>
      </c>
      <c r="AG22">
        <v>280</v>
      </c>
      <c r="AH22">
        <v>300</v>
      </c>
      <c r="AI22">
        <v>250</v>
      </c>
      <c r="AJ22">
        <v>300</v>
      </c>
      <c r="AK22">
        <v>350</v>
      </c>
      <c r="AL22">
        <v>300</v>
      </c>
      <c r="AM22" s="87" t="s">
        <v>281</v>
      </c>
      <c r="AN22" s="87" t="s">
        <v>534</v>
      </c>
      <c r="AO22" s="87" t="s">
        <v>535</v>
      </c>
      <c r="AP22" s="87" t="s">
        <v>268</v>
      </c>
      <c r="AQ22" s="89" t="s">
        <v>269</v>
      </c>
      <c r="AT22" s="77" t="s">
        <v>280</v>
      </c>
      <c r="AU22" s="2">
        <v>30</v>
      </c>
      <c r="AV22" s="78" t="s">
        <v>291</v>
      </c>
    </row>
    <row r="23" spans="1:48" x14ac:dyDescent="0.2">
      <c r="A23" s="1"/>
      <c r="B23" s="1"/>
      <c r="C23" s="1"/>
      <c r="D23" s="33" t="s">
        <v>246</v>
      </c>
      <c r="E23" s="1"/>
      <c r="F23" s="1"/>
      <c r="G23" s="1"/>
      <c r="H23" s="1"/>
      <c r="I23" s="1"/>
      <c r="J23" s="1"/>
      <c r="K23" s="1"/>
      <c r="L23" s="1"/>
      <c r="M23" s="1"/>
      <c r="N23" s="1"/>
      <c r="O23" s="1"/>
      <c r="P23" s="1"/>
      <c r="T23" s="587">
        <v>11.5</v>
      </c>
      <c r="U23" s="588">
        <f t="shared" si="2"/>
        <v>2750</v>
      </c>
      <c r="V23" s="588">
        <f t="shared" si="0"/>
        <v>2770</v>
      </c>
      <c r="W23" s="589"/>
      <c r="X23" s="584"/>
      <c r="Y23" s="590">
        <v>8</v>
      </c>
      <c r="Z23" s="591">
        <f>$Y23*305+($Y23-1)*10</f>
        <v>2510</v>
      </c>
      <c r="AA23" s="591">
        <f t="shared" si="1"/>
        <v>2530</v>
      </c>
      <c r="AB23" s="589">
        <f>CEILING($Y23*CourseTwo,1)</f>
        <v>1372</v>
      </c>
      <c r="AC23" s="580"/>
      <c r="AE23" s="85" t="s">
        <v>524</v>
      </c>
      <c r="AF23" s="95">
        <v>100</v>
      </c>
      <c r="AG23">
        <v>300</v>
      </c>
      <c r="AH23">
        <v>300</v>
      </c>
      <c r="AI23">
        <v>300</v>
      </c>
      <c r="AJ23">
        <v>300</v>
      </c>
      <c r="AK23">
        <v>400</v>
      </c>
      <c r="AL23">
        <v>300</v>
      </c>
      <c r="AM23" s="87" t="s">
        <v>281</v>
      </c>
      <c r="AN23" s="87" t="s">
        <v>536</v>
      </c>
      <c r="AO23" s="87" t="s">
        <v>537</v>
      </c>
      <c r="AP23" s="87" t="s">
        <v>268</v>
      </c>
      <c r="AQ23" s="89" t="s">
        <v>269</v>
      </c>
      <c r="AT23" s="77" t="s">
        <v>284</v>
      </c>
      <c r="AU23" s="2">
        <v>30</v>
      </c>
      <c r="AV23" s="78" t="s">
        <v>292</v>
      </c>
    </row>
    <row r="24" spans="1:48" x14ac:dyDescent="0.2">
      <c r="A24" s="1"/>
      <c r="B24" s="1"/>
      <c r="C24" s="1"/>
      <c r="D24" s="33" t="s">
        <v>14</v>
      </c>
      <c r="E24" s="1"/>
      <c r="F24" s="1"/>
      <c r="G24" s="1"/>
      <c r="H24" s="1"/>
      <c r="I24" s="1"/>
      <c r="J24" s="1"/>
      <c r="K24" s="1"/>
      <c r="L24" s="1"/>
      <c r="M24" s="1"/>
      <c r="N24" s="1"/>
      <c r="O24" s="1"/>
      <c r="P24" s="1"/>
      <c r="T24" s="587">
        <v>12</v>
      </c>
      <c r="U24" s="588">
        <f t="shared" si="2"/>
        <v>2870</v>
      </c>
      <c r="V24" s="588">
        <f t="shared" si="0"/>
        <v>2890</v>
      </c>
      <c r="W24" s="589">
        <f>CEILING($T24*CourseStd,1)</f>
        <v>1029</v>
      </c>
      <c r="X24" s="584"/>
      <c r="Y24" s="590">
        <v>8.33</v>
      </c>
      <c r="Z24" s="591">
        <f>Z23+100</f>
        <v>2610</v>
      </c>
      <c r="AA24" s="591">
        <f t="shared" si="1"/>
        <v>2630</v>
      </c>
      <c r="AB24" s="589"/>
      <c r="AC24" s="580"/>
      <c r="AE24" s="85" t="s">
        <v>525</v>
      </c>
      <c r="AF24" s="95">
        <v>100</v>
      </c>
      <c r="AG24">
        <v>300</v>
      </c>
      <c r="AH24">
        <v>300</v>
      </c>
      <c r="AI24">
        <v>300</v>
      </c>
      <c r="AJ24">
        <v>300</v>
      </c>
      <c r="AK24">
        <v>400</v>
      </c>
      <c r="AL24">
        <v>300</v>
      </c>
      <c r="AM24" s="87" t="s">
        <v>281</v>
      </c>
      <c r="AN24" s="87" t="s">
        <v>536</v>
      </c>
      <c r="AO24" s="87" t="s">
        <v>537</v>
      </c>
      <c r="AP24" s="87" t="s">
        <v>268</v>
      </c>
      <c r="AQ24" s="89" t="s">
        <v>269</v>
      </c>
      <c r="AT24" s="77" t="s">
        <v>518</v>
      </c>
      <c r="AU24" s="2">
        <v>22</v>
      </c>
      <c r="AV24" s="90" t="s">
        <v>289</v>
      </c>
    </row>
    <row r="25" spans="1:48" x14ac:dyDescent="0.2">
      <c r="A25" s="1"/>
      <c r="B25" s="1"/>
      <c r="C25" s="1"/>
      <c r="D25" s="33" t="s">
        <v>17</v>
      </c>
      <c r="E25" s="1"/>
      <c r="F25" s="1"/>
      <c r="G25" s="1"/>
      <c r="H25" s="1"/>
      <c r="I25" s="1"/>
      <c r="J25" s="1"/>
      <c r="K25" s="1"/>
      <c r="L25" s="1"/>
      <c r="M25" s="1"/>
      <c r="N25" s="1"/>
      <c r="O25" s="1"/>
      <c r="P25" s="1"/>
      <c r="T25" s="587">
        <v>12.5</v>
      </c>
      <c r="U25" s="588">
        <f t="shared" si="2"/>
        <v>2990</v>
      </c>
      <c r="V25" s="588">
        <f t="shared" si="0"/>
        <v>3010</v>
      </c>
      <c r="W25" s="589"/>
      <c r="X25" s="584"/>
      <c r="Y25" s="590">
        <v>8.67</v>
      </c>
      <c r="Z25" s="591">
        <f>Z24+100</f>
        <v>2710</v>
      </c>
      <c r="AA25" s="591">
        <f t="shared" si="1"/>
        <v>2730</v>
      </c>
      <c r="AB25" s="589"/>
      <c r="AC25" s="580"/>
      <c r="AE25" s="85" t="s">
        <v>526</v>
      </c>
      <c r="AF25" s="95">
        <v>100</v>
      </c>
      <c r="AG25">
        <v>200</v>
      </c>
      <c r="AH25">
        <v>400</v>
      </c>
      <c r="AI25" s="87" t="s">
        <v>253</v>
      </c>
      <c r="AJ25" s="87" t="s">
        <v>253</v>
      </c>
      <c r="AK25" s="87">
        <v>200</v>
      </c>
      <c r="AL25" s="87">
        <v>400</v>
      </c>
      <c r="AM25" s="87" t="s">
        <v>255</v>
      </c>
      <c r="AN25" s="87" t="s">
        <v>253</v>
      </c>
      <c r="AO25" s="87" t="s">
        <v>253</v>
      </c>
      <c r="AP25" s="87" t="s">
        <v>253</v>
      </c>
      <c r="AQ25" s="89" t="s">
        <v>158</v>
      </c>
      <c r="AT25" s="77" t="s">
        <v>518</v>
      </c>
      <c r="AU25" s="2">
        <v>26</v>
      </c>
      <c r="AV25" s="90" t="s">
        <v>258</v>
      </c>
    </row>
    <row r="26" spans="1:48" x14ac:dyDescent="0.2">
      <c r="A26" s="1"/>
      <c r="B26" s="1"/>
      <c r="C26" s="1"/>
      <c r="D26" s="33" t="s">
        <v>151</v>
      </c>
      <c r="E26" s="1"/>
      <c r="F26" s="1"/>
      <c r="G26" s="1"/>
      <c r="H26" s="1"/>
      <c r="I26" s="1"/>
      <c r="J26" s="1"/>
      <c r="K26" s="1"/>
      <c r="L26" s="1"/>
      <c r="M26" s="1"/>
      <c r="N26" s="1"/>
      <c r="O26" s="1"/>
      <c r="P26" s="1"/>
      <c r="T26" s="587">
        <v>13</v>
      </c>
      <c r="U26" s="588">
        <f t="shared" si="2"/>
        <v>3110</v>
      </c>
      <c r="V26" s="588">
        <f t="shared" si="0"/>
        <v>3130</v>
      </c>
      <c r="W26" s="589">
        <f>FLOOR($T26*CourseStd,1)</f>
        <v>1114</v>
      </c>
      <c r="X26" s="584"/>
      <c r="Y26" s="590">
        <v>9</v>
      </c>
      <c r="Z26" s="591">
        <f>$Y26*305+($Y26-1)*10</f>
        <v>2825</v>
      </c>
      <c r="AA26" s="591">
        <f t="shared" si="1"/>
        <v>2845</v>
      </c>
      <c r="AB26" s="589">
        <f>CEILING($Y26*CourseTwo,1)</f>
        <v>1543</v>
      </c>
      <c r="AC26" s="580"/>
      <c r="AE26" s="85" t="s">
        <v>527</v>
      </c>
      <c r="AF26" s="95">
        <v>100</v>
      </c>
      <c r="AG26">
        <v>200</v>
      </c>
      <c r="AH26">
        <v>400</v>
      </c>
      <c r="AI26" s="87">
        <v>200</v>
      </c>
      <c r="AJ26" s="87">
        <v>350</v>
      </c>
      <c r="AK26" s="87">
        <v>200</v>
      </c>
      <c r="AL26" s="87">
        <v>400</v>
      </c>
      <c r="AM26" s="87" t="s">
        <v>265</v>
      </c>
      <c r="AN26" s="87" t="s">
        <v>253</v>
      </c>
      <c r="AO26" s="87" t="s">
        <v>253</v>
      </c>
      <c r="AP26" s="87" t="s">
        <v>253</v>
      </c>
      <c r="AQ26" s="89" t="s">
        <v>269</v>
      </c>
      <c r="AT26" s="77" t="s">
        <v>518</v>
      </c>
      <c r="AU26" s="2">
        <v>30</v>
      </c>
      <c r="AV26" s="90" t="s">
        <v>290</v>
      </c>
    </row>
    <row r="27" spans="1:48" x14ac:dyDescent="0.2">
      <c r="A27" s="1"/>
      <c r="B27" s="1"/>
      <c r="C27" s="1"/>
      <c r="D27" s="33" t="s">
        <v>19</v>
      </c>
      <c r="E27" s="1"/>
      <c r="F27" s="1"/>
      <c r="G27" s="1"/>
      <c r="H27" s="1"/>
      <c r="I27" s="1"/>
      <c r="J27" s="1"/>
      <c r="K27" s="1"/>
      <c r="L27" s="1"/>
      <c r="M27" s="1"/>
      <c r="N27" s="1"/>
      <c r="O27" s="1"/>
      <c r="P27" s="1"/>
      <c r="T27" s="587">
        <v>13.5</v>
      </c>
      <c r="U27" s="588">
        <f t="shared" si="2"/>
        <v>3230</v>
      </c>
      <c r="V27" s="588">
        <f t="shared" si="0"/>
        <v>3250</v>
      </c>
      <c r="W27" s="589"/>
      <c r="X27" s="584"/>
      <c r="Y27" s="590">
        <v>9.33</v>
      </c>
      <c r="Z27" s="591">
        <f>Z26+100</f>
        <v>2925</v>
      </c>
      <c r="AA27" s="591">
        <f t="shared" si="1"/>
        <v>2945</v>
      </c>
      <c r="AB27" s="589"/>
      <c r="AC27" s="580"/>
      <c r="AE27" s="88" t="s">
        <v>528</v>
      </c>
      <c r="AF27" s="96">
        <v>100</v>
      </c>
      <c r="AG27">
        <v>300</v>
      </c>
      <c r="AH27">
        <v>400</v>
      </c>
      <c r="AI27" s="87">
        <v>300</v>
      </c>
      <c r="AJ27" s="87">
        <v>350</v>
      </c>
      <c r="AK27" s="87">
        <v>300</v>
      </c>
      <c r="AL27" s="87">
        <v>400</v>
      </c>
      <c r="AM27" s="87" t="s">
        <v>265</v>
      </c>
      <c r="AN27" s="87" t="s">
        <v>253</v>
      </c>
      <c r="AO27" s="87" t="s">
        <v>253</v>
      </c>
      <c r="AP27" s="87" t="s">
        <v>253</v>
      </c>
      <c r="AQ27" s="89" t="s">
        <v>269</v>
      </c>
      <c r="AT27" s="79" t="s">
        <v>519</v>
      </c>
      <c r="AU27" s="2">
        <v>22</v>
      </c>
      <c r="AV27" s="90" t="s">
        <v>289</v>
      </c>
    </row>
    <row r="28" spans="1:48" x14ac:dyDescent="0.2">
      <c r="A28" s="1"/>
      <c r="B28" s="1"/>
      <c r="C28" s="1"/>
      <c r="D28" s="33" t="s">
        <v>502</v>
      </c>
      <c r="E28" s="1"/>
      <c r="F28" s="1"/>
      <c r="G28" s="1"/>
      <c r="H28" s="1"/>
      <c r="I28" s="1"/>
      <c r="J28" s="1"/>
      <c r="K28" s="1"/>
      <c r="L28" s="1"/>
      <c r="M28" s="1"/>
      <c r="N28" s="1"/>
      <c r="O28" s="1"/>
      <c r="P28" s="1"/>
      <c r="T28" s="587">
        <v>14</v>
      </c>
      <c r="U28" s="588">
        <f t="shared" si="2"/>
        <v>3350</v>
      </c>
      <c r="V28" s="588">
        <f t="shared" si="0"/>
        <v>3370</v>
      </c>
      <c r="W28" s="589">
        <f>CEILING($T28*CourseStd,1)</f>
        <v>1200</v>
      </c>
      <c r="X28" s="584"/>
      <c r="Y28" s="590">
        <v>9.67</v>
      </c>
      <c r="Z28" s="591">
        <f>Z27+100</f>
        <v>3025</v>
      </c>
      <c r="AA28" s="591">
        <f t="shared" si="1"/>
        <v>3045</v>
      </c>
      <c r="AB28" s="589"/>
      <c r="AC28" s="580"/>
      <c r="AE28" s="88" t="s">
        <v>529</v>
      </c>
      <c r="AF28" s="96">
        <v>100</v>
      </c>
      <c r="AG28">
        <v>280</v>
      </c>
      <c r="AH28">
        <v>300</v>
      </c>
      <c r="AI28" s="87" t="s">
        <v>253</v>
      </c>
      <c r="AJ28" s="87" t="s">
        <v>253</v>
      </c>
      <c r="AK28">
        <v>280</v>
      </c>
      <c r="AL28">
        <v>300</v>
      </c>
      <c r="AM28" s="87" t="s">
        <v>253</v>
      </c>
      <c r="AN28" s="87" t="s">
        <v>253</v>
      </c>
      <c r="AO28" s="87" t="s">
        <v>253</v>
      </c>
      <c r="AP28" s="87" t="s">
        <v>253</v>
      </c>
      <c r="AQ28" s="89" t="s">
        <v>158</v>
      </c>
      <c r="AT28" s="79" t="s">
        <v>519</v>
      </c>
      <c r="AU28" s="2">
        <v>26</v>
      </c>
      <c r="AV28" s="90" t="s">
        <v>258</v>
      </c>
    </row>
    <row r="29" spans="1:48" x14ac:dyDescent="0.2">
      <c r="A29" s="1"/>
      <c r="B29" s="1"/>
      <c r="C29" s="1"/>
      <c r="D29" s="33" t="s">
        <v>20</v>
      </c>
      <c r="E29" s="1"/>
      <c r="F29" s="1"/>
      <c r="G29" s="1"/>
      <c r="H29" s="1"/>
      <c r="I29" s="1"/>
      <c r="J29" s="1"/>
      <c r="K29" s="1"/>
      <c r="L29" s="1"/>
      <c r="M29" s="1"/>
      <c r="N29" s="1"/>
      <c r="O29" s="1"/>
      <c r="P29" s="1"/>
      <c r="T29" s="587">
        <v>14.5</v>
      </c>
      <c r="U29" s="588">
        <f t="shared" si="2"/>
        <v>3470</v>
      </c>
      <c r="V29" s="588">
        <f t="shared" si="0"/>
        <v>3490</v>
      </c>
      <c r="W29" s="589"/>
      <c r="X29" s="584"/>
      <c r="Y29" s="590">
        <v>10</v>
      </c>
      <c r="Z29" s="591">
        <f>$Y29*305+($Y29-1)*10</f>
        <v>3140</v>
      </c>
      <c r="AA29" s="591">
        <f t="shared" si="1"/>
        <v>3160</v>
      </c>
      <c r="AB29" s="589">
        <f>FLOOR($Y29*CourseTwo,1)</f>
        <v>1714</v>
      </c>
      <c r="AC29" s="580"/>
      <c r="AE29" s="88" t="s">
        <v>530</v>
      </c>
      <c r="AF29" s="96">
        <v>100</v>
      </c>
      <c r="AG29">
        <v>200</v>
      </c>
      <c r="AH29">
        <v>400</v>
      </c>
      <c r="AI29" s="87" t="s">
        <v>253</v>
      </c>
      <c r="AJ29" s="87" t="s">
        <v>253</v>
      </c>
      <c r="AK29">
        <v>200</v>
      </c>
      <c r="AL29">
        <v>400</v>
      </c>
      <c r="AM29" s="87" t="s">
        <v>253</v>
      </c>
      <c r="AN29" s="87" t="s">
        <v>253</v>
      </c>
      <c r="AO29" s="87" t="s">
        <v>253</v>
      </c>
      <c r="AP29" s="87" t="s">
        <v>253</v>
      </c>
      <c r="AQ29" s="89" t="s">
        <v>158</v>
      </c>
      <c r="AT29" s="79" t="s">
        <v>519</v>
      </c>
      <c r="AU29" s="2">
        <v>30</v>
      </c>
      <c r="AV29" s="90" t="s">
        <v>290</v>
      </c>
    </row>
    <row r="30" spans="1:48" x14ac:dyDescent="0.2">
      <c r="A30" s="1"/>
      <c r="B30" s="1"/>
      <c r="C30" s="1"/>
      <c r="D30" s="33" t="s">
        <v>332</v>
      </c>
      <c r="E30" s="1"/>
      <c r="F30" s="1"/>
      <c r="G30" s="1"/>
      <c r="H30" s="1"/>
      <c r="I30" s="1"/>
      <c r="J30" s="1"/>
      <c r="K30" s="1"/>
      <c r="L30" s="1"/>
      <c r="M30" s="1"/>
      <c r="N30" s="1"/>
      <c r="O30" s="1"/>
      <c r="P30" s="1"/>
      <c r="T30" s="587">
        <v>15</v>
      </c>
      <c r="U30" s="588">
        <f t="shared" si="2"/>
        <v>3590</v>
      </c>
      <c r="V30" s="588">
        <f t="shared" si="0"/>
        <v>3610</v>
      </c>
      <c r="W30" s="589">
        <f>CEILING($T30*CourseStd,1)</f>
        <v>1286</v>
      </c>
      <c r="X30" s="584"/>
      <c r="Y30" s="590">
        <v>10.33</v>
      </c>
      <c r="Z30" s="591">
        <f>Z29+100</f>
        <v>3240</v>
      </c>
      <c r="AA30" s="591">
        <f t="shared" si="1"/>
        <v>3260</v>
      </c>
      <c r="AB30" s="589"/>
      <c r="AC30" s="580"/>
      <c r="AE30" s="88" t="s">
        <v>653</v>
      </c>
      <c r="AF30" s="95">
        <v>85</v>
      </c>
      <c r="AG30">
        <v>200</v>
      </c>
      <c r="AH30">
        <v>300</v>
      </c>
      <c r="AI30" t="s">
        <v>253</v>
      </c>
      <c r="AJ30" t="s">
        <v>253</v>
      </c>
      <c r="AK30">
        <v>200</v>
      </c>
      <c r="AL30">
        <v>300</v>
      </c>
      <c r="AM30" t="s">
        <v>253</v>
      </c>
      <c r="AN30" t="s">
        <v>253</v>
      </c>
      <c r="AO30" t="s">
        <v>253</v>
      </c>
      <c r="AP30" t="s">
        <v>253</v>
      </c>
      <c r="AQ30" s="86" t="s">
        <v>158</v>
      </c>
      <c r="AT30" s="79" t="s">
        <v>520</v>
      </c>
      <c r="AU30" s="2">
        <v>30</v>
      </c>
      <c r="AV30" s="90" t="s">
        <v>290</v>
      </c>
    </row>
    <row r="31" spans="1:48" x14ac:dyDescent="0.2">
      <c r="A31" s="5" t="s">
        <v>493</v>
      </c>
      <c r="B31" s="1"/>
      <c r="C31" s="1"/>
      <c r="D31" s="33" t="s">
        <v>374</v>
      </c>
      <c r="E31" s="5" t="s">
        <v>77</v>
      </c>
      <c r="F31" s="1"/>
      <c r="G31" s="1"/>
      <c r="H31" s="1"/>
      <c r="I31" s="1"/>
      <c r="J31" s="5" t="s">
        <v>494</v>
      </c>
      <c r="K31" s="1"/>
      <c r="L31" s="5" t="s">
        <v>82</v>
      </c>
      <c r="M31" s="1"/>
      <c r="N31" s="1"/>
      <c r="O31" s="5" t="s">
        <v>87</v>
      </c>
      <c r="P31" s="1"/>
      <c r="T31" s="587">
        <v>15.5</v>
      </c>
      <c r="U31" s="588">
        <f t="shared" si="2"/>
        <v>3710</v>
      </c>
      <c r="V31" s="588">
        <f t="shared" si="0"/>
        <v>3730</v>
      </c>
      <c r="W31" s="589"/>
      <c r="X31" s="584"/>
      <c r="Y31" s="590">
        <v>10.67</v>
      </c>
      <c r="Z31" s="591">
        <f>Z30+100</f>
        <v>3340</v>
      </c>
      <c r="AA31" s="591">
        <f t="shared" si="1"/>
        <v>3360</v>
      </c>
      <c r="AB31" s="589"/>
      <c r="AC31" s="580"/>
      <c r="AE31" s="88" t="s">
        <v>872</v>
      </c>
      <c r="AF31" s="95">
        <v>100</v>
      </c>
      <c r="AG31">
        <v>280</v>
      </c>
      <c r="AH31">
        <v>300</v>
      </c>
      <c r="AI31" t="s">
        <v>253</v>
      </c>
      <c r="AJ31" t="s">
        <v>253</v>
      </c>
      <c r="AK31">
        <v>280</v>
      </c>
      <c r="AL31">
        <v>300</v>
      </c>
      <c r="AM31" t="s">
        <v>255</v>
      </c>
      <c r="AN31" t="s">
        <v>253</v>
      </c>
      <c r="AO31" t="s">
        <v>253</v>
      </c>
      <c r="AP31" t="s">
        <v>253</v>
      </c>
      <c r="AQ31" s="86" t="s">
        <v>158</v>
      </c>
      <c r="AT31" s="79" t="s">
        <v>521</v>
      </c>
      <c r="AU31" s="2">
        <v>30</v>
      </c>
      <c r="AV31" s="90" t="s">
        <v>290</v>
      </c>
    </row>
    <row r="32" spans="1:48" x14ac:dyDescent="0.2">
      <c r="A32" t="s">
        <v>62</v>
      </c>
      <c r="B32" s="1"/>
      <c r="C32" s="1"/>
      <c r="D32" s="33" t="s">
        <v>121</v>
      </c>
      <c r="E32" t="s">
        <v>78</v>
      </c>
      <c r="F32" s="1"/>
      <c r="G32" s="1"/>
      <c r="H32" s="1"/>
      <c r="I32" s="1"/>
      <c r="J32" s="2" t="s">
        <v>423</v>
      </c>
      <c r="K32" s="1"/>
      <c r="L32" t="s">
        <v>509</v>
      </c>
      <c r="M32" s="1"/>
      <c r="N32" s="1"/>
      <c r="O32" s="87" t="s">
        <v>1102</v>
      </c>
      <c r="P32" s="1"/>
      <c r="T32" s="587">
        <v>16</v>
      </c>
      <c r="U32" s="588">
        <f t="shared" si="2"/>
        <v>3830</v>
      </c>
      <c r="V32" s="588">
        <f t="shared" si="0"/>
        <v>3850</v>
      </c>
      <c r="W32" s="589">
        <f>CEILING($T32*CourseStd,1)</f>
        <v>1372</v>
      </c>
      <c r="X32" s="584"/>
      <c r="Y32" s="590">
        <v>11</v>
      </c>
      <c r="Z32" s="591">
        <f>$Y32*305+($Y32-1)*10</f>
        <v>3455</v>
      </c>
      <c r="AA32" s="591">
        <f t="shared" si="1"/>
        <v>3475</v>
      </c>
      <c r="AB32" s="589">
        <f>CEILING($Y32*CourseTwo,1)</f>
        <v>1886</v>
      </c>
      <c r="AC32" s="580"/>
      <c r="AE32" s="80"/>
      <c r="AF32" s="81"/>
      <c r="AG32" s="81"/>
      <c r="AH32" s="81"/>
      <c r="AI32" s="81"/>
      <c r="AJ32" s="81"/>
      <c r="AK32" s="81"/>
      <c r="AL32" s="81"/>
      <c r="AM32" s="81"/>
      <c r="AN32" s="81"/>
      <c r="AO32" s="81"/>
      <c r="AP32" s="81"/>
      <c r="AQ32" s="82"/>
      <c r="AT32" s="79" t="s">
        <v>522</v>
      </c>
      <c r="AU32" s="2">
        <v>30</v>
      </c>
      <c r="AV32" s="90" t="s">
        <v>290</v>
      </c>
    </row>
    <row r="33" spans="1:48" x14ac:dyDescent="0.2">
      <c r="A33" t="s">
        <v>63</v>
      </c>
      <c r="B33" s="1"/>
      <c r="C33" s="1"/>
      <c r="D33" s="33" t="s">
        <v>120</v>
      </c>
      <c r="E33" t="s">
        <v>79</v>
      </c>
      <c r="F33" s="1"/>
      <c r="G33" s="1"/>
      <c r="H33" s="1"/>
      <c r="I33" s="1"/>
      <c r="J33" s="2" t="s">
        <v>424</v>
      </c>
      <c r="K33" s="1"/>
      <c r="L33" t="s">
        <v>83</v>
      </c>
      <c r="M33" s="1"/>
      <c r="N33" s="1"/>
      <c r="O33" s="87" t="s">
        <v>1107</v>
      </c>
      <c r="P33" s="1"/>
      <c r="T33" s="587">
        <v>16.5</v>
      </c>
      <c r="U33" s="588">
        <f t="shared" si="2"/>
        <v>3950</v>
      </c>
      <c r="V33" s="588">
        <f t="shared" si="0"/>
        <v>3970</v>
      </c>
      <c r="W33" s="589"/>
      <c r="X33" s="584"/>
      <c r="Y33" s="590">
        <v>11.33</v>
      </c>
      <c r="Z33" s="591">
        <f>Z32+100</f>
        <v>3555</v>
      </c>
      <c r="AA33" s="591">
        <f t="shared" si="1"/>
        <v>3575</v>
      </c>
      <c r="AB33" s="589"/>
      <c r="AC33" s="580"/>
      <c r="AT33" s="79" t="s">
        <v>523</v>
      </c>
      <c r="AU33" s="2">
        <v>30</v>
      </c>
      <c r="AV33" s="90" t="s">
        <v>290</v>
      </c>
    </row>
    <row r="34" spans="1:48" x14ac:dyDescent="0.2">
      <c r="A34" s="1"/>
      <c r="B34" s="1"/>
      <c r="C34" s="1"/>
      <c r="D34" s="33" t="s">
        <v>24</v>
      </c>
      <c r="E34" t="s">
        <v>9</v>
      </c>
      <c r="F34" s="1"/>
      <c r="G34" s="1"/>
      <c r="H34" s="1"/>
      <c r="I34" s="1"/>
      <c r="J34" s="2" t="s">
        <v>425</v>
      </c>
      <c r="K34" s="1"/>
      <c r="L34" t="s">
        <v>84</v>
      </c>
      <c r="M34" s="1"/>
      <c r="N34" s="1"/>
      <c r="O34" s="87" t="s">
        <v>1108</v>
      </c>
      <c r="P34" s="1"/>
      <c r="T34" s="587">
        <v>17</v>
      </c>
      <c r="U34" s="588">
        <f t="shared" si="2"/>
        <v>4070</v>
      </c>
      <c r="V34" s="588">
        <f t="shared" si="0"/>
        <v>4090</v>
      </c>
      <c r="W34" s="589">
        <f>FLOOR($T34*CourseStd,1)</f>
        <v>1457</v>
      </c>
      <c r="X34" s="584"/>
      <c r="Y34" s="590">
        <v>11.67</v>
      </c>
      <c r="Z34" s="591">
        <f>Z33+100</f>
        <v>3655</v>
      </c>
      <c r="AA34" s="591">
        <f t="shared" si="1"/>
        <v>3675</v>
      </c>
      <c r="AB34" s="589"/>
      <c r="AC34" s="580"/>
      <c r="AT34" s="79" t="s">
        <v>524</v>
      </c>
      <c r="AU34" s="2">
        <v>30</v>
      </c>
      <c r="AV34" s="90" t="s">
        <v>291</v>
      </c>
    </row>
    <row r="35" spans="1:48" x14ac:dyDescent="0.2">
      <c r="A35" s="1"/>
      <c r="B35" s="1"/>
      <c r="C35" s="1"/>
      <c r="D35" s="33" t="s">
        <v>21</v>
      </c>
      <c r="E35" t="s">
        <v>10</v>
      </c>
      <c r="F35" s="1"/>
      <c r="G35" s="1"/>
      <c r="H35" s="1"/>
      <c r="I35" s="1"/>
      <c r="J35" s="2" t="s">
        <v>426</v>
      </c>
      <c r="K35" s="1"/>
      <c r="L35" t="s">
        <v>1103</v>
      </c>
      <c r="M35" s="1"/>
      <c r="N35" s="1"/>
      <c r="O35" t="s">
        <v>8</v>
      </c>
      <c r="P35" s="1"/>
      <c r="T35" s="587">
        <v>17.5</v>
      </c>
      <c r="U35" s="588">
        <f t="shared" si="2"/>
        <v>4190</v>
      </c>
      <c r="V35" s="588">
        <f t="shared" si="0"/>
        <v>4210</v>
      </c>
      <c r="W35" s="589"/>
      <c r="X35" s="584"/>
      <c r="Y35" s="590">
        <v>12</v>
      </c>
      <c r="Z35" s="591">
        <f>$Y35*305+($Y35-1)*10</f>
        <v>3770</v>
      </c>
      <c r="AA35" s="591">
        <f t="shared" si="1"/>
        <v>3790</v>
      </c>
      <c r="AB35" s="589">
        <f>FLOOR($Y35*CourseTwo,1)</f>
        <v>2057</v>
      </c>
      <c r="AC35" s="580"/>
      <c r="AT35" s="79" t="s">
        <v>525</v>
      </c>
      <c r="AU35" s="2">
        <v>30</v>
      </c>
      <c r="AV35" s="90" t="s">
        <v>291</v>
      </c>
    </row>
    <row r="36" spans="1:48" x14ac:dyDescent="0.2">
      <c r="A36" s="1"/>
      <c r="B36" s="1"/>
      <c r="C36" s="1"/>
      <c r="D36" s="33" t="s">
        <v>498</v>
      </c>
      <c r="E36" t="s">
        <v>80</v>
      </c>
      <c r="F36" s="1"/>
      <c r="G36" s="1"/>
      <c r="H36" s="1"/>
      <c r="I36" s="1"/>
      <c r="J36" s="2" t="s">
        <v>427</v>
      </c>
      <c r="K36" s="1"/>
      <c r="L36" s="1"/>
      <c r="M36" s="1"/>
      <c r="N36" s="1"/>
      <c r="O36" t="s">
        <v>88</v>
      </c>
      <c r="P36" s="1"/>
      <c r="T36" s="587">
        <v>18</v>
      </c>
      <c r="U36" s="588">
        <f t="shared" si="2"/>
        <v>4310</v>
      </c>
      <c r="V36" s="588">
        <f t="shared" si="0"/>
        <v>4330</v>
      </c>
      <c r="W36" s="589">
        <f>CEILING($T36*CourseStd,1)</f>
        <v>1543</v>
      </c>
      <c r="X36" s="584"/>
      <c r="Y36" s="590">
        <v>12.33</v>
      </c>
      <c r="Z36" s="591">
        <f>Z35+100</f>
        <v>3870</v>
      </c>
      <c r="AA36" s="591">
        <f t="shared" si="1"/>
        <v>3890</v>
      </c>
      <c r="AB36" s="589"/>
      <c r="AC36" s="580"/>
      <c r="AT36" s="79" t="s">
        <v>526</v>
      </c>
      <c r="AU36" s="2">
        <v>26</v>
      </c>
      <c r="AV36" s="90" t="s">
        <v>258</v>
      </c>
    </row>
    <row r="37" spans="1:48" x14ac:dyDescent="0.2">
      <c r="A37" s="1"/>
      <c r="B37" s="1"/>
      <c r="C37" s="1"/>
      <c r="D37" s="33" t="s">
        <v>30</v>
      </c>
      <c r="E37" t="s">
        <v>81</v>
      </c>
      <c r="F37" s="1"/>
      <c r="G37" s="1"/>
      <c r="H37" s="1"/>
      <c r="I37" s="1"/>
      <c r="J37" s="2" t="s">
        <v>428</v>
      </c>
      <c r="K37" s="1"/>
      <c r="L37" s="1"/>
      <c r="M37" s="1"/>
      <c r="N37" s="1"/>
      <c r="O37" t="s">
        <v>13</v>
      </c>
      <c r="P37" s="1"/>
      <c r="T37" s="587">
        <v>18.5</v>
      </c>
      <c r="U37" s="588">
        <f t="shared" si="2"/>
        <v>4430</v>
      </c>
      <c r="V37" s="588">
        <f t="shared" si="0"/>
        <v>4450</v>
      </c>
      <c r="W37" s="589"/>
      <c r="X37" s="584"/>
      <c r="Y37" s="590">
        <v>12.67</v>
      </c>
      <c r="Z37" s="591">
        <f>Z36+100</f>
        <v>3970</v>
      </c>
      <c r="AA37" s="591">
        <f t="shared" si="1"/>
        <v>3990</v>
      </c>
      <c r="AB37" s="589"/>
      <c r="AC37" s="580"/>
      <c r="AT37" s="79" t="s">
        <v>526</v>
      </c>
      <c r="AU37" s="2">
        <v>30</v>
      </c>
      <c r="AV37" s="90" t="s">
        <v>290</v>
      </c>
    </row>
    <row r="38" spans="1:48" x14ac:dyDescent="0.2">
      <c r="A38" s="1"/>
      <c r="B38" s="1"/>
      <c r="C38" s="1"/>
      <c r="D38" s="33"/>
      <c r="E38" s="464" t="s">
        <v>1144</v>
      </c>
      <c r="F38" s="1"/>
      <c r="G38" s="1"/>
      <c r="H38" s="1"/>
      <c r="I38" s="1"/>
      <c r="J38" s="2" t="s">
        <v>429</v>
      </c>
      <c r="K38" s="1"/>
      <c r="L38" s="1"/>
      <c r="M38" s="1"/>
      <c r="N38" s="1"/>
      <c r="O38" s="87" t="s">
        <v>1831</v>
      </c>
      <c r="P38" s="1"/>
      <c r="T38" s="587">
        <v>19</v>
      </c>
      <c r="U38" s="588">
        <f t="shared" si="2"/>
        <v>4550</v>
      </c>
      <c r="V38" s="588">
        <f t="shared" si="0"/>
        <v>4570</v>
      </c>
      <c r="W38" s="589">
        <f>CEILING($T38*CourseStd,1)</f>
        <v>1629</v>
      </c>
      <c r="X38" s="584"/>
      <c r="Y38" s="590">
        <v>13</v>
      </c>
      <c r="Z38" s="591">
        <f>$Y38*305+($Y38-1)*10</f>
        <v>4085</v>
      </c>
      <c r="AA38" s="591">
        <f t="shared" si="1"/>
        <v>4105</v>
      </c>
      <c r="AB38" s="589">
        <f>CEILING($Y38*CourseTwo,1)</f>
        <v>2229</v>
      </c>
      <c r="AC38" s="580"/>
      <c r="AT38" s="79" t="s">
        <v>526</v>
      </c>
      <c r="AU38" s="2">
        <v>32</v>
      </c>
      <c r="AV38" s="90" t="s">
        <v>291</v>
      </c>
    </row>
    <row r="39" spans="1:48" x14ac:dyDescent="0.2">
      <c r="A39" s="1"/>
      <c r="B39" s="1"/>
      <c r="C39" s="1"/>
      <c r="D39" s="33"/>
      <c r="E39" s="464" t="s">
        <v>1145</v>
      </c>
      <c r="F39" s="1"/>
      <c r="G39" s="1"/>
      <c r="H39" s="1"/>
      <c r="I39" s="1"/>
      <c r="J39" s="2" t="s">
        <v>430</v>
      </c>
      <c r="K39" s="1"/>
      <c r="L39" s="1"/>
      <c r="M39" s="1"/>
      <c r="N39" s="1"/>
      <c r="O39" s="87" t="s">
        <v>1832</v>
      </c>
      <c r="P39" s="1"/>
      <c r="T39" s="587">
        <v>19.5</v>
      </c>
      <c r="U39" s="588">
        <f t="shared" si="2"/>
        <v>4670</v>
      </c>
      <c r="V39" s="588">
        <f t="shared" si="0"/>
        <v>4690</v>
      </c>
      <c r="W39" s="589"/>
      <c r="X39" s="584"/>
      <c r="Y39" s="590">
        <v>13.33</v>
      </c>
      <c r="Z39" s="591">
        <f>Z38+100</f>
        <v>4185</v>
      </c>
      <c r="AA39" s="591">
        <f t="shared" si="1"/>
        <v>4205</v>
      </c>
      <c r="AB39" s="589"/>
      <c r="AC39" s="580"/>
      <c r="AT39" s="79" t="s">
        <v>527</v>
      </c>
      <c r="AU39" s="2">
        <v>30</v>
      </c>
      <c r="AV39" s="90" t="s">
        <v>290</v>
      </c>
    </row>
    <row r="40" spans="1:48" x14ac:dyDescent="0.2">
      <c r="A40" s="1"/>
      <c r="B40" s="1"/>
      <c r="C40" s="1"/>
      <c r="D40" s="33"/>
      <c r="F40" s="1"/>
      <c r="G40" s="1"/>
      <c r="H40" s="1"/>
      <c r="I40" s="1"/>
      <c r="J40" s="1"/>
      <c r="K40" s="1"/>
      <c r="L40" s="1"/>
      <c r="M40" s="1"/>
      <c r="N40" s="1"/>
      <c r="O40" s="87" t="s">
        <v>1833</v>
      </c>
      <c r="P40" s="1"/>
      <c r="T40" s="587">
        <v>20</v>
      </c>
      <c r="U40" s="588">
        <f t="shared" si="2"/>
        <v>4790</v>
      </c>
      <c r="V40" s="588">
        <f t="shared" si="0"/>
        <v>4810</v>
      </c>
      <c r="W40" s="589">
        <f>FLOOR($T40*CourseStd,1)</f>
        <v>1714</v>
      </c>
      <c r="X40" s="584"/>
      <c r="Y40" s="590">
        <v>13.67</v>
      </c>
      <c r="Z40" s="591">
        <f>Z39+100</f>
        <v>4285</v>
      </c>
      <c r="AA40" s="591">
        <f t="shared" si="1"/>
        <v>4305</v>
      </c>
      <c r="AB40" s="589"/>
      <c r="AC40" s="580"/>
      <c r="AT40" s="79" t="s">
        <v>527</v>
      </c>
      <c r="AU40" s="2">
        <v>32</v>
      </c>
      <c r="AV40" s="90" t="s">
        <v>291</v>
      </c>
    </row>
    <row r="41" spans="1:48" x14ac:dyDescent="0.2">
      <c r="A41" s="1"/>
      <c r="B41" s="1"/>
      <c r="C41" s="1"/>
      <c r="D41" s="1"/>
      <c r="E41" s="1"/>
      <c r="F41" s="1"/>
      <c r="G41" s="1"/>
      <c r="H41" s="1"/>
      <c r="I41" s="1"/>
      <c r="J41" s="1"/>
      <c r="K41" s="1"/>
      <c r="L41" s="1"/>
      <c r="M41" s="1"/>
      <c r="N41" s="1"/>
      <c r="O41" s="87" t="s">
        <v>2430</v>
      </c>
      <c r="P41" s="1"/>
      <c r="T41" s="587">
        <v>20.5</v>
      </c>
      <c r="U41" s="588">
        <f t="shared" si="2"/>
        <v>4910</v>
      </c>
      <c r="V41" s="588">
        <f t="shared" si="0"/>
        <v>4930</v>
      </c>
      <c r="W41" s="589"/>
      <c r="X41" s="584"/>
      <c r="Y41" s="590">
        <v>14</v>
      </c>
      <c r="Z41" s="591">
        <f>$Y41*305+($Y41-1)*10</f>
        <v>4400</v>
      </c>
      <c r="AA41" s="591">
        <f t="shared" si="1"/>
        <v>4420</v>
      </c>
      <c r="AB41" s="589">
        <f>CEILING($Y41*CourseTwo,1)</f>
        <v>2400</v>
      </c>
      <c r="AC41" s="580"/>
      <c r="AT41" s="79" t="s">
        <v>528</v>
      </c>
      <c r="AU41" s="2">
        <v>30</v>
      </c>
      <c r="AV41" s="90" t="s">
        <v>290</v>
      </c>
    </row>
    <row r="42" spans="1:48" x14ac:dyDescent="0.2">
      <c r="A42" s="1"/>
      <c r="B42" s="1"/>
      <c r="C42" s="1"/>
      <c r="D42" s="1"/>
      <c r="E42" s="1"/>
      <c r="F42" s="1"/>
      <c r="G42" s="1"/>
      <c r="H42" s="1"/>
      <c r="I42" s="1"/>
      <c r="J42" s="1"/>
      <c r="K42" s="1"/>
      <c r="L42" s="1"/>
      <c r="M42" s="1"/>
      <c r="N42" s="1"/>
      <c r="O42" t="s">
        <v>1103</v>
      </c>
      <c r="P42" s="1"/>
      <c r="T42" s="587">
        <v>21</v>
      </c>
      <c r="U42" s="588">
        <f t="shared" si="2"/>
        <v>5030</v>
      </c>
      <c r="V42" s="588">
        <f t="shared" si="0"/>
        <v>5050</v>
      </c>
      <c r="W42" s="589">
        <f>CEILING($T42*CourseStd,1)</f>
        <v>1800</v>
      </c>
      <c r="X42" s="584"/>
      <c r="Y42" s="590">
        <v>14.33</v>
      </c>
      <c r="Z42" s="591">
        <f>Z41+100</f>
        <v>4500</v>
      </c>
      <c r="AA42" s="591">
        <f t="shared" si="1"/>
        <v>4520</v>
      </c>
      <c r="AB42" s="589"/>
      <c r="AC42" s="580"/>
      <c r="AT42" s="79" t="s">
        <v>528</v>
      </c>
      <c r="AU42" s="2">
        <v>32</v>
      </c>
      <c r="AV42" s="90" t="s">
        <v>291</v>
      </c>
    </row>
    <row r="43" spans="1:48" x14ac:dyDescent="0.2">
      <c r="A43" s="5" t="s">
        <v>101</v>
      </c>
      <c r="B43" s="1"/>
      <c r="C43" s="1"/>
      <c r="D43" s="5" t="s">
        <v>103</v>
      </c>
      <c r="E43" s="1"/>
      <c r="F43" s="5" t="s">
        <v>242</v>
      </c>
      <c r="G43" s="1"/>
      <c r="H43" s="1"/>
      <c r="I43" s="5" t="s">
        <v>238</v>
      </c>
      <c r="J43" s="1"/>
      <c r="K43" s="1"/>
      <c r="L43" s="5"/>
      <c r="M43" s="1"/>
      <c r="N43" s="1"/>
      <c r="O43" s="1"/>
      <c r="P43" s="1"/>
      <c r="T43" s="587">
        <v>21.5</v>
      </c>
      <c r="U43" s="588">
        <f t="shared" si="2"/>
        <v>5150</v>
      </c>
      <c r="V43" s="588">
        <f t="shared" si="0"/>
        <v>5170</v>
      </c>
      <c r="W43" s="589"/>
      <c r="X43" s="584"/>
      <c r="Y43" s="590">
        <v>14.67</v>
      </c>
      <c r="Z43" s="591">
        <f>Z42+100</f>
        <v>4600</v>
      </c>
      <c r="AA43" s="591">
        <f t="shared" si="1"/>
        <v>4620</v>
      </c>
      <c r="AB43" s="589"/>
      <c r="AC43" s="580"/>
      <c r="AT43" s="79" t="s">
        <v>529</v>
      </c>
      <c r="AU43" s="2">
        <v>22</v>
      </c>
      <c r="AV43" s="90" t="s">
        <v>289</v>
      </c>
    </row>
    <row r="44" spans="1:48" x14ac:dyDescent="0.2">
      <c r="A44" s="73" t="s">
        <v>540</v>
      </c>
      <c r="B44" s="1"/>
      <c r="C44" s="1"/>
      <c r="D44" s="2">
        <v>1</v>
      </c>
      <c r="E44" s="1"/>
      <c r="F44" t="s">
        <v>232</v>
      </c>
      <c r="G44" s="1"/>
      <c r="H44" s="1"/>
      <c r="I44" t="s">
        <v>333</v>
      </c>
      <c r="J44" s="1"/>
      <c r="K44" s="1"/>
      <c r="L44" s="1"/>
      <c r="M44" s="1"/>
      <c r="N44" s="1"/>
      <c r="O44" s="1"/>
      <c r="P44" s="1"/>
      <c r="T44" s="587">
        <v>22</v>
      </c>
      <c r="U44" s="588">
        <f t="shared" si="2"/>
        <v>5270</v>
      </c>
      <c r="V44" s="588">
        <f t="shared" si="0"/>
        <v>5290</v>
      </c>
      <c r="W44" s="589">
        <f>CEILING($T44*CourseStd,1)</f>
        <v>1886</v>
      </c>
      <c r="X44" s="584"/>
      <c r="Y44" s="590">
        <v>15</v>
      </c>
      <c r="Z44" s="591">
        <f>$Y44*305+($Y44-1)*10</f>
        <v>4715</v>
      </c>
      <c r="AA44" s="591">
        <f t="shared" si="1"/>
        <v>4735</v>
      </c>
      <c r="AB44" s="589">
        <f>CEILING($Y44*CourseTwo,1)</f>
        <v>2572</v>
      </c>
      <c r="AC44" s="580"/>
      <c r="AT44" s="79" t="s">
        <v>529</v>
      </c>
      <c r="AU44" s="2"/>
      <c r="AV44" s="90" t="s">
        <v>258</v>
      </c>
    </row>
    <row r="45" spans="1:48" x14ac:dyDescent="0.2">
      <c r="A45" s="2">
        <v>8.5000000000000006E-2</v>
      </c>
      <c r="B45" s="1"/>
      <c r="C45" s="1"/>
      <c r="D45" s="2">
        <v>2</v>
      </c>
      <c r="E45" s="1"/>
      <c r="F45" t="s">
        <v>231</v>
      </c>
      <c r="G45" s="1"/>
      <c r="H45" s="1"/>
      <c r="I45" t="s">
        <v>334</v>
      </c>
      <c r="J45" s="1"/>
      <c r="K45" s="1"/>
      <c r="L45" s="1"/>
      <c r="M45" s="1"/>
      <c r="N45" s="1"/>
      <c r="O45" s="1"/>
      <c r="P45" s="1"/>
      <c r="T45" s="587">
        <v>22.5</v>
      </c>
      <c r="U45" s="588">
        <f t="shared" si="2"/>
        <v>5390</v>
      </c>
      <c r="V45" s="588">
        <f t="shared" si="0"/>
        <v>5410</v>
      </c>
      <c r="W45" s="589"/>
      <c r="X45" s="584"/>
      <c r="Y45" s="590">
        <v>15.33</v>
      </c>
      <c r="Z45" s="591">
        <f>Z44+100</f>
        <v>4815</v>
      </c>
      <c r="AA45" s="591">
        <f t="shared" si="1"/>
        <v>4835</v>
      </c>
      <c r="AB45" s="589"/>
      <c r="AC45" s="580"/>
      <c r="AT45" s="79" t="s">
        <v>530</v>
      </c>
      <c r="AU45" s="2">
        <v>22</v>
      </c>
      <c r="AV45" s="90" t="s">
        <v>289</v>
      </c>
    </row>
    <row r="46" spans="1:48" x14ac:dyDescent="0.2">
      <c r="A46" s="2">
        <v>0.1</v>
      </c>
      <c r="B46" s="1"/>
      <c r="C46" s="1"/>
      <c r="D46" s="2">
        <v>3</v>
      </c>
      <c r="E46" s="1"/>
      <c r="F46" t="s">
        <v>147</v>
      </c>
      <c r="G46" s="1"/>
      <c r="H46" s="1"/>
      <c r="I46" t="s">
        <v>335</v>
      </c>
      <c r="J46" s="1"/>
      <c r="K46" s="1"/>
      <c r="L46" s="1"/>
      <c r="M46" s="1"/>
      <c r="N46" s="1"/>
      <c r="O46" s="1"/>
      <c r="P46" s="1"/>
      <c r="T46" s="587">
        <v>23</v>
      </c>
      <c r="U46" s="588">
        <f t="shared" si="2"/>
        <v>5510</v>
      </c>
      <c r="V46" s="588">
        <f t="shared" si="0"/>
        <v>5530</v>
      </c>
      <c r="W46" s="589">
        <f>CEILING($T46*CourseStd,1)</f>
        <v>1972</v>
      </c>
      <c r="X46" s="584"/>
      <c r="Y46" s="590">
        <v>15.67</v>
      </c>
      <c r="Z46" s="591">
        <f>Z45+100</f>
        <v>4915</v>
      </c>
      <c r="AA46" s="591">
        <f t="shared" si="1"/>
        <v>4935</v>
      </c>
      <c r="AB46" s="589"/>
      <c r="AC46" s="580"/>
      <c r="AT46" s="79" t="s">
        <v>530</v>
      </c>
      <c r="AU46" s="2">
        <v>26</v>
      </c>
      <c r="AV46" s="90" t="s">
        <v>258</v>
      </c>
    </row>
    <row r="47" spans="1:48" x14ac:dyDescent="0.2">
      <c r="A47" s="2"/>
      <c r="B47" s="1"/>
      <c r="C47" s="1"/>
      <c r="D47" s="2">
        <v>4</v>
      </c>
      <c r="E47" s="1"/>
      <c r="F47" t="s">
        <v>239</v>
      </c>
      <c r="G47" s="1"/>
      <c r="H47" s="1"/>
      <c r="I47" t="s">
        <v>336</v>
      </c>
      <c r="J47" s="1"/>
      <c r="K47" s="1"/>
      <c r="L47" s="1"/>
      <c r="M47" s="1"/>
      <c r="N47" s="1"/>
      <c r="O47" s="1"/>
      <c r="P47" s="1"/>
      <c r="T47" s="587">
        <v>23.5</v>
      </c>
      <c r="U47" s="588">
        <f t="shared" si="2"/>
        <v>5630</v>
      </c>
      <c r="V47" s="588">
        <f t="shared" si="0"/>
        <v>5650</v>
      </c>
      <c r="W47" s="589"/>
      <c r="X47" s="584"/>
      <c r="Y47" s="590">
        <v>16</v>
      </c>
      <c r="Z47" s="591">
        <f>$Y47*305+($Y47-1)*10</f>
        <v>5030</v>
      </c>
      <c r="AA47" s="591">
        <f t="shared" si="1"/>
        <v>5050</v>
      </c>
      <c r="AB47" s="589">
        <f>CEILING($Y47*CourseTwo,1)</f>
        <v>2743</v>
      </c>
      <c r="AC47" s="580"/>
      <c r="AT47" s="79" t="s">
        <v>530</v>
      </c>
      <c r="AU47" s="2">
        <v>30</v>
      </c>
      <c r="AV47" s="90" t="s">
        <v>290</v>
      </c>
    </row>
    <row r="48" spans="1:48" x14ac:dyDescent="0.2">
      <c r="A48" s="1"/>
      <c r="B48" s="1"/>
      <c r="C48" s="1"/>
      <c r="D48" s="2">
        <v>5</v>
      </c>
      <c r="E48" s="1"/>
      <c r="F48" t="s">
        <v>240</v>
      </c>
      <c r="G48" s="1"/>
      <c r="H48" s="1"/>
      <c r="I48" t="s">
        <v>337</v>
      </c>
      <c r="J48" s="1"/>
      <c r="K48" s="1"/>
      <c r="L48" s="1"/>
      <c r="M48" s="1"/>
      <c r="N48" s="1"/>
      <c r="O48" s="1"/>
      <c r="P48" s="1"/>
      <c r="T48" s="587">
        <v>24</v>
      </c>
      <c r="U48" s="588">
        <f t="shared" si="2"/>
        <v>5750</v>
      </c>
      <c r="V48" s="588">
        <f t="shared" si="0"/>
        <v>5770</v>
      </c>
      <c r="W48" s="589">
        <f>FLOOR($T48*CourseStd,1)</f>
        <v>2057</v>
      </c>
      <c r="X48" s="584"/>
      <c r="Y48" s="590">
        <v>16.329999999999998</v>
      </c>
      <c r="Z48" s="591">
        <f>Z47+100</f>
        <v>5130</v>
      </c>
      <c r="AA48" s="591">
        <f t="shared" si="1"/>
        <v>5150</v>
      </c>
      <c r="AB48" s="589"/>
      <c r="AC48" s="580"/>
      <c r="AT48" s="91" t="s">
        <v>530</v>
      </c>
      <c r="AU48" s="92">
        <v>32</v>
      </c>
      <c r="AV48" s="93" t="s">
        <v>291</v>
      </c>
    </row>
    <row r="49" spans="1:29" x14ac:dyDescent="0.2">
      <c r="A49" s="1"/>
      <c r="B49" s="1"/>
      <c r="C49" s="1"/>
      <c r="D49" s="2">
        <v>6</v>
      </c>
      <c r="E49" s="1"/>
      <c r="F49" s="87" t="s">
        <v>1106</v>
      </c>
      <c r="G49" s="1"/>
      <c r="H49" s="1"/>
      <c r="I49" t="s">
        <v>338</v>
      </c>
      <c r="J49" s="1"/>
      <c r="K49" s="1"/>
      <c r="L49" s="1"/>
      <c r="M49" s="1"/>
      <c r="N49" s="1"/>
      <c r="O49" s="1"/>
      <c r="P49" s="1"/>
      <c r="T49" s="587">
        <v>24.5</v>
      </c>
      <c r="U49" s="588">
        <f t="shared" si="2"/>
        <v>5870</v>
      </c>
      <c r="V49" s="588">
        <f t="shared" si="0"/>
        <v>5890</v>
      </c>
      <c r="W49" s="589"/>
      <c r="X49" s="584"/>
      <c r="Y49" s="590">
        <v>16.670000000000002</v>
      </c>
      <c r="Z49" s="591">
        <f>Z48+100</f>
        <v>5230</v>
      </c>
      <c r="AA49" s="591">
        <f t="shared" si="1"/>
        <v>5250</v>
      </c>
      <c r="AB49" s="589"/>
      <c r="AC49" s="580"/>
    </row>
    <row r="50" spans="1:29" x14ac:dyDescent="0.2">
      <c r="A50" s="1"/>
      <c r="B50" s="1"/>
      <c r="C50" s="1"/>
      <c r="E50" s="1"/>
      <c r="F50" s="1"/>
      <c r="G50" s="1"/>
      <c r="H50" s="1"/>
      <c r="I50" t="s">
        <v>339</v>
      </c>
      <c r="J50" s="1"/>
      <c r="K50" s="1"/>
      <c r="L50" s="1"/>
      <c r="M50" s="1"/>
      <c r="N50" s="1"/>
      <c r="O50" s="1"/>
      <c r="P50" s="1"/>
      <c r="T50" s="587">
        <v>25</v>
      </c>
      <c r="U50" s="588">
        <f t="shared" si="2"/>
        <v>5990</v>
      </c>
      <c r="V50" s="588">
        <f t="shared" si="0"/>
        <v>6010</v>
      </c>
      <c r="W50" s="589">
        <f>CEILING($T50*CourseStd,1)</f>
        <v>2143</v>
      </c>
      <c r="X50" s="584"/>
      <c r="Y50" s="590">
        <v>17</v>
      </c>
      <c r="Z50" s="591">
        <f>$Y50*305+($Y50-1)*10</f>
        <v>5345</v>
      </c>
      <c r="AA50" s="591">
        <f t="shared" si="1"/>
        <v>5365</v>
      </c>
      <c r="AB50" s="589">
        <f>FLOOR($Y50*CourseTwo,1)</f>
        <v>2914</v>
      </c>
      <c r="AC50" s="580"/>
    </row>
    <row r="51" spans="1:29" x14ac:dyDescent="0.2">
      <c r="A51" s="1"/>
      <c r="B51" s="1"/>
      <c r="C51" s="1"/>
      <c r="D51" s="1"/>
      <c r="E51" s="1"/>
      <c r="F51" s="1"/>
      <c r="G51" s="1"/>
      <c r="H51" s="1"/>
      <c r="I51" t="s">
        <v>340</v>
      </c>
      <c r="J51" s="1"/>
      <c r="K51" s="1"/>
      <c r="L51" s="1"/>
      <c r="M51" s="1"/>
      <c r="N51" s="1"/>
      <c r="O51" s="1"/>
      <c r="P51" s="1"/>
      <c r="T51" s="587">
        <v>25.5</v>
      </c>
      <c r="U51" s="588">
        <f t="shared" si="2"/>
        <v>6110</v>
      </c>
      <c r="V51" s="588">
        <f t="shared" si="0"/>
        <v>6130</v>
      </c>
      <c r="W51" s="589"/>
      <c r="X51" s="584"/>
      <c r="Y51" s="590">
        <v>17.329999999999998</v>
      </c>
      <c r="Z51" s="591">
        <f>Z50+100</f>
        <v>5445</v>
      </c>
      <c r="AA51" s="591">
        <f t="shared" si="1"/>
        <v>5465</v>
      </c>
      <c r="AB51" s="589"/>
      <c r="AC51" s="580"/>
    </row>
    <row r="52" spans="1:29" x14ac:dyDescent="0.2">
      <c r="A52" s="1"/>
      <c r="B52" s="1"/>
      <c r="C52" s="1"/>
      <c r="D52" s="1"/>
      <c r="E52" s="1"/>
      <c r="F52" s="1"/>
      <c r="G52" s="1"/>
      <c r="H52" s="1"/>
      <c r="I52" t="s">
        <v>341</v>
      </c>
      <c r="J52" s="1"/>
      <c r="K52" s="1"/>
      <c r="L52" s="1"/>
      <c r="M52" s="1"/>
      <c r="N52" s="1"/>
      <c r="O52" s="1"/>
      <c r="P52" s="1"/>
      <c r="T52" s="587">
        <v>26</v>
      </c>
      <c r="U52" s="588">
        <f t="shared" si="2"/>
        <v>6230</v>
      </c>
      <c r="V52" s="588">
        <f t="shared" si="0"/>
        <v>6250</v>
      </c>
      <c r="W52" s="589">
        <f>CEILING($T52*CourseStd,1)</f>
        <v>2229</v>
      </c>
      <c r="X52" s="584"/>
      <c r="Y52" s="590">
        <v>17.670000000000002</v>
      </c>
      <c r="Z52" s="591">
        <f>Z51+100</f>
        <v>5545</v>
      </c>
      <c r="AA52" s="591">
        <f t="shared" si="1"/>
        <v>5565</v>
      </c>
      <c r="AB52" s="589"/>
      <c r="AC52" s="580"/>
    </row>
    <row r="53" spans="1:29" x14ac:dyDescent="0.2">
      <c r="A53" s="1"/>
      <c r="B53" s="1"/>
      <c r="C53" s="1"/>
      <c r="D53" s="1"/>
      <c r="E53" s="1"/>
      <c r="F53" s="1"/>
      <c r="G53" s="1"/>
      <c r="H53" s="1"/>
      <c r="J53" s="1"/>
      <c r="K53" s="1"/>
      <c r="L53" s="1"/>
      <c r="M53" s="1"/>
      <c r="N53" s="1"/>
      <c r="O53" s="1"/>
      <c r="P53" s="1"/>
      <c r="T53" s="587">
        <v>26.5</v>
      </c>
      <c r="U53" s="588">
        <f t="shared" si="2"/>
        <v>6350</v>
      </c>
      <c r="V53" s="588">
        <f t="shared" si="0"/>
        <v>6370</v>
      </c>
      <c r="W53" s="589"/>
      <c r="X53" s="584"/>
      <c r="Y53" s="590">
        <v>18</v>
      </c>
      <c r="Z53" s="591">
        <f>$Y53*305+($Y53-1)*10</f>
        <v>5660</v>
      </c>
      <c r="AA53" s="591">
        <f t="shared" si="1"/>
        <v>5680</v>
      </c>
      <c r="AB53" s="589">
        <f>CEILING($Y53*CourseTwo,1)</f>
        <v>3086</v>
      </c>
      <c r="AC53" s="580"/>
    </row>
    <row r="54" spans="1:29" x14ac:dyDescent="0.2">
      <c r="A54" s="1"/>
      <c r="B54" s="1"/>
      <c r="C54" s="1"/>
      <c r="D54" s="1"/>
      <c r="E54" s="1"/>
      <c r="F54" s="1"/>
      <c r="G54" s="1"/>
      <c r="H54" s="1"/>
      <c r="I54" t="s">
        <v>517</v>
      </c>
      <c r="J54" s="1"/>
      <c r="K54" s="1"/>
      <c r="L54" s="1"/>
      <c r="M54" s="1"/>
      <c r="N54" s="1"/>
      <c r="O54" s="1"/>
      <c r="P54" s="1"/>
      <c r="T54" s="587">
        <v>27</v>
      </c>
      <c r="U54" s="588">
        <f t="shared" si="2"/>
        <v>6470</v>
      </c>
      <c r="V54" s="588">
        <f t="shared" si="0"/>
        <v>6490</v>
      </c>
      <c r="W54" s="589">
        <f>FLOOR($T54*CourseStd,1)</f>
        <v>2314</v>
      </c>
      <c r="X54" s="584"/>
      <c r="Y54" s="590">
        <v>18.329999999999998</v>
      </c>
      <c r="Z54" s="591">
        <f>Z53+100</f>
        <v>5760</v>
      </c>
      <c r="AA54" s="591">
        <f t="shared" si="1"/>
        <v>5780</v>
      </c>
      <c r="AB54" s="589"/>
      <c r="AC54" s="580"/>
    </row>
    <row r="55" spans="1:29" x14ac:dyDescent="0.2">
      <c r="A55" s="5" t="s">
        <v>129</v>
      </c>
      <c r="B55" s="1"/>
      <c r="C55" s="1"/>
      <c r="D55" s="1"/>
      <c r="E55" s="5" t="s">
        <v>130</v>
      </c>
      <c r="F55" s="1"/>
      <c r="G55" s="1"/>
      <c r="H55" s="1"/>
      <c r="I55" s="5" t="s">
        <v>354</v>
      </c>
      <c r="J55" s="1"/>
      <c r="K55" s="1"/>
      <c r="L55" s="5" t="s">
        <v>358</v>
      </c>
      <c r="M55" s="1"/>
      <c r="N55" s="1"/>
      <c r="O55" s="1"/>
      <c r="P55" s="1"/>
      <c r="T55" s="587">
        <v>27.5</v>
      </c>
      <c r="U55" s="588">
        <f t="shared" si="2"/>
        <v>6590</v>
      </c>
      <c r="V55" s="588">
        <f t="shared" si="0"/>
        <v>6610</v>
      </c>
      <c r="W55" s="589"/>
      <c r="X55" s="584"/>
      <c r="Y55" s="590">
        <v>18.670000000000002</v>
      </c>
      <c r="Z55" s="591">
        <f>Z54+100</f>
        <v>5860</v>
      </c>
      <c r="AA55" s="591">
        <f t="shared" si="1"/>
        <v>5880</v>
      </c>
      <c r="AB55" s="589"/>
      <c r="AC55" s="580"/>
    </row>
    <row r="56" spans="1:29" x14ac:dyDescent="0.2">
      <c r="B56" s="1"/>
      <c r="C56" s="1"/>
      <c r="D56" s="1"/>
      <c r="E56" t="s">
        <v>117</v>
      </c>
      <c r="F56" s="1"/>
      <c r="G56" s="1"/>
      <c r="H56" s="1"/>
      <c r="I56" s="33" t="s">
        <v>357</v>
      </c>
      <c r="J56" s="1"/>
      <c r="K56" s="1"/>
      <c r="L56" t="s">
        <v>359</v>
      </c>
      <c r="M56" s="1"/>
      <c r="N56" s="1"/>
      <c r="O56" s="1"/>
      <c r="P56" s="1"/>
      <c r="T56" s="587">
        <v>28</v>
      </c>
      <c r="U56" s="588">
        <f t="shared" si="2"/>
        <v>6710</v>
      </c>
      <c r="V56" s="588">
        <f t="shared" si="0"/>
        <v>6730</v>
      </c>
      <c r="W56" s="589">
        <f>CEILING($T56*CourseStd,1)</f>
        <v>2400</v>
      </c>
      <c r="X56" s="584"/>
      <c r="Y56" s="590">
        <v>19</v>
      </c>
      <c r="Z56" s="591">
        <f>$Y56*305+($Y56-1)*10</f>
        <v>5975</v>
      </c>
      <c r="AA56" s="591">
        <f t="shared" si="1"/>
        <v>5995</v>
      </c>
      <c r="AB56" s="589">
        <f>FLOOR($Y56*CourseTwo,1)</f>
        <v>3257</v>
      </c>
      <c r="AC56" s="580"/>
    </row>
    <row r="57" spans="1:29" x14ac:dyDescent="0.2">
      <c r="A57" t="s">
        <v>127</v>
      </c>
      <c r="B57" s="1"/>
      <c r="C57" s="1"/>
      <c r="D57" s="1"/>
      <c r="E57" t="s">
        <v>118</v>
      </c>
      <c r="F57" s="1"/>
      <c r="G57" s="1"/>
      <c r="H57" s="1"/>
      <c r="I57" s="33" t="s">
        <v>355</v>
      </c>
      <c r="J57" s="1"/>
      <c r="K57" s="1"/>
      <c r="L57" t="s">
        <v>360</v>
      </c>
      <c r="M57" s="1"/>
      <c r="N57" s="1"/>
      <c r="O57" s="1"/>
      <c r="P57" s="1"/>
      <c r="T57" s="587">
        <v>28.5</v>
      </c>
      <c r="U57" s="588">
        <f t="shared" si="2"/>
        <v>6830</v>
      </c>
      <c r="V57" s="588">
        <f t="shared" si="0"/>
        <v>6850</v>
      </c>
      <c r="W57" s="589"/>
      <c r="X57" s="584"/>
      <c r="Y57" s="590">
        <v>19.329999999999998</v>
      </c>
      <c r="Z57" s="591">
        <f>Z56+100</f>
        <v>6075</v>
      </c>
      <c r="AA57" s="591">
        <f t="shared" si="1"/>
        <v>6095</v>
      </c>
      <c r="AB57" s="589"/>
      <c r="AC57" s="580"/>
    </row>
    <row r="58" spans="1:29" x14ac:dyDescent="0.2">
      <c r="A58" t="s">
        <v>128</v>
      </c>
      <c r="B58" s="1"/>
      <c r="C58" s="1"/>
      <c r="D58" s="1"/>
      <c r="E58" t="s">
        <v>119</v>
      </c>
      <c r="F58" s="1"/>
      <c r="G58" s="1"/>
      <c r="H58" s="1"/>
      <c r="I58" s="33" t="s">
        <v>356</v>
      </c>
      <c r="J58" s="1"/>
      <c r="K58" s="1"/>
      <c r="L58" t="s">
        <v>387</v>
      </c>
      <c r="M58" s="1"/>
      <c r="N58" s="1"/>
      <c r="O58" s="1"/>
      <c r="P58" s="1"/>
      <c r="T58" s="587">
        <v>29</v>
      </c>
      <c r="U58" s="588">
        <f t="shared" si="2"/>
        <v>6950</v>
      </c>
      <c r="V58" s="588">
        <f t="shared" si="0"/>
        <v>6970</v>
      </c>
      <c r="W58" s="589">
        <f>CEILING($T58*CourseStd,1)</f>
        <v>2486</v>
      </c>
      <c r="X58" s="584"/>
      <c r="Y58" s="590">
        <v>19.670000000000002</v>
      </c>
      <c r="Z58" s="591">
        <f>Z57+100</f>
        <v>6175</v>
      </c>
      <c r="AA58" s="591">
        <f t="shared" si="1"/>
        <v>6195</v>
      </c>
      <c r="AB58" s="589"/>
      <c r="AC58" s="580"/>
    </row>
    <row r="59" spans="1:29" x14ac:dyDescent="0.2">
      <c r="A59" s="87" t="s">
        <v>544</v>
      </c>
      <c r="B59" s="1"/>
      <c r="C59" s="1"/>
      <c r="D59" s="1"/>
      <c r="E59" t="s">
        <v>120</v>
      </c>
      <c r="F59" s="1"/>
      <c r="G59" s="1"/>
      <c r="H59" s="1"/>
      <c r="I59" s="97" t="s">
        <v>542</v>
      </c>
      <c r="J59" s="1"/>
      <c r="K59" s="1"/>
      <c r="L59" t="s">
        <v>361</v>
      </c>
      <c r="M59" s="1"/>
      <c r="N59" s="1"/>
      <c r="O59" s="1"/>
      <c r="P59" s="1"/>
      <c r="T59" s="587">
        <v>29.5</v>
      </c>
      <c r="U59" s="588">
        <f t="shared" si="2"/>
        <v>7070</v>
      </c>
      <c r="V59" s="588">
        <f t="shared" si="0"/>
        <v>7090</v>
      </c>
      <c r="W59" s="589"/>
      <c r="X59" s="584"/>
      <c r="Y59" s="590">
        <v>20</v>
      </c>
      <c r="Z59" s="591">
        <f>$Y59*305+($Y59-1)*10</f>
        <v>6290</v>
      </c>
      <c r="AA59" s="591">
        <f t="shared" si="1"/>
        <v>6310</v>
      </c>
      <c r="AB59" s="589">
        <f>CEILING($Y59*CourseTwo,1)</f>
        <v>3429</v>
      </c>
      <c r="AC59" s="580"/>
    </row>
    <row r="60" spans="1:29" x14ac:dyDescent="0.2">
      <c r="A60" s="87" t="s">
        <v>545</v>
      </c>
      <c r="B60" s="1"/>
      <c r="C60" s="1"/>
      <c r="D60" s="1"/>
      <c r="E60" t="s">
        <v>121</v>
      </c>
      <c r="F60" s="1"/>
      <c r="G60" s="1"/>
      <c r="H60" s="1"/>
      <c r="I60" s="33"/>
      <c r="J60" s="1"/>
      <c r="K60" s="1"/>
      <c r="L60" t="s">
        <v>362</v>
      </c>
      <c r="M60" s="1"/>
      <c r="N60" s="1"/>
      <c r="O60" s="1"/>
      <c r="P60" s="1"/>
      <c r="T60" s="587">
        <v>30</v>
      </c>
      <c r="U60" s="588">
        <f t="shared" si="2"/>
        <v>7190</v>
      </c>
      <c r="V60" s="588">
        <f t="shared" si="0"/>
        <v>7210</v>
      </c>
      <c r="W60" s="589">
        <f>CEILING($T60*CourseStd,1)</f>
        <v>2572</v>
      </c>
      <c r="X60" s="584"/>
      <c r="Y60" s="590">
        <v>20.329999999999998</v>
      </c>
      <c r="Z60" s="591">
        <f>Z59+100</f>
        <v>6390</v>
      </c>
      <c r="AA60" s="591">
        <f t="shared" si="1"/>
        <v>6410</v>
      </c>
      <c r="AB60" s="589"/>
      <c r="AC60" s="580"/>
    </row>
    <row r="61" spans="1:29" x14ac:dyDescent="0.2">
      <c r="A61" s="87" t="s">
        <v>546</v>
      </c>
      <c r="B61" s="1"/>
      <c r="C61" s="1"/>
      <c r="D61" s="1"/>
      <c r="E61" t="s">
        <v>131</v>
      </c>
      <c r="F61" s="1"/>
      <c r="G61" s="1"/>
      <c r="H61" s="1"/>
      <c r="J61" s="1"/>
      <c r="K61" s="1"/>
      <c r="M61" s="1"/>
      <c r="N61" s="1"/>
      <c r="O61" s="1"/>
      <c r="P61" s="1"/>
      <c r="T61" s="587">
        <v>30.5</v>
      </c>
      <c r="U61" s="588">
        <f t="shared" si="2"/>
        <v>7310</v>
      </c>
      <c r="V61" s="588">
        <f t="shared" si="0"/>
        <v>7330</v>
      </c>
      <c r="W61" s="589"/>
      <c r="X61" s="584"/>
      <c r="Y61" s="590">
        <v>20.67</v>
      </c>
      <c r="Z61" s="591">
        <f>Z60+100</f>
        <v>6490</v>
      </c>
      <c r="AA61" s="591">
        <f t="shared" si="1"/>
        <v>6510</v>
      </c>
      <c r="AB61" s="589"/>
      <c r="AC61" s="580"/>
    </row>
    <row r="62" spans="1:29" x14ac:dyDescent="0.2">
      <c r="A62" s="87" t="s">
        <v>8</v>
      </c>
      <c r="B62" s="1"/>
      <c r="C62" s="1"/>
      <c r="D62" s="1"/>
      <c r="E62" t="s">
        <v>132</v>
      </c>
      <c r="F62" s="1"/>
      <c r="G62" s="1"/>
      <c r="H62" s="1"/>
      <c r="I62" s="1"/>
      <c r="J62" s="1"/>
      <c r="K62" s="1"/>
      <c r="L62" s="1"/>
      <c r="M62" s="1"/>
      <c r="N62" s="1"/>
      <c r="O62" s="1"/>
      <c r="P62" s="1"/>
      <c r="T62" s="587">
        <v>31</v>
      </c>
      <c r="U62" s="588">
        <f t="shared" si="2"/>
        <v>7430</v>
      </c>
      <c r="V62" s="588">
        <f t="shared" si="0"/>
        <v>7450</v>
      </c>
      <c r="W62" s="589">
        <f>CEILING($T62*CourseStd,1)</f>
        <v>2658</v>
      </c>
      <c r="X62" s="584"/>
      <c r="Y62" s="590">
        <v>21.001333333333299</v>
      </c>
      <c r="Z62" s="591">
        <f>$Y62*305+($Y62-1)*10</f>
        <v>6605.4199999999901</v>
      </c>
      <c r="AA62" s="591">
        <f t="shared" si="1"/>
        <v>6625.4199999999901</v>
      </c>
      <c r="AB62" s="589">
        <f>FLOOR($Y62*CourseTwo,1)</f>
        <v>3600</v>
      </c>
      <c r="AC62" s="580"/>
    </row>
    <row r="63" spans="1:29" x14ac:dyDescent="0.2">
      <c r="B63" s="1"/>
      <c r="C63" s="1"/>
      <c r="D63" s="1"/>
      <c r="E63" s="1"/>
      <c r="F63" s="1"/>
      <c r="G63" s="1"/>
      <c r="H63" s="1"/>
      <c r="I63" s="1"/>
      <c r="J63" s="1"/>
      <c r="K63" s="1"/>
      <c r="L63" s="1"/>
      <c r="M63" s="1"/>
      <c r="N63" s="1"/>
      <c r="O63" s="1"/>
      <c r="P63" s="1"/>
      <c r="T63" s="587">
        <v>31.5</v>
      </c>
      <c r="U63" s="588">
        <f t="shared" si="2"/>
        <v>7550</v>
      </c>
      <c r="V63" s="588">
        <f t="shared" si="0"/>
        <v>7570</v>
      </c>
      <c r="W63" s="589"/>
      <c r="X63" s="593"/>
      <c r="Y63" s="590">
        <v>21.3350476190476</v>
      </c>
      <c r="Z63" s="591">
        <f>Z62+100</f>
        <v>6705.4199999999901</v>
      </c>
      <c r="AA63" s="591">
        <f t="shared" si="1"/>
        <v>6725.4199999999901</v>
      </c>
      <c r="AB63" s="589"/>
      <c r="AC63" s="580"/>
    </row>
    <row r="64" spans="1:29" x14ac:dyDescent="0.2">
      <c r="A64" s="55"/>
      <c r="B64" s="1"/>
      <c r="C64" s="1"/>
      <c r="D64" s="1"/>
      <c r="E64" s="1"/>
      <c r="F64" s="1"/>
      <c r="G64" s="1"/>
      <c r="H64" s="1"/>
      <c r="I64" s="1"/>
      <c r="J64" s="1"/>
      <c r="K64" s="1"/>
      <c r="L64" s="1"/>
      <c r="M64" s="1"/>
      <c r="N64" s="1"/>
      <c r="O64" s="1"/>
      <c r="P64" s="1"/>
      <c r="T64" s="587">
        <v>32</v>
      </c>
      <c r="U64" s="588">
        <f t="shared" si="2"/>
        <v>7670</v>
      </c>
      <c r="V64" s="588">
        <f t="shared" si="0"/>
        <v>7690</v>
      </c>
      <c r="W64" s="589">
        <f>CEILING($T64*CourseStd,1)</f>
        <v>2743</v>
      </c>
      <c r="X64" s="594"/>
      <c r="Y64" s="590">
        <v>21.668761904761901</v>
      </c>
      <c r="Z64" s="591">
        <f>Z63+100</f>
        <v>6805.4199999999901</v>
      </c>
      <c r="AA64" s="591">
        <f t="shared" si="1"/>
        <v>6825.4199999999901</v>
      </c>
      <c r="AB64" s="589"/>
      <c r="AC64" s="580"/>
    </row>
    <row r="65" spans="1:29" x14ac:dyDescent="0.2">
      <c r="A65" s="55"/>
      <c r="B65" s="1"/>
      <c r="C65" s="1"/>
      <c r="D65" s="3" t="s">
        <v>650</v>
      </c>
      <c r="E65" s="3" t="s">
        <v>34</v>
      </c>
      <c r="F65" s="3" t="s">
        <v>136</v>
      </c>
      <c r="G65" s="3" t="s">
        <v>651</v>
      </c>
      <c r="H65" s="3" t="s">
        <v>1563</v>
      </c>
      <c r="I65" s="3" t="s">
        <v>3117</v>
      </c>
      <c r="N65" s="1"/>
      <c r="O65" s="1"/>
      <c r="P65" s="1"/>
      <c r="T65" s="587">
        <v>32.5</v>
      </c>
      <c r="U65" s="588">
        <f t="shared" si="2"/>
        <v>7790</v>
      </c>
      <c r="V65" s="588">
        <f t="shared" si="0"/>
        <v>7810</v>
      </c>
      <c r="W65" s="589"/>
      <c r="X65" s="594"/>
      <c r="Y65" s="590">
        <v>22.002476190476202</v>
      </c>
      <c r="Z65" s="591">
        <f>$Y65*305+($Y65-1)*10</f>
        <v>6920.7800000000034</v>
      </c>
      <c r="AA65" s="591">
        <f t="shared" si="1"/>
        <v>6940.7800000000034</v>
      </c>
      <c r="AB65" s="589">
        <f>CEILING($Y65*CourseTwo,1)</f>
        <v>3772</v>
      </c>
      <c r="AC65" s="580"/>
    </row>
    <row r="66" spans="1:29" x14ac:dyDescent="0.2">
      <c r="A66" s="55"/>
      <c r="B66" s="1"/>
      <c r="C66" s="1"/>
      <c r="D66" t="s">
        <v>644</v>
      </c>
      <c r="E66">
        <v>4200</v>
      </c>
      <c r="F66">
        <v>230</v>
      </c>
      <c r="G66">
        <v>205</v>
      </c>
      <c r="H66">
        <v>5</v>
      </c>
      <c r="N66" s="1"/>
      <c r="O66" s="1"/>
      <c r="P66" s="1"/>
      <c r="T66" s="587">
        <v>33</v>
      </c>
      <c r="U66" s="588">
        <f t="shared" si="2"/>
        <v>7910</v>
      </c>
      <c r="V66" s="588">
        <f t="shared" ref="V66:V129" si="3">$U66+20</f>
        <v>7930</v>
      </c>
      <c r="W66" s="589">
        <f>CEILING($T66*CourseStd,1)</f>
        <v>2829</v>
      </c>
      <c r="X66" s="594"/>
      <c r="Y66" s="590">
        <v>22.336190476190499</v>
      </c>
      <c r="Z66" s="591">
        <f>Z65+100</f>
        <v>7020.7800000000034</v>
      </c>
      <c r="AA66" s="591">
        <f t="shared" ref="AA66:AA89" si="4">Z66+20</f>
        <v>7040.7800000000034</v>
      </c>
      <c r="AB66" s="589"/>
      <c r="AC66" s="580"/>
    </row>
    <row r="67" spans="1:29" x14ac:dyDescent="0.2">
      <c r="A67" s="55"/>
      <c r="B67" s="1"/>
      <c r="C67" s="1"/>
      <c r="D67" t="s">
        <v>645</v>
      </c>
      <c r="E67">
        <v>4200</v>
      </c>
      <c r="F67">
        <v>230</v>
      </c>
      <c r="G67">
        <v>205</v>
      </c>
      <c r="H67">
        <v>5</v>
      </c>
      <c r="N67" s="1"/>
      <c r="O67" s="1"/>
      <c r="P67" s="1"/>
      <c r="T67" s="587">
        <v>33.5</v>
      </c>
      <c r="U67" s="588">
        <f t="shared" ref="U67:U130" si="5">$T67*230+(($T67-1)/0.5)*5</f>
        <v>8030</v>
      </c>
      <c r="V67" s="588">
        <f t="shared" si="3"/>
        <v>8050</v>
      </c>
      <c r="W67" s="589"/>
      <c r="X67" s="594"/>
      <c r="Y67" s="590">
        <v>22.6699047619048</v>
      </c>
      <c r="Z67" s="591">
        <f>Z66+100</f>
        <v>7120.7800000000034</v>
      </c>
      <c r="AA67" s="591">
        <f t="shared" si="4"/>
        <v>7140.7800000000034</v>
      </c>
      <c r="AB67" s="589"/>
      <c r="AC67" s="580"/>
    </row>
    <row r="68" spans="1:29" x14ac:dyDescent="0.2">
      <c r="A68" s="55"/>
      <c r="B68" s="1"/>
      <c r="C68" s="1"/>
      <c r="D68" t="s">
        <v>646</v>
      </c>
      <c r="E68">
        <v>4200</v>
      </c>
      <c r="F68">
        <v>175</v>
      </c>
      <c r="G68">
        <v>150</v>
      </c>
      <c r="H68">
        <v>7</v>
      </c>
      <c r="N68" s="1"/>
      <c r="O68" s="1"/>
      <c r="P68" s="1"/>
      <c r="T68" s="587">
        <v>34</v>
      </c>
      <c r="U68" s="588">
        <f t="shared" si="5"/>
        <v>8150</v>
      </c>
      <c r="V68" s="588">
        <f t="shared" si="3"/>
        <v>8170</v>
      </c>
      <c r="W68" s="589">
        <f>CEILING($T68*CourseStd,1)</f>
        <v>2915</v>
      </c>
      <c r="X68" s="594"/>
      <c r="Y68" s="590">
        <v>23.0036190476191</v>
      </c>
      <c r="Z68" s="591">
        <f>$Y68*305+($Y68-1)*10</f>
        <v>7236.1400000000167</v>
      </c>
      <c r="AA68" s="591">
        <f t="shared" si="4"/>
        <v>7256.1400000000167</v>
      </c>
      <c r="AB68" s="589">
        <f>FLOOR($Y68*CourseTwo,1)</f>
        <v>3943</v>
      </c>
      <c r="AC68" s="580"/>
    </row>
    <row r="69" spans="1:29" x14ac:dyDescent="0.2">
      <c r="A69" s="55"/>
      <c r="B69" s="1"/>
      <c r="C69" s="1"/>
      <c r="D69" t="s">
        <v>647</v>
      </c>
      <c r="E69">
        <v>4200</v>
      </c>
      <c r="F69">
        <v>175</v>
      </c>
      <c r="G69">
        <v>150</v>
      </c>
      <c r="H69">
        <v>7</v>
      </c>
      <c r="N69" s="1"/>
      <c r="O69" s="1"/>
      <c r="P69" s="1"/>
      <c r="T69" s="587">
        <v>34.5</v>
      </c>
      <c r="U69" s="588">
        <f t="shared" si="5"/>
        <v>8270</v>
      </c>
      <c r="V69" s="588">
        <f t="shared" si="3"/>
        <v>8290</v>
      </c>
      <c r="W69" s="589"/>
      <c r="X69" s="594"/>
      <c r="Y69" s="590">
        <v>23.337333333333302</v>
      </c>
      <c r="Z69" s="591">
        <f>Z68+100</f>
        <v>7336.1400000000167</v>
      </c>
      <c r="AA69" s="591">
        <f t="shared" si="4"/>
        <v>7356.1400000000167</v>
      </c>
      <c r="AB69" s="589"/>
      <c r="AC69" s="580"/>
    </row>
    <row r="70" spans="1:29" x14ac:dyDescent="0.2">
      <c r="A70" s="55"/>
      <c r="B70" s="1"/>
      <c r="C70" s="1"/>
      <c r="D70" t="s">
        <v>648</v>
      </c>
      <c r="E70">
        <v>4200</v>
      </c>
      <c r="F70">
        <v>205</v>
      </c>
      <c r="G70">
        <v>180</v>
      </c>
      <c r="H70">
        <v>6</v>
      </c>
      <c r="N70" s="1"/>
      <c r="O70" s="1"/>
      <c r="P70" s="1"/>
      <c r="T70" s="587">
        <v>35</v>
      </c>
      <c r="U70" s="588">
        <f t="shared" si="5"/>
        <v>8390</v>
      </c>
      <c r="V70" s="588">
        <f t="shared" si="3"/>
        <v>8410</v>
      </c>
      <c r="W70" s="589">
        <f>CEILING($T70*CourseStd,1)</f>
        <v>3000</v>
      </c>
      <c r="X70" s="594"/>
      <c r="Y70" s="590">
        <v>23.671047619047599</v>
      </c>
      <c r="Z70" s="591">
        <f>Z69+100</f>
        <v>7436.1400000000167</v>
      </c>
      <c r="AA70" s="591">
        <f t="shared" si="4"/>
        <v>7456.1400000000167</v>
      </c>
      <c r="AB70" s="589"/>
      <c r="AC70" s="580"/>
    </row>
    <row r="71" spans="1:29" x14ac:dyDescent="0.2">
      <c r="A71" s="55"/>
      <c r="B71" s="1"/>
      <c r="C71" s="1"/>
      <c r="D71" t="s">
        <v>649</v>
      </c>
      <c r="E71">
        <v>4200</v>
      </c>
      <c r="F71">
        <v>205</v>
      </c>
      <c r="G71">
        <v>180</v>
      </c>
      <c r="H71">
        <v>6</v>
      </c>
      <c r="N71" s="1"/>
      <c r="O71" s="1"/>
      <c r="P71" s="1"/>
      <c r="T71" s="587">
        <v>35.5</v>
      </c>
      <c r="U71" s="588">
        <f t="shared" si="5"/>
        <v>8510</v>
      </c>
      <c r="V71" s="588">
        <f t="shared" si="3"/>
        <v>8530</v>
      </c>
      <c r="W71" s="589"/>
      <c r="X71" s="594"/>
      <c r="Y71" s="590">
        <v>24.004761904761899</v>
      </c>
      <c r="Z71" s="591">
        <f>$Y71*305+($Y71-1)*10</f>
        <v>7551.4999999999982</v>
      </c>
      <c r="AA71" s="591">
        <f t="shared" si="4"/>
        <v>7571.4999999999982</v>
      </c>
      <c r="AB71" s="589">
        <f>CEILING($Y71*CourseTwo,1)</f>
        <v>4116</v>
      </c>
      <c r="AC71" s="580"/>
    </row>
    <row r="72" spans="1:29" x14ac:dyDescent="0.2">
      <c r="A72" s="55"/>
      <c r="B72" s="1"/>
      <c r="C72" s="1"/>
      <c r="D72" t="s">
        <v>240</v>
      </c>
      <c r="E72">
        <v>1000</v>
      </c>
      <c r="F72">
        <v>86</v>
      </c>
      <c r="G72">
        <v>86</v>
      </c>
      <c r="N72" s="1"/>
      <c r="O72" s="1"/>
      <c r="P72" s="1"/>
      <c r="T72" s="587">
        <v>36</v>
      </c>
      <c r="U72" s="588">
        <f t="shared" si="5"/>
        <v>8630</v>
      </c>
      <c r="V72" s="588">
        <f t="shared" si="3"/>
        <v>8650</v>
      </c>
      <c r="W72" s="589">
        <f>CEILING($T72*CourseStd,1)</f>
        <v>3086</v>
      </c>
      <c r="X72" s="594"/>
      <c r="Y72" s="590">
        <v>24.3384761904762</v>
      </c>
      <c r="Z72" s="591">
        <f>Z71+100</f>
        <v>7651.4999999999982</v>
      </c>
      <c r="AA72" s="591">
        <f t="shared" si="4"/>
        <v>7671.4999999999982</v>
      </c>
      <c r="AB72" s="589"/>
      <c r="AC72" s="580"/>
    </row>
    <row r="73" spans="1:29" x14ac:dyDescent="0.2">
      <c r="A73" s="55"/>
      <c r="B73" s="1"/>
      <c r="C73" s="1"/>
      <c r="D73" t="s">
        <v>1562</v>
      </c>
      <c r="E73">
        <v>3000</v>
      </c>
      <c r="F73">
        <v>1200</v>
      </c>
      <c r="G73">
        <v>1200</v>
      </c>
      <c r="H73">
        <f>1000/F73</f>
        <v>0.83333333333333337</v>
      </c>
      <c r="N73" s="1"/>
      <c r="O73" s="1"/>
      <c r="P73" s="1"/>
      <c r="T73" s="587">
        <v>36.5</v>
      </c>
      <c r="U73" s="588">
        <f t="shared" si="5"/>
        <v>8750</v>
      </c>
      <c r="V73" s="588">
        <f t="shared" si="3"/>
        <v>8770</v>
      </c>
      <c r="W73" s="589"/>
      <c r="X73" s="594"/>
      <c r="Y73" s="590">
        <v>24.672190476190501</v>
      </c>
      <c r="Z73" s="591">
        <f>Z72+100</f>
        <v>7751.4999999999982</v>
      </c>
      <c r="AA73" s="591">
        <f t="shared" si="4"/>
        <v>7771.4999999999982</v>
      </c>
      <c r="AB73" s="589"/>
      <c r="AC73" s="580"/>
    </row>
    <row r="74" spans="1:29" x14ac:dyDescent="0.2">
      <c r="A74" s="55"/>
      <c r="B74" s="1"/>
      <c r="C74" s="1"/>
      <c r="D74" s="87" t="s">
        <v>3119</v>
      </c>
      <c r="E74">
        <v>2450</v>
      </c>
      <c r="F74">
        <v>1200</v>
      </c>
      <c r="I74">
        <v>2.94</v>
      </c>
      <c r="N74" s="1"/>
      <c r="O74" s="1"/>
      <c r="P74" s="1"/>
      <c r="T74" s="587">
        <v>37</v>
      </c>
      <c r="U74" s="588">
        <f t="shared" si="5"/>
        <v>8870</v>
      </c>
      <c r="V74" s="588">
        <f t="shared" si="3"/>
        <v>8890</v>
      </c>
      <c r="W74" s="589">
        <f>CEILING($T74*CourseStd,1)</f>
        <v>3172</v>
      </c>
      <c r="X74" s="594"/>
      <c r="Y74" s="590">
        <v>25.005904761904802</v>
      </c>
      <c r="Z74" s="591">
        <f>$Y74*305+($Y74-1)*10</f>
        <v>7866.8600000000124</v>
      </c>
      <c r="AA74" s="591">
        <f t="shared" si="4"/>
        <v>7886.8600000000124</v>
      </c>
      <c r="AB74" s="589">
        <f>FLOOR($Y74*CourseTwo,1)</f>
        <v>4286</v>
      </c>
      <c r="AC74" s="580"/>
    </row>
    <row r="75" spans="1:29" x14ac:dyDescent="0.2">
      <c r="A75" s="55"/>
      <c r="B75" s="1"/>
      <c r="C75" s="1"/>
      <c r="D75" s="87" t="s">
        <v>3511</v>
      </c>
      <c r="E75">
        <v>4200</v>
      </c>
      <c r="F75">
        <v>180</v>
      </c>
      <c r="I75">
        <f>4.2*0.15</f>
        <v>0.63</v>
      </c>
      <c r="N75" s="1"/>
      <c r="O75" s="1"/>
      <c r="P75" s="1"/>
      <c r="T75" s="587">
        <v>37.5</v>
      </c>
      <c r="U75" s="588">
        <f t="shared" si="5"/>
        <v>8990</v>
      </c>
      <c r="V75" s="588">
        <f t="shared" si="3"/>
        <v>9010</v>
      </c>
      <c r="W75" s="589"/>
      <c r="X75" s="594"/>
      <c r="Y75" s="590">
        <v>25.339619047618999</v>
      </c>
      <c r="Z75" s="591">
        <f>Z74+100</f>
        <v>7966.8600000000124</v>
      </c>
      <c r="AA75" s="591">
        <f t="shared" si="4"/>
        <v>7986.8600000000124</v>
      </c>
      <c r="AB75" s="589"/>
      <c r="AC75" s="580"/>
    </row>
    <row r="76" spans="1:29" x14ac:dyDescent="0.2">
      <c r="A76" s="55"/>
      <c r="B76" s="1"/>
      <c r="C76" s="1"/>
      <c r="D76" t="s">
        <v>3573</v>
      </c>
      <c r="E76">
        <v>4200</v>
      </c>
      <c r="F76">
        <v>300</v>
      </c>
      <c r="G76">
        <v>278</v>
      </c>
      <c r="H76">
        <v>3.6</v>
      </c>
      <c r="I76">
        <f>ROUND(G76*E76/1000000,1)</f>
        <v>1.2</v>
      </c>
      <c r="N76" s="1"/>
      <c r="O76" s="1"/>
      <c r="P76" s="1"/>
      <c r="T76" s="587">
        <v>38</v>
      </c>
      <c r="U76" s="588">
        <f t="shared" si="5"/>
        <v>9110</v>
      </c>
      <c r="V76" s="588">
        <f t="shared" si="3"/>
        <v>9130</v>
      </c>
      <c r="W76" s="589">
        <f>CEILING($T76*CourseStd,1)</f>
        <v>3258</v>
      </c>
      <c r="X76" s="580"/>
      <c r="Y76" s="590">
        <v>25.6733333333333</v>
      </c>
      <c r="Z76" s="591">
        <f>Z75+100</f>
        <v>8066.8600000000124</v>
      </c>
      <c r="AA76" s="591">
        <f t="shared" si="4"/>
        <v>8086.8600000000124</v>
      </c>
      <c r="AB76" s="589"/>
      <c r="AC76" s="580"/>
    </row>
    <row r="77" spans="1:29" x14ac:dyDescent="0.2">
      <c r="A77" s="55"/>
      <c r="B77" s="1"/>
      <c r="C77" s="1"/>
      <c r="N77" s="1"/>
      <c r="O77" s="1"/>
      <c r="P77" s="1"/>
      <c r="T77" s="587">
        <v>38.5</v>
      </c>
      <c r="U77" s="588">
        <f t="shared" si="5"/>
        <v>9230</v>
      </c>
      <c r="V77" s="588">
        <f t="shared" si="3"/>
        <v>9250</v>
      </c>
      <c r="W77" s="589"/>
      <c r="X77" s="580"/>
      <c r="Y77" s="590">
        <v>26.007047619047601</v>
      </c>
      <c r="Z77" s="591">
        <f>$Y77*305+($Y77-1)*10</f>
        <v>8182.2199999999948</v>
      </c>
      <c r="AA77" s="591">
        <f t="shared" si="4"/>
        <v>8202.2199999999939</v>
      </c>
      <c r="AB77" s="589">
        <f>CEILING($Y77*CourseTwo,1)</f>
        <v>4459</v>
      </c>
      <c r="AC77" s="595"/>
    </row>
    <row r="78" spans="1:29" x14ac:dyDescent="0.2">
      <c r="A78" s="55"/>
      <c r="B78" s="1"/>
      <c r="C78" s="1"/>
      <c r="N78" s="1"/>
      <c r="O78" s="1"/>
      <c r="P78" s="1"/>
      <c r="T78" s="587">
        <v>39</v>
      </c>
      <c r="U78" s="588">
        <f t="shared" si="5"/>
        <v>9350</v>
      </c>
      <c r="V78" s="588">
        <f t="shared" si="3"/>
        <v>9370</v>
      </c>
      <c r="W78" s="589">
        <f>CEILING($T78*CourseStd,1)</f>
        <v>3343</v>
      </c>
      <c r="X78" s="580"/>
      <c r="Y78" s="590">
        <v>26.340761904761901</v>
      </c>
      <c r="Z78" s="591">
        <f>Z77+100</f>
        <v>8282.2199999999939</v>
      </c>
      <c r="AA78" s="591">
        <f t="shared" si="4"/>
        <v>8302.2199999999939</v>
      </c>
      <c r="AB78" s="589"/>
      <c r="AC78" s="580"/>
    </row>
    <row r="79" spans="1:29" x14ac:dyDescent="0.2">
      <c r="A79" s="55"/>
      <c r="B79" s="1"/>
      <c r="C79" s="1"/>
      <c r="N79" s="1"/>
      <c r="O79" s="1"/>
      <c r="P79" s="1"/>
      <c r="T79" s="587">
        <v>39.5</v>
      </c>
      <c r="U79" s="588">
        <f t="shared" si="5"/>
        <v>9470</v>
      </c>
      <c r="V79" s="588">
        <f t="shared" si="3"/>
        <v>9490</v>
      </c>
      <c r="W79" s="589"/>
      <c r="X79" s="580"/>
      <c r="Y79" s="590">
        <v>26.674476190476199</v>
      </c>
      <c r="Z79" s="591">
        <f>Z78+100</f>
        <v>8382.2199999999939</v>
      </c>
      <c r="AA79" s="591">
        <f t="shared" si="4"/>
        <v>8402.2199999999939</v>
      </c>
      <c r="AB79" s="589"/>
      <c r="AC79" s="580"/>
    </row>
    <row r="80" spans="1:29" x14ac:dyDescent="0.2">
      <c r="A80" s="55"/>
      <c r="B80" s="1"/>
      <c r="C80" s="1"/>
      <c r="N80" s="1"/>
      <c r="O80" s="1"/>
      <c r="P80" s="1"/>
      <c r="T80" s="587">
        <v>40</v>
      </c>
      <c r="U80" s="588">
        <f t="shared" si="5"/>
        <v>9590</v>
      </c>
      <c r="V80" s="588">
        <f t="shared" si="3"/>
        <v>9610</v>
      </c>
      <c r="W80" s="589">
        <f>CEILING($T80*CourseStd,1)</f>
        <v>3429</v>
      </c>
      <c r="X80" s="580"/>
      <c r="Y80" s="590">
        <v>27.008190476190499</v>
      </c>
      <c r="Z80" s="591">
        <f>$Y80*305+($Y80-1)*10</f>
        <v>8497.5800000000072</v>
      </c>
      <c r="AA80" s="591">
        <f t="shared" si="4"/>
        <v>8517.5800000000072</v>
      </c>
      <c r="AB80" s="589">
        <f>FLOOR($Y80*CourseTwo,1)</f>
        <v>4629</v>
      </c>
      <c r="AC80" s="580"/>
    </row>
    <row r="81" spans="1:29" x14ac:dyDescent="0.2">
      <c r="A81" s="55"/>
      <c r="B81" s="1"/>
      <c r="C81" s="1"/>
      <c r="N81" s="1"/>
      <c r="O81" s="1"/>
      <c r="P81" s="1"/>
      <c r="T81" s="587">
        <v>40.5</v>
      </c>
      <c r="U81" s="588">
        <f t="shared" si="5"/>
        <v>9710</v>
      </c>
      <c r="V81" s="588">
        <f t="shared" si="3"/>
        <v>9730</v>
      </c>
      <c r="W81" s="589"/>
      <c r="X81" s="580"/>
      <c r="Y81" s="590">
        <v>27.3419047619048</v>
      </c>
      <c r="Z81" s="591">
        <f>Z80+100</f>
        <v>8597.5800000000072</v>
      </c>
      <c r="AA81" s="591">
        <f t="shared" si="4"/>
        <v>8617.5800000000072</v>
      </c>
      <c r="AB81" s="589"/>
      <c r="AC81" s="580"/>
    </row>
    <row r="82" spans="1:29" x14ac:dyDescent="0.2">
      <c r="A82" s="55"/>
      <c r="B82" s="1"/>
      <c r="C82" s="1"/>
      <c r="D82" s="1"/>
      <c r="E82" s="1"/>
      <c r="F82" s="1"/>
      <c r="G82" s="1"/>
      <c r="H82" s="1"/>
      <c r="I82" s="1"/>
      <c r="J82" s="1"/>
      <c r="K82" s="1"/>
      <c r="L82" s="1"/>
      <c r="M82" s="1"/>
      <c r="N82" s="1"/>
      <c r="O82" s="1"/>
      <c r="P82" s="1"/>
      <c r="T82" s="587">
        <v>41</v>
      </c>
      <c r="U82" s="588">
        <f t="shared" si="5"/>
        <v>9830</v>
      </c>
      <c r="V82" s="588">
        <f t="shared" si="3"/>
        <v>9850</v>
      </c>
      <c r="W82" s="589">
        <f>CEILING($T82*CourseStd,1)</f>
        <v>3515</v>
      </c>
      <c r="X82" s="580"/>
      <c r="Y82" s="590">
        <v>27.675619047619101</v>
      </c>
      <c r="Z82" s="591">
        <f>Z81+100</f>
        <v>8697.5800000000072</v>
      </c>
      <c r="AA82" s="591">
        <f t="shared" si="4"/>
        <v>8717.5800000000072</v>
      </c>
      <c r="AB82" s="589"/>
      <c r="AC82" s="580"/>
    </row>
    <row r="83" spans="1:29" x14ac:dyDescent="0.2">
      <c r="A83" s="55"/>
      <c r="B83" s="1"/>
      <c r="C83" s="1"/>
      <c r="D83" s="1"/>
      <c r="E83" s="1"/>
      <c r="F83" s="1"/>
      <c r="G83" s="1"/>
      <c r="H83" s="1"/>
      <c r="I83" s="1"/>
      <c r="J83" s="1"/>
      <c r="K83" s="1"/>
      <c r="L83" s="1"/>
      <c r="M83" s="1"/>
      <c r="N83" s="1"/>
      <c r="O83" s="1"/>
      <c r="P83" s="1"/>
      <c r="T83" s="587">
        <v>41.5</v>
      </c>
      <c r="U83" s="588">
        <f t="shared" si="5"/>
        <v>9950</v>
      </c>
      <c r="V83" s="588">
        <f t="shared" si="3"/>
        <v>9970</v>
      </c>
      <c r="W83" s="589"/>
      <c r="X83" s="580"/>
      <c r="Y83" s="590">
        <v>28.009333333333299</v>
      </c>
      <c r="Z83" s="591">
        <f>$Y83*305+($Y83-1)*10</f>
        <v>8812.9399999999878</v>
      </c>
      <c r="AA83" s="591">
        <f t="shared" si="4"/>
        <v>8832.9399999999878</v>
      </c>
      <c r="AB83" s="589">
        <f>CEILING($Y83*CourseTwo,1)</f>
        <v>4802</v>
      </c>
      <c r="AC83" s="580"/>
    </row>
    <row r="84" spans="1:29" x14ac:dyDescent="0.2">
      <c r="A84" s="55"/>
      <c r="B84" s="1"/>
      <c r="C84" s="1"/>
      <c r="D84" s="1"/>
      <c r="H84" s="1"/>
      <c r="I84" s="1"/>
      <c r="J84" s="5" t="s">
        <v>307</v>
      </c>
      <c r="K84" s="1"/>
      <c r="L84" s="1"/>
      <c r="M84" s="1"/>
      <c r="N84" s="1"/>
      <c r="O84" s="1"/>
      <c r="P84" s="1"/>
      <c r="T84" s="587">
        <v>42</v>
      </c>
      <c r="U84" s="588">
        <f t="shared" si="5"/>
        <v>10070</v>
      </c>
      <c r="V84" s="588">
        <f t="shared" si="3"/>
        <v>10090</v>
      </c>
      <c r="W84" s="589">
        <f>CEILING($T84*CourseStd,1)</f>
        <v>3600</v>
      </c>
      <c r="X84" s="580"/>
      <c r="Y84" s="590">
        <v>28.343047619047599</v>
      </c>
      <c r="Z84" s="591">
        <f>Z83+100</f>
        <v>8912.9399999999878</v>
      </c>
      <c r="AA84" s="591">
        <f t="shared" si="4"/>
        <v>8932.9399999999878</v>
      </c>
      <c r="AB84" s="589"/>
      <c r="AC84" s="595"/>
    </row>
    <row r="85" spans="1:29" x14ac:dyDescent="0.2">
      <c r="A85" s="55"/>
      <c r="B85" s="1"/>
      <c r="C85" s="1"/>
      <c r="D85" s="1"/>
      <c r="H85" s="1"/>
      <c r="I85" s="1"/>
      <c r="J85" t="s">
        <v>269</v>
      </c>
      <c r="K85" s="1"/>
      <c r="L85" s="1"/>
      <c r="M85" s="1"/>
      <c r="N85" s="1"/>
      <c r="O85" s="1"/>
      <c r="P85" s="1"/>
      <c r="T85" s="587">
        <v>42.5</v>
      </c>
      <c r="U85" s="588">
        <f t="shared" si="5"/>
        <v>10190</v>
      </c>
      <c r="V85" s="588">
        <f t="shared" si="3"/>
        <v>10210</v>
      </c>
      <c r="W85" s="589"/>
      <c r="X85" s="580"/>
      <c r="Y85" s="590">
        <v>28.6767619047619</v>
      </c>
      <c r="Z85" s="591">
        <f>Z84+100</f>
        <v>9012.9399999999878</v>
      </c>
      <c r="AA85" s="591">
        <f t="shared" si="4"/>
        <v>9032.9399999999878</v>
      </c>
      <c r="AB85" s="589"/>
      <c r="AC85" s="580"/>
    </row>
    <row r="86" spans="1:29" x14ac:dyDescent="0.2">
      <c r="A86" s="55"/>
      <c r="B86" s="1"/>
      <c r="C86" s="1"/>
      <c r="D86" s="1"/>
      <c r="H86" s="1"/>
      <c r="I86" s="1"/>
      <c r="J86" t="s">
        <v>158</v>
      </c>
      <c r="K86" s="1"/>
      <c r="L86" s="1"/>
      <c r="M86" s="1"/>
      <c r="N86" s="1"/>
      <c r="O86" s="1"/>
      <c r="P86" s="1"/>
      <c r="T86" s="587">
        <v>43</v>
      </c>
      <c r="U86" s="588">
        <f t="shared" si="5"/>
        <v>10310</v>
      </c>
      <c r="V86" s="588">
        <f t="shared" si="3"/>
        <v>10330</v>
      </c>
      <c r="W86" s="589">
        <f>CEILING($T86*CourseStd,1)</f>
        <v>3686</v>
      </c>
      <c r="X86" s="580"/>
      <c r="Y86" s="590">
        <v>29.010476190476201</v>
      </c>
      <c r="Z86" s="591">
        <f>$Y86*305+($Y86-1)*10</f>
        <v>9128.3000000000029</v>
      </c>
      <c r="AA86" s="591">
        <f t="shared" si="4"/>
        <v>9148.3000000000029</v>
      </c>
      <c r="AB86" s="589">
        <f>FLOOR($Y86*CourseTwo,1)</f>
        <v>4973</v>
      </c>
      <c r="AC86" s="580"/>
    </row>
    <row r="87" spans="1:29" x14ac:dyDescent="0.2">
      <c r="A87" s="55"/>
      <c r="B87" s="1"/>
      <c r="C87" s="1"/>
      <c r="D87" s="1"/>
      <c r="H87" s="1"/>
      <c r="I87" s="1"/>
      <c r="J87" s="1"/>
      <c r="K87" s="1"/>
      <c r="L87" s="1"/>
      <c r="M87" s="1"/>
      <c r="N87" s="1"/>
      <c r="O87" s="1"/>
      <c r="P87" s="1"/>
      <c r="T87" s="587">
        <v>43.5</v>
      </c>
      <c r="U87" s="588">
        <f t="shared" si="5"/>
        <v>10430</v>
      </c>
      <c r="V87" s="588">
        <f t="shared" si="3"/>
        <v>10450</v>
      </c>
      <c r="W87" s="589"/>
      <c r="X87" s="580"/>
      <c r="Y87" s="590">
        <v>29.344190476190501</v>
      </c>
      <c r="Z87" s="591">
        <f>Z86+100</f>
        <v>9228.3000000000029</v>
      </c>
      <c r="AA87" s="591">
        <f t="shared" si="4"/>
        <v>9248.3000000000029</v>
      </c>
      <c r="AB87" s="589"/>
      <c r="AC87" s="580"/>
    </row>
    <row r="88" spans="1:29" x14ac:dyDescent="0.2">
      <c r="A88" s="55"/>
      <c r="B88" s="1"/>
      <c r="C88" s="1"/>
      <c r="D88" s="1"/>
      <c r="H88" s="1"/>
      <c r="I88" s="1"/>
      <c r="J88" s="1"/>
      <c r="K88" s="1"/>
      <c r="L88" s="1"/>
      <c r="M88" s="1"/>
      <c r="N88" s="1"/>
      <c r="O88" s="1"/>
      <c r="P88" s="1"/>
      <c r="T88" s="587">
        <v>44</v>
      </c>
      <c r="U88" s="588">
        <f t="shared" si="5"/>
        <v>10550</v>
      </c>
      <c r="V88" s="588">
        <f t="shared" si="3"/>
        <v>10570</v>
      </c>
      <c r="W88" s="589">
        <f>CEILING($T88*CourseStd,1)</f>
        <v>3772</v>
      </c>
      <c r="X88" s="580"/>
      <c r="Y88" s="590">
        <v>29.677904761904699</v>
      </c>
      <c r="Z88" s="591">
        <f>Z87+100</f>
        <v>9328.3000000000029</v>
      </c>
      <c r="AA88" s="591">
        <f t="shared" si="4"/>
        <v>9348.3000000000029</v>
      </c>
      <c r="AB88" s="589"/>
      <c r="AC88" s="580"/>
    </row>
    <row r="89" spans="1:29" x14ac:dyDescent="0.2">
      <c r="A89" s="55"/>
      <c r="B89" s="1"/>
      <c r="C89" s="1"/>
      <c r="D89" s="1"/>
      <c r="H89" s="1"/>
      <c r="I89" s="1"/>
      <c r="J89" s="1"/>
      <c r="K89" s="1"/>
      <c r="L89" s="1"/>
      <c r="M89" s="1"/>
      <c r="N89" s="1"/>
      <c r="O89" s="1"/>
      <c r="P89" s="1"/>
      <c r="T89" s="587">
        <v>44.5</v>
      </c>
      <c r="U89" s="588">
        <f t="shared" si="5"/>
        <v>10670</v>
      </c>
      <c r="V89" s="588">
        <f t="shared" si="3"/>
        <v>10690</v>
      </c>
      <c r="W89" s="589"/>
      <c r="X89" s="580"/>
      <c r="Y89" s="590">
        <v>30.011619047619</v>
      </c>
      <c r="Z89" s="591">
        <f>$Y89*305+($Y89-1)*10</f>
        <v>9443.6599999999853</v>
      </c>
      <c r="AA89" s="591">
        <f t="shared" si="4"/>
        <v>9463.6599999999853</v>
      </c>
      <c r="AB89" s="589">
        <f>CEILING($Y89*CourseTwo,1)</f>
        <v>5145</v>
      </c>
      <c r="AC89" s="580"/>
    </row>
    <row r="90" spans="1:29" x14ac:dyDescent="0.2">
      <c r="A90" s="55"/>
      <c r="B90" s="1"/>
      <c r="C90" s="1"/>
      <c r="D90" s="1"/>
      <c r="H90" s="1"/>
      <c r="I90" s="1"/>
      <c r="J90" s="1"/>
      <c r="K90" s="1"/>
      <c r="L90" s="1"/>
      <c r="M90" s="1"/>
      <c r="N90" s="1"/>
      <c r="O90" s="1"/>
      <c r="P90" s="1"/>
      <c r="T90" s="587">
        <v>45</v>
      </c>
      <c r="U90" s="588">
        <f t="shared" si="5"/>
        <v>10790</v>
      </c>
      <c r="V90" s="588">
        <f t="shared" si="3"/>
        <v>10810</v>
      </c>
      <c r="W90" s="589">
        <f>CEILING($T90*CourseStd,1)</f>
        <v>3858</v>
      </c>
      <c r="X90" s="580"/>
      <c r="Y90" s="580"/>
      <c r="Z90" s="580"/>
      <c r="AA90" s="580"/>
      <c r="AB90" s="595"/>
      <c r="AC90" s="580"/>
    </row>
    <row r="91" spans="1:29" x14ac:dyDescent="0.2">
      <c r="A91" s="55"/>
      <c r="B91" s="1"/>
      <c r="C91" s="1"/>
      <c r="D91" s="1"/>
      <c r="H91" s="1"/>
      <c r="I91" s="1"/>
      <c r="J91" s="1"/>
      <c r="K91" s="1"/>
      <c r="L91" s="1"/>
      <c r="M91" s="1"/>
      <c r="N91" s="1"/>
      <c r="O91" s="1"/>
      <c r="P91" s="1"/>
      <c r="T91" s="587">
        <v>45.5</v>
      </c>
      <c r="U91" s="588">
        <f t="shared" si="5"/>
        <v>10910</v>
      </c>
      <c r="V91" s="588">
        <f t="shared" si="3"/>
        <v>10930</v>
      </c>
      <c r="W91" s="589"/>
      <c r="X91" s="580"/>
      <c r="Y91" s="580"/>
      <c r="Z91" s="580"/>
      <c r="AA91" s="580"/>
      <c r="AB91" s="595"/>
      <c r="AC91" s="580"/>
    </row>
    <row r="92" spans="1:29" x14ac:dyDescent="0.2">
      <c r="A92" s="55"/>
      <c r="B92" s="1"/>
      <c r="C92" s="1"/>
      <c r="D92" s="1"/>
      <c r="H92" s="1"/>
      <c r="I92" s="1"/>
      <c r="J92" s="1"/>
      <c r="K92" s="1"/>
      <c r="L92" s="1"/>
      <c r="M92" s="1"/>
      <c r="N92" s="1"/>
      <c r="O92" s="1"/>
      <c r="P92" s="1"/>
      <c r="T92" s="587">
        <v>46</v>
      </c>
      <c r="U92" s="588">
        <f t="shared" si="5"/>
        <v>11030</v>
      </c>
      <c r="V92" s="588">
        <f t="shared" si="3"/>
        <v>11050</v>
      </c>
      <c r="W92" s="589">
        <f>CEILING($T92*CourseStd,1)</f>
        <v>3943</v>
      </c>
      <c r="X92" s="580"/>
      <c r="Y92" s="580"/>
      <c r="Z92" s="580"/>
      <c r="AA92" s="580"/>
      <c r="AB92" s="595"/>
      <c r="AC92" s="580"/>
    </row>
    <row r="93" spans="1:29" x14ac:dyDescent="0.2">
      <c r="A93" s="55"/>
      <c r="B93" s="1"/>
      <c r="C93" s="1"/>
      <c r="D93" s="1"/>
      <c r="H93" s="1"/>
      <c r="I93" s="1"/>
      <c r="J93" s="5" t="s">
        <v>349</v>
      </c>
      <c r="K93" s="1"/>
      <c r="L93" s="1"/>
      <c r="M93" s="1"/>
      <c r="N93" s="1"/>
      <c r="O93" s="1"/>
      <c r="P93" s="1"/>
      <c r="T93" s="587">
        <v>46.5</v>
      </c>
      <c r="U93" s="588">
        <f t="shared" si="5"/>
        <v>11150</v>
      </c>
      <c r="V93" s="588">
        <f t="shared" si="3"/>
        <v>11170</v>
      </c>
      <c r="W93" s="589"/>
      <c r="X93" s="580"/>
      <c r="Y93" s="580"/>
      <c r="Z93" s="580"/>
      <c r="AA93" s="580"/>
      <c r="AB93" s="595"/>
      <c r="AC93" s="580"/>
    </row>
    <row r="94" spans="1:29" x14ac:dyDescent="0.2">
      <c r="A94" s="55"/>
      <c r="B94" s="1"/>
      <c r="C94" s="1"/>
      <c r="D94" s="1"/>
      <c r="H94" s="1"/>
      <c r="I94" s="1"/>
      <c r="J94" t="s">
        <v>365</v>
      </c>
      <c r="K94" s="1"/>
      <c r="L94" s="1"/>
      <c r="M94" s="1"/>
      <c r="N94" s="1"/>
      <c r="O94" s="1"/>
      <c r="P94" s="1"/>
      <c r="T94" s="587">
        <v>47</v>
      </c>
      <c r="U94" s="588">
        <f t="shared" si="5"/>
        <v>11270</v>
      </c>
      <c r="V94" s="588">
        <f t="shared" si="3"/>
        <v>11290</v>
      </c>
      <c r="W94" s="589">
        <f>CEILING($T94*CourseStd,1)</f>
        <v>4029</v>
      </c>
      <c r="X94" s="580"/>
      <c r="Y94" s="580"/>
      <c r="Z94" s="580"/>
      <c r="AA94" s="580"/>
      <c r="AB94" s="595"/>
      <c r="AC94" s="580"/>
    </row>
    <row r="95" spans="1:29" x14ac:dyDescent="0.2">
      <c r="A95" s="55"/>
      <c r="B95" s="1"/>
      <c r="C95" s="1"/>
      <c r="D95" s="1"/>
      <c r="H95" s="1"/>
      <c r="I95" s="1"/>
      <c r="J95" t="s">
        <v>1479</v>
      </c>
      <c r="K95" s="1"/>
      <c r="L95" s="1"/>
      <c r="M95" s="1"/>
      <c r="N95" s="1"/>
      <c r="O95" s="1"/>
      <c r="P95" s="1"/>
      <c r="T95" s="587">
        <v>47.5</v>
      </c>
      <c r="U95" s="588">
        <f t="shared" si="5"/>
        <v>11390</v>
      </c>
      <c r="V95" s="588">
        <f t="shared" si="3"/>
        <v>11410</v>
      </c>
      <c r="W95" s="589"/>
      <c r="X95" s="580"/>
      <c r="Y95" s="580"/>
      <c r="Z95" s="580"/>
      <c r="AA95" s="580"/>
      <c r="AB95" s="595"/>
      <c r="AC95" s="580"/>
    </row>
    <row r="96" spans="1:29" x14ac:dyDescent="0.2">
      <c r="A96" s="55"/>
      <c r="B96" s="1"/>
      <c r="C96" s="1"/>
      <c r="D96" s="1"/>
      <c r="H96" s="1"/>
      <c r="I96" s="1"/>
      <c r="K96" s="1"/>
      <c r="L96" s="1"/>
      <c r="M96" s="1"/>
      <c r="N96" s="1"/>
      <c r="O96" s="1"/>
      <c r="P96" s="1"/>
      <c r="T96" s="587">
        <v>48</v>
      </c>
      <c r="U96" s="588">
        <f t="shared" si="5"/>
        <v>11510</v>
      </c>
      <c r="V96" s="588">
        <f t="shared" si="3"/>
        <v>11530</v>
      </c>
      <c r="W96" s="589">
        <f>CEILING($T96*CourseStd,1)</f>
        <v>4115</v>
      </c>
      <c r="X96" s="580"/>
      <c r="Y96" s="580"/>
      <c r="Z96" s="580"/>
      <c r="AA96" s="580"/>
      <c r="AB96" s="595"/>
      <c r="AC96" s="580"/>
    </row>
    <row r="97" spans="1:29" x14ac:dyDescent="0.2">
      <c r="A97" s="55"/>
      <c r="B97" s="1"/>
      <c r="C97" s="1"/>
      <c r="D97" s="1"/>
      <c r="H97" s="1"/>
      <c r="I97" s="1"/>
      <c r="K97" s="1"/>
      <c r="L97" s="1"/>
      <c r="M97" s="1"/>
      <c r="N97" s="1"/>
      <c r="O97" s="1"/>
      <c r="P97" s="1"/>
      <c r="T97" s="587">
        <v>48.5</v>
      </c>
      <c r="U97" s="588">
        <f t="shared" si="5"/>
        <v>11630</v>
      </c>
      <c r="V97" s="588">
        <f t="shared" si="3"/>
        <v>11650</v>
      </c>
      <c r="W97" s="589"/>
      <c r="X97" s="580"/>
      <c r="Y97" s="580"/>
      <c r="Z97" s="580"/>
      <c r="AA97" s="580"/>
      <c r="AB97" s="595"/>
      <c r="AC97" s="580"/>
    </row>
    <row r="98" spans="1:29" x14ac:dyDescent="0.2">
      <c r="A98" s="55"/>
      <c r="B98" s="1"/>
      <c r="C98" s="1"/>
      <c r="D98" s="1"/>
      <c r="H98" s="1"/>
      <c r="I98" s="1"/>
      <c r="J98" s="1"/>
      <c r="K98" s="1"/>
      <c r="L98" s="1"/>
      <c r="M98" s="1"/>
      <c r="N98" s="1"/>
      <c r="O98" s="1"/>
      <c r="P98" s="1"/>
      <c r="T98" s="587">
        <v>49</v>
      </c>
      <c r="U98" s="588">
        <f t="shared" si="5"/>
        <v>11750</v>
      </c>
      <c r="V98" s="588">
        <f t="shared" si="3"/>
        <v>11770</v>
      </c>
      <c r="W98" s="589">
        <f>CEILING($T98*CourseStd,1)</f>
        <v>4200</v>
      </c>
      <c r="X98" s="580"/>
      <c r="Y98" s="580"/>
      <c r="Z98" s="580"/>
      <c r="AA98" s="580"/>
      <c r="AB98" s="595"/>
      <c r="AC98" s="580"/>
    </row>
    <row r="99" spans="1:29" x14ac:dyDescent="0.2">
      <c r="A99" s="55"/>
      <c r="B99" s="1"/>
      <c r="C99" s="1"/>
      <c r="D99" s="1"/>
      <c r="H99" s="1"/>
      <c r="I99" s="1"/>
      <c r="J99" s="5" t="s">
        <v>351</v>
      </c>
      <c r="K99" s="1"/>
      <c r="L99" s="1"/>
      <c r="M99" s="1"/>
      <c r="N99" s="1"/>
      <c r="O99" s="1"/>
      <c r="P99" s="1"/>
      <c r="T99" s="587">
        <v>49.5</v>
      </c>
      <c r="U99" s="588">
        <f t="shared" si="5"/>
        <v>11870</v>
      </c>
      <c r="V99" s="588">
        <f t="shared" si="3"/>
        <v>11890</v>
      </c>
      <c r="W99" s="589"/>
      <c r="X99" s="580"/>
      <c r="Y99" s="580"/>
      <c r="Z99" s="580"/>
      <c r="AA99" s="580"/>
      <c r="AB99" s="595"/>
      <c r="AC99" s="580"/>
    </row>
    <row r="100" spans="1:29" x14ac:dyDescent="0.2">
      <c r="A100" s="55"/>
      <c r="B100" s="1"/>
      <c r="C100" s="1"/>
      <c r="D100" s="1"/>
      <c r="H100" s="1"/>
      <c r="I100" s="1"/>
      <c r="J100" t="s">
        <v>352</v>
      </c>
      <c r="K100" s="1"/>
      <c r="L100" s="1"/>
      <c r="M100" s="1"/>
      <c r="N100" s="1"/>
      <c r="O100" s="1"/>
      <c r="P100" s="1"/>
      <c r="T100" s="587">
        <v>50</v>
      </c>
      <c r="U100" s="588">
        <f t="shared" si="5"/>
        <v>11990</v>
      </c>
      <c r="V100" s="588">
        <f t="shared" si="3"/>
        <v>12010</v>
      </c>
      <c r="W100" s="589">
        <f>CEILING($T100*CourseStd,1)</f>
        <v>4286</v>
      </c>
      <c r="X100" s="580"/>
      <c r="Y100" s="580"/>
      <c r="Z100" s="580"/>
      <c r="AA100" s="580"/>
      <c r="AB100" s="595"/>
      <c r="AC100" s="580"/>
    </row>
    <row r="101" spans="1:29" x14ac:dyDescent="0.2">
      <c r="A101" s="55"/>
      <c r="B101" s="1"/>
      <c r="C101" s="1"/>
      <c r="D101" s="1"/>
      <c r="H101" s="1"/>
      <c r="I101" s="1"/>
      <c r="J101" t="s">
        <v>366</v>
      </c>
      <c r="K101" s="1"/>
      <c r="L101" s="1"/>
      <c r="M101" s="1"/>
      <c r="N101" s="1"/>
      <c r="O101" s="1"/>
      <c r="P101" s="1"/>
      <c r="T101" s="587">
        <v>50.5</v>
      </c>
      <c r="U101" s="588">
        <f t="shared" si="5"/>
        <v>12110</v>
      </c>
      <c r="V101" s="588">
        <f t="shared" si="3"/>
        <v>12130</v>
      </c>
      <c r="W101" s="589"/>
      <c r="X101" s="580"/>
      <c r="Y101" s="580"/>
      <c r="Z101" s="580"/>
      <c r="AA101" s="580"/>
      <c r="AB101" s="595"/>
      <c r="AC101" s="580"/>
    </row>
    <row r="102" spans="1:29" x14ac:dyDescent="0.2">
      <c r="A102" s="55"/>
      <c r="B102" s="1"/>
      <c r="C102" s="1"/>
      <c r="D102" s="1"/>
      <c r="H102" s="1"/>
      <c r="I102" s="1"/>
      <c r="K102" s="1"/>
      <c r="L102" s="1"/>
      <c r="M102" s="1"/>
      <c r="N102" s="1"/>
      <c r="O102" s="1"/>
      <c r="P102" s="1"/>
      <c r="T102" s="587">
        <v>51</v>
      </c>
      <c r="U102" s="588">
        <f t="shared" si="5"/>
        <v>12230</v>
      </c>
      <c r="V102" s="588">
        <f t="shared" si="3"/>
        <v>12250</v>
      </c>
      <c r="W102" s="589">
        <f>CEILING($T102*CourseStd,1)</f>
        <v>4372</v>
      </c>
      <c r="X102" s="580"/>
      <c r="Y102" s="580"/>
      <c r="Z102" s="580"/>
      <c r="AA102" s="580"/>
      <c r="AB102" s="595"/>
      <c r="AC102" s="580"/>
    </row>
    <row r="103" spans="1:29" x14ac:dyDescent="0.2">
      <c r="A103" s="55"/>
      <c r="B103" s="1"/>
      <c r="C103" s="1"/>
      <c r="D103" s="1"/>
      <c r="H103" s="1"/>
      <c r="I103" s="1"/>
      <c r="J103" s="1"/>
      <c r="K103" s="1"/>
      <c r="L103" s="1"/>
      <c r="M103" s="1"/>
      <c r="N103" s="1"/>
      <c r="O103" s="1"/>
      <c r="P103" s="1"/>
      <c r="T103" s="587">
        <v>51.5</v>
      </c>
      <c r="U103" s="588">
        <f t="shared" si="5"/>
        <v>12350</v>
      </c>
      <c r="V103" s="588">
        <f t="shared" si="3"/>
        <v>12370</v>
      </c>
      <c r="W103" s="589"/>
      <c r="X103" s="580"/>
      <c r="Y103" s="580"/>
      <c r="Z103" s="580"/>
      <c r="AA103" s="580"/>
      <c r="AB103" s="595"/>
      <c r="AC103" s="580"/>
    </row>
    <row r="104" spans="1:29" x14ac:dyDescent="0.2">
      <c r="A104" s="55"/>
      <c r="B104" s="1"/>
      <c r="C104" s="1"/>
      <c r="D104" s="1"/>
      <c r="H104" s="1"/>
      <c r="I104" s="1"/>
      <c r="J104" s="1"/>
      <c r="K104" s="1"/>
      <c r="L104" s="1"/>
      <c r="M104" s="1"/>
      <c r="N104" s="1"/>
      <c r="O104" s="1"/>
      <c r="P104" s="1"/>
      <c r="T104" s="587">
        <v>52</v>
      </c>
      <c r="U104" s="588">
        <f t="shared" si="5"/>
        <v>12470</v>
      </c>
      <c r="V104" s="588">
        <f t="shared" si="3"/>
        <v>12490</v>
      </c>
      <c r="W104" s="589">
        <f>CEILING($T104*CourseStd,1)</f>
        <v>4458</v>
      </c>
      <c r="X104" s="580"/>
      <c r="Y104" s="580"/>
      <c r="Z104" s="580"/>
      <c r="AA104" s="580"/>
      <c r="AB104" s="595"/>
      <c r="AC104" s="580"/>
    </row>
    <row r="105" spans="1:29" x14ac:dyDescent="0.2">
      <c r="A105" s="55"/>
      <c r="B105" s="1"/>
      <c r="C105" s="1"/>
      <c r="D105" s="1"/>
      <c r="H105" s="1"/>
      <c r="I105" s="1"/>
      <c r="J105" s="1"/>
      <c r="K105" s="1"/>
      <c r="L105" s="1"/>
      <c r="M105" s="1"/>
      <c r="N105" s="1"/>
      <c r="O105" s="1"/>
      <c r="P105" s="1"/>
      <c r="T105" s="587">
        <v>52.5</v>
      </c>
      <c r="U105" s="588">
        <f t="shared" si="5"/>
        <v>12590</v>
      </c>
      <c r="V105" s="588">
        <f t="shared" si="3"/>
        <v>12610</v>
      </c>
      <c r="W105" s="589"/>
      <c r="X105" s="580"/>
      <c r="Y105" s="580"/>
      <c r="Z105" s="580"/>
      <c r="AA105" s="580"/>
      <c r="AB105" s="595"/>
      <c r="AC105" s="580"/>
    </row>
    <row r="106" spans="1:29" x14ac:dyDescent="0.2">
      <c r="A106" s="55"/>
      <c r="B106" s="1"/>
      <c r="C106" s="1"/>
      <c r="D106" s="1"/>
      <c r="E106" s="1"/>
      <c r="F106" s="1"/>
      <c r="G106" s="1"/>
      <c r="H106" s="1"/>
      <c r="I106" s="1"/>
      <c r="J106" s="1"/>
      <c r="K106" s="1"/>
      <c r="L106" s="1"/>
      <c r="M106" s="1"/>
      <c r="N106" s="1"/>
      <c r="O106" s="1"/>
      <c r="P106" s="1"/>
      <c r="T106" s="587">
        <v>53</v>
      </c>
      <c r="U106" s="588">
        <f t="shared" si="5"/>
        <v>12710</v>
      </c>
      <c r="V106" s="588">
        <f t="shared" si="3"/>
        <v>12730</v>
      </c>
      <c r="W106" s="589">
        <f>CEILING($T106*CourseStd,1)</f>
        <v>4543</v>
      </c>
      <c r="X106" s="580"/>
      <c r="Y106" s="580"/>
      <c r="Z106" s="580"/>
      <c r="AA106" s="580"/>
      <c r="AB106" s="595"/>
      <c r="AC106" s="580"/>
    </row>
    <row r="107" spans="1:29" x14ac:dyDescent="0.2">
      <c r="A107" s="55"/>
      <c r="B107" s="1"/>
      <c r="C107" s="1"/>
      <c r="D107" s="1"/>
      <c r="E107" s="1"/>
      <c r="F107" s="1"/>
      <c r="G107" s="1"/>
      <c r="H107" s="1"/>
      <c r="I107" s="1"/>
      <c r="J107" s="1"/>
      <c r="K107" s="1"/>
      <c r="L107" s="1"/>
      <c r="M107" s="1"/>
      <c r="N107" s="1"/>
      <c r="O107" s="1"/>
      <c r="P107" s="1"/>
      <c r="T107" s="587">
        <v>53.5</v>
      </c>
      <c r="U107" s="588">
        <f t="shared" si="5"/>
        <v>12830</v>
      </c>
      <c r="V107" s="588">
        <f t="shared" si="3"/>
        <v>12850</v>
      </c>
      <c r="W107" s="589"/>
      <c r="X107" s="580"/>
      <c r="Y107" s="580"/>
      <c r="Z107" s="580"/>
      <c r="AA107" s="580"/>
      <c r="AB107" s="595"/>
      <c r="AC107" s="580"/>
    </row>
    <row r="108" spans="1:29" x14ac:dyDescent="0.2">
      <c r="A108" s="55"/>
      <c r="B108" s="1"/>
      <c r="C108" s="1"/>
      <c r="D108" s="1"/>
      <c r="E108" s="1"/>
      <c r="F108" s="1"/>
      <c r="G108" s="1"/>
      <c r="H108" s="1"/>
      <c r="I108" s="1"/>
      <c r="J108" s="1"/>
      <c r="K108" s="1"/>
      <c r="L108" s="1"/>
      <c r="M108" s="1"/>
      <c r="N108" s="1"/>
      <c r="O108" s="1"/>
      <c r="P108" s="1"/>
      <c r="T108" s="587">
        <v>54</v>
      </c>
      <c r="U108" s="588">
        <f t="shared" si="5"/>
        <v>12950</v>
      </c>
      <c r="V108" s="588">
        <f t="shared" si="3"/>
        <v>12970</v>
      </c>
      <c r="W108" s="589">
        <f>CEILING($T108*CourseStd,1)</f>
        <v>4629</v>
      </c>
      <c r="X108" s="580"/>
      <c r="Y108" s="580"/>
      <c r="Z108" s="580"/>
      <c r="AA108" s="580"/>
      <c r="AB108" s="595"/>
      <c r="AC108" s="580"/>
    </row>
    <row r="109" spans="1:29" x14ac:dyDescent="0.2">
      <c r="A109" s="55"/>
      <c r="B109" s="1"/>
      <c r="C109" s="1"/>
      <c r="D109" s="1"/>
      <c r="E109" s="1"/>
      <c r="F109" s="1"/>
      <c r="G109" s="1"/>
      <c r="H109" s="1"/>
      <c r="I109" s="1"/>
      <c r="J109" s="1"/>
      <c r="K109" s="1"/>
      <c r="L109" s="1"/>
      <c r="M109" s="1"/>
      <c r="N109" s="1"/>
      <c r="O109" s="1"/>
      <c r="P109" s="1"/>
      <c r="T109" s="587">
        <v>54.5</v>
      </c>
      <c r="U109" s="588">
        <f t="shared" si="5"/>
        <v>13070</v>
      </c>
      <c r="V109" s="588">
        <f t="shared" si="3"/>
        <v>13090</v>
      </c>
      <c r="W109" s="589"/>
      <c r="X109" s="580"/>
      <c r="Y109" s="580"/>
      <c r="Z109" s="580"/>
      <c r="AA109" s="580"/>
      <c r="AB109" s="595"/>
      <c r="AC109" s="580"/>
    </row>
    <row r="110" spans="1:29" x14ac:dyDescent="0.2">
      <c r="A110" s="55"/>
      <c r="B110" s="1"/>
      <c r="C110" s="1"/>
      <c r="D110" s="1"/>
      <c r="E110" s="1"/>
      <c r="F110" s="1"/>
      <c r="G110" s="1"/>
      <c r="H110" s="1"/>
      <c r="I110" s="1"/>
      <c r="J110" s="1"/>
      <c r="K110" s="1"/>
      <c r="L110" s="1"/>
      <c r="M110" s="1"/>
      <c r="N110" s="1"/>
      <c r="O110" s="1"/>
      <c r="P110" s="1"/>
      <c r="T110" s="587">
        <v>55</v>
      </c>
      <c r="U110" s="588">
        <f t="shared" si="5"/>
        <v>13190</v>
      </c>
      <c r="V110" s="588">
        <f t="shared" si="3"/>
        <v>13210</v>
      </c>
      <c r="W110" s="589">
        <f>CEILING($T110*CourseStd,1)</f>
        <v>4715</v>
      </c>
      <c r="X110" s="580"/>
      <c r="Y110" s="580"/>
      <c r="Z110" s="580"/>
      <c r="AA110" s="580"/>
      <c r="AB110" s="595"/>
      <c r="AC110" s="580"/>
    </row>
    <row r="111" spans="1:29" ht="13.5" thickBot="1" x14ac:dyDescent="0.25">
      <c r="A111" s="1"/>
      <c r="B111" s="1"/>
      <c r="C111" s="1"/>
      <c r="D111" s="1"/>
      <c r="E111" s="1"/>
      <c r="F111" s="1"/>
      <c r="G111" s="1"/>
      <c r="H111" s="1"/>
      <c r="I111" s="1"/>
      <c r="J111" s="1"/>
      <c r="K111" s="1"/>
      <c r="L111" s="1"/>
      <c r="M111" s="1"/>
      <c r="N111" s="1"/>
      <c r="O111" s="1"/>
      <c r="P111" s="1"/>
      <c r="T111" s="587">
        <v>55.5</v>
      </c>
      <c r="U111" s="588">
        <f t="shared" si="5"/>
        <v>13310</v>
      </c>
      <c r="V111" s="588">
        <f t="shared" si="3"/>
        <v>13330</v>
      </c>
      <c r="W111" s="589"/>
      <c r="X111" s="580"/>
      <c r="Y111" s="580"/>
      <c r="Z111" s="580"/>
      <c r="AA111" s="580"/>
      <c r="AB111" s="595"/>
      <c r="AC111" s="580"/>
    </row>
    <row r="112" spans="1:29" x14ac:dyDescent="0.2">
      <c r="E112" s="3" t="s">
        <v>350</v>
      </c>
      <c r="F112" s="3" t="s">
        <v>491</v>
      </c>
      <c r="G112" s="3" t="s">
        <v>363</v>
      </c>
      <c r="H112" s="3" t="s">
        <v>364</v>
      </c>
      <c r="I112" s="3" t="s">
        <v>1480</v>
      </c>
      <c r="J112" s="1"/>
      <c r="K112" s="656"/>
      <c r="L112" s="657" t="s">
        <v>490</v>
      </c>
      <c r="M112" s="657"/>
      <c r="N112" s="658"/>
      <c r="O112" s="673" t="s">
        <v>363</v>
      </c>
      <c r="P112" s="657"/>
      <c r="Q112" s="658"/>
      <c r="R112" s="669" t="s">
        <v>1479</v>
      </c>
      <c r="T112" s="587">
        <v>56</v>
      </c>
      <c r="U112" s="588">
        <f t="shared" si="5"/>
        <v>13430</v>
      </c>
      <c r="V112" s="588">
        <f t="shared" si="3"/>
        <v>13450</v>
      </c>
      <c r="W112" s="589">
        <f>CEILING($T112*CourseStd,1)</f>
        <v>4800</v>
      </c>
      <c r="X112" s="580"/>
      <c r="Y112" s="580"/>
      <c r="Z112" s="580"/>
      <c r="AA112" s="580"/>
      <c r="AB112" s="595"/>
      <c r="AC112" s="580"/>
    </row>
    <row r="113" spans="1:29" x14ac:dyDescent="0.2">
      <c r="A113" t="str">
        <f>'Roof Timber GF'!A6</f>
        <v>Wall plate</v>
      </c>
      <c r="B113" s="3" t="str">
        <f>'Roof Timber GF'!B6</f>
        <v>90*35</v>
      </c>
      <c r="C113" s="3" t="s">
        <v>311</v>
      </c>
      <c r="D113" s="3" t="str">
        <f>CONCATENATE($A113," ",$B113)</f>
        <v>Wall plate 90*35</v>
      </c>
      <c r="E113" s="321">
        <f t="shared" ref="E113:E140" si="6">VLOOKUP($C113,PriceData,2,FALSE)</f>
        <v>2.37</v>
      </c>
      <c r="F113" s="321">
        <f t="shared" ref="F113:F140" si="7">VLOOKUP($C113,PriceData,3,FALSE)</f>
        <v>2.36</v>
      </c>
      <c r="G113" s="321">
        <f t="shared" ref="G113:G140" si="8">VLOOKUP($C113,PriceData,5,FALSE)</f>
        <v>2.37</v>
      </c>
      <c r="H113" s="321">
        <f t="shared" ref="H113:H140" si="9">VLOOKUP($C113,PriceData,6,FALSE)</f>
        <v>2.2000000000000002</v>
      </c>
      <c r="I113" s="321">
        <f t="shared" ref="I113:I140" si="10">VLOOKUP($C113,PriceData,8,FALSE)</f>
        <v>2.54</v>
      </c>
      <c r="J113" s="1"/>
      <c r="K113" s="659"/>
      <c r="L113" s="650" t="s">
        <v>377</v>
      </c>
      <c r="M113" s="650" t="s">
        <v>378</v>
      </c>
      <c r="N113" s="660" t="s">
        <v>172</v>
      </c>
      <c r="O113" s="674" t="s">
        <v>377</v>
      </c>
      <c r="P113" s="650" t="s">
        <v>378</v>
      </c>
      <c r="Q113" s="660" t="s">
        <v>172</v>
      </c>
      <c r="R113" s="670" t="s">
        <v>378</v>
      </c>
      <c r="T113" s="587">
        <v>56.5</v>
      </c>
      <c r="U113" s="588">
        <f t="shared" si="5"/>
        <v>13550</v>
      </c>
      <c r="V113" s="588">
        <f t="shared" si="3"/>
        <v>13570</v>
      </c>
      <c r="W113" s="589"/>
      <c r="X113" s="580"/>
      <c r="Y113" s="580"/>
      <c r="Z113" s="580"/>
      <c r="AA113" s="580"/>
      <c r="AB113" s="595"/>
      <c r="AC113" s="580"/>
    </row>
    <row r="114" spans="1:29" x14ac:dyDescent="0.2">
      <c r="A114" t="s">
        <v>162</v>
      </c>
      <c r="B114" s="3" t="s">
        <v>310</v>
      </c>
      <c r="C114" s="3" t="s">
        <v>312</v>
      </c>
      <c r="D114" s="3" t="str">
        <f t="shared" ref="D114:D162" si="11">CONCATENATE($A114," ",$B114)</f>
        <v>Wall plate 90*45 NS</v>
      </c>
      <c r="E114" s="321">
        <f t="shared" si="6"/>
        <v>3.94</v>
      </c>
      <c r="F114" s="321">
        <f t="shared" si="7"/>
        <v>3.94</v>
      </c>
      <c r="G114" s="321">
        <f t="shared" si="8"/>
        <v>3.88</v>
      </c>
      <c r="H114" s="321">
        <f t="shared" si="9"/>
        <v>4.0599999999999996</v>
      </c>
      <c r="I114" s="321">
        <f t="shared" si="10"/>
        <v>4.0199999999999996</v>
      </c>
      <c r="J114" s="1"/>
      <c r="K114" s="659" t="s">
        <v>321</v>
      </c>
      <c r="L114" s="651">
        <v>2.3199999999999998</v>
      </c>
      <c r="M114" s="651">
        <v>2.31</v>
      </c>
      <c r="N114" s="665">
        <v>2.66</v>
      </c>
      <c r="O114" s="675">
        <v>2.2000000000000002</v>
      </c>
      <c r="P114" s="652">
        <v>2.1</v>
      </c>
      <c r="Q114" s="661">
        <v>2.9</v>
      </c>
      <c r="R114" s="671">
        <v>2.4500000000000002</v>
      </c>
      <c r="S114" s="689"/>
      <c r="T114" s="587">
        <v>57</v>
      </c>
      <c r="U114" s="588">
        <f t="shared" si="5"/>
        <v>13670</v>
      </c>
      <c r="V114" s="588">
        <f t="shared" si="3"/>
        <v>13690</v>
      </c>
      <c r="W114" s="589">
        <f>CEILING($T114*CourseStd,1)</f>
        <v>4886</v>
      </c>
      <c r="X114" s="580"/>
      <c r="Y114" s="98"/>
      <c r="Z114" s="596"/>
      <c r="AA114" s="580"/>
      <c r="AB114" s="595"/>
      <c r="AC114" s="580"/>
    </row>
    <row r="115" spans="1:29" x14ac:dyDescent="0.2">
      <c r="A115" t="s">
        <v>162</v>
      </c>
      <c r="B115" s="3" t="s">
        <v>311</v>
      </c>
      <c r="C115" s="3" t="s">
        <v>311</v>
      </c>
      <c r="D115" s="3" t="str">
        <f t="shared" si="11"/>
        <v>Wall plate 90*35</v>
      </c>
      <c r="E115" s="321">
        <f t="shared" si="6"/>
        <v>2.37</v>
      </c>
      <c r="F115" s="321">
        <f t="shared" si="7"/>
        <v>2.36</v>
      </c>
      <c r="G115" s="321">
        <f t="shared" si="8"/>
        <v>2.37</v>
      </c>
      <c r="H115" s="321">
        <f t="shared" si="9"/>
        <v>2.2000000000000002</v>
      </c>
      <c r="I115" s="321">
        <f t="shared" si="10"/>
        <v>2.54</v>
      </c>
      <c r="J115" s="1"/>
      <c r="K115" s="659" t="s">
        <v>311</v>
      </c>
      <c r="L115" s="651">
        <v>2.37</v>
      </c>
      <c r="M115" s="651">
        <v>2.36</v>
      </c>
      <c r="N115" s="665">
        <v>3.29</v>
      </c>
      <c r="O115" s="675">
        <v>2.37</v>
      </c>
      <c r="P115" s="652">
        <v>2.2000000000000002</v>
      </c>
      <c r="Q115" s="661">
        <v>3.29</v>
      </c>
      <c r="R115" s="671">
        <v>2.54</v>
      </c>
      <c r="S115" s="689"/>
      <c r="T115" s="587">
        <v>57.5</v>
      </c>
      <c r="U115" s="588">
        <f t="shared" si="5"/>
        <v>13790</v>
      </c>
      <c r="V115" s="588">
        <f t="shared" si="3"/>
        <v>13810</v>
      </c>
      <c r="W115" s="589"/>
      <c r="X115" s="580"/>
      <c r="Y115" s="98"/>
      <c r="Z115" s="596"/>
      <c r="AA115" s="580"/>
      <c r="AB115" s="595"/>
      <c r="AC115" s="580"/>
    </row>
    <row r="116" spans="1:29" x14ac:dyDescent="0.2">
      <c r="A116" t="s">
        <v>162</v>
      </c>
      <c r="B116" s="3" t="s">
        <v>312</v>
      </c>
      <c r="C116" s="3" t="s">
        <v>312</v>
      </c>
      <c r="D116" s="3" t="str">
        <f t="shared" si="11"/>
        <v>Wall plate 90*45</v>
      </c>
      <c r="E116" s="321">
        <f t="shared" si="6"/>
        <v>3.94</v>
      </c>
      <c r="F116" s="321">
        <f t="shared" si="7"/>
        <v>3.94</v>
      </c>
      <c r="G116" s="321">
        <f t="shared" si="8"/>
        <v>3.88</v>
      </c>
      <c r="H116" s="321">
        <f t="shared" si="9"/>
        <v>4.0599999999999996</v>
      </c>
      <c r="I116" s="321">
        <f t="shared" si="10"/>
        <v>4.0199999999999996</v>
      </c>
      <c r="J116" s="1"/>
      <c r="K116" s="659" t="s">
        <v>379</v>
      </c>
      <c r="L116" s="651">
        <v>2.62</v>
      </c>
      <c r="M116" s="651">
        <v>2.42</v>
      </c>
      <c r="N116" s="665">
        <v>3.62</v>
      </c>
      <c r="O116" s="675">
        <v>2.54</v>
      </c>
      <c r="P116" s="652">
        <v>2.4300000000000002</v>
      </c>
      <c r="Q116" s="661"/>
      <c r="R116" s="671">
        <v>2.92</v>
      </c>
      <c r="S116" s="689"/>
      <c r="T116" s="587">
        <v>58</v>
      </c>
      <c r="U116" s="588">
        <f t="shared" si="5"/>
        <v>13910</v>
      </c>
      <c r="V116" s="588">
        <f t="shared" si="3"/>
        <v>13930</v>
      </c>
      <c r="W116" s="589">
        <f>CEILING($T116*CourseStd,1)</f>
        <v>4972</v>
      </c>
      <c r="X116" s="580"/>
      <c r="Y116" s="98"/>
      <c r="Z116" s="596"/>
      <c r="AA116" s="580"/>
      <c r="AB116" s="595"/>
      <c r="AC116" s="580"/>
    </row>
    <row r="117" spans="1:29" x14ac:dyDescent="0.2">
      <c r="A117" t="s">
        <v>327</v>
      </c>
      <c r="B117" s="3" t="s">
        <v>311</v>
      </c>
      <c r="C117" s="3" t="s">
        <v>311</v>
      </c>
      <c r="D117" s="3" t="str">
        <f t="shared" si="11"/>
        <v>Ceiling Joists&lt;6m 90*35</v>
      </c>
      <c r="E117" s="321">
        <f t="shared" si="6"/>
        <v>2.37</v>
      </c>
      <c r="F117" s="321">
        <f t="shared" si="7"/>
        <v>2.36</v>
      </c>
      <c r="G117" s="321">
        <f t="shared" si="8"/>
        <v>2.37</v>
      </c>
      <c r="H117" s="321">
        <f t="shared" si="9"/>
        <v>2.2000000000000002</v>
      </c>
      <c r="I117" s="321">
        <f t="shared" si="10"/>
        <v>2.54</v>
      </c>
      <c r="J117" s="1"/>
      <c r="K117" s="659" t="s">
        <v>313</v>
      </c>
      <c r="L117" s="651">
        <v>2.93</v>
      </c>
      <c r="M117" s="651">
        <v>2.97</v>
      </c>
      <c r="N117" s="665">
        <v>4.55</v>
      </c>
      <c r="O117" s="675">
        <v>2.9</v>
      </c>
      <c r="P117" s="652">
        <v>2.84</v>
      </c>
      <c r="Q117" s="661">
        <v>4.3899999999999997</v>
      </c>
      <c r="R117" s="671">
        <v>3.38</v>
      </c>
      <c r="S117" s="689"/>
      <c r="T117" s="587">
        <v>58.5</v>
      </c>
      <c r="U117" s="588">
        <f t="shared" si="5"/>
        <v>14030</v>
      </c>
      <c r="V117" s="588">
        <f t="shared" si="3"/>
        <v>14050</v>
      </c>
      <c r="W117" s="589"/>
      <c r="X117" s="580"/>
      <c r="Y117" s="98"/>
      <c r="Z117" s="596"/>
      <c r="AA117" s="580"/>
      <c r="AB117" s="595"/>
      <c r="AC117" s="580"/>
    </row>
    <row r="118" spans="1:29" x14ac:dyDescent="0.2">
      <c r="A118" t="s">
        <v>328</v>
      </c>
      <c r="B118" s="3" t="s">
        <v>311</v>
      </c>
      <c r="C118" s="3" t="s">
        <v>379</v>
      </c>
      <c r="D118" s="3" t="str">
        <f t="shared" si="11"/>
        <v>Ceiling Joists&gt;6m 90*35</v>
      </c>
      <c r="E118" s="321">
        <f t="shared" si="6"/>
        <v>2.62</v>
      </c>
      <c r="F118" s="321">
        <f t="shared" si="7"/>
        <v>2.42</v>
      </c>
      <c r="G118" s="321">
        <f t="shared" si="8"/>
        <v>2.54</v>
      </c>
      <c r="H118" s="321">
        <f t="shared" si="9"/>
        <v>2.4300000000000002</v>
      </c>
      <c r="I118" s="321">
        <f t="shared" si="10"/>
        <v>2.92</v>
      </c>
      <c r="J118" s="1"/>
      <c r="K118" s="659" t="s">
        <v>380</v>
      </c>
      <c r="L118" s="651">
        <v>3.21</v>
      </c>
      <c r="M118" s="651">
        <v>3.41</v>
      </c>
      <c r="N118" s="665">
        <v>5.01</v>
      </c>
      <c r="O118" s="675">
        <v>3.18</v>
      </c>
      <c r="P118" s="652">
        <v>3.3</v>
      </c>
      <c r="Q118" s="661"/>
      <c r="R118" s="671">
        <v>3.94</v>
      </c>
      <c r="S118" s="689"/>
      <c r="T118" s="587">
        <v>59</v>
      </c>
      <c r="U118" s="588">
        <f t="shared" si="5"/>
        <v>14150</v>
      </c>
      <c r="V118" s="588">
        <f t="shared" si="3"/>
        <v>14170</v>
      </c>
      <c r="W118" s="589">
        <f>CEILING($T118*CourseStd,1)</f>
        <v>5058</v>
      </c>
      <c r="X118" s="580"/>
      <c r="Y118" s="98"/>
      <c r="Z118" s="596"/>
      <c r="AA118" s="580"/>
      <c r="AB118" s="595"/>
      <c r="AC118" s="580"/>
    </row>
    <row r="119" spans="1:29" x14ac:dyDescent="0.2">
      <c r="A119" t="s">
        <v>175</v>
      </c>
      <c r="B119" s="3" t="s">
        <v>313</v>
      </c>
      <c r="C119" s="3" t="s">
        <v>313</v>
      </c>
      <c r="D119" s="3" t="str">
        <f t="shared" si="11"/>
        <v>Rafters &lt; 6m 120*35</v>
      </c>
      <c r="E119" s="321">
        <f t="shared" si="6"/>
        <v>2.93</v>
      </c>
      <c r="F119" s="321">
        <f t="shared" si="7"/>
        <v>2.97</v>
      </c>
      <c r="G119" s="321">
        <f t="shared" si="8"/>
        <v>2.9</v>
      </c>
      <c r="H119" s="321">
        <f t="shared" si="9"/>
        <v>2.84</v>
      </c>
      <c r="I119" s="321">
        <f t="shared" si="10"/>
        <v>3.38</v>
      </c>
      <c r="J119" s="1"/>
      <c r="K119" s="659" t="s">
        <v>325</v>
      </c>
      <c r="L119" s="651"/>
      <c r="M119" s="651"/>
      <c r="N119" s="665">
        <v>5.59</v>
      </c>
      <c r="O119" s="675"/>
      <c r="P119" s="652"/>
      <c r="Q119" s="661">
        <v>7.04</v>
      </c>
      <c r="R119" s="671"/>
      <c r="S119" s="689"/>
      <c r="T119" s="587">
        <v>59.5</v>
      </c>
      <c r="U119" s="588">
        <f t="shared" si="5"/>
        <v>14270</v>
      </c>
      <c r="V119" s="588">
        <f t="shared" si="3"/>
        <v>14290</v>
      </c>
      <c r="W119" s="589"/>
      <c r="X119" s="580"/>
      <c r="Y119" s="98"/>
      <c r="Z119" s="596"/>
      <c r="AA119" s="580"/>
      <c r="AB119" s="595"/>
      <c r="AC119" s="580"/>
    </row>
    <row r="120" spans="1:29" x14ac:dyDescent="0.2">
      <c r="A120" t="s">
        <v>176</v>
      </c>
      <c r="B120" s="3" t="s">
        <v>313</v>
      </c>
      <c r="C120" s="3" t="s">
        <v>380</v>
      </c>
      <c r="D120" s="3" t="str">
        <f t="shared" si="11"/>
        <v>Rafters &gt; 6m 120*35</v>
      </c>
      <c r="E120" s="321">
        <f t="shared" si="6"/>
        <v>3.21</v>
      </c>
      <c r="F120" s="321">
        <f t="shared" si="7"/>
        <v>3.41</v>
      </c>
      <c r="G120" s="321">
        <f t="shared" si="8"/>
        <v>3.18</v>
      </c>
      <c r="H120" s="321">
        <f t="shared" si="9"/>
        <v>3.3</v>
      </c>
      <c r="I120" s="321">
        <f t="shared" si="10"/>
        <v>3.94</v>
      </c>
      <c r="J120" s="1"/>
      <c r="K120" s="659" t="s">
        <v>381</v>
      </c>
      <c r="L120" s="651"/>
      <c r="M120" s="651"/>
      <c r="N120" s="665">
        <v>6.15</v>
      </c>
      <c r="O120" s="675"/>
      <c r="P120" s="652"/>
      <c r="Q120" s="661"/>
      <c r="R120" s="671"/>
      <c r="S120" s="689"/>
      <c r="T120" s="587">
        <v>60</v>
      </c>
      <c r="U120" s="588">
        <f t="shared" si="5"/>
        <v>14390</v>
      </c>
      <c r="V120" s="588">
        <f t="shared" si="3"/>
        <v>14410</v>
      </c>
      <c r="W120" s="589">
        <f>CEILING($T120*CourseStd,1)</f>
        <v>5143</v>
      </c>
      <c r="X120" s="580"/>
      <c r="Y120" s="98"/>
      <c r="Z120" s="596"/>
      <c r="AA120" s="580"/>
      <c r="AB120" s="595"/>
      <c r="AC120" s="580"/>
    </row>
    <row r="121" spans="1:29" x14ac:dyDescent="0.2">
      <c r="A121" t="s">
        <v>173</v>
      </c>
      <c r="B121" s="3" t="s">
        <v>314</v>
      </c>
      <c r="C121" s="3" t="s">
        <v>314</v>
      </c>
      <c r="D121" s="3" t="str">
        <f t="shared" si="11"/>
        <v>Hips &lt; 6m 170*35</v>
      </c>
      <c r="E121" s="321">
        <f t="shared" si="6"/>
        <v>4.42</v>
      </c>
      <c r="F121" s="321">
        <f t="shared" si="7"/>
        <v>4.53</v>
      </c>
      <c r="G121" s="321">
        <f t="shared" si="8"/>
        <v>4</v>
      </c>
      <c r="H121" s="321">
        <f t="shared" si="9"/>
        <v>4.0999999999999996</v>
      </c>
      <c r="I121" s="321">
        <f t="shared" si="10"/>
        <v>4.78</v>
      </c>
      <c r="J121" s="1"/>
      <c r="K121" s="659" t="s">
        <v>314</v>
      </c>
      <c r="L121" s="651">
        <v>4.42</v>
      </c>
      <c r="M121" s="651">
        <v>4.53</v>
      </c>
      <c r="N121" s="665"/>
      <c r="O121" s="675">
        <v>4</v>
      </c>
      <c r="P121" s="652">
        <v>4.0999999999999996</v>
      </c>
      <c r="Q121" s="661"/>
      <c r="R121" s="671">
        <v>4.78</v>
      </c>
      <c r="S121" s="689"/>
      <c r="T121" s="587">
        <v>60.5</v>
      </c>
      <c r="U121" s="588">
        <f t="shared" si="5"/>
        <v>14510</v>
      </c>
      <c r="V121" s="588">
        <f t="shared" si="3"/>
        <v>14530</v>
      </c>
      <c r="W121" s="589"/>
      <c r="X121" s="580"/>
      <c r="Y121" s="98"/>
      <c r="Z121" s="596"/>
      <c r="AA121" s="580"/>
      <c r="AB121" s="595"/>
      <c r="AC121" s="580"/>
    </row>
    <row r="122" spans="1:29" x14ac:dyDescent="0.2">
      <c r="A122" t="s">
        <v>174</v>
      </c>
      <c r="B122" s="3" t="s">
        <v>314</v>
      </c>
      <c r="C122" s="3" t="s">
        <v>382</v>
      </c>
      <c r="D122" s="3" t="str">
        <f t="shared" si="11"/>
        <v>Hips &gt; 6m 170*35</v>
      </c>
      <c r="E122" s="321">
        <f t="shared" si="6"/>
        <v>4.87</v>
      </c>
      <c r="F122" s="321">
        <f t="shared" si="7"/>
        <v>4.53</v>
      </c>
      <c r="G122" s="321">
        <f t="shared" si="8"/>
        <v>4.25</v>
      </c>
      <c r="H122" s="321">
        <f t="shared" si="9"/>
        <v>4.3</v>
      </c>
      <c r="I122" s="321">
        <f t="shared" si="10"/>
        <v>5.38</v>
      </c>
      <c r="J122" s="1"/>
      <c r="K122" s="659" t="s">
        <v>382</v>
      </c>
      <c r="L122" s="651">
        <v>4.87</v>
      </c>
      <c r="M122" s="651">
        <v>4.53</v>
      </c>
      <c r="N122" s="665"/>
      <c r="O122" s="675">
        <v>4.25</v>
      </c>
      <c r="P122" s="652">
        <v>4.3</v>
      </c>
      <c r="Q122" s="661"/>
      <c r="R122" s="671">
        <v>5.38</v>
      </c>
      <c r="S122" s="689"/>
      <c r="T122" s="587">
        <v>61</v>
      </c>
      <c r="U122" s="588">
        <f t="shared" si="5"/>
        <v>14630</v>
      </c>
      <c r="V122" s="588">
        <f t="shared" si="3"/>
        <v>14650</v>
      </c>
      <c r="W122" s="589">
        <f>CEILING($T122*CourseStd,1)</f>
        <v>5229</v>
      </c>
      <c r="X122" s="580"/>
      <c r="Y122" s="98"/>
      <c r="Z122" s="596"/>
      <c r="AA122" s="580"/>
      <c r="AB122" s="595"/>
      <c r="AC122" s="580"/>
    </row>
    <row r="123" spans="1:29" x14ac:dyDescent="0.2">
      <c r="A123" t="s">
        <v>177</v>
      </c>
      <c r="B123" s="3" t="s">
        <v>314</v>
      </c>
      <c r="C123" s="3" t="s">
        <v>314</v>
      </c>
      <c r="D123" s="3" t="str">
        <f t="shared" si="11"/>
        <v>Valleys &lt;6m 170*35</v>
      </c>
      <c r="E123" s="321">
        <f t="shared" si="6"/>
        <v>4.42</v>
      </c>
      <c r="F123" s="321">
        <f t="shared" si="7"/>
        <v>4.53</v>
      </c>
      <c r="G123" s="321">
        <f t="shared" si="8"/>
        <v>4</v>
      </c>
      <c r="H123" s="321">
        <f t="shared" si="9"/>
        <v>4.0999999999999996</v>
      </c>
      <c r="I123" s="321">
        <f t="shared" si="10"/>
        <v>4.78</v>
      </c>
      <c r="J123" s="1"/>
      <c r="K123" s="659" t="s">
        <v>317</v>
      </c>
      <c r="L123" s="651">
        <v>6.19</v>
      </c>
      <c r="M123" s="651">
        <v>6.37</v>
      </c>
      <c r="N123" s="665">
        <v>7.84</v>
      </c>
      <c r="O123" s="675">
        <v>6</v>
      </c>
      <c r="P123" s="652">
        <v>5.93</v>
      </c>
      <c r="Q123" s="661">
        <v>8.1999999999999993</v>
      </c>
      <c r="R123" s="671">
        <v>6.07</v>
      </c>
      <c r="S123" s="689"/>
      <c r="T123" s="587">
        <v>61.5</v>
      </c>
      <c r="U123" s="588">
        <f t="shared" si="5"/>
        <v>14750</v>
      </c>
      <c r="V123" s="588">
        <f t="shared" si="3"/>
        <v>14770</v>
      </c>
      <c r="W123" s="589"/>
      <c r="X123" s="580"/>
      <c r="Y123" s="98"/>
      <c r="Z123" s="596"/>
      <c r="AA123" s="580"/>
      <c r="AB123" s="595"/>
      <c r="AC123" s="580"/>
    </row>
    <row r="124" spans="1:29" x14ac:dyDescent="0.2">
      <c r="A124" t="s">
        <v>178</v>
      </c>
      <c r="B124" s="3" t="s">
        <v>314</v>
      </c>
      <c r="C124" s="3" t="s">
        <v>382</v>
      </c>
      <c r="D124" s="3" t="str">
        <f t="shared" si="11"/>
        <v>Valleys &gt; 6m 170*35</v>
      </c>
      <c r="E124" s="321">
        <f t="shared" si="6"/>
        <v>4.87</v>
      </c>
      <c r="F124" s="321">
        <f t="shared" si="7"/>
        <v>4.53</v>
      </c>
      <c r="G124" s="321">
        <f t="shared" si="8"/>
        <v>4.25</v>
      </c>
      <c r="H124" s="321">
        <f t="shared" si="9"/>
        <v>4.3</v>
      </c>
      <c r="I124" s="321">
        <f t="shared" si="10"/>
        <v>5.38</v>
      </c>
      <c r="J124" s="1"/>
      <c r="K124" s="659" t="s">
        <v>383</v>
      </c>
      <c r="L124" s="651">
        <v>6.82</v>
      </c>
      <c r="M124" s="651">
        <v>6.99</v>
      </c>
      <c r="N124" s="665">
        <v>8.6199999999999992</v>
      </c>
      <c r="O124" s="675">
        <v>6</v>
      </c>
      <c r="P124" s="652">
        <v>5.93</v>
      </c>
      <c r="Q124" s="661"/>
      <c r="R124" s="672">
        <v>6.07</v>
      </c>
      <c r="S124" s="689"/>
      <c r="T124" s="587">
        <v>62</v>
      </c>
      <c r="U124" s="588">
        <f t="shared" si="5"/>
        <v>14870</v>
      </c>
      <c r="V124" s="588">
        <f t="shared" si="3"/>
        <v>14890</v>
      </c>
      <c r="W124" s="589">
        <f>CEILING($T124*CourseStd,1)</f>
        <v>5315</v>
      </c>
      <c r="X124" s="580"/>
      <c r="Y124" s="98"/>
      <c r="Z124" s="596"/>
      <c r="AA124" s="580"/>
      <c r="AB124" s="595"/>
      <c r="AC124" s="580"/>
    </row>
    <row r="125" spans="1:29" x14ac:dyDescent="0.2">
      <c r="A125" t="s">
        <v>160</v>
      </c>
      <c r="B125" s="3" t="s">
        <v>315</v>
      </c>
      <c r="C125" s="3" t="s">
        <v>315</v>
      </c>
      <c r="D125" s="3" t="str">
        <f t="shared" si="11"/>
        <v>E-Purlins 96*51</v>
      </c>
      <c r="E125" s="321">
        <f t="shared" si="6"/>
        <v>5.5</v>
      </c>
      <c r="F125" s="321">
        <f t="shared" si="7"/>
        <v>5.78</v>
      </c>
      <c r="G125" s="321">
        <f t="shared" si="8"/>
        <v>5.7</v>
      </c>
      <c r="H125" s="321">
        <f t="shared" si="9"/>
        <v>5.72</v>
      </c>
      <c r="I125" s="321">
        <f t="shared" si="10"/>
        <v>6.14</v>
      </c>
      <c r="J125" s="1"/>
      <c r="K125" s="659" t="s">
        <v>319</v>
      </c>
      <c r="L125" s="651">
        <v>8.35</v>
      </c>
      <c r="M125" s="651">
        <v>9.39</v>
      </c>
      <c r="N125" s="665"/>
      <c r="O125" s="675">
        <v>8.27</v>
      </c>
      <c r="P125" s="652">
        <v>9.0399999999999991</v>
      </c>
      <c r="Q125" s="661"/>
      <c r="R125" s="671">
        <v>10.95</v>
      </c>
      <c r="S125" s="689"/>
      <c r="T125" s="587">
        <v>62.5</v>
      </c>
      <c r="U125" s="588">
        <f t="shared" si="5"/>
        <v>14990</v>
      </c>
      <c r="V125" s="588">
        <f t="shared" si="3"/>
        <v>15010</v>
      </c>
      <c r="W125" s="589"/>
      <c r="X125" s="580"/>
      <c r="Y125" s="98"/>
      <c r="Z125" s="596"/>
      <c r="AA125" s="580"/>
      <c r="AB125" s="595"/>
      <c r="AC125" s="580"/>
    </row>
    <row r="126" spans="1:29" x14ac:dyDescent="0.2">
      <c r="A126" t="s">
        <v>179</v>
      </c>
      <c r="B126" s="3" t="s">
        <v>316</v>
      </c>
      <c r="C126" s="3" t="s">
        <v>316</v>
      </c>
      <c r="D126" s="3" t="str">
        <f t="shared" si="11"/>
        <v>E-Struts 65*63</v>
      </c>
      <c r="E126" s="321">
        <f t="shared" si="6"/>
        <v>4.6500000000000004</v>
      </c>
      <c r="F126" s="321">
        <f t="shared" si="7"/>
        <v>4.88</v>
      </c>
      <c r="G126" s="321">
        <f t="shared" si="8"/>
        <v>4.88</v>
      </c>
      <c r="H126" s="321">
        <f t="shared" si="9"/>
        <v>5.13</v>
      </c>
      <c r="I126" s="321">
        <f t="shared" si="10"/>
        <v>5.21</v>
      </c>
      <c r="J126" s="1"/>
      <c r="K126" s="659" t="s">
        <v>326</v>
      </c>
      <c r="L126" s="651">
        <v>2.8</v>
      </c>
      <c r="M126" s="651">
        <v>2.91</v>
      </c>
      <c r="N126" s="665">
        <v>3.67</v>
      </c>
      <c r="O126" s="675">
        <v>2.81</v>
      </c>
      <c r="P126" s="652">
        <v>2.91</v>
      </c>
      <c r="Q126" s="661">
        <v>4</v>
      </c>
      <c r="R126" s="671">
        <v>3.36</v>
      </c>
      <c r="S126" s="689"/>
      <c r="T126" s="587">
        <v>63</v>
      </c>
      <c r="U126" s="588">
        <f t="shared" si="5"/>
        <v>15110</v>
      </c>
      <c r="V126" s="588">
        <f t="shared" si="3"/>
        <v>15130</v>
      </c>
      <c r="W126" s="589">
        <f>CEILING($T126*CourseStd,1)</f>
        <v>5400</v>
      </c>
      <c r="X126" s="580"/>
      <c r="Y126" s="98"/>
      <c r="Z126" s="596"/>
      <c r="AA126" s="580"/>
      <c r="AB126" s="595"/>
      <c r="AC126" s="580"/>
    </row>
    <row r="127" spans="1:29" x14ac:dyDescent="0.2">
      <c r="A127" t="s">
        <v>161</v>
      </c>
      <c r="B127" s="3" t="s">
        <v>313</v>
      </c>
      <c r="C127" s="3" t="s">
        <v>313</v>
      </c>
      <c r="D127" s="3" t="str">
        <f t="shared" si="11"/>
        <v>Hangers 120*35</v>
      </c>
      <c r="E127" s="321">
        <f t="shared" si="6"/>
        <v>2.93</v>
      </c>
      <c r="F127" s="321">
        <f t="shared" si="7"/>
        <v>2.97</v>
      </c>
      <c r="G127" s="321">
        <f t="shared" si="8"/>
        <v>2.9</v>
      </c>
      <c r="H127" s="321">
        <f t="shared" si="9"/>
        <v>2.84</v>
      </c>
      <c r="I127" s="321">
        <f t="shared" si="10"/>
        <v>3.38</v>
      </c>
      <c r="J127" s="1"/>
      <c r="K127" s="659" t="s">
        <v>312</v>
      </c>
      <c r="L127" s="651">
        <v>3.94</v>
      </c>
      <c r="M127" s="651">
        <v>3.94</v>
      </c>
      <c r="N127" s="665">
        <v>4.54</v>
      </c>
      <c r="O127" s="675">
        <v>3.88</v>
      </c>
      <c r="P127" s="652">
        <v>4.0599999999999996</v>
      </c>
      <c r="Q127" s="661">
        <v>4.45</v>
      </c>
      <c r="R127" s="671">
        <v>4.0199999999999996</v>
      </c>
      <c r="S127" s="689"/>
      <c r="T127" s="587">
        <v>63.5</v>
      </c>
      <c r="U127" s="588">
        <f t="shared" si="5"/>
        <v>15230</v>
      </c>
      <c r="V127" s="588">
        <f t="shared" si="3"/>
        <v>15250</v>
      </c>
      <c r="W127" s="589"/>
      <c r="X127" s="580"/>
      <c r="Y127" s="98"/>
      <c r="Z127" s="596"/>
      <c r="AA127" s="580"/>
      <c r="AB127" s="595"/>
      <c r="AC127" s="580"/>
    </row>
    <row r="128" spans="1:29" x14ac:dyDescent="0.2">
      <c r="A128" t="s">
        <v>161</v>
      </c>
      <c r="B128" s="3" t="s">
        <v>314</v>
      </c>
      <c r="C128" s="3" t="s">
        <v>314</v>
      </c>
      <c r="D128" s="3" t="str">
        <f t="shared" si="11"/>
        <v>Hangers 170*35</v>
      </c>
      <c r="E128" s="321">
        <f t="shared" si="6"/>
        <v>4.42</v>
      </c>
      <c r="F128" s="321">
        <f t="shared" si="7"/>
        <v>4.53</v>
      </c>
      <c r="G128" s="321">
        <f t="shared" si="8"/>
        <v>4</v>
      </c>
      <c r="H128" s="321">
        <f t="shared" si="9"/>
        <v>4.0999999999999996</v>
      </c>
      <c r="I128" s="321">
        <f t="shared" si="10"/>
        <v>4.78</v>
      </c>
      <c r="J128" s="1"/>
      <c r="K128" s="659" t="s">
        <v>384</v>
      </c>
      <c r="L128" s="651">
        <v>5.71</v>
      </c>
      <c r="M128" s="651">
        <v>5.93</v>
      </c>
      <c r="N128" s="665">
        <v>6.54</v>
      </c>
      <c r="O128" s="675">
        <v>5.74</v>
      </c>
      <c r="P128" s="652">
        <v>5.97</v>
      </c>
      <c r="Q128" s="661">
        <v>6.5</v>
      </c>
      <c r="R128" s="672"/>
      <c r="S128" s="689"/>
      <c r="T128" s="587">
        <v>64</v>
      </c>
      <c r="U128" s="588">
        <f t="shared" si="5"/>
        <v>15350</v>
      </c>
      <c r="V128" s="588">
        <f t="shared" si="3"/>
        <v>15370</v>
      </c>
      <c r="W128" s="589">
        <f>CEILING($T128*CourseStd,1)</f>
        <v>5486</v>
      </c>
      <c r="X128" s="580"/>
      <c r="Y128" s="98"/>
      <c r="Z128" s="596"/>
      <c r="AA128" s="580"/>
      <c r="AB128" s="595"/>
      <c r="AC128" s="580"/>
    </row>
    <row r="129" spans="1:29" x14ac:dyDescent="0.2">
      <c r="A129" t="s">
        <v>161</v>
      </c>
      <c r="B129" s="3" t="s">
        <v>317</v>
      </c>
      <c r="C129" s="3" t="s">
        <v>317</v>
      </c>
      <c r="D129" s="3" t="str">
        <f t="shared" si="11"/>
        <v>Hangers 190*35</v>
      </c>
      <c r="E129" s="321">
        <f t="shared" si="6"/>
        <v>6.19</v>
      </c>
      <c r="F129" s="321">
        <f t="shared" si="7"/>
        <v>6.37</v>
      </c>
      <c r="G129" s="321">
        <f t="shared" si="8"/>
        <v>6</v>
      </c>
      <c r="H129" s="321">
        <f t="shared" si="9"/>
        <v>5.93</v>
      </c>
      <c r="I129" s="321">
        <f t="shared" si="10"/>
        <v>6.07</v>
      </c>
      <c r="J129" s="1"/>
      <c r="K129" s="659" t="s">
        <v>324</v>
      </c>
      <c r="L129" s="651">
        <v>6.52</v>
      </c>
      <c r="M129" s="651">
        <v>6.41</v>
      </c>
      <c r="N129" s="665">
        <v>7.17</v>
      </c>
      <c r="O129" s="675">
        <v>6.44</v>
      </c>
      <c r="P129" s="652">
        <v>6.71</v>
      </c>
      <c r="Q129" s="661">
        <v>7.14</v>
      </c>
      <c r="R129" s="671">
        <v>6.64</v>
      </c>
      <c r="S129" s="689"/>
      <c r="T129" s="587">
        <v>64.5</v>
      </c>
      <c r="U129" s="588">
        <f t="shared" si="5"/>
        <v>15470</v>
      </c>
      <c r="V129" s="588">
        <f t="shared" si="3"/>
        <v>15490</v>
      </c>
      <c r="W129" s="589"/>
      <c r="X129" s="580"/>
      <c r="Y129" s="98"/>
      <c r="Z129" s="596"/>
      <c r="AA129" s="580"/>
      <c r="AB129" s="595"/>
      <c r="AC129" s="580"/>
    </row>
    <row r="130" spans="1:29" x14ac:dyDescent="0.2">
      <c r="A130" t="s">
        <v>161</v>
      </c>
      <c r="B130" s="3" t="s">
        <v>318</v>
      </c>
      <c r="C130" s="3" t="s">
        <v>318</v>
      </c>
      <c r="D130" s="3" t="str">
        <f t="shared" si="11"/>
        <v>Hangers 190*45</v>
      </c>
      <c r="E130" s="321">
        <f t="shared" si="6"/>
        <v>8.19</v>
      </c>
      <c r="F130" s="321">
        <f t="shared" si="7"/>
        <v>8.3800000000000008</v>
      </c>
      <c r="G130" s="321">
        <f t="shared" si="8"/>
        <v>8.09</v>
      </c>
      <c r="H130" s="321">
        <f t="shared" si="9"/>
        <v>8.43</v>
      </c>
      <c r="I130" s="321">
        <f t="shared" si="10"/>
        <v>8.8800000000000008</v>
      </c>
      <c r="J130" s="1"/>
      <c r="K130" s="659" t="s">
        <v>318</v>
      </c>
      <c r="L130" s="651">
        <v>8.19</v>
      </c>
      <c r="M130" s="651">
        <v>8.3800000000000008</v>
      </c>
      <c r="N130" s="665">
        <v>9.4499999999999993</v>
      </c>
      <c r="O130" s="675">
        <v>8.09</v>
      </c>
      <c r="P130" s="652">
        <v>8.43</v>
      </c>
      <c r="Q130" s="661">
        <v>9.75</v>
      </c>
      <c r="R130" s="671">
        <v>8.8800000000000008</v>
      </c>
      <c r="S130" s="689"/>
      <c r="T130" s="587">
        <v>65</v>
      </c>
      <c r="U130" s="588">
        <f t="shared" si="5"/>
        <v>15590</v>
      </c>
      <c r="V130" s="588">
        <f t="shared" ref="V130:V150" si="12">$U130+20</f>
        <v>15610</v>
      </c>
      <c r="W130" s="589">
        <f>CEILING($T130*CourseStd,1)</f>
        <v>5572</v>
      </c>
      <c r="X130" s="580"/>
      <c r="Y130" s="98"/>
      <c r="Z130" s="596"/>
      <c r="AA130" s="580"/>
      <c r="AB130" s="595"/>
      <c r="AC130" s="580"/>
    </row>
    <row r="131" spans="1:29" x14ac:dyDescent="0.2">
      <c r="A131" t="s">
        <v>161</v>
      </c>
      <c r="B131" s="3" t="s">
        <v>319</v>
      </c>
      <c r="C131" s="3" t="s">
        <v>319</v>
      </c>
      <c r="D131" s="3" t="str">
        <f t="shared" si="11"/>
        <v>Hangers 240*35</v>
      </c>
      <c r="E131" s="321">
        <f t="shared" si="6"/>
        <v>8.35</v>
      </c>
      <c r="F131" s="321">
        <f t="shared" si="7"/>
        <v>9.39</v>
      </c>
      <c r="G131" s="321">
        <f t="shared" si="8"/>
        <v>8.27</v>
      </c>
      <c r="H131" s="321">
        <f t="shared" si="9"/>
        <v>9.0399999999999991</v>
      </c>
      <c r="I131" s="321">
        <f t="shared" si="10"/>
        <v>10.95</v>
      </c>
      <c r="J131" s="1"/>
      <c r="K131" s="659" t="s">
        <v>320</v>
      </c>
      <c r="L131" s="651">
        <v>12.78</v>
      </c>
      <c r="M131" s="651">
        <v>13.43</v>
      </c>
      <c r="N131" s="665">
        <v>12.83</v>
      </c>
      <c r="O131" s="675">
        <v>11.93</v>
      </c>
      <c r="P131" s="652">
        <v>13</v>
      </c>
      <c r="Q131" s="661">
        <v>13.28</v>
      </c>
      <c r="R131" s="671">
        <v>13.52</v>
      </c>
      <c r="S131" s="689"/>
      <c r="T131" s="587">
        <v>65.5</v>
      </c>
      <c r="U131" s="588">
        <f t="shared" ref="U131:U150" si="13">$T131*230+(($T131-1)/0.5)*5</f>
        <v>15710</v>
      </c>
      <c r="V131" s="588">
        <f t="shared" si="12"/>
        <v>15730</v>
      </c>
      <c r="W131" s="589"/>
      <c r="X131" s="580"/>
      <c r="Y131" s="98"/>
      <c r="Z131" s="596"/>
      <c r="AA131" s="580"/>
      <c r="AB131" s="595"/>
      <c r="AC131" s="580"/>
    </row>
    <row r="132" spans="1:29" x14ac:dyDescent="0.2">
      <c r="A132" t="s">
        <v>161</v>
      </c>
      <c r="B132" s="3" t="s">
        <v>320</v>
      </c>
      <c r="C132" s="3" t="s">
        <v>320</v>
      </c>
      <c r="D132" s="3" t="str">
        <f t="shared" si="11"/>
        <v>Hangers 240*45</v>
      </c>
      <c r="E132" s="321">
        <f t="shared" si="6"/>
        <v>12.78</v>
      </c>
      <c r="F132" s="321">
        <f t="shared" si="7"/>
        <v>13.43</v>
      </c>
      <c r="G132" s="321">
        <f t="shared" si="8"/>
        <v>11.93</v>
      </c>
      <c r="H132" s="321">
        <f t="shared" si="9"/>
        <v>13</v>
      </c>
      <c r="I132" s="321">
        <f t="shared" si="10"/>
        <v>13.52</v>
      </c>
      <c r="J132" s="1"/>
      <c r="K132" s="659" t="s">
        <v>315</v>
      </c>
      <c r="L132" s="651">
        <v>5.5</v>
      </c>
      <c r="M132" s="652">
        <v>5.78</v>
      </c>
      <c r="N132" s="665"/>
      <c r="O132" s="675">
        <v>5.7</v>
      </c>
      <c r="P132" s="652">
        <v>5.72</v>
      </c>
      <c r="Q132" s="661"/>
      <c r="R132" s="671">
        <v>6.14</v>
      </c>
      <c r="S132" s="689"/>
      <c r="T132" s="587">
        <v>66</v>
      </c>
      <c r="U132" s="588">
        <f t="shared" si="13"/>
        <v>15830</v>
      </c>
      <c r="V132" s="588">
        <f t="shared" si="12"/>
        <v>15850</v>
      </c>
      <c r="W132" s="589">
        <f>CEILING($T132*CourseStd,1)</f>
        <v>5658</v>
      </c>
      <c r="X132" s="580"/>
      <c r="Y132" s="98"/>
      <c r="Z132" s="580"/>
      <c r="AA132" s="580"/>
      <c r="AB132" s="595"/>
      <c r="AC132" s="580"/>
    </row>
    <row r="133" spans="1:29" x14ac:dyDescent="0.2">
      <c r="A133" t="s">
        <v>163</v>
      </c>
      <c r="B133" s="3" t="s">
        <v>321</v>
      </c>
      <c r="C133" s="3" t="s">
        <v>321</v>
      </c>
      <c r="D133" s="3" t="str">
        <f t="shared" si="11"/>
        <v>Trimmers 70*35</v>
      </c>
      <c r="E133" s="321">
        <f t="shared" si="6"/>
        <v>2.3199999999999998</v>
      </c>
      <c r="F133" s="321">
        <f t="shared" si="7"/>
        <v>2.31</v>
      </c>
      <c r="G133" s="321">
        <f t="shared" si="8"/>
        <v>2.2000000000000002</v>
      </c>
      <c r="H133" s="321">
        <f t="shared" si="9"/>
        <v>2.1</v>
      </c>
      <c r="I133" s="321">
        <f t="shared" si="10"/>
        <v>2.4500000000000002</v>
      </c>
      <c r="J133" s="1"/>
      <c r="K133" s="659" t="s">
        <v>316</v>
      </c>
      <c r="L133" s="651">
        <v>4.6500000000000004</v>
      </c>
      <c r="M133" s="652">
        <v>4.88</v>
      </c>
      <c r="N133" s="665"/>
      <c r="O133" s="675">
        <v>4.88</v>
      </c>
      <c r="P133" s="652">
        <v>5.13</v>
      </c>
      <c r="Q133" s="661"/>
      <c r="R133" s="671">
        <v>5.21</v>
      </c>
      <c r="S133" s="689"/>
      <c r="T133" s="587">
        <v>66.5</v>
      </c>
      <c r="U133" s="588">
        <f t="shared" si="13"/>
        <v>15950</v>
      </c>
      <c r="V133" s="588">
        <f t="shared" si="12"/>
        <v>15970</v>
      </c>
      <c r="W133" s="589"/>
      <c r="X133" s="580"/>
      <c r="Y133" s="98"/>
      <c r="Z133" s="580"/>
      <c r="AA133" s="580"/>
      <c r="AB133" s="595"/>
      <c r="AC133" s="580"/>
    </row>
    <row r="134" spans="1:29" x14ac:dyDescent="0.2">
      <c r="A134" s="87" t="s">
        <v>1327</v>
      </c>
      <c r="B134" s="3" t="s">
        <v>313</v>
      </c>
      <c r="C134" s="3" t="s">
        <v>313</v>
      </c>
      <c r="D134" s="3" t="str">
        <f t="shared" si="11"/>
        <v>Collar Ties &lt; 6m 120*35</v>
      </c>
      <c r="E134" s="321">
        <f t="shared" si="6"/>
        <v>2.93</v>
      </c>
      <c r="F134" s="321">
        <f t="shared" si="7"/>
        <v>2.97</v>
      </c>
      <c r="G134" s="321">
        <f t="shared" si="8"/>
        <v>2.9</v>
      </c>
      <c r="H134" s="321">
        <f t="shared" si="9"/>
        <v>2.84</v>
      </c>
      <c r="I134" s="321">
        <f t="shared" si="10"/>
        <v>3.38</v>
      </c>
      <c r="J134" s="1"/>
      <c r="K134" s="659" t="s">
        <v>511</v>
      </c>
      <c r="L134" s="651">
        <v>17.399999999999999</v>
      </c>
      <c r="M134" s="652">
        <v>17.399999999999999</v>
      </c>
      <c r="N134" s="665"/>
      <c r="O134" s="675">
        <v>17.27</v>
      </c>
      <c r="P134" s="652">
        <v>17.420000000000002</v>
      </c>
      <c r="Q134" s="661"/>
      <c r="R134" s="671">
        <v>17.68</v>
      </c>
      <c r="S134" s="689"/>
      <c r="T134" s="587">
        <v>67</v>
      </c>
      <c r="U134" s="588">
        <f t="shared" si="13"/>
        <v>16070</v>
      </c>
      <c r="V134" s="588">
        <f t="shared" si="12"/>
        <v>16090</v>
      </c>
      <c r="W134" s="589">
        <f>CEILING($T134*CourseStd,1)</f>
        <v>5743</v>
      </c>
      <c r="X134" s="580"/>
      <c r="Y134" s="98"/>
      <c r="Z134" s="580"/>
      <c r="AA134" s="580"/>
      <c r="AB134" s="595"/>
      <c r="AC134" s="580"/>
    </row>
    <row r="135" spans="1:29" x14ac:dyDescent="0.2">
      <c r="A135" s="87" t="s">
        <v>1328</v>
      </c>
      <c r="B135" s="3" t="s">
        <v>313</v>
      </c>
      <c r="C135" s="3" t="s">
        <v>380</v>
      </c>
      <c r="D135" s="3" t="str">
        <f t="shared" si="11"/>
        <v>Collar Ties &gt; 6m 120*35</v>
      </c>
      <c r="E135" s="321">
        <f t="shared" si="6"/>
        <v>3.21</v>
      </c>
      <c r="F135" s="321">
        <f t="shared" si="7"/>
        <v>3.41</v>
      </c>
      <c r="G135" s="321">
        <f t="shared" si="8"/>
        <v>3.18</v>
      </c>
      <c r="H135" s="321">
        <f t="shared" si="9"/>
        <v>3.3</v>
      </c>
      <c r="I135" s="321">
        <f t="shared" si="10"/>
        <v>3.94</v>
      </c>
      <c r="J135" s="1"/>
      <c r="K135" s="659" t="s">
        <v>512</v>
      </c>
      <c r="L135" s="651">
        <v>21.11</v>
      </c>
      <c r="M135" s="652">
        <v>21.11</v>
      </c>
      <c r="N135" s="665"/>
      <c r="O135" s="675">
        <v>20.56</v>
      </c>
      <c r="P135" s="652">
        <v>20.76</v>
      </c>
      <c r="Q135" s="661"/>
      <c r="R135" s="671">
        <v>25.36</v>
      </c>
      <c r="S135" s="689"/>
      <c r="T135" s="587">
        <v>67.5</v>
      </c>
      <c r="U135" s="588">
        <f t="shared" si="13"/>
        <v>16190</v>
      </c>
      <c r="V135" s="588">
        <f t="shared" si="12"/>
        <v>16210</v>
      </c>
      <c r="W135" s="589"/>
      <c r="X135" s="580"/>
      <c r="Y135" s="98"/>
      <c r="Z135" s="580"/>
      <c r="AA135" s="580"/>
      <c r="AB135" s="595"/>
      <c r="AC135" s="580"/>
    </row>
    <row r="136" spans="1:29" x14ac:dyDescent="0.2">
      <c r="A136" t="s">
        <v>167</v>
      </c>
      <c r="B136" s="3" t="s">
        <v>322</v>
      </c>
      <c r="C136" s="3" t="s">
        <v>322</v>
      </c>
      <c r="D136" s="3" t="str">
        <f t="shared" si="11"/>
        <v>Valley Board 150*25</v>
      </c>
      <c r="E136" s="321">
        <f t="shared" si="6"/>
        <v>1.99</v>
      </c>
      <c r="F136" s="321">
        <f t="shared" si="7"/>
        <v>2.38</v>
      </c>
      <c r="G136" s="321">
        <f t="shared" si="8"/>
        <v>1.6</v>
      </c>
      <c r="H136" s="321">
        <f t="shared" si="9"/>
        <v>2.14</v>
      </c>
      <c r="I136" s="321">
        <f t="shared" si="10"/>
        <v>2.41</v>
      </c>
      <c r="J136" s="1"/>
      <c r="K136" s="659" t="s">
        <v>513</v>
      </c>
      <c r="L136" s="651">
        <v>26.39</v>
      </c>
      <c r="M136" s="652">
        <v>26.39</v>
      </c>
      <c r="N136" s="665"/>
      <c r="O136" s="675">
        <v>25.5</v>
      </c>
      <c r="P136" s="652">
        <v>25.72</v>
      </c>
      <c r="Q136" s="661"/>
      <c r="R136" s="671">
        <v>31.69</v>
      </c>
      <c r="S136" s="689"/>
      <c r="T136" s="587">
        <v>68</v>
      </c>
      <c r="U136" s="588">
        <f t="shared" si="13"/>
        <v>16310</v>
      </c>
      <c r="V136" s="588">
        <f t="shared" si="12"/>
        <v>16330</v>
      </c>
      <c r="W136" s="589">
        <f>CEILING($T136*CourseStd,1)</f>
        <v>5829</v>
      </c>
      <c r="X136" s="580"/>
      <c r="Y136" s="98"/>
      <c r="Z136" s="580"/>
      <c r="AA136" s="580"/>
      <c r="AB136" s="595"/>
      <c r="AC136" s="580"/>
    </row>
    <row r="137" spans="1:29" x14ac:dyDescent="0.2">
      <c r="A137" t="s">
        <v>168</v>
      </c>
      <c r="B137" s="3" t="s">
        <v>323</v>
      </c>
      <c r="C137" s="3" t="s">
        <v>323</v>
      </c>
      <c r="D137" s="3" t="str">
        <f>CONCATENATE($A137," ",$B137)</f>
        <v>Ridge 200*25</v>
      </c>
      <c r="E137" s="321">
        <f t="shared" si="6"/>
        <v>2.66</v>
      </c>
      <c r="F137" s="321">
        <f t="shared" si="7"/>
        <v>3.03</v>
      </c>
      <c r="G137" s="321">
        <f t="shared" si="8"/>
        <v>2.39</v>
      </c>
      <c r="H137" s="321" t="str">
        <f t="shared" si="9"/>
        <v>NA   </v>
      </c>
      <c r="I137" s="321">
        <f t="shared" si="10"/>
        <v>3.1</v>
      </c>
      <c r="J137" s="1"/>
      <c r="K137" s="659" t="s">
        <v>514</v>
      </c>
      <c r="L137" s="651">
        <v>31.67</v>
      </c>
      <c r="M137" s="652">
        <v>31.67</v>
      </c>
      <c r="N137" s="665"/>
      <c r="O137" s="675">
        <v>30.43</v>
      </c>
      <c r="P137" s="652">
        <v>30.71</v>
      </c>
      <c r="Q137" s="661"/>
      <c r="R137" s="671">
        <v>38.03</v>
      </c>
      <c r="S137" s="689"/>
      <c r="T137" s="587">
        <v>68.5</v>
      </c>
      <c r="U137" s="588">
        <f t="shared" si="13"/>
        <v>16430</v>
      </c>
      <c r="V137" s="588">
        <f t="shared" si="12"/>
        <v>16450</v>
      </c>
      <c r="W137" s="589"/>
      <c r="X137" s="580"/>
      <c r="Y137" s="98"/>
      <c r="Z137" s="580"/>
      <c r="AA137" s="580"/>
      <c r="AB137" s="595"/>
      <c r="AC137" s="580"/>
    </row>
    <row r="138" spans="1:29" x14ac:dyDescent="0.2">
      <c r="A138" t="s">
        <v>165</v>
      </c>
      <c r="B138" s="3" t="s">
        <v>313</v>
      </c>
      <c r="C138" s="3" t="s">
        <v>313</v>
      </c>
      <c r="D138" s="3" t="str">
        <f t="shared" si="11"/>
        <v>Rafter Trimmers 120*35</v>
      </c>
      <c r="E138" s="321">
        <f t="shared" si="6"/>
        <v>2.93</v>
      </c>
      <c r="F138" s="321">
        <f t="shared" si="7"/>
        <v>2.97</v>
      </c>
      <c r="G138" s="321">
        <f t="shared" si="8"/>
        <v>2.9</v>
      </c>
      <c r="H138" s="321">
        <f t="shared" si="9"/>
        <v>2.84</v>
      </c>
      <c r="I138" s="321">
        <f t="shared" si="10"/>
        <v>3.38</v>
      </c>
      <c r="J138" s="1"/>
      <c r="K138" s="659" t="s">
        <v>515</v>
      </c>
      <c r="L138" s="651">
        <v>35.19</v>
      </c>
      <c r="M138" s="652">
        <v>35.19</v>
      </c>
      <c r="N138" s="665"/>
      <c r="O138" s="675">
        <v>33.729999999999997</v>
      </c>
      <c r="P138" s="652">
        <v>34.01</v>
      </c>
      <c r="Q138" s="661"/>
      <c r="R138" s="671">
        <v>42.26</v>
      </c>
      <c r="S138" s="689"/>
      <c r="T138" s="587">
        <v>69</v>
      </c>
      <c r="U138" s="588">
        <f t="shared" si="13"/>
        <v>16550</v>
      </c>
      <c r="V138" s="588">
        <f t="shared" si="12"/>
        <v>16570</v>
      </c>
      <c r="W138" s="589">
        <f>CEILING($T138*CourseStd,1)</f>
        <v>5915</v>
      </c>
      <c r="X138" s="580"/>
      <c r="Y138" s="98"/>
      <c r="Z138" s="580"/>
      <c r="AA138" s="580"/>
      <c r="AB138" s="595"/>
      <c r="AC138" s="580"/>
    </row>
    <row r="139" spans="1:29" x14ac:dyDescent="0.2">
      <c r="A139" t="s">
        <v>169</v>
      </c>
      <c r="B139" s="3" t="s">
        <v>311</v>
      </c>
      <c r="C139" s="3" t="s">
        <v>311</v>
      </c>
      <c r="D139" s="3" t="str">
        <f t="shared" si="11"/>
        <v>Plates etc 90*35</v>
      </c>
      <c r="E139" s="321">
        <f t="shared" si="6"/>
        <v>2.37</v>
      </c>
      <c r="F139" s="321">
        <f t="shared" si="7"/>
        <v>2.36</v>
      </c>
      <c r="G139" s="321">
        <f t="shared" si="8"/>
        <v>2.37</v>
      </c>
      <c r="H139" s="321">
        <f t="shared" si="9"/>
        <v>2.2000000000000002</v>
      </c>
      <c r="I139" s="321">
        <f t="shared" si="10"/>
        <v>2.54</v>
      </c>
      <c r="J139" s="1"/>
      <c r="K139" s="659" t="s">
        <v>372</v>
      </c>
      <c r="L139" s="651">
        <v>41.91</v>
      </c>
      <c r="M139" s="652">
        <v>41.91</v>
      </c>
      <c r="N139" s="665"/>
      <c r="O139" s="675">
        <v>49.01</v>
      </c>
      <c r="P139" s="652">
        <v>49.48</v>
      </c>
      <c r="Q139" s="661"/>
      <c r="R139" s="671">
        <v>55.61</v>
      </c>
      <c r="S139" s="689"/>
      <c r="T139" s="587">
        <v>69.5</v>
      </c>
      <c r="U139" s="588">
        <f t="shared" si="13"/>
        <v>16670</v>
      </c>
      <c r="V139" s="588">
        <f t="shared" si="12"/>
        <v>16690</v>
      </c>
      <c r="W139" s="589"/>
      <c r="X139" s="580"/>
      <c r="Y139" s="98"/>
      <c r="Z139" s="580"/>
      <c r="AA139" s="580"/>
      <c r="AB139" s="595"/>
      <c r="AC139" s="580"/>
    </row>
    <row r="140" spans="1:29" x14ac:dyDescent="0.2">
      <c r="A140" t="s">
        <v>166</v>
      </c>
      <c r="B140" s="3" t="s">
        <v>324</v>
      </c>
      <c r="C140" s="3" t="s">
        <v>324</v>
      </c>
      <c r="D140" s="3" t="str">
        <f t="shared" si="11"/>
        <v>Whaling Plate 140*45</v>
      </c>
      <c r="E140" s="321">
        <f t="shared" si="6"/>
        <v>6.52</v>
      </c>
      <c r="F140" s="321">
        <f t="shared" si="7"/>
        <v>6.41</v>
      </c>
      <c r="G140" s="321">
        <f t="shared" si="8"/>
        <v>6.44</v>
      </c>
      <c r="H140" s="321">
        <f t="shared" si="9"/>
        <v>6.71</v>
      </c>
      <c r="I140" s="321">
        <f t="shared" si="10"/>
        <v>6.64</v>
      </c>
      <c r="J140" s="1"/>
      <c r="K140" s="659" t="s">
        <v>415</v>
      </c>
      <c r="L140" s="652">
        <v>64.760000000000005</v>
      </c>
      <c r="M140" s="652">
        <v>64.760000000000005</v>
      </c>
      <c r="N140" s="665"/>
      <c r="O140" s="675">
        <v>70.14</v>
      </c>
      <c r="P140" s="652">
        <v>70.72</v>
      </c>
      <c r="Q140" s="661"/>
      <c r="R140" s="671">
        <v>66.680000000000007</v>
      </c>
      <c r="S140" s="689"/>
      <c r="T140" s="587">
        <v>70</v>
      </c>
      <c r="U140" s="588">
        <f t="shared" si="13"/>
        <v>16790</v>
      </c>
      <c r="V140" s="588">
        <f t="shared" si="12"/>
        <v>16810</v>
      </c>
      <c r="W140" s="589">
        <f>CEILING($T140*CourseStd,1)</f>
        <v>6000</v>
      </c>
      <c r="X140" s="580"/>
      <c r="Y140" s="98"/>
      <c r="Z140" s="580"/>
      <c r="AA140" s="580"/>
      <c r="AB140" s="595"/>
      <c r="AC140" s="580"/>
    </row>
    <row r="141" spans="1:29" x14ac:dyDescent="0.2">
      <c r="A141" t="s">
        <v>170</v>
      </c>
      <c r="B141" s="3">
        <v>0</v>
      </c>
      <c r="C141" s="3"/>
      <c r="D141" s="3" t="str">
        <f t="shared" si="11"/>
        <v>Beams 0</v>
      </c>
      <c r="E141" s="321"/>
      <c r="F141" s="321"/>
      <c r="G141" s="321"/>
      <c r="H141" s="321"/>
      <c r="I141" s="321"/>
      <c r="J141" s="1"/>
      <c r="K141" s="659" t="s">
        <v>416</v>
      </c>
      <c r="L141" s="651">
        <v>83.91</v>
      </c>
      <c r="M141" s="651">
        <v>83.91</v>
      </c>
      <c r="N141" s="665"/>
      <c r="O141" s="675"/>
      <c r="P141" s="652"/>
      <c r="Q141" s="661"/>
      <c r="R141" s="672">
        <v>88.96</v>
      </c>
      <c r="S141" s="689"/>
      <c r="T141" s="587">
        <v>70.5</v>
      </c>
      <c r="U141" s="588">
        <f t="shared" si="13"/>
        <v>16910</v>
      </c>
      <c r="V141" s="588">
        <f t="shared" si="12"/>
        <v>16930</v>
      </c>
      <c r="W141" s="589"/>
      <c r="X141" s="580"/>
      <c r="Y141" s="98"/>
      <c r="Z141" s="580"/>
      <c r="AA141" s="580"/>
      <c r="AB141" s="595"/>
      <c r="AC141" s="580"/>
    </row>
    <row r="142" spans="1:29" x14ac:dyDescent="0.2">
      <c r="A142" t="s">
        <v>164</v>
      </c>
      <c r="B142" s="3" t="s">
        <v>511</v>
      </c>
      <c r="C142" s="3" t="s">
        <v>511</v>
      </c>
      <c r="D142" s="3" t="str">
        <f t="shared" si="11"/>
        <v>LVL 200*63</v>
      </c>
      <c r="E142" s="321">
        <f t="shared" ref="E142:E154" si="14">VLOOKUP($C142,PriceData,2,FALSE)</f>
        <v>17.399999999999999</v>
      </c>
      <c r="F142" s="321">
        <f t="shared" ref="F142:F154" si="15">VLOOKUP($C142,PriceData,3,FALSE)</f>
        <v>17.399999999999999</v>
      </c>
      <c r="G142" s="321">
        <f t="shared" ref="G142:G154" si="16">VLOOKUP($C142,PriceData,5,FALSE)</f>
        <v>17.27</v>
      </c>
      <c r="H142" s="321">
        <f t="shared" ref="H142:H154" si="17">VLOOKUP($C142,PriceData,6,FALSE)</f>
        <v>17.420000000000002</v>
      </c>
      <c r="I142" s="321">
        <f t="shared" ref="I142:I154" si="18">VLOOKUP($C142,PriceData,8,FALSE)</f>
        <v>17.68</v>
      </c>
      <c r="J142" s="1"/>
      <c r="K142" s="659" t="s">
        <v>331</v>
      </c>
      <c r="L142" s="651">
        <v>70.84</v>
      </c>
      <c r="M142" s="651">
        <v>70.84</v>
      </c>
      <c r="N142" s="665"/>
      <c r="O142" s="675" t="s">
        <v>1103</v>
      </c>
      <c r="P142" s="652" t="s">
        <v>1103</v>
      </c>
      <c r="Q142" s="661"/>
      <c r="R142" s="672"/>
      <c r="S142" s="689"/>
      <c r="T142" s="587">
        <v>71</v>
      </c>
      <c r="U142" s="588">
        <f t="shared" si="13"/>
        <v>17030</v>
      </c>
      <c r="V142" s="588">
        <f t="shared" si="12"/>
        <v>17050</v>
      </c>
      <c r="W142" s="589">
        <f>CEILING($T142*CourseStd,1)</f>
        <v>6086</v>
      </c>
      <c r="X142" s="580"/>
      <c r="Y142" s="98"/>
      <c r="Z142" s="580"/>
      <c r="AA142" s="580"/>
      <c r="AB142" s="595"/>
      <c r="AC142" s="580"/>
    </row>
    <row r="143" spans="1:29" x14ac:dyDescent="0.2">
      <c r="A143" t="s">
        <v>164</v>
      </c>
      <c r="B143" s="3" t="s">
        <v>512</v>
      </c>
      <c r="C143" s="3" t="s">
        <v>512</v>
      </c>
      <c r="D143" s="3" t="str">
        <f t="shared" si="11"/>
        <v>LVL 240*63</v>
      </c>
      <c r="E143" s="321">
        <f t="shared" si="14"/>
        <v>21.11</v>
      </c>
      <c r="F143" s="321">
        <f t="shared" si="15"/>
        <v>21.11</v>
      </c>
      <c r="G143" s="321">
        <f t="shared" si="16"/>
        <v>20.56</v>
      </c>
      <c r="H143" s="321">
        <f t="shared" si="17"/>
        <v>20.76</v>
      </c>
      <c r="I143" s="321">
        <f t="shared" si="18"/>
        <v>25.36</v>
      </c>
      <c r="J143" s="1"/>
      <c r="K143" s="659" t="s">
        <v>376</v>
      </c>
      <c r="L143" s="652">
        <v>33.65</v>
      </c>
      <c r="M143" s="652">
        <v>57.2</v>
      </c>
      <c r="N143" s="665"/>
      <c r="O143" s="675">
        <v>41.19</v>
      </c>
      <c r="P143" s="652">
        <v>41.37</v>
      </c>
      <c r="Q143" s="661"/>
      <c r="R143" s="671">
        <v>36.56</v>
      </c>
      <c r="S143" s="689"/>
      <c r="T143" s="587">
        <v>71.5</v>
      </c>
      <c r="U143" s="588">
        <f t="shared" si="13"/>
        <v>17150</v>
      </c>
      <c r="V143" s="588">
        <f t="shared" si="12"/>
        <v>17170</v>
      </c>
      <c r="W143" s="589"/>
      <c r="X143" s="580"/>
      <c r="Y143" s="98"/>
      <c r="Z143" s="580"/>
      <c r="AA143" s="580"/>
      <c r="AB143" s="595"/>
      <c r="AC143" s="580"/>
    </row>
    <row r="144" spans="1:29" x14ac:dyDescent="0.2">
      <c r="A144" t="s">
        <v>164</v>
      </c>
      <c r="B144" s="3" t="s">
        <v>513</v>
      </c>
      <c r="C144" s="3" t="s">
        <v>513</v>
      </c>
      <c r="D144" s="3" t="str">
        <f t="shared" si="11"/>
        <v>LVL 300*63</v>
      </c>
      <c r="E144" s="321">
        <f t="shared" si="14"/>
        <v>26.39</v>
      </c>
      <c r="F144" s="321">
        <f t="shared" si="15"/>
        <v>26.39</v>
      </c>
      <c r="G144" s="321">
        <f t="shared" si="16"/>
        <v>25.5</v>
      </c>
      <c r="H144" s="321">
        <f t="shared" si="17"/>
        <v>25.72</v>
      </c>
      <c r="I144" s="321">
        <f t="shared" si="18"/>
        <v>31.69</v>
      </c>
      <c r="J144" s="1"/>
      <c r="K144" s="659" t="s">
        <v>367</v>
      </c>
      <c r="L144" s="651">
        <v>16.25</v>
      </c>
      <c r="M144" s="651">
        <v>16.25</v>
      </c>
      <c r="N144" s="661" t="s">
        <v>1235</v>
      </c>
      <c r="O144" s="675">
        <v>20.190000000000001</v>
      </c>
      <c r="P144" s="652">
        <v>20.190000000000001</v>
      </c>
      <c r="Q144" s="661"/>
      <c r="R144" s="671">
        <v>21.5</v>
      </c>
      <c r="S144" s="689"/>
      <c r="T144" s="587">
        <v>72</v>
      </c>
      <c r="U144" s="588">
        <f t="shared" si="13"/>
        <v>17270</v>
      </c>
      <c r="V144" s="588">
        <f t="shared" si="12"/>
        <v>17290</v>
      </c>
      <c r="W144" s="589">
        <f>CEILING($T144*CourseStd,1)</f>
        <v>6172</v>
      </c>
      <c r="X144" s="580"/>
      <c r="Y144" s="98"/>
      <c r="Z144" s="580"/>
      <c r="AA144" s="580"/>
      <c r="AB144" s="595"/>
      <c r="AC144" s="580"/>
    </row>
    <row r="145" spans="1:29" x14ac:dyDescent="0.2">
      <c r="A145" t="s">
        <v>164</v>
      </c>
      <c r="B145" s="3" t="s">
        <v>514</v>
      </c>
      <c r="C145" s="3" t="s">
        <v>514</v>
      </c>
      <c r="D145" s="3" t="str">
        <f t="shared" si="11"/>
        <v>LVL 360*63</v>
      </c>
      <c r="E145" s="321">
        <f t="shared" si="14"/>
        <v>31.67</v>
      </c>
      <c r="F145" s="321">
        <f t="shared" si="15"/>
        <v>31.67</v>
      </c>
      <c r="G145" s="321">
        <f t="shared" si="16"/>
        <v>30.43</v>
      </c>
      <c r="H145" s="321">
        <f t="shared" si="17"/>
        <v>30.71</v>
      </c>
      <c r="I145" s="321">
        <f t="shared" si="18"/>
        <v>38.03</v>
      </c>
      <c r="J145" s="1"/>
      <c r="K145" s="659" t="s">
        <v>370</v>
      </c>
      <c r="L145" s="651">
        <v>25.2</v>
      </c>
      <c r="M145" s="651">
        <v>25.2</v>
      </c>
      <c r="N145" s="661" t="s">
        <v>1169</v>
      </c>
      <c r="O145" s="675">
        <v>31.89</v>
      </c>
      <c r="P145" s="652">
        <v>30.04</v>
      </c>
      <c r="Q145" s="661"/>
      <c r="R145" s="671">
        <v>32.47</v>
      </c>
      <c r="S145" s="689"/>
      <c r="T145" s="587">
        <v>72.5</v>
      </c>
      <c r="U145" s="588">
        <f t="shared" si="13"/>
        <v>17390</v>
      </c>
      <c r="V145" s="588">
        <f t="shared" si="12"/>
        <v>17410</v>
      </c>
      <c r="W145" s="589"/>
      <c r="X145" s="580"/>
      <c r="Y145" s="98"/>
      <c r="Z145" s="580"/>
      <c r="AA145" s="580"/>
      <c r="AB145" s="595"/>
      <c r="AC145" s="580"/>
    </row>
    <row r="146" spans="1:29" x14ac:dyDescent="0.2">
      <c r="A146" t="s">
        <v>164</v>
      </c>
      <c r="B146" s="3" t="s">
        <v>515</v>
      </c>
      <c r="C146" s="3" t="s">
        <v>515</v>
      </c>
      <c r="D146" s="3" t="str">
        <f t="shared" si="11"/>
        <v>LVL 400*63</v>
      </c>
      <c r="E146" s="321">
        <f t="shared" si="14"/>
        <v>35.19</v>
      </c>
      <c r="F146" s="321">
        <f t="shared" si="15"/>
        <v>35.19</v>
      </c>
      <c r="G146" s="321">
        <f t="shared" si="16"/>
        <v>33.729999999999997</v>
      </c>
      <c r="H146" s="321">
        <f t="shared" si="17"/>
        <v>34.01</v>
      </c>
      <c r="I146" s="321">
        <f t="shared" si="18"/>
        <v>42.26</v>
      </c>
      <c r="J146" s="1"/>
      <c r="K146" s="659" t="s">
        <v>371</v>
      </c>
      <c r="L146" s="651">
        <v>53</v>
      </c>
      <c r="M146" s="651">
        <v>53</v>
      </c>
      <c r="N146" s="661" t="s">
        <v>1170</v>
      </c>
      <c r="O146" s="675">
        <v>39.840000000000003</v>
      </c>
      <c r="P146" s="652">
        <v>37.659999999999997</v>
      </c>
      <c r="Q146" s="661"/>
      <c r="R146" s="671">
        <v>40.72</v>
      </c>
      <c r="S146" s="689"/>
      <c r="T146" s="587">
        <v>73</v>
      </c>
      <c r="U146" s="588">
        <f t="shared" si="13"/>
        <v>17510</v>
      </c>
      <c r="V146" s="588">
        <f t="shared" si="12"/>
        <v>17530</v>
      </c>
      <c r="W146" s="589">
        <f>CEILING($T146*CourseStd,1)</f>
        <v>6258</v>
      </c>
      <c r="X146" s="580"/>
      <c r="Y146" s="98"/>
      <c r="Z146" s="580"/>
      <c r="AA146" s="580"/>
      <c r="AB146" s="595"/>
      <c r="AC146" s="580"/>
    </row>
    <row r="147" spans="1:29" x14ac:dyDescent="0.2">
      <c r="A147" t="s">
        <v>164</v>
      </c>
      <c r="B147" s="3" t="s">
        <v>372</v>
      </c>
      <c r="C147" s="3" t="s">
        <v>372</v>
      </c>
      <c r="D147" s="3" t="str">
        <f t="shared" si="11"/>
        <v>LVL 400*75</v>
      </c>
      <c r="E147" s="321">
        <f t="shared" si="14"/>
        <v>41.91</v>
      </c>
      <c r="F147" s="321">
        <f t="shared" si="15"/>
        <v>41.91</v>
      </c>
      <c r="G147" s="321">
        <f t="shared" si="16"/>
        <v>49.01</v>
      </c>
      <c r="H147" s="321">
        <f t="shared" si="17"/>
        <v>49.48</v>
      </c>
      <c r="I147" s="321">
        <f t="shared" si="18"/>
        <v>55.61</v>
      </c>
      <c r="J147" s="1"/>
      <c r="K147" s="659" t="s">
        <v>322</v>
      </c>
      <c r="L147" s="651">
        <v>1.99</v>
      </c>
      <c r="M147" s="651">
        <v>2.38</v>
      </c>
      <c r="N147" s="665">
        <v>2.95</v>
      </c>
      <c r="O147" s="675">
        <v>1.6</v>
      </c>
      <c r="P147" s="652">
        <v>2.14</v>
      </c>
      <c r="Q147" s="661">
        <v>3.41</v>
      </c>
      <c r="R147" s="671">
        <v>2.41</v>
      </c>
      <c r="S147" s="689"/>
      <c r="T147" s="587">
        <v>73.5</v>
      </c>
      <c r="U147" s="588">
        <f t="shared" si="13"/>
        <v>17630</v>
      </c>
      <c r="V147" s="588">
        <f t="shared" si="12"/>
        <v>17650</v>
      </c>
      <c r="W147" s="589"/>
      <c r="X147" s="580"/>
      <c r="Y147" s="98"/>
      <c r="Z147" s="580"/>
      <c r="AA147" s="580"/>
      <c r="AB147" s="595"/>
      <c r="AC147" s="580"/>
    </row>
    <row r="148" spans="1:29" x14ac:dyDescent="0.2">
      <c r="A148" t="s">
        <v>417</v>
      </c>
      <c r="B148" s="3" t="s">
        <v>415</v>
      </c>
      <c r="C148" s="3" t="s">
        <v>415</v>
      </c>
      <c r="D148" s="3" t="str">
        <f t="shared" si="11"/>
        <v>Kapur Glulams 297*60</v>
      </c>
      <c r="E148" s="321">
        <f t="shared" si="14"/>
        <v>64.760000000000005</v>
      </c>
      <c r="F148" s="321">
        <f t="shared" si="15"/>
        <v>64.760000000000005</v>
      </c>
      <c r="G148" s="321">
        <f t="shared" si="16"/>
        <v>70.14</v>
      </c>
      <c r="H148" s="321">
        <f t="shared" si="17"/>
        <v>70.72</v>
      </c>
      <c r="I148" s="321">
        <f t="shared" si="18"/>
        <v>66.680000000000007</v>
      </c>
      <c r="J148" s="1"/>
      <c r="K148" s="659" t="s">
        <v>323</v>
      </c>
      <c r="L148" s="651">
        <v>2.66</v>
      </c>
      <c r="M148" s="651">
        <v>3.03</v>
      </c>
      <c r="N148" s="665"/>
      <c r="O148" s="675">
        <v>2.39</v>
      </c>
      <c r="P148" s="652" t="s">
        <v>1485</v>
      </c>
      <c r="Q148" s="661"/>
      <c r="R148" s="671">
        <v>3.1</v>
      </c>
      <c r="S148" s="689"/>
      <c r="T148" s="587">
        <v>74</v>
      </c>
      <c r="U148" s="588">
        <f t="shared" si="13"/>
        <v>17750</v>
      </c>
      <c r="V148" s="588">
        <f t="shared" si="12"/>
        <v>17770</v>
      </c>
      <c r="W148" s="589">
        <f>CEILING($T148*CourseStd,1)</f>
        <v>6343</v>
      </c>
      <c r="X148" s="580"/>
      <c r="Y148" s="98"/>
      <c r="Z148" s="580"/>
      <c r="AA148" s="580"/>
      <c r="AB148" s="595"/>
      <c r="AC148" s="580"/>
    </row>
    <row r="149" spans="1:29" x14ac:dyDescent="0.2">
      <c r="A149" t="s">
        <v>417</v>
      </c>
      <c r="B149" s="3" t="s">
        <v>416</v>
      </c>
      <c r="C149" s="3" t="s">
        <v>416</v>
      </c>
      <c r="D149" s="3" t="str">
        <f t="shared" si="11"/>
        <v>Kapur Glulams 397*85</v>
      </c>
      <c r="E149" s="321">
        <f t="shared" si="14"/>
        <v>83.91</v>
      </c>
      <c r="F149" s="321">
        <f t="shared" si="15"/>
        <v>83.91</v>
      </c>
      <c r="G149" s="321">
        <f t="shared" si="16"/>
        <v>0</v>
      </c>
      <c r="H149" s="321">
        <f t="shared" si="17"/>
        <v>0</v>
      </c>
      <c r="I149" s="321">
        <f t="shared" si="18"/>
        <v>88.96</v>
      </c>
      <c r="J149" s="1"/>
      <c r="K149" s="662" t="s">
        <v>516</v>
      </c>
      <c r="L149" s="651"/>
      <c r="M149" s="651"/>
      <c r="N149" s="665"/>
      <c r="O149" s="675" t="s">
        <v>1103</v>
      </c>
      <c r="P149" s="652" t="s">
        <v>1103</v>
      </c>
      <c r="Q149" s="661"/>
      <c r="R149" s="671">
        <v>51</v>
      </c>
      <c r="S149" s="689"/>
      <c r="T149" s="587">
        <v>74.5</v>
      </c>
      <c r="U149" s="588">
        <f t="shared" si="13"/>
        <v>17870</v>
      </c>
      <c r="V149" s="588">
        <f t="shared" si="12"/>
        <v>17890</v>
      </c>
      <c r="W149" s="589"/>
      <c r="X149" s="580"/>
      <c r="Y149" s="98"/>
      <c r="Z149" s="580"/>
      <c r="AA149" s="580"/>
      <c r="AB149" s="595"/>
      <c r="AC149" s="580"/>
    </row>
    <row r="150" spans="1:29" x14ac:dyDescent="0.2">
      <c r="A150" t="s">
        <v>543</v>
      </c>
      <c r="B150" s="3" t="s">
        <v>1440</v>
      </c>
      <c r="C150" s="3" t="s">
        <v>1440</v>
      </c>
      <c r="D150" s="3" t="str">
        <f t="shared" si="11"/>
        <v>e-garage LVL 298*60</v>
      </c>
      <c r="E150" s="321">
        <f t="shared" si="14"/>
        <v>67.099999999999994</v>
      </c>
      <c r="F150" s="321">
        <f t="shared" si="15"/>
        <v>67.099999999999994</v>
      </c>
      <c r="G150" s="321">
        <f t="shared" si="16"/>
        <v>63.31</v>
      </c>
      <c r="H150" s="321">
        <f t="shared" si="17"/>
        <v>63.31</v>
      </c>
      <c r="I150" s="321">
        <f t="shared" si="18"/>
        <v>0</v>
      </c>
      <c r="J150" s="1"/>
      <c r="K150" s="662" t="s">
        <v>1440</v>
      </c>
      <c r="L150" s="651">
        <v>67.099999999999994</v>
      </c>
      <c r="M150" s="651">
        <v>67.099999999999994</v>
      </c>
      <c r="N150" s="661">
        <v>67.099999999999994</v>
      </c>
      <c r="O150" s="675">
        <v>63.31</v>
      </c>
      <c r="P150" s="652">
        <v>63.31</v>
      </c>
      <c r="Q150" s="661">
        <v>63.31</v>
      </c>
      <c r="R150" s="671"/>
      <c r="S150" s="689"/>
      <c r="T150" s="587">
        <v>75</v>
      </c>
      <c r="U150" s="588">
        <f t="shared" si="13"/>
        <v>17990</v>
      </c>
      <c r="V150" s="588">
        <f t="shared" si="12"/>
        <v>18010</v>
      </c>
      <c r="W150" s="589">
        <f>CEILING($T150*CourseStd,1)</f>
        <v>6429</v>
      </c>
      <c r="X150" s="580"/>
      <c r="Y150" s="98"/>
      <c r="Z150" s="580"/>
      <c r="AA150" s="580"/>
      <c r="AB150" s="595"/>
      <c r="AC150" s="580"/>
    </row>
    <row r="151" spans="1:29" x14ac:dyDescent="0.2">
      <c r="A151" t="s">
        <v>368</v>
      </c>
      <c r="B151" s="3" t="s">
        <v>367</v>
      </c>
      <c r="C151" s="3" t="s">
        <v>367</v>
      </c>
      <c r="D151" s="3" t="str">
        <f>CONCATENATE($A151," ",$B151)</f>
        <v>LOSP Posts 88*88</v>
      </c>
      <c r="E151" s="321">
        <f t="shared" si="14"/>
        <v>16.25</v>
      </c>
      <c r="F151" s="321">
        <f t="shared" si="15"/>
        <v>16.25</v>
      </c>
      <c r="G151" s="321">
        <f t="shared" si="16"/>
        <v>20.190000000000001</v>
      </c>
      <c r="H151" s="321">
        <f t="shared" si="17"/>
        <v>20.190000000000001</v>
      </c>
      <c r="I151" s="321">
        <f t="shared" si="18"/>
        <v>21.5</v>
      </c>
      <c r="J151" s="1"/>
      <c r="K151" s="662" t="s">
        <v>980</v>
      </c>
      <c r="L151" s="651">
        <v>30.6</v>
      </c>
      <c r="M151" s="651">
        <v>30.6</v>
      </c>
      <c r="N151" s="661">
        <v>33.5</v>
      </c>
      <c r="O151" s="675">
        <v>31.26</v>
      </c>
      <c r="P151" s="652">
        <v>38.07</v>
      </c>
      <c r="Q151" s="661"/>
      <c r="R151" s="671">
        <v>38.76</v>
      </c>
      <c r="S151" s="689"/>
      <c r="Y151" s="98"/>
    </row>
    <row r="152" spans="1:29" x14ac:dyDescent="0.2">
      <c r="A152" t="s">
        <v>368</v>
      </c>
      <c r="B152" s="3" t="s">
        <v>980</v>
      </c>
      <c r="C152" s="3" t="s">
        <v>980</v>
      </c>
      <c r="D152" s="3" t="str">
        <f>CONCATENATE($A152," ",$B152)</f>
        <v>LOSP Posts 112*112</v>
      </c>
      <c r="E152" s="321">
        <f t="shared" si="14"/>
        <v>30.6</v>
      </c>
      <c r="F152" s="321">
        <f t="shared" si="15"/>
        <v>30.6</v>
      </c>
      <c r="G152" s="321">
        <f t="shared" si="16"/>
        <v>31.26</v>
      </c>
      <c r="H152" s="321">
        <f t="shared" si="17"/>
        <v>38.07</v>
      </c>
      <c r="I152" s="321">
        <f t="shared" si="18"/>
        <v>38.76</v>
      </c>
      <c r="J152" s="1"/>
      <c r="K152" s="662" t="s">
        <v>981</v>
      </c>
      <c r="L152" s="651">
        <v>9.66</v>
      </c>
      <c r="M152" s="651">
        <v>9.66</v>
      </c>
      <c r="N152" s="665"/>
      <c r="O152" s="675"/>
      <c r="P152" s="652"/>
      <c r="Q152" s="661"/>
      <c r="R152" s="671"/>
      <c r="S152" s="689"/>
      <c r="Y152" s="98"/>
    </row>
    <row r="153" spans="1:29" x14ac:dyDescent="0.2">
      <c r="A153" t="s">
        <v>369</v>
      </c>
      <c r="B153" s="3" t="s">
        <v>370</v>
      </c>
      <c r="C153" s="3" t="s">
        <v>370</v>
      </c>
      <c r="D153" s="3" t="str">
        <f>CONCATENATE($A153," ",$B153)</f>
        <v>LOSP Beam 230*42</v>
      </c>
      <c r="E153" s="321">
        <f t="shared" si="14"/>
        <v>25.2</v>
      </c>
      <c r="F153" s="321">
        <f t="shared" si="15"/>
        <v>25.2</v>
      </c>
      <c r="G153" s="321">
        <f t="shared" si="16"/>
        <v>31.89</v>
      </c>
      <c r="H153" s="321">
        <f t="shared" si="17"/>
        <v>30.04</v>
      </c>
      <c r="I153" s="321">
        <f t="shared" si="18"/>
        <v>32.47</v>
      </c>
      <c r="J153" s="1"/>
      <c r="K153" s="662" t="s">
        <v>982</v>
      </c>
      <c r="L153" s="651">
        <v>10.95</v>
      </c>
      <c r="M153" s="651">
        <v>10.95</v>
      </c>
      <c r="N153" s="665"/>
      <c r="O153" s="675"/>
      <c r="P153" s="652"/>
      <c r="Q153" s="661"/>
      <c r="R153" s="671"/>
      <c r="S153" s="689"/>
      <c r="Y153" s="98"/>
    </row>
    <row r="154" spans="1:29" x14ac:dyDescent="0.2">
      <c r="A154" t="s">
        <v>369</v>
      </c>
      <c r="B154" s="3" t="s">
        <v>371</v>
      </c>
      <c r="C154" s="3" t="s">
        <v>371</v>
      </c>
      <c r="D154" s="3" t="str">
        <f>CONCATENATE($A154," ",$B154)</f>
        <v>LOSP Beam 280*42</v>
      </c>
      <c r="E154" s="321">
        <f t="shared" si="14"/>
        <v>53</v>
      </c>
      <c r="F154" s="321">
        <f t="shared" si="15"/>
        <v>53</v>
      </c>
      <c r="G154" s="321">
        <f t="shared" si="16"/>
        <v>39.840000000000003</v>
      </c>
      <c r="H154" s="321">
        <f t="shared" si="17"/>
        <v>37.659999999999997</v>
      </c>
      <c r="I154" s="321">
        <f t="shared" si="18"/>
        <v>40.72</v>
      </c>
      <c r="J154" s="1"/>
      <c r="K154" s="662" t="s">
        <v>983</v>
      </c>
      <c r="L154" s="651">
        <v>12.57</v>
      </c>
      <c r="M154" s="653">
        <v>12.57</v>
      </c>
      <c r="N154" s="665"/>
      <c r="O154" s="675">
        <v>14.09</v>
      </c>
      <c r="P154" s="652">
        <v>12.79</v>
      </c>
      <c r="Q154" s="661"/>
      <c r="R154" s="671">
        <v>15.58</v>
      </c>
      <c r="S154" s="689"/>
      <c r="Y154" s="98"/>
    </row>
    <row r="155" spans="1:29" x14ac:dyDescent="0.2">
      <c r="A155" t="s">
        <v>375</v>
      </c>
      <c r="B155" s="3">
        <v>0</v>
      </c>
      <c r="C155" s="3"/>
      <c r="D155" s="3" t="str">
        <f t="shared" si="11"/>
        <v>Misc Timber 0</v>
      </c>
      <c r="E155" s="321"/>
      <c r="F155" s="321"/>
      <c r="G155" s="321"/>
      <c r="H155" s="321"/>
      <c r="I155" s="321"/>
      <c r="J155" s="1"/>
      <c r="K155" s="662" t="s">
        <v>1050</v>
      </c>
      <c r="L155" s="651">
        <v>21.25</v>
      </c>
      <c r="M155" s="651">
        <v>21.25</v>
      </c>
      <c r="N155" s="666">
        <v>22.85</v>
      </c>
      <c r="O155" s="675">
        <v>21.38</v>
      </c>
      <c r="P155" s="652">
        <v>21.38</v>
      </c>
      <c r="Q155" s="661">
        <v>21.38</v>
      </c>
      <c r="R155" s="671"/>
      <c r="S155" s="689"/>
      <c r="Y155" s="98"/>
    </row>
    <row r="156" spans="1:29" x14ac:dyDescent="0.2">
      <c r="A156" s="87" t="s">
        <v>1430</v>
      </c>
      <c r="B156" s="3" t="s">
        <v>376</v>
      </c>
      <c r="C156" s="3" t="str">
        <f>B156</f>
        <v>120*120</v>
      </c>
      <c r="D156" s="3" t="str">
        <f t="shared" si="11"/>
        <v>Merbau Laminated 120*120</v>
      </c>
      <c r="E156" s="321">
        <f t="shared" ref="E156:E161" si="19">IF($C156=0,0,VLOOKUP($C156,PriceData,2,FALSE))</f>
        <v>33.65</v>
      </c>
      <c r="F156" s="321">
        <f t="shared" ref="F156:F161" si="20">IF($C156=0,0,VLOOKUP($C156,PriceData,3,FALSE))</f>
        <v>57.2</v>
      </c>
      <c r="G156" s="321">
        <f t="shared" ref="G156:G161" si="21">IF($C156=0,0,VLOOKUP($C156,PriceData,5,FALSE))</f>
        <v>41.19</v>
      </c>
      <c r="H156" s="321">
        <f t="shared" ref="H156:H161" si="22">IF($C156=0,0,VLOOKUP($C156,PriceData,6,FALSE))</f>
        <v>41.37</v>
      </c>
      <c r="I156" s="321">
        <f>VLOOKUP($C156,PriceData,8,FALSE)</f>
        <v>36.56</v>
      </c>
      <c r="J156" s="1"/>
      <c r="K156" s="662" t="s">
        <v>1446</v>
      </c>
      <c r="L156" s="654"/>
      <c r="M156" s="654"/>
      <c r="N156" s="667"/>
      <c r="O156" s="676">
        <v>2.39</v>
      </c>
      <c r="P156" s="655">
        <v>2.42</v>
      </c>
      <c r="Q156" s="667"/>
      <c r="R156" s="671">
        <v>2.71</v>
      </c>
    </row>
    <row r="157" spans="1:29" x14ac:dyDescent="0.2">
      <c r="A157">
        <v>0</v>
      </c>
      <c r="B157" s="3">
        <v>0</v>
      </c>
      <c r="C157" s="3">
        <f t="shared" ref="C157:C162" si="23">B157</f>
        <v>0</v>
      </c>
      <c r="D157" s="3" t="str">
        <f t="shared" si="11"/>
        <v>0 0</v>
      </c>
      <c r="E157" s="321">
        <f t="shared" si="19"/>
        <v>0</v>
      </c>
      <c r="F157" s="321">
        <f t="shared" si="20"/>
        <v>0</v>
      </c>
      <c r="G157" s="321">
        <f t="shared" si="21"/>
        <v>0</v>
      </c>
      <c r="H157" s="321">
        <f t="shared" si="22"/>
        <v>0</v>
      </c>
      <c r="I157" s="321">
        <f t="shared" ref="I157:I162" si="24">IF($C157=0,0,VLOOKUP($C157,PriceData,8,FALSE))</f>
        <v>0</v>
      </c>
      <c r="J157" s="1"/>
      <c r="K157" s="662"/>
      <c r="L157" s="654"/>
      <c r="M157" s="654"/>
      <c r="N157" s="667"/>
      <c r="O157" s="676"/>
      <c r="P157" s="654"/>
      <c r="Q157" s="667"/>
      <c r="R157" s="678"/>
    </row>
    <row r="158" spans="1:29" ht="13.5" thickBot="1" x14ac:dyDescent="0.25">
      <c r="A158">
        <v>0</v>
      </c>
      <c r="B158" s="3">
        <v>0</v>
      </c>
      <c r="C158" s="3">
        <f t="shared" si="23"/>
        <v>0</v>
      </c>
      <c r="D158" s="3" t="str">
        <f t="shared" si="11"/>
        <v>0 0</v>
      </c>
      <c r="E158" s="321">
        <f t="shared" si="19"/>
        <v>0</v>
      </c>
      <c r="F158" s="321">
        <f t="shared" si="20"/>
        <v>0</v>
      </c>
      <c r="G158" s="321">
        <f t="shared" si="21"/>
        <v>0</v>
      </c>
      <c r="H158" s="321">
        <f t="shared" si="22"/>
        <v>0</v>
      </c>
      <c r="I158" s="321">
        <f t="shared" si="24"/>
        <v>0</v>
      </c>
      <c r="J158" s="1"/>
      <c r="K158" s="663"/>
      <c r="L158" s="664"/>
      <c r="M158" s="664"/>
      <c r="N158" s="668"/>
      <c r="O158" s="677"/>
      <c r="P158" s="664"/>
      <c r="Q158" s="668"/>
      <c r="R158" s="679"/>
    </row>
    <row r="159" spans="1:29" x14ac:dyDescent="0.2">
      <c r="A159">
        <v>0</v>
      </c>
      <c r="B159" s="3">
        <v>0</v>
      </c>
      <c r="C159" s="3">
        <f t="shared" si="23"/>
        <v>0</v>
      </c>
      <c r="D159" s="3" t="str">
        <f t="shared" si="11"/>
        <v>0 0</v>
      </c>
      <c r="E159" s="321">
        <f t="shared" si="19"/>
        <v>0</v>
      </c>
      <c r="F159" s="321">
        <f t="shared" si="20"/>
        <v>0</v>
      </c>
      <c r="G159" s="321">
        <f t="shared" si="21"/>
        <v>0</v>
      </c>
      <c r="H159" s="321">
        <f t="shared" si="22"/>
        <v>0</v>
      </c>
      <c r="I159" s="321">
        <f t="shared" si="24"/>
        <v>0</v>
      </c>
      <c r="J159" s="1"/>
      <c r="K159" s="1"/>
      <c r="L159" s="1"/>
      <c r="M159" s="1"/>
      <c r="N159" s="1"/>
      <c r="O159" s="1"/>
      <c r="P159" s="1"/>
      <c r="Q159" s="1"/>
    </row>
    <row r="160" spans="1:29" x14ac:dyDescent="0.2">
      <c r="A160">
        <v>0</v>
      </c>
      <c r="B160" s="3">
        <v>0</v>
      </c>
      <c r="C160" s="3">
        <f t="shared" si="23"/>
        <v>0</v>
      </c>
      <c r="D160" s="3" t="str">
        <f t="shared" si="11"/>
        <v>0 0</v>
      </c>
      <c r="E160" s="321">
        <f t="shared" si="19"/>
        <v>0</v>
      </c>
      <c r="F160" s="321">
        <f t="shared" si="20"/>
        <v>0</v>
      </c>
      <c r="G160" s="321">
        <f t="shared" si="21"/>
        <v>0</v>
      </c>
      <c r="H160" s="321">
        <f t="shared" si="22"/>
        <v>0</v>
      </c>
      <c r="I160" s="321">
        <f t="shared" si="24"/>
        <v>0</v>
      </c>
      <c r="J160" s="1"/>
      <c r="K160" s="1"/>
      <c r="L160" s="1"/>
      <c r="M160" s="1"/>
      <c r="N160" s="1"/>
      <c r="O160" s="1"/>
      <c r="P160" s="1"/>
      <c r="Q160" s="1"/>
    </row>
    <row r="161" spans="1:17" x14ac:dyDescent="0.2">
      <c r="A161">
        <v>0</v>
      </c>
      <c r="B161" s="3">
        <v>0</v>
      </c>
      <c r="C161" s="3">
        <f t="shared" si="23"/>
        <v>0</v>
      </c>
      <c r="D161" s="3" t="str">
        <f t="shared" si="11"/>
        <v>0 0</v>
      </c>
      <c r="E161" s="321">
        <f t="shared" si="19"/>
        <v>0</v>
      </c>
      <c r="F161" s="321">
        <f t="shared" si="20"/>
        <v>0</v>
      </c>
      <c r="G161" s="321">
        <f t="shared" si="21"/>
        <v>0</v>
      </c>
      <c r="H161" s="321">
        <f t="shared" si="22"/>
        <v>0</v>
      </c>
      <c r="I161" s="321">
        <f t="shared" si="24"/>
        <v>0</v>
      </c>
      <c r="J161" s="1"/>
      <c r="K161" s="1"/>
      <c r="L161" s="1"/>
      <c r="M161" s="1"/>
      <c r="N161" s="1"/>
      <c r="O161" s="1"/>
      <c r="P161" s="1"/>
      <c r="Q161" s="1"/>
    </row>
    <row r="162" spans="1:17" x14ac:dyDescent="0.2">
      <c r="A162" t="e">
        <f>'Roof Timber GF'!#REF!</f>
        <v>#REF!</v>
      </c>
      <c r="B162" s="3" t="e">
        <f>'Roof Timber GF'!#REF!</f>
        <v>#REF!</v>
      </c>
      <c r="C162" s="3" t="e">
        <f t="shared" si="23"/>
        <v>#REF!</v>
      </c>
      <c r="D162" s="3" t="e">
        <f t="shared" si="11"/>
        <v>#REF!</v>
      </c>
      <c r="E162" s="321" t="e">
        <f>IF($C162=0,0,VLOOKUP($C162,PriceData,2,FALSE))</f>
        <v>#REF!</v>
      </c>
      <c r="F162" s="321" t="e">
        <f>IF($C162=0,0,VLOOKUP($C162,PriceData,3,FALSE))</f>
        <v>#REF!</v>
      </c>
      <c r="G162" s="321" t="e">
        <f>IF($C162=0,0,VLOOKUP($C162,PriceData,5,FALSE))</f>
        <v>#REF!</v>
      </c>
      <c r="H162" s="321" t="e">
        <f>IF($C162=0,0,VLOOKUP($C162,PriceData,6,FALSE))</f>
        <v>#REF!</v>
      </c>
      <c r="I162" s="321" t="e">
        <f t="shared" si="24"/>
        <v>#REF!</v>
      </c>
      <c r="J162" s="1"/>
      <c r="K162" s="1"/>
      <c r="L162" s="1"/>
      <c r="M162" s="1"/>
      <c r="N162" s="1"/>
      <c r="O162" s="1"/>
      <c r="P162" s="1"/>
    </row>
    <row r="163" spans="1:17" x14ac:dyDescent="0.2">
      <c r="A163" s="1"/>
      <c r="B163" s="1"/>
      <c r="C163" s="5" t="str">
        <f>CONCATENATE($A164," ",$B164)</f>
        <v xml:space="preserve"> </v>
      </c>
      <c r="D163" s="1"/>
      <c r="E163" s="1"/>
      <c r="F163" s="1"/>
      <c r="G163" s="1"/>
      <c r="H163" s="1"/>
      <c r="I163" s="1"/>
      <c r="J163" s="1"/>
      <c r="K163" s="1"/>
      <c r="L163" s="1"/>
      <c r="M163" s="1"/>
      <c r="N163" s="1"/>
      <c r="O163" s="1"/>
      <c r="P163" s="1"/>
    </row>
    <row r="164" spans="1:17" x14ac:dyDescent="0.2">
      <c r="A164" s="1"/>
      <c r="B164" s="1"/>
      <c r="C164" s="5" t="str">
        <f>CONCATENATE($A165," ",$B165)</f>
        <v xml:space="preserve"> </v>
      </c>
      <c r="D164" s="1"/>
      <c r="E164" s="1"/>
      <c r="F164" s="1"/>
      <c r="G164" s="1"/>
      <c r="H164" s="1"/>
      <c r="I164" s="1"/>
      <c r="J164" s="1"/>
      <c r="K164" s="1"/>
      <c r="L164" s="1"/>
      <c r="M164" s="1"/>
      <c r="N164" s="1"/>
      <c r="O164" s="1"/>
      <c r="P164" s="1"/>
    </row>
    <row r="165" spans="1:17" x14ac:dyDescent="0.2">
      <c r="A165" s="1"/>
      <c r="B165" s="1"/>
      <c r="C165" s="5" t="str">
        <f>CONCATENATE($A166," ",$B166)</f>
        <v xml:space="preserve"> </v>
      </c>
      <c r="D165" s="1"/>
      <c r="E165" s="1"/>
      <c r="F165" s="1"/>
      <c r="G165" s="1"/>
      <c r="H165" s="1"/>
      <c r="I165" s="1"/>
      <c r="J165" s="1"/>
      <c r="K165" s="1"/>
      <c r="L165" s="1"/>
      <c r="M165" s="1"/>
      <c r="N165" s="1"/>
      <c r="O165" s="1"/>
      <c r="P165" s="1"/>
    </row>
    <row r="166" spans="1:17" x14ac:dyDescent="0.2">
      <c r="A166" s="1"/>
      <c r="B166" s="1"/>
      <c r="C166" s="5" t="str">
        <f>CONCATENATE($A167," ",$B167)</f>
        <v xml:space="preserve"> </v>
      </c>
      <c r="D166" s="1"/>
      <c r="E166" s="1"/>
      <c r="F166" s="1"/>
      <c r="G166" s="1"/>
      <c r="H166" s="1"/>
      <c r="I166" s="1"/>
      <c r="J166" s="1"/>
      <c r="K166" s="1"/>
      <c r="L166" s="1"/>
      <c r="M166" s="1"/>
      <c r="N166" s="1"/>
      <c r="O166" s="1"/>
      <c r="P166" s="1"/>
    </row>
    <row r="167" spans="1:17" x14ac:dyDescent="0.2">
      <c r="A167" s="1"/>
      <c r="B167" s="1"/>
      <c r="C167" s="1"/>
      <c r="D167" s="1"/>
      <c r="E167" s="1"/>
      <c r="F167" s="1"/>
      <c r="G167" s="1"/>
      <c r="H167" s="1"/>
    </row>
  </sheetData>
  <sortState xmlns:xlrd2="http://schemas.microsoft.com/office/spreadsheetml/2017/richdata2" ref="O32:O37">
    <sortCondition ref="O32"/>
  </sortState>
  <mergeCells count="3">
    <mergeCell ref="AG1:AH1"/>
    <mergeCell ref="AI1:AJ1"/>
    <mergeCell ref="AK1:AL1"/>
  </mergeCells>
  <phoneticPr fontId="12" type="noConversion"/>
  <pageMargins left="0.75" right="0.75" top="1" bottom="1" header="0.5" footer="0.5"/>
  <pageSetup paperSize="9" orientation="portrait" r:id="rId1"/>
  <headerFooter alignWithMargins="0"/>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4"/>
  <dimension ref="A44:A1506"/>
  <sheetViews>
    <sheetView workbookViewId="0"/>
  </sheetViews>
  <sheetFormatPr defaultRowHeight="12.75" x14ac:dyDescent="0.2"/>
  <cols>
    <col min="1" max="1" width="81.140625" style="1127" bestFit="1" customWidth="1"/>
  </cols>
  <sheetData>
    <row r="44" spans="1:1" x14ac:dyDescent="0.2">
      <c r="A44" s="1260"/>
    </row>
    <row r="227" spans="1:1" x14ac:dyDescent="0.2">
      <c r="A227" s="1223"/>
    </row>
    <row r="271" spans="1:1" x14ac:dyDescent="0.2">
      <c r="A271" s="1260"/>
    </row>
    <row r="311" spans="1:1" x14ac:dyDescent="0.2">
      <c r="A311" s="1261"/>
    </row>
    <row r="312" spans="1:1" x14ac:dyDescent="0.2">
      <c r="A312" s="1261"/>
    </row>
    <row r="359" spans="1:1" x14ac:dyDescent="0.2">
      <c r="A359" s="1255"/>
    </row>
    <row r="460" spans="1:1" x14ac:dyDescent="0.2">
      <c r="A460" s="1223"/>
    </row>
    <row r="504" spans="1:1" x14ac:dyDescent="0.2">
      <c r="A504" s="1260"/>
    </row>
    <row r="507" spans="1:1" x14ac:dyDescent="0.2">
      <c r="A507" s="1223"/>
    </row>
    <row r="532" spans="1:1" x14ac:dyDescent="0.2">
      <c r="A532" s="1223"/>
    </row>
    <row r="541" spans="1:1" x14ac:dyDescent="0.2">
      <c r="A541" s="1223"/>
    </row>
    <row r="550" spans="1:1" x14ac:dyDescent="0.2">
      <c r="A550" s="1223"/>
    </row>
    <row r="578" spans="1:1" x14ac:dyDescent="0.2">
      <c r="A578" s="1223"/>
    </row>
    <row r="624" spans="1:1" x14ac:dyDescent="0.2">
      <c r="A624" s="1223"/>
    </row>
    <row r="668" spans="1:1" x14ac:dyDescent="0.2">
      <c r="A668" s="1260"/>
    </row>
    <row r="671" spans="1:1" x14ac:dyDescent="0.2">
      <c r="A671" s="1223"/>
    </row>
    <row r="774" spans="1:1" x14ac:dyDescent="0.2">
      <c r="A774" s="1223"/>
    </row>
    <row r="818" spans="1:1" x14ac:dyDescent="0.2">
      <c r="A818" s="1260"/>
    </row>
    <row r="821" spans="1:1" x14ac:dyDescent="0.2">
      <c r="A821" s="1223"/>
    </row>
    <row r="967" spans="1:1" x14ac:dyDescent="0.2">
      <c r="A967" s="1223"/>
    </row>
    <row r="1011" spans="1:1" x14ac:dyDescent="0.2">
      <c r="A1011" s="1260"/>
    </row>
    <row r="1013" spans="1:1" x14ac:dyDescent="0.2">
      <c r="A1013" s="1223"/>
    </row>
    <row r="1194" spans="1:1" x14ac:dyDescent="0.2">
      <c r="A1194" s="1223"/>
    </row>
    <row r="1238" spans="1:1" x14ac:dyDescent="0.2">
      <c r="A1238" s="1260"/>
    </row>
    <row r="1241" spans="1:1" x14ac:dyDescent="0.2">
      <c r="A1241" s="1223"/>
    </row>
    <row r="1334" spans="1:1" x14ac:dyDescent="0.2">
      <c r="A1334" s="1223"/>
    </row>
    <row r="1378" spans="1:1" x14ac:dyDescent="0.2">
      <c r="A1378" s="1260"/>
    </row>
    <row r="1381" spans="1:1" x14ac:dyDescent="0.2">
      <c r="A1381" s="1223"/>
    </row>
    <row r="1506" spans="1:1" x14ac:dyDescent="0.2">
      <c r="A1506" s="1223"/>
    </row>
  </sheetData>
  <pageMargins left="0.7" right="0.7" top="0.75" bottom="0.75" header="0.3" footer="0.3"/>
  <pageSetup paperSize="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2209" r:id="rId4" name="Button 1">
              <controlPr defaultSize="0" print="0" autoFill="0" autoPict="0" macro="[0]!ImportPDF">
                <anchor>
                  <from>
                    <xdr:col>1</xdr:col>
                    <xdr:colOff>19050</xdr:colOff>
                    <xdr:row>0</xdr:row>
                    <xdr:rowOff>47625</xdr:rowOff>
                  </from>
                  <to>
                    <xdr:col>1</xdr:col>
                    <xdr:colOff>561975</xdr:colOff>
                    <xdr:row>1</xdr:row>
                    <xdr:rowOff>123825</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33">
    <pageSetUpPr autoPageBreaks="0"/>
  </sheetPr>
  <dimension ref="A1"/>
  <sheetViews>
    <sheetView workbookViewId="0"/>
  </sheetViews>
  <sheetFormatPr defaultRowHeight="12.75" x14ac:dyDescent="0.2"/>
  <cols>
    <col min="1" max="1" width="81.140625" style="1127" bestFit="1" customWidth="1"/>
  </cols>
  <sheetData/>
  <pageMargins left="0.7" right="0.7" top="0.75" bottom="0.75" header="0.3" footer="0.3"/>
  <pageSetup paperSize="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1185" r:id="rId4" name="Button 1">
              <controlPr defaultSize="0" print="0" autoFill="0" autoPict="0" macro="[0]!ImportPDF">
                <anchor>
                  <from>
                    <xdr:col>1</xdr:col>
                    <xdr:colOff>19050</xdr:colOff>
                    <xdr:row>0</xdr:row>
                    <xdr:rowOff>47625</xdr:rowOff>
                  </from>
                  <to>
                    <xdr:col>1</xdr:col>
                    <xdr:colOff>561975</xdr:colOff>
                    <xdr:row>1</xdr:row>
                    <xdr:rowOff>123825</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 
</file>

<file path=customXml/item3.xml><?xml version="1.0" encoding="utf-8"?>
<ct:contentTypeSchema xmlns:ct="http://schemas.microsoft.com/office/2006/metadata/contentType" xmlns:ma="http://schemas.microsoft.com/office/2006/metadata/properties/metaAttributes" ct:_="" ma:_="" ma:contentTypeName="Document" ma:contentTypeID="0x0101000E5965919BE285459C2B73D6952E8491" ma:contentTypeVersion="13" ma:contentTypeDescription="Create a new document." ma:contentTypeScope="" ma:versionID="3d9567910ba079e614e807e87967ea48">
  <xsd:schema xmlns:xsd="http://www.w3.org/2001/XMLSchema" xmlns:xs="http://www.w3.org/2001/XMLSchema" xmlns:p="http://schemas.microsoft.com/office/2006/metadata/properties" xmlns:ns3="01e8b164-b571-4472-830f-2f447e136802" xmlns:ns4="c936a217-f4fe-4ec5-af14-44a24e324c80" targetNamespace="http://schemas.microsoft.com/office/2006/metadata/properties" ma:root="true" ma:fieldsID="eaf3309f0e273626ae1ca05f1ceed9f5" ns3:_="" ns4:_="">
    <xsd:import namespace="01e8b164-b571-4472-830f-2f447e136802"/>
    <xsd:import namespace="c936a217-f4fe-4ec5-af14-44a24e324c80"/>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DateTaken" minOccurs="0"/>
                <xsd:element ref="ns3:MediaServiceAutoKeyPoints" minOccurs="0"/>
                <xsd:element ref="ns3:MediaServiceKeyPoints" minOccurs="0"/>
                <xsd:element ref="ns3:MediaServiceLocation" minOccurs="0"/>
                <xsd:element ref="ns3:MediaServiceGenerationTime" minOccurs="0"/>
                <xsd:element ref="ns3:MediaServiceEventHashCode" minOccurs="0"/>
                <xsd:element ref="ns4:SharedWithUsers" minOccurs="0"/>
                <xsd:element ref="ns4:SharedWithDetails" minOccurs="0"/>
                <xsd:element ref="ns4:SharingHintHash"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1e8b164-b571-4472-830f-2f447e136802"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MediaServiceLocation" ma:index="15" nillable="true" ma:displayName="Location" ma:internalName="MediaServiceLocation" ma:readOnly="true">
      <xsd:simpleType>
        <xsd:restriction base="dms:Text"/>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c936a217-f4fe-4ec5-af14-44a24e324c80" elementFormDefault="qualified">
    <xsd:import namespace="http://schemas.microsoft.com/office/2006/documentManagement/types"/>
    <xsd:import namespace="http://schemas.microsoft.com/office/infopath/2007/PartnerControls"/>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element name="SharingHintHash" ma:index="20"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E8A00EBD-2A57-422B-9B4A-15F5B0B96010}">
  <ds:schemaRefs>
    <ds:schemaRef ds:uri="http://purl.org/dc/elements/1.1/"/>
    <ds:schemaRef ds:uri="http://schemas.microsoft.com/office/2006/metadata/properties"/>
    <ds:schemaRef ds:uri="http://purl.org/dc/terms/"/>
    <ds:schemaRef ds:uri="http://schemas.openxmlformats.org/package/2006/metadata/core-properties"/>
    <ds:schemaRef ds:uri="http://purl.org/dc/dcmitype/"/>
    <ds:schemaRef ds:uri="http://schemas.microsoft.com/office/2006/documentManagement/types"/>
    <ds:schemaRef ds:uri="c936a217-f4fe-4ec5-af14-44a24e324c80"/>
    <ds:schemaRef ds:uri="http://schemas.microsoft.com/office/infopath/2007/PartnerControls"/>
    <ds:schemaRef ds:uri="01e8b164-b571-4472-830f-2f447e136802"/>
    <ds:schemaRef ds:uri="http://www.w3.org/XML/1998/namespace"/>
  </ds:schemaRefs>
</ds:datastoreItem>
</file>

<file path=customXml/itemProps2.xml><?xml version="1.0" encoding="utf-8"?>
<ds:datastoreItem xmlns:ds="http://schemas.openxmlformats.org/officeDocument/2006/customXml" ds:itemID="{C61EBA1C-DD4E-4681-BDAC-B2C0C5F7AB6F}">
  <ds:schemaRefs>
    <ds:schemaRef ds:uri="http://schemas.microsoft.com/DataMashup"/>
  </ds:schemaRefs>
</ds:datastoreItem>
</file>

<file path=customXml/itemProps3.xml><?xml version="1.0" encoding="utf-8"?>
<ds:datastoreItem xmlns:ds="http://schemas.openxmlformats.org/officeDocument/2006/customXml" ds:itemID="{9450BBC3-649A-4F56-99E2-B99B36106B8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1e8b164-b571-4472-830f-2f447e136802"/>
    <ds:schemaRef ds:uri="c936a217-f4fe-4ec5-af14-44a24e324c8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C703EC35-CC64-412E-A52F-BCD0B5C9DE52}">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308</vt:i4>
      </vt:variant>
    </vt:vector>
  </HeadingPairs>
  <TitlesOfParts>
    <vt:vector size="336" baseType="lpstr">
      <vt:lpstr>Bill</vt:lpstr>
      <vt:lpstr>Addenda</vt:lpstr>
      <vt:lpstr>CSV GF</vt:lpstr>
      <vt:lpstr>CSV FF</vt:lpstr>
      <vt:lpstr>Contract PS</vt:lpstr>
      <vt:lpstr>Quotes</vt:lpstr>
      <vt:lpstr>Data Sheet</vt:lpstr>
      <vt:lpstr>Preliminaries</vt:lpstr>
      <vt:lpstr>Lintel Sheet</vt:lpstr>
      <vt:lpstr>Lintel &amp; Beam Summary</vt:lpstr>
      <vt:lpstr>Steel Beams and Columns</vt:lpstr>
      <vt:lpstr>Brickwork GF</vt:lpstr>
      <vt:lpstr>Brickwork FF</vt:lpstr>
      <vt:lpstr>Drywall Quants</vt:lpstr>
      <vt:lpstr>Plaster Ceilings Insulation</vt:lpstr>
      <vt:lpstr>Drywall Cladding</vt:lpstr>
      <vt:lpstr>Roof Formulas GF</vt:lpstr>
      <vt:lpstr>Roof Formulas FF</vt:lpstr>
      <vt:lpstr>External Cladding</vt:lpstr>
      <vt:lpstr>Roof Timber GF</vt:lpstr>
      <vt:lpstr>Roof Timber FF</vt:lpstr>
      <vt:lpstr>Mouldings</vt:lpstr>
      <vt:lpstr>Tiles</vt:lpstr>
      <vt:lpstr>Grano  Paving</vt:lpstr>
      <vt:lpstr>Lists &amp; Tables</vt:lpstr>
      <vt:lpstr>Lists</vt:lpstr>
      <vt:lpstr>Eng Full Cert</vt:lpstr>
      <vt:lpstr>Eng Site Report</vt:lpstr>
      <vt:lpstr>Addenda!Addenda</vt:lpstr>
      <vt:lpstr>Address</vt:lpstr>
      <vt:lpstr>AHKFolder</vt:lpstr>
      <vt:lpstr>Answer</vt:lpstr>
      <vt:lpstr>Area</vt:lpstr>
      <vt:lpstr>Area_Code</vt:lpstr>
      <vt:lpstr>AreaFF</vt:lpstr>
      <vt:lpstr>AreaLoading</vt:lpstr>
      <vt:lpstr>Backopening</vt:lpstr>
      <vt:lpstr>BAL</vt:lpstr>
      <vt:lpstr>BAL29_Trim</vt:lpstr>
      <vt:lpstr>Bar_Chairs</vt:lpstr>
      <vt:lpstr>Bath_Border_Height</vt:lpstr>
      <vt:lpstr>Bath_Border_Width</vt:lpstr>
      <vt:lpstr>Bath_Floor_Height</vt:lpstr>
      <vt:lpstr>Bath_Floor_Width</vt:lpstr>
      <vt:lpstr>Bath_Wall_Height</vt:lpstr>
      <vt:lpstr>Bath_Wall_Width</vt:lpstr>
      <vt:lpstr>Bath2_Wall_Height</vt:lpstr>
      <vt:lpstr>Bath2_Wall_Width</vt:lpstr>
      <vt:lpstr>Beamtypes</vt:lpstr>
      <vt:lpstr>Brick_type</vt:lpstr>
      <vt:lpstr>Brick_typeFF</vt:lpstr>
      <vt:lpstr>Brickcourses</vt:lpstr>
      <vt:lpstr>Bricklintels</vt:lpstr>
      <vt:lpstr>BricksPerM2</vt:lpstr>
      <vt:lpstr>Bricksupplier</vt:lpstr>
      <vt:lpstr>BrickType</vt:lpstr>
      <vt:lpstr>BunningsZone1</vt:lpstr>
      <vt:lpstr>BunningsZone2</vt:lpstr>
      <vt:lpstr>BunningsZone3</vt:lpstr>
      <vt:lpstr>BunningsZone4</vt:lpstr>
      <vt:lpstr>BunningsZone5</vt:lpstr>
      <vt:lpstr>Ceilings_First</vt:lpstr>
      <vt:lpstr>Ceilings_Ground</vt:lpstr>
      <vt:lpstr>Cladding</vt:lpstr>
      <vt:lpstr>Cladding_Type</vt:lpstr>
      <vt:lpstr>Coastal</vt:lpstr>
      <vt:lpstr>Com_Wall</vt:lpstr>
      <vt:lpstr>CommonsFaceM2</vt:lpstr>
      <vt:lpstr>CommonsRender</vt:lpstr>
      <vt:lpstr>CommonsRenderM2</vt:lpstr>
      <vt:lpstr>Concrete_Pump</vt:lpstr>
      <vt:lpstr>Concrete_Total</vt:lpstr>
      <vt:lpstr>ConcreteSlabThickness</vt:lpstr>
      <vt:lpstr>ContractValue</vt:lpstr>
      <vt:lpstr>Corrosion_Classification</vt:lpstr>
      <vt:lpstr>CountFF</vt:lpstr>
      <vt:lpstr>CourseStd</vt:lpstr>
      <vt:lpstr>CourseTwo</vt:lpstr>
      <vt:lpstr>'Lintel &amp; Beam Summary'!Criteria</vt:lpstr>
      <vt:lpstr>CSVtoBuildxFolder</vt:lpstr>
      <vt:lpstr>DebtAssist</vt:lpstr>
      <vt:lpstr>Deduct_Raking_Bulkheads</vt:lpstr>
      <vt:lpstr>Deduct_Square_Bulkheads</vt:lpstr>
      <vt:lpstr>Diagonal_Slab_Dimension</vt:lpstr>
      <vt:lpstr>Dowells</vt:lpstr>
      <vt:lpstr>Dummy_Handle_Count</vt:lpstr>
      <vt:lpstr>DuraclayInternal</vt:lpstr>
      <vt:lpstr>DuraclayInternalM2</vt:lpstr>
      <vt:lpstr>DuraclayRender</vt:lpstr>
      <vt:lpstr>DuraclayVCRenderM2</vt:lpstr>
      <vt:lpstr>Duragaltype</vt:lpstr>
      <vt:lpstr>Eng_Footing</vt:lpstr>
      <vt:lpstr>'Eng Full Cert'!Eng_Site_Report</vt:lpstr>
      <vt:lpstr>'Eng Site Report'!Eng_Site_Report</vt:lpstr>
      <vt:lpstr>Eng_SlabMesh</vt:lpstr>
      <vt:lpstr>Ens_Border_Height</vt:lpstr>
      <vt:lpstr>Ens_Border_Width</vt:lpstr>
      <vt:lpstr>Ens_Floor_Height</vt:lpstr>
      <vt:lpstr>Ens_Floor_Width</vt:lpstr>
      <vt:lpstr>Ens_Wall_Height</vt:lpstr>
      <vt:lpstr>Ens_Wall_Width</vt:lpstr>
      <vt:lpstr>Ens2_Wall_Height</vt:lpstr>
      <vt:lpstr>Ens2_Wall_Width</vt:lpstr>
      <vt:lpstr>EoCheckerboard</vt:lpstr>
      <vt:lpstr>EoHexagonal</vt:lpstr>
      <vt:lpstr>EoLargeTiles</vt:lpstr>
      <vt:lpstr>EoRectifiedTIles</vt:lpstr>
      <vt:lpstr>EoSmallTiles</vt:lpstr>
      <vt:lpstr>expAgg</vt:lpstr>
      <vt:lpstr>ExposedAggArea</vt:lpstr>
      <vt:lpstr>ExposedAggPerim</vt:lpstr>
      <vt:lpstr>Ext_Feature_Height</vt:lpstr>
      <vt:lpstr>Ext_Feature_Width</vt:lpstr>
      <vt:lpstr>'Brickwork FF'!Ext_Ren_Total</vt:lpstr>
      <vt:lpstr>'Lintel &amp; Beam Summary'!Extract</vt:lpstr>
      <vt:lpstr>FaceBlocks</vt:lpstr>
      <vt:lpstr>FaceBlocksM2</vt:lpstr>
      <vt:lpstr>FaceCommon</vt:lpstr>
      <vt:lpstr>FaceCored</vt:lpstr>
      <vt:lpstr>FaceSolid</vt:lpstr>
      <vt:lpstr>FaceVert76CoredM2</vt:lpstr>
      <vt:lpstr>FaceVert76SolidM2</vt:lpstr>
      <vt:lpstr>FasciaClipsEndFix</vt:lpstr>
      <vt:lpstr>FasciaClipsSideFix</vt:lpstr>
      <vt:lpstr>FasciaLengthTotal</vt:lpstr>
      <vt:lpstr>FasciaLengthTotalFF</vt:lpstr>
      <vt:lpstr>FasciaType</vt:lpstr>
      <vt:lpstr>FF_Area</vt:lpstr>
      <vt:lpstr>FF_Eave_Length</vt:lpstr>
      <vt:lpstr>FF_Eaves</vt:lpstr>
      <vt:lpstr>FF_Perim</vt:lpstr>
      <vt:lpstr>FF_Roof_Area</vt:lpstr>
      <vt:lpstr>FinishingBlocks</vt:lpstr>
      <vt:lpstr>FinishingBrick</vt:lpstr>
      <vt:lpstr>FinishingBrickM2</vt:lpstr>
      <vt:lpstr>FloorTileLabourTotal</vt:lpstr>
      <vt:lpstr>Footing_Labour</vt:lpstr>
      <vt:lpstr>Footing_Supply</vt:lpstr>
      <vt:lpstr>Footing_Type</vt:lpstr>
      <vt:lpstr>Footingdetail</vt:lpstr>
      <vt:lpstr>Garage_Area</vt:lpstr>
      <vt:lpstr>Garage_Wall_Area</vt:lpstr>
      <vt:lpstr>GarageAreaTimberFrame</vt:lpstr>
      <vt:lpstr>GarageWallHeight</vt:lpstr>
      <vt:lpstr>GarageWallLength</vt:lpstr>
      <vt:lpstr>GF_Eave_Length</vt:lpstr>
      <vt:lpstr>GF_Eaves</vt:lpstr>
      <vt:lpstr>GranoAreas</vt:lpstr>
      <vt:lpstr>Gyprock_Ceilings</vt:lpstr>
      <vt:lpstr>H_Area</vt:lpstr>
      <vt:lpstr>H_Perim</vt:lpstr>
      <vt:lpstr>Hardiflex_Ceilings</vt:lpstr>
      <vt:lpstr>Header2cM2</vt:lpstr>
      <vt:lpstr>Height</vt:lpstr>
      <vt:lpstr>HighBrickwork</vt:lpstr>
      <vt:lpstr>HighBrickworkArea</vt:lpstr>
      <vt:lpstr>HipValleyCount</vt:lpstr>
      <vt:lpstr>Insualtion_Main</vt:lpstr>
      <vt:lpstr>Insulation_Garage</vt:lpstr>
      <vt:lpstr>InternalDoorOpeningsFirst</vt:lpstr>
      <vt:lpstr>InternalDoorOpeningsGround</vt:lpstr>
      <vt:lpstr>InternalPerimeterLengthFirst</vt:lpstr>
      <vt:lpstr>InternalPerimeterLengthGround</vt:lpstr>
      <vt:lpstr>InternalPerimWallAreaGround</vt:lpstr>
      <vt:lpstr>InternalThickeningDepth</vt:lpstr>
      <vt:lpstr>InternalThickeningLength</vt:lpstr>
      <vt:lpstr>InternalWallAreaFirst</vt:lpstr>
      <vt:lpstr>InternalWallAreaGround</vt:lpstr>
      <vt:lpstr>InternalWallHeightCourses</vt:lpstr>
      <vt:lpstr>InternalWallInsulation?</vt:lpstr>
      <vt:lpstr>InternalWallLengthFirst</vt:lpstr>
      <vt:lpstr>InternalWallLengthGround</vt:lpstr>
      <vt:lpstr>InternalWallPaint?</vt:lpstr>
      <vt:lpstr>Job_No</vt:lpstr>
      <vt:lpstr>JobFolder</vt:lpstr>
      <vt:lpstr>JobsFolder</vt:lpstr>
      <vt:lpstr>KDPowerAugustaArea</vt:lpstr>
      <vt:lpstr>KDPowerBusseltonArea</vt:lpstr>
      <vt:lpstr>KDPowerDunsboroughArea</vt:lpstr>
      <vt:lpstr>KDPowerMargaretRiverCowaramup</vt:lpstr>
      <vt:lpstr>KDPowerYallingupArea</vt:lpstr>
      <vt:lpstr>Kitch_Border_Height</vt:lpstr>
      <vt:lpstr>Kitch_Border_Width</vt:lpstr>
      <vt:lpstr>Kitch_Wall_Height</vt:lpstr>
      <vt:lpstr>Kitch_Wall_Width</vt:lpstr>
      <vt:lpstr>LandRebate</vt:lpstr>
      <vt:lpstr>Laundry_Floor_Height</vt:lpstr>
      <vt:lpstr>Laundry_Floor_Width</vt:lpstr>
      <vt:lpstr>Laundry_Wall_Height</vt:lpstr>
      <vt:lpstr>Laundry_Wall_Width</vt:lpstr>
      <vt:lpstr>Length</vt:lpstr>
      <vt:lpstr>LengthFF</vt:lpstr>
      <vt:lpstr>Lintel</vt:lpstr>
      <vt:lpstr>Lintel_Area</vt:lpstr>
      <vt:lpstr>Lintel_Brick</vt:lpstr>
      <vt:lpstr>Lintel_Floor</vt:lpstr>
      <vt:lpstr>Lintel_Length</vt:lpstr>
      <vt:lpstr>Lintel_Location</vt:lpstr>
      <vt:lpstr>Lintel_Opening</vt:lpstr>
      <vt:lpstr>Lintel_Selection</vt:lpstr>
      <vt:lpstr>Lintels</vt:lpstr>
      <vt:lpstr>Lintels_Details</vt:lpstr>
      <vt:lpstr>Locality</vt:lpstr>
      <vt:lpstr>Locations</vt:lpstr>
      <vt:lpstr>Longreach_Square_Bulkhead</vt:lpstr>
      <vt:lpstr>LongreachCoredRenderM2</vt:lpstr>
      <vt:lpstr>LongreachFaceBlockCored</vt:lpstr>
      <vt:lpstr>LongreachFaceBlockSolid</vt:lpstr>
      <vt:lpstr>LongreachInternal</vt:lpstr>
      <vt:lpstr>LongreachInternalM2</vt:lpstr>
      <vt:lpstr>LongreachRender</vt:lpstr>
      <vt:lpstr>LReach2cCored</vt:lpstr>
      <vt:lpstr>LReach2cSolid</vt:lpstr>
      <vt:lpstr>LReachInternalCored</vt:lpstr>
      <vt:lpstr>LReachRenderCored</vt:lpstr>
      <vt:lpstr>Main_Floor_Height</vt:lpstr>
      <vt:lpstr>Main_Floor_Width</vt:lpstr>
      <vt:lpstr>Material</vt:lpstr>
      <vt:lpstr>MaterialFF</vt:lpstr>
      <vt:lpstr>MetalFrames</vt:lpstr>
      <vt:lpstr>Mitres</vt:lpstr>
      <vt:lpstr>Mouldingmaterials</vt:lpstr>
      <vt:lpstr>Name</vt:lpstr>
      <vt:lpstr>NameFF</vt:lpstr>
      <vt:lpstr>Paverlocations</vt:lpstr>
      <vt:lpstr>Pavers</vt:lpstr>
      <vt:lpstr>Plaster_Over_31c_Ground</vt:lpstr>
      <vt:lpstr>Plaster_Sand_First</vt:lpstr>
      <vt:lpstr>Plaster_Sand_Ground</vt:lpstr>
      <vt:lpstr>Plaster_Total_First</vt:lpstr>
      <vt:lpstr>Plaster_Total_Ground</vt:lpstr>
      <vt:lpstr>Plaster_Upto_31c_Ground</vt:lpstr>
      <vt:lpstr>Plasterboard?</vt:lpstr>
      <vt:lpstr>Postbase</vt:lpstr>
      <vt:lpstr>Posts</vt:lpstr>
      <vt:lpstr>PriceData</vt:lpstr>
      <vt:lpstr>Addenda!Print_Area</vt:lpstr>
      <vt:lpstr>Bill!Print_Area</vt:lpstr>
      <vt:lpstr>'Brickwork FF'!Print_Area</vt:lpstr>
      <vt:lpstr>'Brickwork GF'!Print_Area</vt:lpstr>
      <vt:lpstr>'CSV FF'!Print_Area</vt:lpstr>
      <vt:lpstr>'Data Sheet'!Print_Area</vt:lpstr>
      <vt:lpstr>'Drywall Cladding'!Print_Area</vt:lpstr>
      <vt:lpstr>'Drywall Quants'!Print_Area</vt:lpstr>
      <vt:lpstr>'Eng Site Report'!Print_Area</vt:lpstr>
      <vt:lpstr>'External Cladding'!Print_Area</vt:lpstr>
      <vt:lpstr>'Grano  Paving'!Print_Area</vt:lpstr>
      <vt:lpstr>'Lintel &amp; Beam Summary'!Print_Area</vt:lpstr>
      <vt:lpstr>'Lintel Sheet'!Print_Area</vt:lpstr>
      <vt:lpstr>Lists!Print_Area</vt:lpstr>
      <vt:lpstr>'Lists &amp; Tables'!Print_Area</vt:lpstr>
      <vt:lpstr>Mouldings!Print_Area</vt:lpstr>
      <vt:lpstr>'Plaster Ceilings Insulation'!Print_Area</vt:lpstr>
      <vt:lpstr>'Roof Formulas FF'!Print_Area</vt:lpstr>
      <vt:lpstr>'Roof Formulas GF'!Print_Area</vt:lpstr>
      <vt:lpstr>'Roof Timber FF'!Print_Area</vt:lpstr>
      <vt:lpstr>'Roof Timber GF'!Print_Area</vt:lpstr>
      <vt:lpstr>'Steel Beams and Columns'!Print_Area</vt:lpstr>
      <vt:lpstr>Tiles!Print_Area</vt:lpstr>
      <vt:lpstr>'Brickwork FF'!Print_Titles</vt:lpstr>
      <vt:lpstr>Protection</vt:lpstr>
      <vt:lpstr>RebateMouldingTotal</vt:lpstr>
      <vt:lpstr>RedBricks</vt:lpstr>
      <vt:lpstr>ReEntry_Bars</vt:lpstr>
      <vt:lpstr>Render_Sand_First</vt:lpstr>
      <vt:lpstr>Render_Sand_Ground</vt:lpstr>
      <vt:lpstr>Render_Total_First</vt:lpstr>
      <vt:lpstr>Render_Total_Ground</vt:lpstr>
      <vt:lpstr>ReticTermite</vt:lpstr>
      <vt:lpstr>Rod_Order</vt:lpstr>
      <vt:lpstr>Rods_Required</vt:lpstr>
      <vt:lpstr>Roof_Area</vt:lpstr>
      <vt:lpstr>'CSV FF'!Roof_FF</vt:lpstr>
      <vt:lpstr>Roof_Type</vt:lpstr>
      <vt:lpstr>Rooftype</vt:lpstr>
      <vt:lpstr>Sand_Brickies</vt:lpstr>
      <vt:lpstr>Sand_Brickies_FF</vt:lpstr>
      <vt:lpstr>Shelvinglist</vt:lpstr>
      <vt:lpstr>ShelvingTotal</vt:lpstr>
      <vt:lpstr>SiteReport_SlabMesh</vt:lpstr>
      <vt:lpstr>Slab_Labour</vt:lpstr>
      <vt:lpstr>Slab_Mesh</vt:lpstr>
      <vt:lpstr>Slab_Supply</vt:lpstr>
      <vt:lpstr>Slabthickness</vt:lpstr>
      <vt:lpstr>Snaps</vt:lpstr>
      <vt:lpstr>SnapsCount</vt:lpstr>
      <vt:lpstr>SnapsM2</vt:lpstr>
      <vt:lpstr>StandardFaceCoredM2</vt:lpstr>
      <vt:lpstr>StandardFaceSolidM2</vt:lpstr>
      <vt:lpstr>Std_Brick</vt:lpstr>
      <vt:lpstr>Steelbeams</vt:lpstr>
      <vt:lpstr>stockminus</vt:lpstr>
      <vt:lpstr>Survey_Package</vt:lpstr>
      <vt:lpstr>TBars</vt:lpstr>
      <vt:lpstr>Termite_Treatment_Area</vt:lpstr>
      <vt:lpstr>TerryWoodmanseyZone1</vt:lpstr>
      <vt:lpstr>TerryWoodmanseyZone10</vt:lpstr>
      <vt:lpstr>TerryWoodmanseyZone2</vt:lpstr>
      <vt:lpstr>TerryWoodmanseyZone3</vt:lpstr>
      <vt:lpstr>TerryWoodmanseyZone4</vt:lpstr>
      <vt:lpstr>TerryWoodmanseyZone5</vt:lpstr>
      <vt:lpstr>TerryWoodmanseyZone6</vt:lpstr>
      <vt:lpstr>TerryWoodmanseyZone7</vt:lpstr>
      <vt:lpstr>TerryWoodmanseyZone8</vt:lpstr>
      <vt:lpstr>TerryWoodmanseyZone9</vt:lpstr>
      <vt:lpstr>TextureCoat?</vt:lpstr>
      <vt:lpstr>Tile_Supplier</vt:lpstr>
      <vt:lpstr>TileHobs</vt:lpstr>
      <vt:lpstr>TimberPrices</vt:lpstr>
      <vt:lpstr>Timbersupplier</vt:lpstr>
      <vt:lpstr>Timbertype</vt:lpstr>
      <vt:lpstr>TotalM2Paving</vt:lpstr>
      <vt:lpstr>TotalPavers</vt:lpstr>
      <vt:lpstr>TotalPavingPacks</vt:lpstr>
      <vt:lpstr>Trench_Mesh_Labour</vt:lpstr>
      <vt:lpstr>Trench_Mesh_Supply</vt:lpstr>
      <vt:lpstr>TrenchMeshType</vt:lpstr>
      <vt:lpstr>UserFF</vt:lpstr>
      <vt:lpstr>VerticlayInternal</vt:lpstr>
      <vt:lpstr>VerticlayInternalM2</vt:lpstr>
      <vt:lpstr>WallInsulation</vt:lpstr>
      <vt:lpstr>WallPerimeterAreaFirst</vt:lpstr>
      <vt:lpstr>WallPerimeterAreaGround</vt:lpstr>
      <vt:lpstr>WallTileLabourBath</vt:lpstr>
      <vt:lpstr>WallTileLabourTotal</vt:lpstr>
      <vt:lpstr>Walltype</vt:lpstr>
      <vt:lpstr>WC_Floor_Height</vt:lpstr>
      <vt:lpstr>WC_Floor_Width</vt:lpstr>
      <vt:lpstr>WC_Wall_Height</vt:lpstr>
      <vt:lpstr>WC_Wall_Width</vt:lpstr>
      <vt:lpstr>Width</vt:lpstr>
      <vt:lpstr>Wind_Rating</vt:lpstr>
      <vt:lpstr>WindowOpeningsFirst</vt:lpstr>
      <vt:lpstr>WindowOpeningsGround</vt:lpstr>
      <vt:lpstr>ZBars_Labour</vt:lpstr>
      <vt:lpstr>ZBars_Supply</vt:lpstr>
    </vt:vector>
  </TitlesOfParts>
  <Manager/>
  <Company>Ventura Homes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Qants Pad</dc:title>
  <dc:creator>Main</dc:creator>
  <dc:description>Changed 26th October 2010</dc:description>
  <cp:lastModifiedBy>Main</cp:lastModifiedBy>
  <cp:lastPrinted>2023-03-10T04:51:45Z</cp:lastPrinted>
  <dcterms:created xsi:type="dcterms:W3CDTF">2010-04-07T04:32:39Z</dcterms:created>
  <dcterms:modified xsi:type="dcterms:W3CDTF">2023-05-29T02:13:06Z</dcterms:modified>
  <cp:category>8.0a</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wo Storey">
    <vt:bool>false</vt:bool>
  </property>
  <property fmtid="{D5CDD505-2E9C-101B-9397-08002B2CF9AE}" pid="3" name="ContentTypeId">
    <vt:lpwstr>0x0101000E5965919BE285459C2B73D6952E8491</vt:lpwstr>
  </property>
</Properties>
</file>