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pa/Dropbox/PeveratiRes/DFT_Uncaging_Rev2/rev3/SI_rev3/"/>
    </mc:Choice>
  </mc:AlternateContent>
  <xr:revisionPtr revIDLastSave="0" documentId="13_ncr:1_{23B7ACA3-9329-EA44-8DE5-0FED3B6D2D76}" xr6:coauthVersionLast="45" xr6:coauthVersionMax="45" xr10:uidLastSave="{00000000-0000-0000-0000-000000000000}"/>
  <bookViews>
    <workbookView xWindow="1140" yWindow="460" windowWidth="27640" windowHeight="16200" activeTab="2" xr2:uid="{FC31F853-590B-1149-917B-FAD04029B728}"/>
  </bookViews>
  <sheets>
    <sheet name="README" sheetId="16" r:id="rId1"/>
    <sheet name="General_MDNI-Glu" sheetId="25" r:id="rId2"/>
    <sheet name="QY_Calculations" sheetId="27" r:id="rId3"/>
    <sheet name="ωB97X-D" sheetId="2" r:id="rId4"/>
    <sheet name="M11" sheetId="23" r:id="rId5"/>
    <sheet name="MN15" sheetId="20" r:id="rId6"/>
    <sheet name="CAM-B3LYP" sheetId="22" r:id="rId7"/>
    <sheet name="LC-ωHPBE" sheetId="21" r:id="rId8"/>
    <sheet name="ωB97M-V" sheetId="24" r:id="rId9"/>
    <sheet name="Gibbs_Corrections" sheetId="2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42" i="27" l="1"/>
  <c r="Y41" i="27"/>
  <c r="Y40" i="27"/>
  <c r="Y39" i="27"/>
  <c r="Y38" i="27"/>
  <c r="Y37" i="27"/>
  <c r="Y36" i="27"/>
  <c r="Y34" i="27"/>
  <c r="Y33" i="27"/>
  <c r="Y32" i="27"/>
  <c r="Y31" i="27"/>
  <c r="Y30" i="27"/>
  <c r="Y29" i="27"/>
  <c r="Y28" i="27"/>
  <c r="Y26" i="27"/>
  <c r="Y25" i="27"/>
  <c r="Y24" i="27"/>
  <c r="Y23" i="27"/>
  <c r="Y22" i="27"/>
  <c r="Y20" i="27"/>
  <c r="Y19" i="27"/>
  <c r="Y18" i="27"/>
  <c r="Y17" i="27"/>
  <c r="Y16" i="27"/>
  <c r="Y15" i="27"/>
  <c r="Y13" i="27"/>
  <c r="Y12" i="27"/>
  <c r="Y11" i="27"/>
  <c r="Y10" i="27"/>
  <c r="Y8" i="27"/>
  <c r="Y7" i="27"/>
  <c r="Y6" i="27"/>
  <c r="Y106" i="27"/>
  <c r="Y105" i="27"/>
  <c r="Y104" i="27"/>
  <c r="Y103" i="27"/>
  <c r="Y102" i="27"/>
  <c r="Y101" i="27"/>
  <c r="Y100" i="27"/>
  <c r="Y98" i="27"/>
  <c r="Y97" i="27"/>
  <c r="Y96" i="27"/>
  <c r="Y95" i="27"/>
  <c r="Y94" i="27"/>
  <c r="Y93" i="27"/>
  <c r="Y92" i="27"/>
  <c r="Y90" i="27"/>
  <c r="Y89" i="27"/>
  <c r="Y88" i="27"/>
  <c r="Y87" i="27"/>
  <c r="Y86" i="27"/>
  <c r="Y84" i="27"/>
  <c r="Y83" i="27"/>
  <c r="Y82" i="27"/>
  <c r="Y81" i="27"/>
  <c r="Y80" i="27"/>
  <c r="Y79" i="27"/>
  <c r="Y77" i="27"/>
  <c r="Y76" i="27"/>
  <c r="Y75" i="27"/>
  <c r="Y74" i="27"/>
  <c r="Y72" i="27"/>
  <c r="Y71" i="27"/>
  <c r="Y70" i="27"/>
  <c r="W80" i="27" l="1"/>
  <c r="W81" i="27"/>
  <c r="W82" i="27"/>
  <c r="X82" i="27" s="1"/>
  <c r="AB82" i="27" s="1"/>
  <c r="W83" i="27"/>
  <c r="X83" i="27" s="1"/>
  <c r="AB83" i="27" s="1"/>
  <c r="W84" i="27"/>
  <c r="W79" i="27"/>
  <c r="X79" i="27" s="1"/>
  <c r="AB79" i="27" s="1"/>
  <c r="T84" i="27"/>
  <c r="T83" i="27"/>
  <c r="T82" i="27"/>
  <c r="T81" i="27"/>
  <c r="T80" i="27"/>
  <c r="T79" i="27"/>
  <c r="R84" i="27"/>
  <c r="R83" i="27"/>
  <c r="R82" i="27"/>
  <c r="R81" i="27"/>
  <c r="R80" i="27"/>
  <c r="R79" i="27"/>
  <c r="X84" i="27"/>
  <c r="AB84" i="27" s="1"/>
  <c r="X81" i="27"/>
  <c r="AB81" i="27" s="1"/>
  <c r="X80" i="27"/>
  <c r="AB80" i="27" s="1"/>
  <c r="X16" i="27"/>
  <c r="AA16" i="27"/>
  <c r="AC16" i="27" s="1"/>
  <c r="AD16" i="27" s="1"/>
  <c r="AB16" i="27"/>
  <c r="X17" i="27"/>
  <c r="AB17" i="27" s="1"/>
  <c r="AA17" i="27"/>
  <c r="AC17" i="27" s="1"/>
  <c r="AD17" i="27" s="1"/>
  <c r="AE17" i="27"/>
  <c r="X18" i="27"/>
  <c r="AA18" i="27"/>
  <c r="AC18" i="27" s="1"/>
  <c r="AD18" i="27" s="1"/>
  <c r="AB18" i="27"/>
  <c r="X19" i="27"/>
  <c r="AB19" i="27" s="1"/>
  <c r="AA19" i="27"/>
  <c r="AC19" i="27" s="1"/>
  <c r="AD19" i="27" s="1"/>
  <c r="AE19" i="27"/>
  <c r="X20" i="27"/>
  <c r="AA20" i="27"/>
  <c r="AC20" i="27" s="1"/>
  <c r="AD20" i="27" s="1"/>
  <c r="AB20" i="27"/>
  <c r="W16" i="27"/>
  <c r="W17" i="27"/>
  <c r="W18" i="27"/>
  <c r="W19" i="27"/>
  <c r="W20" i="27"/>
  <c r="W15" i="27"/>
  <c r="X15" i="27" s="1"/>
  <c r="AB15" i="27" s="1"/>
  <c r="T20" i="27"/>
  <c r="T19" i="27"/>
  <c r="T18" i="27"/>
  <c r="T17" i="27"/>
  <c r="T16" i="27"/>
  <c r="T15" i="27"/>
  <c r="R20" i="27"/>
  <c r="R19" i="27"/>
  <c r="R18" i="27"/>
  <c r="R17" i="27"/>
  <c r="R16" i="27"/>
  <c r="R15" i="27"/>
  <c r="AE80" i="27" l="1"/>
  <c r="AA84" i="27"/>
  <c r="AC84" i="27" s="1"/>
  <c r="AD84" i="27" s="1"/>
  <c r="AE84" i="27"/>
  <c r="AE83" i="27"/>
  <c r="AA83" i="27"/>
  <c r="AC83" i="27" s="1"/>
  <c r="AD83" i="27" s="1"/>
  <c r="AE82" i="27"/>
  <c r="AA82" i="27"/>
  <c r="AC82" i="27" s="1"/>
  <c r="AD82" i="27" s="1"/>
  <c r="AE81" i="27"/>
  <c r="AA81" i="27"/>
  <c r="AC81" i="27" s="1"/>
  <c r="AD81" i="27" s="1"/>
  <c r="AA80" i="27"/>
  <c r="AC80" i="27" s="1"/>
  <c r="AD80" i="27" s="1"/>
  <c r="AE79" i="27"/>
  <c r="AA79" i="27"/>
  <c r="AC79" i="27" s="1"/>
  <c r="AE20" i="27"/>
  <c r="AE16" i="27"/>
  <c r="AE18" i="27"/>
  <c r="AE15" i="27"/>
  <c r="AA15" i="27"/>
  <c r="AC15" i="27" s="1"/>
  <c r="AD79" i="27" l="1"/>
  <c r="AF79" i="27"/>
  <c r="AD15" i="27"/>
  <c r="AF15" i="27" l="1"/>
  <c r="W106" i="27" l="1"/>
  <c r="T106" i="27"/>
  <c r="R106" i="27"/>
  <c r="W105" i="27"/>
  <c r="T105" i="27"/>
  <c r="R105" i="27"/>
  <c r="W104" i="27"/>
  <c r="T104" i="27"/>
  <c r="R104" i="27"/>
  <c r="W103" i="27"/>
  <c r="T103" i="27"/>
  <c r="R103" i="27"/>
  <c r="W102" i="27"/>
  <c r="T102" i="27"/>
  <c r="R102" i="27"/>
  <c r="W101" i="27"/>
  <c r="T101" i="27"/>
  <c r="R101" i="27"/>
  <c r="W100" i="27"/>
  <c r="T100" i="27"/>
  <c r="R100" i="27"/>
  <c r="W98" i="27"/>
  <c r="T98" i="27"/>
  <c r="R98" i="27"/>
  <c r="W97" i="27"/>
  <c r="T97" i="27"/>
  <c r="R97" i="27"/>
  <c r="W96" i="27"/>
  <c r="T96" i="27"/>
  <c r="R96" i="27"/>
  <c r="W95" i="27"/>
  <c r="T95" i="27"/>
  <c r="R95" i="27"/>
  <c r="W94" i="27"/>
  <c r="T94" i="27"/>
  <c r="R94" i="27"/>
  <c r="W93" i="27"/>
  <c r="T93" i="27"/>
  <c r="R93" i="27"/>
  <c r="W92" i="27"/>
  <c r="T92" i="27"/>
  <c r="R92" i="27"/>
  <c r="W90" i="27"/>
  <c r="T90" i="27"/>
  <c r="R90" i="27"/>
  <c r="W89" i="27"/>
  <c r="T89" i="27"/>
  <c r="R89" i="27"/>
  <c r="AR81" i="27"/>
  <c r="AP81" i="27"/>
  <c r="AN81" i="27"/>
  <c r="W88" i="27"/>
  <c r="T88" i="27"/>
  <c r="R88" i="27"/>
  <c r="W87" i="27"/>
  <c r="T87" i="27"/>
  <c r="R87" i="27"/>
  <c r="W86" i="27"/>
  <c r="T86" i="27"/>
  <c r="R86" i="27"/>
  <c r="W77" i="27"/>
  <c r="T77" i="27"/>
  <c r="R77" i="27"/>
  <c r="AU76" i="27"/>
  <c r="AT78" i="27" s="1"/>
  <c r="W76" i="27"/>
  <c r="T76" i="27"/>
  <c r="R76" i="27"/>
  <c r="W75" i="27"/>
  <c r="T75" i="27"/>
  <c r="R75" i="27"/>
  <c r="AR74" i="27"/>
  <c r="AP74" i="27"/>
  <c r="AN74" i="27"/>
  <c r="W74" i="27"/>
  <c r="T74" i="27"/>
  <c r="R74" i="27"/>
  <c r="W72" i="27"/>
  <c r="T72" i="27"/>
  <c r="R72" i="27"/>
  <c r="AU71" i="27"/>
  <c r="AT73" i="27" s="1"/>
  <c r="W71" i="27"/>
  <c r="T71" i="27"/>
  <c r="R71" i="27"/>
  <c r="W70" i="27"/>
  <c r="T70" i="27"/>
  <c r="R70" i="27"/>
  <c r="W42" i="27"/>
  <c r="T42" i="27"/>
  <c r="R42" i="27"/>
  <c r="W41" i="27"/>
  <c r="T41" i="27"/>
  <c r="R41" i="27"/>
  <c r="W40" i="27"/>
  <c r="T40" i="27"/>
  <c r="R40" i="27"/>
  <c r="W39" i="27"/>
  <c r="T39" i="27"/>
  <c r="R39" i="27"/>
  <c r="W38" i="27"/>
  <c r="T38" i="27"/>
  <c r="R38" i="27"/>
  <c r="W37" i="27"/>
  <c r="T37" i="27"/>
  <c r="R37" i="27"/>
  <c r="W36" i="27"/>
  <c r="T36" i="27"/>
  <c r="R36" i="27"/>
  <c r="W34" i="27"/>
  <c r="T34" i="27"/>
  <c r="R34" i="27"/>
  <c r="W33" i="27"/>
  <c r="T33" i="27"/>
  <c r="R33" i="27"/>
  <c r="W32" i="27"/>
  <c r="T32" i="27"/>
  <c r="R32" i="27"/>
  <c r="W31" i="27"/>
  <c r="T31" i="27"/>
  <c r="R31" i="27"/>
  <c r="W30" i="27"/>
  <c r="T30" i="27"/>
  <c r="R30" i="27"/>
  <c r="W29" i="27"/>
  <c r="T29" i="27"/>
  <c r="R29" i="27"/>
  <c r="W28" i="27"/>
  <c r="T28" i="27"/>
  <c r="R28" i="27"/>
  <c r="W26" i="27"/>
  <c r="T26" i="27"/>
  <c r="R26" i="27"/>
  <c r="W25" i="27"/>
  <c r="T25" i="27"/>
  <c r="R25" i="27"/>
  <c r="W24" i="27"/>
  <c r="T24" i="27"/>
  <c r="R24" i="27"/>
  <c r="AR16" i="27"/>
  <c r="AP16" i="27"/>
  <c r="AN16" i="27"/>
  <c r="W23" i="27"/>
  <c r="T23" i="27"/>
  <c r="R23" i="27"/>
  <c r="W22" i="27"/>
  <c r="T22" i="27"/>
  <c r="R22" i="27"/>
  <c r="M15" i="27"/>
  <c r="M14" i="27"/>
  <c r="W13" i="27"/>
  <c r="T13" i="27"/>
  <c r="R13" i="27"/>
  <c r="M13" i="27"/>
  <c r="M16" i="27" s="1"/>
  <c r="W12" i="27"/>
  <c r="T12" i="27"/>
  <c r="R12" i="27"/>
  <c r="AU11" i="27"/>
  <c r="AT14" i="27" s="1"/>
  <c r="W11" i="27"/>
  <c r="T11" i="27"/>
  <c r="R11" i="27"/>
  <c r="M11" i="27"/>
  <c r="W10" i="27"/>
  <c r="T10" i="27"/>
  <c r="R10" i="27"/>
  <c r="M10" i="27"/>
  <c r="M6" i="27" s="1"/>
  <c r="M17" i="27" s="1"/>
  <c r="AA12" i="27" s="1"/>
  <c r="AR9" i="27"/>
  <c r="AP9" i="27"/>
  <c r="AN9" i="27"/>
  <c r="W8" i="27"/>
  <c r="T8" i="27"/>
  <c r="R8" i="27"/>
  <c r="W7" i="27"/>
  <c r="T7" i="27"/>
  <c r="R7" i="27"/>
  <c r="AU6" i="27"/>
  <c r="W6" i="27"/>
  <c r="T6" i="27"/>
  <c r="R6" i="27"/>
  <c r="AC12" i="27" l="1"/>
  <c r="AA28" i="27"/>
  <c r="AC28" i="27" s="1"/>
  <c r="AA32" i="27"/>
  <c r="AC32" i="27" s="1"/>
  <c r="AA37" i="27"/>
  <c r="AC37" i="27" s="1"/>
  <c r="AA41" i="27"/>
  <c r="AC41" i="27" s="1"/>
  <c r="AA74" i="27"/>
  <c r="AC74" i="27" s="1"/>
  <c r="AA94" i="27"/>
  <c r="AC94" i="27" s="1"/>
  <c r="AA98" i="27"/>
  <c r="AC98" i="27" s="1"/>
  <c r="AA103" i="27"/>
  <c r="AC103" i="27" s="1"/>
  <c r="AA13" i="27"/>
  <c r="AC13" i="27" s="1"/>
  <c r="AA23" i="27"/>
  <c r="AC23" i="27" s="1"/>
  <c r="AA26" i="27"/>
  <c r="AC26" i="27" s="1"/>
  <c r="AA31" i="27"/>
  <c r="AC31" i="27" s="1"/>
  <c r="AA36" i="27"/>
  <c r="AC36" i="27" s="1"/>
  <c r="AA71" i="27"/>
  <c r="AC71" i="27" s="1"/>
  <c r="AA72" i="27"/>
  <c r="AC72" i="27" s="1"/>
  <c r="AA77" i="27"/>
  <c r="AC77" i="27" s="1"/>
  <c r="AA42" i="27"/>
  <c r="AC42" i="27" s="1"/>
  <c r="AA87" i="27"/>
  <c r="AC87" i="27" s="1"/>
  <c r="X33" i="27"/>
  <c r="AB33" i="27" s="1"/>
  <c r="M7" i="27"/>
  <c r="X8" i="27" s="1"/>
  <c r="AB8" i="27" s="1"/>
  <c r="AP17" i="27"/>
  <c r="AP82" i="27"/>
  <c r="AA96" i="27"/>
  <c r="AC96" i="27" s="1"/>
  <c r="AA105" i="27"/>
  <c r="AC105" i="27" s="1"/>
  <c r="AT7" i="27"/>
  <c r="AT6" i="27"/>
  <c r="AT15" i="27"/>
  <c r="AT11" i="27"/>
  <c r="AA106" i="27"/>
  <c r="AC106" i="27" s="1"/>
  <c r="AA8" i="27"/>
  <c r="AC8" i="27" s="1"/>
  <c r="AN82" i="27"/>
  <c r="AA7" i="27"/>
  <c r="AC7" i="27" s="1"/>
  <c r="AR82" i="27"/>
  <c r="AN17" i="27"/>
  <c r="AA11" i="27"/>
  <c r="AC11" i="27" s="1"/>
  <c r="AA33" i="27"/>
  <c r="AC33" i="27" s="1"/>
  <c r="AA90" i="27"/>
  <c r="AC90" i="27" s="1"/>
  <c r="AA95" i="27"/>
  <c r="AC95" i="27" s="1"/>
  <c r="AE12" i="27"/>
  <c r="AE13" i="27"/>
  <c r="AE37" i="27"/>
  <c r="AE23" i="27"/>
  <c r="AE26" i="27"/>
  <c r="AE28" i="27"/>
  <c r="AE32" i="27"/>
  <c r="AE72" i="27"/>
  <c r="AE77" i="27"/>
  <c r="AE94" i="27"/>
  <c r="AE98" i="27"/>
  <c r="AE103" i="27"/>
  <c r="AT8" i="27"/>
  <c r="AT12" i="27"/>
  <c r="AT13" i="27"/>
  <c r="AR17" i="27"/>
  <c r="AE41" i="27"/>
  <c r="AA30" i="27"/>
  <c r="AC30" i="27" s="1"/>
  <c r="AA34" i="27"/>
  <c r="AC34" i="27" s="1"/>
  <c r="AE71" i="27"/>
  <c r="AE31" i="27"/>
  <c r="AE36" i="27"/>
  <c r="AT72" i="27"/>
  <c r="AT71" i="27"/>
  <c r="AE74" i="27"/>
  <c r="AA86" i="27"/>
  <c r="AC86" i="27" s="1"/>
  <c r="AE90" i="27"/>
  <c r="AT76" i="27"/>
  <c r="AT79" i="27"/>
  <c r="AT80" i="27"/>
  <c r="AT77" i="27"/>
  <c r="L19" i="25" a="1"/>
  <c r="L19" i="25" s="1"/>
  <c r="K19" i="25" a="1"/>
  <c r="K19" i="25" s="1"/>
  <c r="J19" i="25" a="1"/>
  <c r="J19" i="25" s="1"/>
  <c r="L40" i="25"/>
  <c r="L40" i="25" a="1"/>
  <c r="K40" i="25" a="1"/>
  <c r="K40" i="25" s="1"/>
  <c r="J40" i="25" a="1"/>
  <c r="J40" i="25" s="1"/>
  <c r="L39" i="25" a="1"/>
  <c r="L39" i="25" s="1"/>
  <c r="K39" i="25" a="1"/>
  <c r="K39" i="25" s="1"/>
  <c r="J39" i="25" a="1"/>
  <c r="J39" i="25" s="1"/>
  <c r="L37" i="25" a="1"/>
  <c r="L37" i="25" s="1"/>
  <c r="K37" i="25" a="1"/>
  <c r="K37" i="25" s="1"/>
  <c r="J37" i="25" a="1"/>
  <c r="J37" i="25" s="1"/>
  <c r="L36" i="25" a="1"/>
  <c r="L36" i="25" s="1"/>
  <c r="K36" i="25" a="1"/>
  <c r="K36" i="25" s="1"/>
  <c r="J36" i="25" a="1"/>
  <c r="J36" i="25" s="1"/>
  <c r="L35" i="25" a="1"/>
  <c r="L35" i="25" s="1"/>
  <c r="K35" i="25" a="1"/>
  <c r="K35" i="25" s="1"/>
  <c r="J35" i="25" a="1"/>
  <c r="J35" i="25" s="1"/>
  <c r="L33" i="25" a="1"/>
  <c r="L33" i="25" s="1"/>
  <c r="K33" i="25" a="1"/>
  <c r="K33" i="25" s="1"/>
  <c r="J33" i="25" a="1"/>
  <c r="J33" i="25" s="1"/>
  <c r="L30" i="25" a="1"/>
  <c r="L30" i="25" s="1"/>
  <c r="K30" i="25" a="1"/>
  <c r="K30" i="25" s="1"/>
  <c r="J30" i="25" a="1"/>
  <c r="J30" i="25" s="1"/>
  <c r="L29" i="25" a="1"/>
  <c r="L29" i="25" s="1"/>
  <c r="K29" i="25" a="1"/>
  <c r="K29" i="25" s="1"/>
  <c r="J29" i="25" a="1"/>
  <c r="J29" i="25" s="1"/>
  <c r="L28" i="25" a="1"/>
  <c r="L28" i="25" s="1"/>
  <c r="K28" i="25" a="1"/>
  <c r="K28" i="25" s="1"/>
  <c r="J28" i="25" a="1"/>
  <c r="J28" i="25" s="1"/>
  <c r="L27" i="25" a="1"/>
  <c r="L27" i="25" s="1"/>
  <c r="K27" i="25" a="1"/>
  <c r="K27" i="25" s="1"/>
  <c r="J27" i="25" a="1"/>
  <c r="J27" i="25" s="1"/>
  <c r="L26" i="25" a="1"/>
  <c r="L26" i="25" s="1"/>
  <c r="K26" i="25" a="1"/>
  <c r="K26" i="25" s="1"/>
  <c r="J26" i="25" a="1"/>
  <c r="J26" i="25" s="1"/>
  <c r="L24" i="25" a="1"/>
  <c r="L24" i="25" s="1"/>
  <c r="K24" i="25" a="1"/>
  <c r="K24" i="25" s="1"/>
  <c r="J24" i="25" a="1"/>
  <c r="J24" i="25" s="1"/>
  <c r="L21" i="25" a="1"/>
  <c r="L21" i="25" s="1"/>
  <c r="K21" i="25" a="1"/>
  <c r="K21" i="25" s="1"/>
  <c r="J21" i="25" a="1"/>
  <c r="J21" i="25" s="1"/>
  <c r="L20" i="25" a="1"/>
  <c r="L20" i="25" s="1"/>
  <c r="K20" i="25" a="1"/>
  <c r="K20" i="25" s="1"/>
  <c r="J20" i="25" a="1"/>
  <c r="J20" i="25" s="1"/>
  <c r="L18" i="25" a="1"/>
  <c r="L18" i="25" s="1"/>
  <c r="K18" i="25" a="1"/>
  <c r="K18" i="25" s="1"/>
  <c r="J18" i="25" a="1"/>
  <c r="J18" i="25" s="1"/>
  <c r="L17" i="25" a="1"/>
  <c r="L17" i="25" s="1"/>
  <c r="K17" i="25" a="1"/>
  <c r="K17" i="25" s="1"/>
  <c r="J17" i="25" a="1"/>
  <c r="J17" i="25" s="1"/>
  <c r="L16" i="25" a="1"/>
  <c r="L16" i="25" s="1"/>
  <c r="K16" i="25" a="1"/>
  <c r="K16" i="25" s="1"/>
  <c r="J16" i="25" a="1"/>
  <c r="J16" i="25" s="1"/>
  <c r="L14" i="25" a="1"/>
  <c r="L14" i="25" s="1"/>
  <c r="K14" i="25" a="1"/>
  <c r="K14" i="25" s="1"/>
  <c r="J14" i="25" a="1"/>
  <c r="J14" i="25" s="1"/>
  <c r="AE95" i="27" l="1"/>
  <c r="AE42" i="27"/>
  <c r="AE33" i="27"/>
  <c r="AE87" i="27"/>
  <c r="X95" i="27"/>
  <c r="AB95" i="27" s="1"/>
  <c r="AE10" i="27"/>
  <c r="AA10" i="27"/>
  <c r="AC10" i="27" s="1"/>
  <c r="AE102" i="27"/>
  <c r="AA102" i="27"/>
  <c r="AC102" i="27" s="1"/>
  <c r="AE25" i="27"/>
  <c r="AA25" i="27"/>
  <c r="AC25" i="27" s="1"/>
  <c r="AD25" i="27" s="1"/>
  <c r="AE101" i="27"/>
  <c r="AA101" i="27"/>
  <c r="AC101" i="27" s="1"/>
  <c r="AE88" i="27"/>
  <c r="AA88" i="27"/>
  <c r="AC88" i="27" s="1"/>
  <c r="AE104" i="27"/>
  <c r="AA104" i="27"/>
  <c r="AE89" i="27"/>
  <c r="AA89" i="27"/>
  <c r="AC89" i="27" s="1"/>
  <c r="AE24" i="27"/>
  <c r="AA24" i="27"/>
  <c r="AC24" i="27" s="1"/>
  <c r="AE93" i="27"/>
  <c r="AA93" i="27"/>
  <c r="AC93" i="27" s="1"/>
  <c r="AA76" i="27"/>
  <c r="AA92" i="27"/>
  <c r="AE70" i="27"/>
  <c r="AA70" i="27"/>
  <c r="AC70" i="27" s="1"/>
  <c r="AA100" i="27"/>
  <c r="AE38" i="27"/>
  <c r="AA38" i="27"/>
  <c r="AC38" i="27" s="1"/>
  <c r="AE40" i="27"/>
  <c r="AA40" i="27"/>
  <c r="AC40" i="27" s="1"/>
  <c r="AE39" i="27"/>
  <c r="AA39" i="27"/>
  <c r="AC39" i="27" s="1"/>
  <c r="AE29" i="27"/>
  <c r="AA29" i="27"/>
  <c r="AE97" i="27"/>
  <c r="AA97" i="27"/>
  <c r="AC97" i="27" s="1"/>
  <c r="AD97" i="27" s="1"/>
  <c r="AE22" i="27"/>
  <c r="AA22" i="27"/>
  <c r="AE75" i="27"/>
  <c r="AA75" i="27"/>
  <c r="AD36" i="27"/>
  <c r="AE76" i="27"/>
  <c r="AD28" i="27"/>
  <c r="AE92" i="27"/>
  <c r="AD12" i="27"/>
  <c r="AD7" i="27"/>
  <c r="AE106" i="27"/>
  <c r="AD98" i="27"/>
  <c r="AD72" i="27"/>
  <c r="AD87" i="27"/>
  <c r="AD90" i="27"/>
  <c r="AE96" i="27"/>
  <c r="AE105" i="27"/>
  <c r="AE11" i="27"/>
  <c r="X97" i="27"/>
  <c r="AB97" i="27" s="1"/>
  <c r="X75" i="27"/>
  <c r="AB75" i="27" s="1"/>
  <c r="X7" i="27"/>
  <c r="AB7" i="27" s="1"/>
  <c r="X70" i="27"/>
  <c r="AB70" i="27" s="1"/>
  <c r="X72" i="27"/>
  <c r="AB72" i="27" s="1"/>
  <c r="AD96" i="27"/>
  <c r="AD95" i="27"/>
  <c r="AD105" i="27"/>
  <c r="AD106" i="27"/>
  <c r="M12" i="27"/>
  <c r="X94" i="27"/>
  <c r="AB94" i="27" s="1"/>
  <c r="X37" i="27"/>
  <c r="AB37" i="27" s="1"/>
  <c r="X28" i="27"/>
  <c r="AB28" i="27" s="1"/>
  <c r="X11" i="27"/>
  <c r="AB11" i="27" s="1"/>
  <c r="X88" i="27"/>
  <c r="AB88" i="27" s="1"/>
  <c r="X36" i="27"/>
  <c r="AB36" i="27" s="1"/>
  <c r="X26" i="27"/>
  <c r="AB26" i="27" s="1"/>
  <c r="X10" i="27"/>
  <c r="AB10" i="27" s="1"/>
  <c r="X86" i="27"/>
  <c r="AB86" i="27" s="1"/>
  <c r="X74" i="27"/>
  <c r="AB74" i="27" s="1"/>
  <c r="X12" i="27"/>
  <c r="AB12" i="27" s="1"/>
  <c r="X103" i="27"/>
  <c r="AB103" i="27" s="1"/>
  <c r="X98" i="27"/>
  <c r="AB98" i="27" s="1"/>
  <c r="X89" i="27"/>
  <c r="AB89" i="27" s="1"/>
  <c r="X41" i="27"/>
  <c r="AB41" i="27" s="1"/>
  <c r="X32" i="27"/>
  <c r="AB32" i="27" s="1"/>
  <c r="X23" i="27"/>
  <c r="AB23" i="27" s="1"/>
  <c r="X40" i="27"/>
  <c r="AB40" i="27" s="1"/>
  <c r="X31" i="27"/>
  <c r="AB31" i="27" s="1"/>
  <c r="X93" i="27"/>
  <c r="AB93" i="27" s="1"/>
  <c r="X87" i="27"/>
  <c r="AB87" i="27" s="1"/>
  <c r="X105" i="27"/>
  <c r="AB105" i="27" s="1"/>
  <c r="X30" i="27"/>
  <c r="AB30" i="27" s="1"/>
  <c r="X104" i="27"/>
  <c r="AB104" i="27" s="1"/>
  <c r="X39" i="27"/>
  <c r="AB39" i="27" s="1"/>
  <c r="AE100" i="27"/>
  <c r="AD103" i="27"/>
  <c r="AD26" i="27"/>
  <c r="AD32" i="27"/>
  <c r="X106" i="27"/>
  <c r="AB106" i="27" s="1"/>
  <c r="X77" i="27"/>
  <c r="AB77" i="27" s="1"/>
  <c r="X13" i="27"/>
  <c r="AB13" i="27" s="1"/>
  <c r="X38" i="27"/>
  <c r="AB38" i="27" s="1"/>
  <c r="X101" i="27"/>
  <c r="AB101" i="27" s="1"/>
  <c r="X25" i="27"/>
  <c r="AB25" i="27" s="1"/>
  <c r="X90" i="27"/>
  <c r="AB90" i="27" s="1"/>
  <c r="X6" i="27"/>
  <c r="AB6" i="27" s="1"/>
  <c r="X34" i="27"/>
  <c r="AB34" i="27" s="1"/>
  <c r="AD41" i="27"/>
  <c r="AD33" i="27"/>
  <c r="AD88" i="27"/>
  <c r="X71" i="27"/>
  <c r="AB71" i="27" s="1"/>
  <c r="X24" i="27"/>
  <c r="AB24" i="27" s="1"/>
  <c r="AD31" i="27"/>
  <c r="AD77" i="27"/>
  <c r="AE7" i="27"/>
  <c r="AD37" i="27"/>
  <c r="AE6" i="27"/>
  <c r="AA6" i="27"/>
  <c r="AC6" i="27" s="1"/>
  <c r="AD6" i="27" s="1"/>
  <c r="AE8" i="27"/>
  <c r="AD8" i="27"/>
  <c r="AD42" i="27"/>
  <c r="AD23" i="27"/>
  <c r="AD94" i="27"/>
  <c r="AD13" i="27"/>
  <c r="X102" i="27"/>
  <c r="AB102" i="27" s="1"/>
  <c r="X76" i="27"/>
  <c r="AB76" i="27" s="1"/>
  <c r="X100" i="27"/>
  <c r="AB100" i="27" s="1"/>
  <c r="X29" i="27"/>
  <c r="AB29" i="27" s="1"/>
  <c r="X92" i="27"/>
  <c r="AB92" i="27" s="1"/>
  <c r="AD71" i="27"/>
  <c r="X42" i="27"/>
  <c r="AB42" i="27" s="1"/>
  <c r="X96" i="27"/>
  <c r="AB96" i="27" s="1"/>
  <c r="X22" i="27"/>
  <c r="AB22" i="27" s="1"/>
  <c r="AD10" i="27"/>
  <c r="AD74" i="27"/>
  <c r="AE86" i="27"/>
  <c r="AE34" i="27"/>
  <c r="AE30" i="27"/>
  <c r="G11" i="24"/>
  <c r="AC92" i="27" l="1"/>
  <c r="AD92" i="27" s="1"/>
  <c r="AC104" i="27"/>
  <c r="AD104" i="27" s="1"/>
  <c r="AC75" i="27"/>
  <c r="AD75" i="27" s="1"/>
  <c r="AC22" i="27"/>
  <c r="AD22" i="27" s="1"/>
  <c r="AC29" i="27"/>
  <c r="AD29" i="27" s="1"/>
  <c r="AC100" i="27"/>
  <c r="AD100" i="27" s="1"/>
  <c r="AC76" i="27"/>
  <c r="AD76" i="27" s="1"/>
  <c r="AF70" i="27"/>
  <c r="AD70" i="27"/>
  <c r="AD93" i="27"/>
  <c r="AD11" i="27"/>
  <c r="AF10" i="27"/>
  <c r="AD34" i="27"/>
  <c r="AD89" i="27"/>
  <c r="AD39" i="27"/>
  <c r="AD102" i="27"/>
  <c r="AD40" i="27"/>
  <c r="AD30" i="27"/>
  <c r="AF6" i="27"/>
  <c r="AF86" i="27"/>
  <c r="AD86" i="27"/>
  <c r="H31" i="2"/>
  <c r="AF74" i="27" l="1"/>
  <c r="AF92" i="27"/>
  <c r="AF28" i="27"/>
  <c r="AD38" i="27"/>
  <c r="AF36" i="27"/>
  <c r="AD101" i="27"/>
  <c r="AF100" i="27"/>
  <c r="AD24" i="27"/>
  <c r="AF22" i="27"/>
  <c r="F22" i="22"/>
  <c r="C22" i="22"/>
  <c r="C38" i="22"/>
  <c r="C40" i="22"/>
  <c r="C42" i="22"/>
  <c r="G13" i="24"/>
  <c r="G9" i="24"/>
  <c r="G8" i="24"/>
  <c r="L37" i="26" a="1"/>
  <c r="L37" i="26" s="1"/>
  <c r="K37" i="26" a="1"/>
  <c r="K37" i="26" s="1"/>
  <c r="J37" i="26" a="1"/>
  <c r="J37" i="26" s="1"/>
  <c r="L35" i="26" a="1"/>
  <c r="L35" i="26" s="1"/>
  <c r="K35" i="26" a="1"/>
  <c r="K35" i="26" s="1"/>
  <c r="J35" i="26" a="1"/>
  <c r="J35" i="26" s="1"/>
  <c r="L33" i="26" a="1"/>
  <c r="L33" i="26" s="1"/>
  <c r="K33" i="26" a="1"/>
  <c r="K33" i="26" s="1"/>
  <c r="J33" i="26" a="1"/>
  <c r="J33" i="26" s="1"/>
  <c r="L32" i="26" a="1"/>
  <c r="L32" i="26" s="1"/>
  <c r="K32" i="26" a="1"/>
  <c r="K32" i="26" s="1"/>
  <c r="J32" i="26" a="1"/>
  <c r="J32" i="26" s="1"/>
  <c r="L29" i="26" a="1"/>
  <c r="L29" i="26" s="1"/>
  <c r="K29" i="26" a="1"/>
  <c r="K29" i="26" s="1"/>
  <c r="J29" i="26" a="1"/>
  <c r="J29" i="26" s="1"/>
  <c r="L28" i="26" a="1"/>
  <c r="L28" i="26" s="1"/>
  <c r="K28" i="26" a="1"/>
  <c r="K28" i="26" s="1"/>
  <c r="J28" i="26" a="1"/>
  <c r="J28" i="26" s="1"/>
  <c r="L27" i="26" a="1"/>
  <c r="L27" i="26" s="1"/>
  <c r="K27" i="26" a="1"/>
  <c r="K27" i="26" s="1"/>
  <c r="J27" i="26" a="1"/>
  <c r="J27" i="26" s="1"/>
  <c r="L26" i="26" a="1"/>
  <c r="L26" i="26" s="1"/>
  <c r="K26" i="26" a="1"/>
  <c r="K26" i="26" s="1"/>
  <c r="J26" i="26" a="1"/>
  <c r="J26" i="26" s="1"/>
  <c r="L25" i="26" a="1"/>
  <c r="L25" i="26" s="1"/>
  <c r="K25" i="26" a="1"/>
  <c r="K25" i="26" s="1"/>
  <c r="J25" i="26" a="1"/>
  <c r="J25" i="26" s="1"/>
  <c r="L24" i="26" a="1"/>
  <c r="L24" i="26" s="1"/>
  <c r="K24" i="26" a="1"/>
  <c r="K24" i="26" s="1"/>
  <c r="J24" i="26" a="1"/>
  <c r="J24" i="26" s="1"/>
  <c r="L23" i="26" a="1"/>
  <c r="L23" i="26" s="1"/>
  <c r="K23" i="26" a="1"/>
  <c r="K23" i="26" s="1"/>
  <c r="J23" i="26" a="1"/>
  <c r="J23" i="26" s="1"/>
  <c r="L22" i="26" a="1"/>
  <c r="L22" i="26" s="1"/>
  <c r="K22" i="26" a="1"/>
  <c r="K22" i="26" s="1"/>
  <c r="J22" i="26" a="1"/>
  <c r="J22" i="26" s="1"/>
  <c r="L20" i="26" a="1"/>
  <c r="L20" i="26" s="1"/>
  <c r="K20" i="26" a="1"/>
  <c r="K20" i="26" s="1"/>
  <c r="J20" i="26" a="1"/>
  <c r="J20" i="26" s="1"/>
  <c r="L19" i="26" a="1"/>
  <c r="L19" i="26" s="1"/>
  <c r="K19" i="26" a="1"/>
  <c r="K19" i="26" s="1"/>
  <c r="J19" i="26" a="1"/>
  <c r="J19" i="26" s="1"/>
  <c r="L18" i="26" a="1"/>
  <c r="L18" i="26" s="1"/>
  <c r="K18" i="26" a="1"/>
  <c r="K18" i="26" s="1"/>
  <c r="J18" i="26" a="1"/>
  <c r="J18" i="26" s="1"/>
  <c r="L17" i="26" a="1"/>
  <c r="L17" i="26" s="1"/>
  <c r="K17" i="26" a="1"/>
  <c r="K17" i="26" s="1"/>
  <c r="J17" i="26" a="1"/>
  <c r="J17" i="26" s="1"/>
  <c r="L16" i="26" a="1"/>
  <c r="L16" i="26" s="1"/>
  <c r="K16" i="26" a="1"/>
  <c r="K16" i="26" s="1"/>
  <c r="J16" i="26" a="1"/>
  <c r="J16" i="26" s="1"/>
  <c r="L15" i="26" a="1"/>
  <c r="L15" i="26" s="1"/>
  <c r="K15" i="26" a="1"/>
  <c r="K15" i="26" s="1"/>
  <c r="J15" i="26" a="1"/>
  <c r="J15" i="26" s="1"/>
  <c r="L14" i="26" a="1"/>
  <c r="L14" i="26" s="1"/>
  <c r="K14" i="26" a="1"/>
  <c r="K14" i="26" s="1"/>
  <c r="J14" i="26" a="1"/>
  <c r="J14" i="26" s="1"/>
  <c r="L13" i="26" a="1"/>
  <c r="L13" i="26" s="1"/>
  <c r="K13" i="26" a="1"/>
  <c r="K13" i="26" s="1"/>
  <c r="J13" i="26" a="1"/>
  <c r="J13" i="26" s="1"/>
  <c r="L10" i="26" a="1"/>
  <c r="L10" i="26" s="1"/>
  <c r="K10" i="26" a="1"/>
  <c r="K10" i="26" s="1"/>
  <c r="J10" i="26" a="1"/>
  <c r="J10" i="26" s="1"/>
  <c r="L9" i="26" a="1"/>
  <c r="L9" i="26" s="1"/>
  <c r="K9" i="26" a="1"/>
  <c r="K9" i="26" s="1"/>
  <c r="J9" i="26" a="1"/>
  <c r="J9" i="26" s="1"/>
  <c r="L8" i="26" a="1"/>
  <c r="L8" i="26" s="1"/>
  <c r="K8" i="26" a="1"/>
  <c r="K8" i="26" s="1"/>
  <c r="J8" i="26" a="1"/>
  <c r="J8" i="26" s="1"/>
  <c r="L7" i="26" a="1"/>
  <c r="L7" i="26" s="1"/>
  <c r="K7" i="26" a="1"/>
  <c r="K7" i="26" s="1"/>
  <c r="J7" i="26" a="1"/>
  <c r="J7" i="26" s="1"/>
  <c r="L6" i="26" a="1"/>
  <c r="L6" i="26" s="1"/>
  <c r="K6" i="26" a="1"/>
  <c r="K6" i="26" s="1"/>
  <c r="J6" i="26" a="1"/>
  <c r="J6" i="26" s="1"/>
  <c r="L5" i="26" a="1"/>
  <c r="L5" i="26" s="1"/>
  <c r="K5" i="26" a="1"/>
  <c r="K5" i="26" s="1"/>
  <c r="J5" i="26" a="1"/>
  <c r="J5" i="26" s="1"/>
  <c r="L4" i="26" a="1"/>
  <c r="L4" i="26" s="1"/>
  <c r="K4" i="26" a="1"/>
  <c r="K4" i="26" s="1"/>
  <c r="J4" i="26" a="1"/>
  <c r="J4" i="26" s="1"/>
  <c r="L11" i="25" a="1"/>
  <c r="L11" i="25" s="1"/>
  <c r="K11" i="25" a="1"/>
  <c r="K11" i="25" s="1"/>
  <c r="J11" i="25" a="1"/>
  <c r="J11" i="25" s="1"/>
  <c r="L10" i="25" a="1"/>
  <c r="L10" i="25" s="1"/>
  <c r="K10" i="25" a="1"/>
  <c r="K10" i="25" s="1"/>
  <c r="J10" i="25" a="1"/>
  <c r="J10" i="25" s="1"/>
  <c r="L9" i="25" a="1"/>
  <c r="L9" i="25" s="1"/>
  <c r="K9" i="25" a="1"/>
  <c r="K9" i="25" s="1"/>
  <c r="J9" i="25" a="1"/>
  <c r="J9" i="25" s="1"/>
  <c r="L8" i="25" a="1"/>
  <c r="L8" i="25" s="1"/>
  <c r="K8" i="25" a="1"/>
  <c r="K8" i="25" s="1"/>
  <c r="J8" i="25" a="1"/>
  <c r="J8" i="25" s="1"/>
  <c r="L7" i="25" a="1"/>
  <c r="L7" i="25" s="1"/>
  <c r="K7" i="25" a="1"/>
  <c r="K7" i="25" s="1"/>
  <c r="J7" i="25" a="1"/>
  <c r="J7" i="25" s="1"/>
  <c r="L5" i="25" a="1"/>
  <c r="L5" i="25" s="1"/>
  <c r="K5" i="25" a="1"/>
  <c r="K5" i="25" s="1"/>
  <c r="J5" i="25" a="1"/>
  <c r="J5" i="25" s="1"/>
  <c r="G22" i="24" l="1"/>
  <c r="G33" i="24"/>
  <c r="G42" i="24"/>
  <c r="G40" i="24"/>
  <c r="G38" i="24"/>
  <c r="G37" i="24"/>
  <c r="G31" i="24"/>
  <c r="G29" i="24"/>
  <c r="G28" i="24"/>
  <c r="G24" i="24"/>
  <c r="G21" i="24"/>
  <c r="G18" i="24"/>
  <c r="C42" i="24"/>
  <c r="C40" i="24"/>
  <c r="C38" i="24"/>
  <c r="C33" i="24"/>
  <c r="C31" i="24"/>
  <c r="C29" i="24"/>
  <c r="C24" i="24"/>
  <c r="C21" i="24"/>
  <c r="C19" i="24"/>
  <c r="C13" i="24"/>
  <c r="C11" i="24"/>
  <c r="C9" i="24"/>
  <c r="H24" i="24" l="1"/>
  <c r="H40" i="24"/>
  <c r="H42" i="24"/>
  <c r="H38" i="24"/>
  <c r="H22" i="24"/>
  <c r="H33" i="24"/>
  <c r="H31" i="24"/>
  <c r="H29" i="24"/>
  <c r="H21" i="24"/>
  <c r="F22" i="2" l="1"/>
  <c r="H22" i="2"/>
  <c r="U19" i="2"/>
  <c r="V19" i="2" s="1"/>
  <c r="G21" i="2" s="1"/>
  <c r="G21" i="20"/>
  <c r="F22" i="20"/>
  <c r="H22" i="20"/>
  <c r="U19" i="20"/>
  <c r="V19" i="20" s="1"/>
  <c r="G21" i="23"/>
  <c r="F22" i="23"/>
  <c r="H22" i="23"/>
  <c r="U19" i="23"/>
  <c r="V19" i="23" s="1"/>
  <c r="F22" i="21"/>
  <c r="H22" i="21"/>
  <c r="U19" i="21"/>
  <c r="V19" i="21" s="1"/>
  <c r="G21" i="21" s="1"/>
  <c r="H21" i="21" s="1"/>
  <c r="H22" i="22"/>
  <c r="U19" i="22"/>
  <c r="V19" i="22" s="1"/>
  <c r="G21" i="22" s="1"/>
  <c r="C39" i="23" l="1"/>
  <c r="H43" i="23"/>
  <c r="F43" i="23"/>
  <c r="C43" i="23"/>
  <c r="H41" i="23"/>
  <c r="F41" i="23"/>
  <c r="C41" i="23"/>
  <c r="H39" i="23"/>
  <c r="F39" i="23"/>
  <c r="F38" i="23"/>
  <c r="H33" i="23"/>
  <c r="F33" i="23"/>
  <c r="C33" i="23"/>
  <c r="H31" i="23"/>
  <c r="F31" i="23"/>
  <c r="C31" i="23"/>
  <c r="H29" i="23"/>
  <c r="F29" i="23"/>
  <c r="C29" i="23"/>
  <c r="F28" i="23"/>
  <c r="H24" i="23"/>
  <c r="F24" i="23"/>
  <c r="C24" i="23"/>
  <c r="H21" i="23"/>
  <c r="F21" i="23"/>
  <c r="C21" i="23"/>
  <c r="H19" i="23"/>
  <c r="F19" i="23"/>
  <c r="C19" i="23"/>
  <c r="F18" i="23"/>
  <c r="H13" i="23"/>
  <c r="F13" i="23"/>
  <c r="C13" i="23"/>
  <c r="H11" i="23"/>
  <c r="F11" i="23"/>
  <c r="C11" i="23"/>
  <c r="H9" i="23"/>
  <c r="F9" i="23"/>
  <c r="C9" i="23"/>
  <c r="F8" i="23"/>
  <c r="H42" i="22"/>
  <c r="F42" i="22"/>
  <c r="H40" i="22"/>
  <c r="F40" i="22"/>
  <c r="H38" i="22"/>
  <c r="F38" i="22"/>
  <c r="F37" i="22"/>
  <c r="H33" i="22"/>
  <c r="F33" i="22"/>
  <c r="C33" i="22"/>
  <c r="H31" i="22"/>
  <c r="F31" i="22"/>
  <c r="C31" i="22"/>
  <c r="H29" i="22"/>
  <c r="F29" i="22"/>
  <c r="C29" i="22"/>
  <c r="F28" i="22"/>
  <c r="H24" i="22"/>
  <c r="F24" i="22"/>
  <c r="C24" i="22"/>
  <c r="H21" i="22"/>
  <c r="F21" i="22"/>
  <c r="C21" i="22"/>
  <c r="H19" i="22"/>
  <c r="F19" i="22"/>
  <c r="C19" i="22"/>
  <c r="F18" i="22"/>
  <c r="H13" i="22"/>
  <c r="F13" i="22"/>
  <c r="C13" i="22"/>
  <c r="H11" i="22"/>
  <c r="F11" i="22"/>
  <c r="C11" i="22"/>
  <c r="H9" i="22"/>
  <c r="F9" i="22"/>
  <c r="C9" i="22"/>
  <c r="F8" i="22"/>
  <c r="H42" i="21"/>
  <c r="F42" i="21"/>
  <c r="C42" i="21"/>
  <c r="H40" i="21"/>
  <c r="F40" i="21"/>
  <c r="C40" i="21"/>
  <c r="H38" i="21"/>
  <c r="F38" i="21"/>
  <c r="C38" i="21"/>
  <c r="F37" i="21"/>
  <c r="H33" i="21"/>
  <c r="F33" i="21"/>
  <c r="C33" i="21"/>
  <c r="H31" i="21"/>
  <c r="F31" i="21"/>
  <c r="C31" i="21"/>
  <c r="H29" i="21"/>
  <c r="F29" i="21"/>
  <c r="C29" i="21"/>
  <c r="F28" i="21"/>
  <c r="H24" i="21"/>
  <c r="F24" i="21"/>
  <c r="C24" i="21"/>
  <c r="F21" i="21"/>
  <c r="C21" i="21"/>
  <c r="H19" i="21"/>
  <c r="F19" i="21"/>
  <c r="C19" i="21"/>
  <c r="F18" i="21"/>
  <c r="H13" i="21"/>
  <c r="F13" i="21"/>
  <c r="C13" i="21"/>
  <c r="H11" i="21"/>
  <c r="F11" i="21"/>
  <c r="C11" i="21"/>
  <c r="H9" i="21"/>
  <c r="F9" i="21"/>
  <c r="C9" i="21"/>
  <c r="F8" i="21"/>
  <c r="H42" i="20"/>
  <c r="F42" i="20"/>
  <c r="C42" i="20"/>
  <c r="H40" i="20"/>
  <c r="F40" i="20"/>
  <c r="C40" i="20"/>
  <c r="H38" i="20"/>
  <c r="F38" i="20"/>
  <c r="C38" i="20"/>
  <c r="F37" i="20"/>
  <c r="H33" i="20"/>
  <c r="F33" i="20"/>
  <c r="C33" i="20"/>
  <c r="H31" i="20"/>
  <c r="F31" i="20"/>
  <c r="C31" i="20"/>
  <c r="H29" i="20"/>
  <c r="F29" i="20"/>
  <c r="C29" i="20"/>
  <c r="F28" i="20"/>
  <c r="H24" i="20"/>
  <c r="F24" i="20"/>
  <c r="C24" i="20"/>
  <c r="H21" i="20"/>
  <c r="F21" i="20"/>
  <c r="C21" i="20"/>
  <c r="H19" i="20"/>
  <c r="F19" i="20"/>
  <c r="C19" i="20"/>
  <c r="F18" i="20"/>
  <c r="H13" i="20"/>
  <c r="F13" i="20"/>
  <c r="C13" i="20"/>
  <c r="H11" i="20"/>
  <c r="F11" i="20"/>
  <c r="C11" i="20"/>
  <c r="H9" i="20"/>
  <c r="F9" i="20"/>
  <c r="C9" i="20"/>
  <c r="F8" i="20"/>
  <c r="C33" i="2"/>
  <c r="C31" i="2"/>
  <c r="H33" i="2"/>
  <c r="H29" i="2"/>
  <c r="H42" i="2"/>
  <c r="H40" i="2"/>
  <c r="C42" i="2"/>
  <c r="C40" i="2"/>
  <c r="C29" i="2"/>
  <c r="H38" i="2"/>
  <c r="C38" i="2"/>
  <c r="F42" i="2" l="1"/>
  <c r="F40" i="2"/>
  <c r="F38" i="2"/>
  <c r="F37" i="2"/>
  <c r="F33" i="2"/>
  <c r="F31" i="2"/>
  <c r="F29" i="2"/>
  <c r="F28" i="2"/>
  <c r="C13" i="2"/>
  <c r="H13" i="2"/>
  <c r="F13" i="2"/>
  <c r="F8" i="2"/>
  <c r="F9" i="2"/>
  <c r="H24" i="2" l="1"/>
  <c r="H21" i="2"/>
  <c r="H19" i="2"/>
  <c r="C24" i="2"/>
  <c r="C21" i="2"/>
  <c r="C19" i="2"/>
  <c r="F24" i="2"/>
  <c r="F21" i="2"/>
  <c r="F19" i="2"/>
  <c r="F18" i="2"/>
  <c r="H11" i="2" l="1"/>
  <c r="F11" i="2" l="1"/>
  <c r="C9" i="2" l="1"/>
  <c r="H9" i="2"/>
  <c r="C11" i="2" l="1"/>
  <c r="G19" i="24"/>
  <c r="H19" i="24" s="1"/>
  <c r="H11" i="24"/>
  <c r="H13" i="24" l="1"/>
  <c r="H9" i="24"/>
</calcChain>
</file>

<file path=xl/sharedStrings.xml><?xml version="1.0" encoding="utf-8"?>
<sst xmlns="http://schemas.openxmlformats.org/spreadsheetml/2006/main" count="1242" uniqueCount="206">
  <si>
    <t>Geometry Optimization with B3LYP-D3(BJ)/def2-SVPD</t>
  </si>
  <si>
    <t>Thermochemistry calculations with ωB97X-D/def2-TZVP</t>
  </si>
  <si>
    <t>Structure name</t>
  </si>
  <si>
    <t>E (a. u.)</t>
  </si>
  <si>
    <r>
      <rPr>
        <b/>
        <sz val="12"/>
        <color theme="1"/>
        <rFont val="Symbol"/>
        <charset val="2"/>
      </rPr>
      <t>D</t>
    </r>
    <r>
      <rPr>
        <b/>
        <sz val="12"/>
        <color theme="1"/>
        <rFont val="Calibri"/>
        <family val="2"/>
        <scheme val="minor"/>
      </rPr>
      <t>E (kcal/mol)</t>
    </r>
  </si>
  <si>
    <t>Gibbs (a. u.)</t>
  </si>
  <si>
    <r>
      <rPr>
        <b/>
        <sz val="12"/>
        <color theme="1"/>
        <rFont val="Symbol"/>
        <charset val="2"/>
      </rPr>
      <t>D</t>
    </r>
    <r>
      <rPr>
        <b/>
        <sz val="12"/>
        <color theme="1"/>
        <rFont val="Calibri (Body)"/>
      </rPr>
      <t>G</t>
    </r>
    <r>
      <rPr>
        <b/>
        <sz val="12"/>
        <color theme="1"/>
        <rFont val="Calibri"/>
        <family val="2"/>
        <scheme val="minor"/>
      </rPr>
      <t xml:space="preserve"> (kcal/mol)</t>
    </r>
  </si>
  <si>
    <t>Notes</t>
  </si>
  <si>
    <t>Gibbs corrections (a.u.)</t>
  </si>
  <si>
    <t>Pierpaolo Morgante, Charitha Guruge, Yannick P. Ouedraogo, Nasri Nesnas*, Roberto Peverati*</t>
  </si>
  <si>
    <t>nesnas@fit.edu — rpeverati@fit.edu</t>
  </si>
  <si>
    <t>ωB97X-D/def2-TZVP</t>
  </si>
  <si>
    <t>M11/def2-TZVP</t>
  </si>
  <si>
    <t>MN15/def2-TZVP</t>
  </si>
  <si>
    <t>CAM-B3LYP/def2-TZVP</t>
  </si>
  <si>
    <t>LC-ωHPBE/def2-TZVP</t>
  </si>
  <si>
    <t>ωB97M-V/def2-TZVP</t>
  </si>
  <si>
    <r>
      <rPr>
        <u/>
        <sz val="12"/>
        <color theme="1"/>
        <rFont val="Calibri (Body)"/>
      </rPr>
      <t>Starting at the fourth sheet</t>
    </r>
    <r>
      <rPr>
        <sz val="12"/>
        <color theme="1"/>
        <rFont val="Calibri"/>
        <family val="2"/>
        <scheme val="minor"/>
      </rPr>
      <t>, we collected all the results divided per functional. The functional list is given below:</t>
    </r>
  </si>
  <si>
    <r>
      <rPr>
        <u/>
        <sz val="12"/>
        <color theme="1"/>
        <rFont val="Calibri (Body)"/>
      </rPr>
      <t>In the second sheet</t>
    </r>
    <r>
      <rPr>
        <sz val="12"/>
        <color theme="1"/>
        <rFont val="Calibri"/>
        <family val="2"/>
        <scheme val="minor"/>
      </rPr>
      <t>, called "</t>
    </r>
    <r>
      <rPr>
        <b/>
        <sz val="12"/>
        <color theme="1"/>
        <rFont val="Calibri"/>
        <family val="2"/>
        <scheme val="minor"/>
      </rPr>
      <t>MR_Diagnostics</t>
    </r>
    <r>
      <rPr>
        <sz val="12"/>
        <color theme="1"/>
        <rFont val="Calibri"/>
        <family val="2"/>
        <scheme val="minor"/>
      </rPr>
      <t>", we collected the data referring to Section SXX in the Supplementary Information.</t>
    </r>
  </si>
  <si>
    <r>
      <rPr>
        <u/>
        <sz val="12"/>
        <color theme="1"/>
        <rFont val="Calibri (Body)"/>
      </rPr>
      <t>In the last sheet</t>
    </r>
    <r>
      <rPr>
        <sz val="12"/>
        <color theme="1"/>
        <rFont val="Calibri"/>
        <family val="2"/>
        <scheme val="minor"/>
      </rPr>
      <t>, called "</t>
    </r>
    <r>
      <rPr>
        <b/>
        <sz val="12"/>
        <color theme="1"/>
        <rFont val="Calibri"/>
        <family val="2"/>
        <scheme val="minor"/>
      </rPr>
      <t>Gibbs_Corrections</t>
    </r>
    <r>
      <rPr>
        <sz val="12"/>
        <color theme="1"/>
        <rFont val="Calibri"/>
        <family val="2"/>
        <scheme val="minor"/>
      </rPr>
      <t>", we simply collected all the Gibbs free energy corrections (in Hartrees) to the electronic energies.</t>
    </r>
  </si>
  <si>
    <t>In each sheet, we present the electronic energies in Hartrees, the differences in electronic energies (∆E, in kcal/mol), Gibbs free energies in Hartrees, and the differences in Gibbs free energies (∆G, in kcal/mol).</t>
  </si>
  <si>
    <t>Photolysis of MDNI-Glu in water.</t>
  </si>
  <si>
    <t>MDNI-Glu (S)</t>
  </si>
  <si>
    <t>MDNI-Glu (T)</t>
  </si>
  <si>
    <t>𝛼-MDNI-Glu (S)</t>
  </si>
  <si>
    <t>𝛼-MDNI-Glu (T)</t>
  </si>
  <si>
    <t>Singlet #</t>
  </si>
  <si>
    <t>eV</t>
  </si>
  <si>
    <t>Triplet #</t>
  </si>
  <si>
    <t>State</t>
  </si>
  <si>
    <r>
      <t>SOC (cm</t>
    </r>
    <r>
      <rPr>
        <b/>
        <vertAlign val="superscript"/>
        <sz val="12"/>
        <color theme="1"/>
        <rFont val="Calibri (Body)"/>
      </rPr>
      <t>–1</t>
    </r>
    <r>
      <rPr>
        <b/>
        <sz val="12"/>
        <color theme="1"/>
        <rFont val="Calibri"/>
        <family val="2"/>
        <scheme val="minor"/>
      </rPr>
      <t>)</t>
    </r>
  </si>
  <si>
    <t>EXP</t>
  </si>
  <si>
    <r>
      <t>SOC</t>
    </r>
    <r>
      <rPr>
        <b/>
        <vertAlign val="superscript"/>
        <sz val="12"/>
        <color theme="1"/>
        <rFont val="Calibri (Body)"/>
      </rPr>
      <t>2</t>
    </r>
  </si>
  <si>
    <r>
      <t>K</t>
    </r>
    <r>
      <rPr>
        <b/>
        <vertAlign val="subscript"/>
        <sz val="12"/>
        <color theme="1"/>
        <rFont val="Calibri (Body)"/>
      </rPr>
      <t>ISC</t>
    </r>
    <r>
      <rPr>
        <b/>
        <sz val="12"/>
        <color theme="1"/>
        <rFont val="Calibri"/>
        <family val="2"/>
        <scheme val="minor"/>
      </rPr>
      <t xml:space="preserve"> (s</t>
    </r>
    <r>
      <rPr>
        <b/>
        <vertAlign val="superscript"/>
        <sz val="12"/>
        <color theme="1"/>
        <rFont val="Calibri (Body)"/>
      </rPr>
      <t>–1</t>
    </r>
    <r>
      <rPr>
        <b/>
        <sz val="12"/>
        <color theme="1"/>
        <rFont val="Calibri"/>
        <family val="2"/>
        <scheme val="minor"/>
      </rPr>
      <t>)</t>
    </r>
  </si>
  <si>
    <t>Useful Conversions</t>
  </si>
  <si>
    <t>1 eV</t>
  </si>
  <si>
    <t>kcal/mol</t>
  </si>
  <si>
    <t>ωB97X-D</t>
  </si>
  <si>
    <r>
      <t>S</t>
    </r>
    <r>
      <rPr>
        <vertAlign val="subscript"/>
        <sz val="12"/>
        <color theme="1"/>
        <rFont val="Calibri (Body)"/>
      </rPr>
      <t>2</t>
    </r>
  </si>
  <si>
    <t>Singlet</t>
  </si>
  <si>
    <r>
      <t>T</t>
    </r>
    <r>
      <rPr>
        <vertAlign val="subscript"/>
        <sz val="12"/>
        <color theme="1"/>
        <rFont val="Calibri (Body)"/>
      </rPr>
      <t>3</t>
    </r>
  </si>
  <si>
    <t>Triplet</t>
  </si>
  <si>
    <r>
      <t>&lt;S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&gt;</t>
    </r>
  </si>
  <si>
    <t>J/mol</t>
  </si>
  <si>
    <r>
      <t>1 cm</t>
    </r>
    <r>
      <rPr>
        <vertAlign val="superscript"/>
        <sz val="12"/>
        <color theme="1"/>
        <rFont val="Calibri (Body)"/>
      </rPr>
      <t>–1</t>
    </r>
  </si>
  <si>
    <r>
      <t>S</t>
    </r>
    <r>
      <rPr>
        <vertAlign val="subscript"/>
        <sz val="12"/>
        <color theme="1"/>
        <rFont val="Calibri (Body)"/>
      </rPr>
      <t>3</t>
    </r>
  </si>
  <si>
    <r>
      <t>T</t>
    </r>
    <r>
      <rPr>
        <vertAlign val="subscript"/>
        <sz val="12"/>
        <color theme="1"/>
        <rFont val="Calibri (Body)"/>
      </rPr>
      <t>5</t>
    </r>
  </si>
  <si>
    <t>R</t>
  </si>
  <si>
    <r>
      <t>J mol</t>
    </r>
    <r>
      <rPr>
        <vertAlign val="superscript"/>
        <sz val="12"/>
        <color theme="1"/>
        <rFont val="Calibri (Body)"/>
      </rPr>
      <t>–1</t>
    </r>
    <r>
      <rPr>
        <sz val="12"/>
        <color theme="1"/>
        <rFont val="Calibri"/>
        <family val="2"/>
        <scheme val="minor"/>
      </rPr>
      <t xml:space="preserve"> K</t>
    </r>
    <r>
      <rPr>
        <vertAlign val="superscript"/>
        <sz val="12"/>
        <color theme="1"/>
        <rFont val="Calibri (Body)"/>
      </rPr>
      <t>–1</t>
    </r>
  </si>
  <si>
    <t>T</t>
  </si>
  <si>
    <t>K</t>
  </si>
  <si>
    <r>
      <t>N</t>
    </r>
    <r>
      <rPr>
        <vertAlign val="subscript"/>
        <sz val="12"/>
        <color theme="1"/>
        <rFont val="Calibri (Body)"/>
      </rPr>
      <t>A</t>
    </r>
  </si>
  <si>
    <t>J</t>
  </si>
  <si>
    <t>h</t>
  </si>
  <si>
    <t>J s</t>
  </si>
  <si>
    <t>Time-Dependent Density Functional Theory (TD-DFT) Results</t>
  </si>
  <si>
    <t>All data from Q-Chem for ωB97X-D/def2-TZVP</t>
  </si>
  <si>
    <t>Structure</t>
  </si>
  <si>
    <t>State number</t>
  </si>
  <si>
    <t>Multiplicity</t>
  </si>
  <si>
    <t>Excitation (eV)</t>
  </si>
  <si>
    <t>Spin-Orbit Coupling Calculations</t>
  </si>
  <si>
    <t xml:space="preserve">The data with the orange background are the ones selected for the calculations in cells L5, L7, L9, L11, L13 </t>
  </si>
  <si>
    <t>Matrix elements</t>
  </si>
  <si>
    <r>
      <t>S</t>
    </r>
    <r>
      <rPr>
        <vertAlign val="subscript"/>
        <sz val="12"/>
        <color theme="1"/>
        <rFont val="Calibri (Body)"/>
      </rPr>
      <t>1</t>
    </r>
  </si>
  <si>
    <r>
      <t>T</t>
    </r>
    <r>
      <rPr>
        <vertAlign val="subscript"/>
        <sz val="12"/>
        <color theme="1"/>
        <rFont val="Calibri (Body)"/>
      </rPr>
      <t>1</t>
    </r>
  </si>
  <si>
    <r>
      <t>T</t>
    </r>
    <r>
      <rPr>
        <vertAlign val="subscript"/>
        <sz val="12"/>
        <color theme="1"/>
        <rFont val="Calibri (Body)"/>
      </rPr>
      <t>2</t>
    </r>
  </si>
  <si>
    <r>
      <t>T</t>
    </r>
    <r>
      <rPr>
        <vertAlign val="subscript"/>
        <sz val="12"/>
        <color theme="1"/>
        <rFont val="Calibri (Body)"/>
      </rPr>
      <t>4</t>
    </r>
  </si>
  <si>
    <r>
      <t>T</t>
    </r>
    <r>
      <rPr>
        <vertAlign val="subscript"/>
        <sz val="12"/>
        <color theme="1"/>
        <rFont val="Calibri (Body)"/>
      </rPr>
      <t>6</t>
    </r>
  </si>
  <si>
    <r>
      <t>T</t>
    </r>
    <r>
      <rPr>
        <vertAlign val="subscript"/>
        <sz val="12"/>
        <color theme="1"/>
        <rFont val="Calibri (Body)"/>
      </rPr>
      <t>7</t>
    </r>
  </si>
  <si>
    <r>
      <t>T</t>
    </r>
    <r>
      <rPr>
        <vertAlign val="subscript"/>
        <sz val="12"/>
        <color theme="1"/>
        <rFont val="Calibri (Body)"/>
      </rPr>
      <t>8</t>
    </r>
  </si>
  <si>
    <r>
      <t>T</t>
    </r>
    <r>
      <rPr>
        <vertAlign val="subscript"/>
        <sz val="12"/>
        <color theme="1"/>
        <rFont val="Calibri (Body)"/>
      </rPr>
      <t>9</t>
    </r>
  </si>
  <si>
    <r>
      <t>T</t>
    </r>
    <r>
      <rPr>
        <vertAlign val="subscript"/>
        <sz val="12"/>
        <color theme="1"/>
        <rFont val="Calibri (Body)"/>
      </rPr>
      <t>10</t>
    </r>
  </si>
  <si>
    <t>𝛼-MDNI-Glu</t>
  </si>
  <si>
    <t>MDNI-Glu</t>
  </si>
  <si>
    <t>𝛼-MNI-Glu</t>
  </si>
  <si>
    <t>MNI-Glu</t>
  </si>
  <si>
    <t>TS-Cyclic</t>
  </si>
  <si>
    <t>TS-Migration</t>
  </si>
  <si>
    <t>MNI-Glu (S)</t>
  </si>
  <si>
    <t>MNI-Glu (T)</t>
  </si>
  <si>
    <t>𝛼-MNI-Glu (S)</t>
  </si>
  <si>
    <t>𝛼-MNI-Glu (T)</t>
  </si>
  <si>
    <t>Thermochemistry calculations with MN15/def2-TZVP</t>
  </si>
  <si>
    <t>Thermochemistry calculations with LC-ωHPBE/def2-TZVP</t>
  </si>
  <si>
    <t>Thermochemistry calculations with CAM-B3LYP/def2-TZVP</t>
  </si>
  <si>
    <t>Thermochemistry calculations with M11/def2-TZVP</t>
  </si>
  <si>
    <t>Corrected</t>
  </si>
  <si>
    <t>Entropy</t>
  </si>
  <si>
    <t xml:space="preserve">                </t>
  </si>
  <si>
    <t xml:space="preserve"> Cal/Mol-Kelvin</t>
  </si>
  <si>
    <t xml:space="preserve"> Total          </t>
  </si>
  <si>
    <t>∆H (TS-Hydrolysis)</t>
  </si>
  <si>
    <t>-T∆S (TS-Hydrolysis)</t>
  </si>
  <si>
    <t xml:space="preserve"> Electronic     </t>
  </si>
  <si>
    <t xml:space="preserve"> Translational  </t>
  </si>
  <si>
    <t xml:space="preserve"> Rotational     </t>
  </si>
  <si>
    <t xml:space="preserve"> Vibrational    </t>
  </si>
  <si>
    <t xml:space="preserve"> Vibration     1</t>
  </si>
  <si>
    <t xml:space="preserve"> Vibration     2</t>
  </si>
  <si>
    <t xml:space="preserve"> Vibration     3</t>
  </si>
  <si>
    <t>TS-Cyclization 𝛼-MDNI-Glu</t>
  </si>
  <si>
    <t>∆G (TS-Cyclization)</t>
  </si>
  <si>
    <t>Uncorrected</t>
  </si>
  <si>
    <r>
      <t>All values are Gibbs free energies in kcal mol</t>
    </r>
    <r>
      <rPr>
        <vertAlign val="superscript"/>
        <sz val="12"/>
        <color theme="1"/>
        <rFont val="Calibri (Body)"/>
      </rPr>
      <t>–1</t>
    </r>
  </si>
  <si>
    <t>M11</t>
  </si>
  <si>
    <t>MN15</t>
  </si>
  <si>
    <t>CAM-B3LYP</t>
  </si>
  <si>
    <t>LC-ωHPBE</t>
  </si>
  <si>
    <t>ωB97M-V</t>
  </si>
  <si>
    <t>AVERAGE</t>
  </si>
  <si>
    <t>MIN</t>
  </si>
  <si>
    <t>MAX</t>
  </si>
  <si>
    <t>Gibbs' corrections for MDNI</t>
  </si>
  <si>
    <t>All values in Hartrees</t>
  </si>
  <si>
    <r>
      <rPr>
        <u/>
        <sz val="12"/>
        <color theme="1"/>
        <rFont val="Calibri (Body)"/>
      </rPr>
      <t>In the first sheet</t>
    </r>
    <r>
      <rPr>
        <sz val="12"/>
        <color theme="1"/>
        <rFont val="Calibri"/>
        <family val="2"/>
        <scheme val="minor"/>
      </rPr>
      <t>, called "</t>
    </r>
    <r>
      <rPr>
        <b/>
        <sz val="12"/>
        <color theme="1"/>
        <rFont val="Calibri"/>
        <family val="2"/>
        <scheme val="minor"/>
      </rPr>
      <t>General</t>
    </r>
    <r>
      <rPr>
        <sz val="12"/>
        <color theme="1"/>
        <rFont val="Calibri"/>
        <family val="2"/>
        <scheme val="minor"/>
      </rPr>
      <t>", we collected all the data for the calculated Gibbs Free Energies of the reaction, that are presented in the different figures in the main text and Supplementary Information.</t>
    </r>
  </si>
  <si>
    <t>TS-Cyclization</t>
  </si>
  <si>
    <t/>
  </si>
  <si>
    <t>TS-Cyclization (Corrected)</t>
  </si>
  <si>
    <t>TS-Cyclization (Uncorrected)</t>
  </si>
  <si>
    <t>⟵ This structure is a TS according to B3LYP-D3(BJ)/def2-SVPD</t>
  </si>
  <si>
    <t>𝛼-MDNI-Ac (Singlet)</t>
  </si>
  <si>
    <t>𝛼-MDNI-Ac (Triplet)</t>
  </si>
  <si>
    <t>In addition, we included all the negative eigenvalues, the corresponding entropy contributions, and the corrections for each structure with more than one negative eigenvalue (the cyclization step for 𝛼-MDNI-Glu).</t>
  </si>
  <si>
    <t>This is a TS for                                       B3LYP-D3(BJ)/def2-SVPD</t>
  </si>
  <si>
    <t>For ωB97M-V, we did not perform frequency calculations, but we used the average corrections to Gibbs' free energy to calculate the corresponding value.</t>
  </si>
  <si>
    <t>The functional DSD-PBEP86-D3(BJ) has not been included due to its prohibitive cost.</t>
  </si>
  <si>
    <t>General results for MDNI-Glu with various functionals and the def2-TZVP basis set.</t>
  </si>
  <si>
    <t>MDNI-Glu (Singlet)</t>
  </si>
  <si>
    <t>MDNI-Glu (Triplet)</t>
  </si>
  <si>
    <t>Cyclization TS, MDNI-Glu</t>
  </si>
  <si>
    <t>Migration TS, MDNI-Glu</t>
  </si>
  <si>
    <t>𝛼-MDNI-Glu (Singlet)</t>
  </si>
  <si>
    <t>𝛼-MDNI-Glu (Triplet)</t>
  </si>
  <si>
    <t>Migration TS, 𝛼-MDNI-Glu</t>
  </si>
  <si>
    <t>Cyclization TS, 𝛼-MDNI-Glu, Uncorrected</t>
  </si>
  <si>
    <t>MNI-Glu (Singlet)</t>
  </si>
  <si>
    <t>MNI-Glu (Triplet)</t>
  </si>
  <si>
    <t>Cyclization TS, MNI-Glu</t>
  </si>
  <si>
    <t>Migration TS, MNI-Glu</t>
  </si>
  <si>
    <t>𝛼-MNI-Glu (Singlet)</t>
  </si>
  <si>
    <t>𝛼-MNI-Glu (Triplet)</t>
  </si>
  <si>
    <t>Migration TS, 𝛼-MNI-Glu</t>
  </si>
  <si>
    <t>This is a TS for                                                  B3LYP-D3(BJ)/def2-SVPD</t>
  </si>
  <si>
    <t>Cyclization TS, 𝛼-MDNI-Glu, Corrected</t>
  </si>
  <si>
    <t>Cyclization TS, 𝛼-MNI-Glu</t>
  </si>
  <si>
    <t>Geometry Optimization with B3LYP-D3(BJ)/def2-SVPD; Thermochemistry calculations as corrected single-point energies with ωB97M-V/def2-TZVP</t>
  </si>
  <si>
    <t>This Excel file contains the detailed results for all the functionals used in this work. It includes 9 sheets.</t>
  </si>
  <si>
    <t>Results for Caged Glutamate</t>
  </si>
  <si>
    <t>Competition Between Cyclization and Unusual Norrish Type I and Type II Nitro-Acyl Migration Pathways 
in the Photouncaging of 1-Acyl-7-nitroindoline Revealed by Computations</t>
  </si>
  <si>
    <t>SOC (eV)</t>
  </si>
  <si>
    <t>∆E (eV)</t>
  </si>
  <si>
    <t>λ (eV)</t>
  </si>
  <si>
    <r>
      <t>log(K</t>
    </r>
    <r>
      <rPr>
        <b/>
        <vertAlign val="subscript"/>
        <sz val="12"/>
        <color theme="1"/>
        <rFont val="Calibri (Body)"/>
      </rPr>
      <t>ISC</t>
    </r>
    <r>
      <rPr>
        <b/>
        <sz val="12"/>
        <color theme="1"/>
        <rFont val="Calibri"/>
        <family val="2"/>
        <scheme val="minor"/>
      </rPr>
      <t>)</t>
    </r>
  </si>
  <si>
    <t xml:space="preserve">|∆E| (eV) </t>
  </si>
  <si>
    <t>Final state</t>
  </si>
  <si>
    <t>Orbitals involved in the transition</t>
  </si>
  <si>
    <t>Type</t>
  </si>
  <si>
    <r>
      <t>&lt;S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&gt;</t>
    </r>
  </si>
  <si>
    <t>HOMO</t>
  </si>
  <si>
    <t>LUMO</t>
  </si>
  <si>
    <t>𝜋 ⟶ 𝜋*</t>
  </si>
  <si>
    <r>
      <t>&lt;S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&gt;</t>
    </r>
  </si>
  <si>
    <t>𝜎 ⟶ 𝜋*</t>
  </si>
  <si>
    <r>
      <t>T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</si>
  <si>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r>
      <t>&lt;S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&gt;</t>
    </r>
  </si>
  <si>
    <r>
      <t>T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/>
    </r>
  </si>
  <si>
    <r>
      <t>&lt;S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4</t>
    </r>
    <r>
      <rPr>
        <b/>
        <sz val="12"/>
        <color theme="1"/>
        <rFont val="Calibri"/>
        <family val="2"/>
        <scheme val="minor"/>
      </rPr>
      <t>&gt;</t>
    </r>
  </si>
  <si>
    <r>
      <t>T</t>
    </r>
    <r>
      <rPr>
        <vertAlign val="sub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/>
    </r>
  </si>
  <si>
    <r>
      <t>T</t>
    </r>
    <r>
      <rPr>
        <vertAlign val="sub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/>
    </r>
  </si>
  <si>
    <r>
      <t>&lt;S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</si>
  <si>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&gt;</t>
    </r>
  </si>
  <si>
    <t>eV s</t>
  </si>
  <si>
    <r>
      <t>&lt;S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4</t>
    </r>
    <r>
      <rPr>
        <b/>
        <sz val="12"/>
        <color theme="1"/>
        <rFont val="Calibri"/>
        <family val="2"/>
        <scheme val="minor"/>
      </rPr>
      <t>&gt;</t>
    </r>
  </si>
  <si>
    <r>
      <t>4𝜋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/h</t>
    </r>
  </si>
  <si>
    <r>
      <t>eV</t>
    </r>
    <r>
      <rPr>
        <vertAlign val="superscript"/>
        <sz val="12"/>
        <color theme="1"/>
        <rFont val="Calibri (Body)"/>
      </rPr>
      <t>–1</t>
    </r>
    <r>
      <rPr>
        <sz val="12"/>
        <color theme="1"/>
        <rFont val="Calibri"/>
        <family val="2"/>
        <scheme val="minor"/>
      </rPr>
      <t xml:space="preserve"> s</t>
    </r>
    <r>
      <rPr>
        <vertAlign val="superscript"/>
        <sz val="12"/>
        <color theme="1"/>
        <rFont val="Calibri (Body)"/>
      </rPr>
      <t>–1</t>
    </r>
  </si>
  <si>
    <r>
      <t>eV K</t>
    </r>
    <r>
      <rPr>
        <vertAlign val="superscript"/>
        <sz val="12"/>
        <color theme="1"/>
        <rFont val="Calibri (Body)"/>
      </rPr>
      <t>–1</t>
    </r>
  </si>
  <si>
    <t>LUMO+1</t>
  </si>
  <si>
    <r>
      <t>&lt;S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5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</si>
  <si>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5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</si>
  <si>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6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</si>
  <si>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7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</si>
  <si>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</si>
  <si>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</si>
  <si>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</si>
  <si>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4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</si>
  <si>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5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</si>
  <si>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6</t>
    </r>
    <r>
      <rPr>
        <b/>
        <sz val="12"/>
        <color theme="1"/>
        <rFont val="Calibri"/>
        <family val="2"/>
        <scheme val="minor"/>
      </rPr>
      <t>&gt;</t>
    </r>
  </si>
  <si>
    <r>
      <t>&lt;S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|T</t>
    </r>
    <r>
      <rPr>
        <b/>
        <vertAlign val="subscript"/>
        <sz val="12"/>
        <color theme="1"/>
        <rFont val="Calibri (Body)"/>
      </rPr>
      <t>7</t>
    </r>
    <r>
      <rPr>
        <b/>
        <sz val="12"/>
        <color theme="1"/>
        <rFont val="Calibri"/>
        <family val="2"/>
        <scheme val="minor"/>
      </rPr>
      <t>&gt;</t>
    </r>
  </si>
  <si>
    <t>λ (0.10)</t>
  </si>
  <si>
    <t>λ (0.15)</t>
  </si>
  <si>
    <t>λ (0.20)</t>
  </si>
  <si>
    <r>
      <t>SUM 
K</t>
    </r>
    <r>
      <rPr>
        <b/>
        <vertAlign val="subscript"/>
        <sz val="12"/>
        <color theme="1"/>
        <rFont val="Calibri (Body)"/>
      </rPr>
      <t>ISC</t>
    </r>
    <r>
      <rPr>
        <b/>
        <sz val="12"/>
        <color theme="1"/>
        <rFont val="Calibri"/>
        <family val="2"/>
        <scheme val="minor"/>
      </rPr>
      <t xml:space="preserve"> (s</t>
    </r>
    <r>
      <rPr>
        <b/>
        <vertAlign val="superscript"/>
        <sz val="12"/>
        <color theme="1"/>
        <rFont val="Calibri (Body)"/>
      </rPr>
      <t>–1</t>
    </r>
    <r>
      <rPr>
        <b/>
        <sz val="12"/>
        <color theme="1"/>
        <rFont val="Calibri"/>
        <family val="2"/>
        <scheme val="minor"/>
      </rPr>
      <t>)</t>
    </r>
  </si>
  <si>
    <t>|∆E| (eV)</t>
  </si>
  <si>
    <r>
      <t>MNI-Glu, S</t>
    </r>
    <r>
      <rPr>
        <b/>
        <vertAlign val="subscript"/>
        <sz val="12"/>
        <color theme="1"/>
        <rFont val="Calibri (Body)"/>
      </rPr>
      <t>1</t>
    </r>
  </si>
  <si>
    <r>
      <t>MDNI-Glu, S</t>
    </r>
    <r>
      <rPr>
        <b/>
        <vertAlign val="subscript"/>
        <sz val="12"/>
        <color theme="1"/>
        <rFont val="Calibri (Body)"/>
      </rPr>
      <t>1</t>
    </r>
  </si>
  <si>
    <r>
      <t>a-MNI-Glu, S</t>
    </r>
    <r>
      <rPr>
        <b/>
        <vertAlign val="subscript"/>
        <sz val="12"/>
        <color theme="1"/>
        <rFont val="Calibri (Body)"/>
      </rPr>
      <t>1</t>
    </r>
  </si>
  <si>
    <r>
      <t>a-MDNI-Glu, S</t>
    </r>
    <r>
      <rPr>
        <b/>
        <vertAlign val="subscript"/>
        <sz val="12"/>
        <color theme="1"/>
        <rFont val="Calibri (Body)"/>
      </rPr>
      <t>1</t>
    </r>
  </si>
  <si>
    <r>
      <rPr>
        <u/>
        <sz val="12"/>
        <color theme="1"/>
        <rFont val="Calibri (Body)"/>
      </rPr>
      <t>In the third sheet</t>
    </r>
    <r>
      <rPr>
        <sz val="12"/>
        <color theme="1"/>
        <rFont val="Calibri"/>
        <family val="2"/>
        <scheme val="minor"/>
      </rPr>
      <t>, called "</t>
    </r>
    <r>
      <rPr>
        <b/>
        <sz val="12"/>
        <color theme="1"/>
        <rFont val="Calibri"/>
        <family val="2"/>
        <scheme val="minor"/>
      </rPr>
      <t>QY_Calculations</t>
    </r>
    <r>
      <rPr>
        <sz val="12"/>
        <color theme="1"/>
        <rFont val="Calibri"/>
        <family val="2"/>
        <scheme val="minor"/>
      </rPr>
      <t>", we report all the data from the Time-Dependent DFT and Spin-Orbit coupling calculations. We considered MDNI-Glu, MNI-Glu, 𝛼-MDNI-Glu, and 𝛼-MNI-Glu.</t>
    </r>
  </si>
  <si>
    <t>SUM of K</t>
  </si>
  <si>
    <t>Ratio MDNI/MNI</t>
  </si>
  <si>
    <t>Used in plotting</t>
  </si>
  <si>
    <t>Change this value ↓ to re-calculate the constants</t>
  </si>
  <si>
    <t>Shifted by</t>
  </si>
  <si>
    <r>
      <rPr>
        <b/>
        <i/>
        <sz val="12"/>
        <color theme="1"/>
        <rFont val="Calibri"/>
        <family val="2"/>
        <scheme val="minor"/>
      </rPr>
      <t>k</t>
    </r>
    <r>
      <rPr>
        <b/>
        <vertAlign val="subscript"/>
        <sz val="12"/>
        <color theme="1"/>
        <rFont val="Calibri (Body)"/>
      </rPr>
      <t>ISC</t>
    </r>
    <r>
      <rPr>
        <b/>
        <sz val="12"/>
        <color theme="1"/>
        <rFont val="Calibri"/>
        <family val="2"/>
        <scheme val="minor"/>
      </rPr>
      <t xml:space="preserve"> (s</t>
    </r>
    <r>
      <rPr>
        <b/>
        <vertAlign val="superscript"/>
        <sz val="12"/>
        <color theme="1"/>
        <rFont val="Calibri (Body)"/>
      </rPr>
      <t>–1</t>
    </r>
    <r>
      <rPr>
        <b/>
        <sz val="12"/>
        <color theme="1"/>
        <rFont val="Calibri"/>
        <family val="2"/>
        <scheme val="minor"/>
      </rPr>
      <t>)</t>
    </r>
  </si>
  <si>
    <r>
      <t>log(</t>
    </r>
    <r>
      <rPr>
        <b/>
        <i/>
        <sz val="12"/>
        <color theme="1"/>
        <rFont val="Calibri"/>
        <family val="2"/>
        <scheme val="minor"/>
      </rPr>
      <t>k</t>
    </r>
    <r>
      <rPr>
        <b/>
        <vertAlign val="subscript"/>
        <sz val="12"/>
        <color theme="1"/>
        <rFont val="Calibri (Body)"/>
      </rPr>
      <t>ISC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</si>
</sst>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000"/>
    <numFmt numFmtId="167" formatCode="0.0"/>
    <numFmt numFmtId="168" formatCode="0.000000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b/>
      <sz val="12"/>
      <color theme="1"/>
      <name val="Calibri (Body)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 (Body)"/>
    </font>
    <font>
      <b/>
      <vertAlign val="super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165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1" xfId="0" applyFont="1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2" fillId="0" borderId="0" xfId="0" applyFont="1" applyAlignment="1">
      <alignment horizontal="left" vertical="center"/>
    </xf>
    <xf numFmtId="16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/>
    </xf>
    <xf numFmtId="0" fontId="0" fillId="3" borderId="0" xfId="0" applyFill="1"/>
    <xf numFmtId="165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MDNI-Glu_010</c:v>
          </c:tx>
          <c:spPr>
            <a:ln w="254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QY_Calculations!$AT$11:$AT$15</c:f>
              <c:numCache>
                <c:formatCode>0.0000</c:formatCode>
                <c:ptCount val="5"/>
                <c:pt idx="0">
                  <c:v>0.62490000000000012</c:v>
                </c:pt>
                <c:pt idx="1">
                  <c:v>0.28650000000000009</c:v>
                </c:pt>
                <c:pt idx="2">
                  <c:v>0.16330000000000036</c:v>
                </c:pt>
                <c:pt idx="3">
                  <c:v>0.11140000000000008</c:v>
                </c:pt>
                <c:pt idx="4">
                  <c:v>0.1</c:v>
                </c:pt>
              </c:numCache>
            </c:numRef>
          </c:xVal>
          <c:yVal>
            <c:numRef>
              <c:f>QY_Calculations!$AO$11:$AO$15</c:f>
              <c:numCache>
                <c:formatCode>0.00</c:formatCode>
                <c:ptCount val="5"/>
                <c:pt idx="0">
                  <c:v>3.6745813350775278</c:v>
                </c:pt>
                <c:pt idx="1">
                  <c:v>15.472378364944726</c:v>
                </c:pt>
                <c:pt idx="2">
                  <c:v>17.364339662632741</c:v>
                </c:pt>
                <c:pt idx="3">
                  <c:v>17.777324679036408</c:v>
                </c:pt>
                <c:pt idx="4">
                  <c:v>17.837543393727863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DA-DB44-8E76-3454F4C25CF9}"/>
            </c:ext>
          </c:extLst>
        </c:ser>
        <c:ser>
          <c:idx val="1"/>
          <c:order val="1"/>
          <c:tx>
            <c:v>MNI-Glu_010</c:v>
          </c:tx>
          <c:spPr>
            <a:ln w="25400">
              <a:prstDash val="dash"/>
            </a:ln>
          </c:spPr>
          <c:marker>
            <c:symbol val="square"/>
            <c:size val="10"/>
            <c:spPr>
              <a:solidFill>
                <a:schemeClr val="accent2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QY_Calculations!$AT$6:$AT$8</c:f>
              <c:numCache>
                <c:formatCode>0.0000</c:formatCode>
                <c:ptCount val="3"/>
                <c:pt idx="0">
                  <c:v>0.62780000000000002</c:v>
                </c:pt>
                <c:pt idx="1">
                  <c:v>0.46330000000000016</c:v>
                </c:pt>
                <c:pt idx="2">
                  <c:v>0.1</c:v>
                </c:pt>
              </c:numCache>
            </c:numRef>
          </c:xVal>
          <c:yVal>
            <c:numRef>
              <c:f>QY_Calculations!$AO$6:$AO$8</c:f>
              <c:numCache>
                <c:formatCode>0.00</c:formatCode>
                <c:ptCount val="3"/>
                <c:pt idx="0">
                  <c:v>7.1541196683555608</c:v>
                </c:pt>
                <c:pt idx="1">
                  <c:v>13.045570079103634</c:v>
                </c:pt>
                <c:pt idx="2">
                  <c:v>17.953797207142735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DA-DB44-8E76-3454F4C25CF9}"/>
            </c:ext>
          </c:extLst>
        </c:ser>
        <c:ser>
          <c:idx val="2"/>
          <c:order val="2"/>
          <c:tx>
            <c:v>MDNI-Glu_015</c:v>
          </c:tx>
          <c:spPr>
            <a:ln w="38100">
              <a:prstDash val="solid"/>
            </a:ln>
          </c:spPr>
          <c:marker>
            <c:symbol val="circle"/>
            <c:size val="10"/>
            <c:spPr>
              <a:solidFill>
                <a:schemeClr val="accent3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QY_Calculations!$AT$11:$AT$15</c:f>
              <c:numCache>
                <c:formatCode>0.0000</c:formatCode>
                <c:ptCount val="5"/>
                <c:pt idx="0">
                  <c:v>0.62490000000000012</c:v>
                </c:pt>
                <c:pt idx="1">
                  <c:v>0.28650000000000009</c:v>
                </c:pt>
                <c:pt idx="2">
                  <c:v>0.16330000000000036</c:v>
                </c:pt>
                <c:pt idx="3">
                  <c:v>0.11140000000000008</c:v>
                </c:pt>
                <c:pt idx="4">
                  <c:v>0.1</c:v>
                </c:pt>
              </c:numCache>
            </c:numRef>
          </c:xVal>
          <c:yVal>
            <c:numRef>
              <c:f>QY_Calculations!$AQ$11:$AQ$15</c:f>
              <c:numCache>
                <c:formatCode>0.00</c:formatCode>
                <c:ptCount val="5"/>
                <c:pt idx="0">
                  <c:v>9.9213316478677314</c:v>
                </c:pt>
                <c:pt idx="1">
                  <c:v>16.833172332032348</c:v>
                </c:pt>
                <c:pt idx="2">
                  <c:v>17.747394687216762</c:v>
                </c:pt>
                <c:pt idx="3">
                  <c:v>17.876502766340298</c:v>
                </c:pt>
                <c:pt idx="4">
                  <c:v>17.884531928299161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DA-DB44-8E76-3454F4C25CF9}"/>
            </c:ext>
          </c:extLst>
        </c:ser>
        <c:ser>
          <c:idx val="3"/>
          <c:order val="3"/>
          <c:tx>
            <c:v>MNI-Glu_015</c:v>
          </c:tx>
          <c:spPr>
            <a:ln w="38100">
              <a:prstDash val="solid"/>
            </a:ln>
          </c:spPr>
          <c:marker>
            <c:symbol val="square"/>
            <c:size val="10"/>
            <c:spPr>
              <a:solidFill>
                <a:schemeClr val="accent4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QY_Calculations!$AT$6:$AT$8</c:f>
              <c:numCache>
                <c:formatCode>0.0000</c:formatCode>
                <c:ptCount val="3"/>
                <c:pt idx="0">
                  <c:v>0.62780000000000002</c:v>
                </c:pt>
                <c:pt idx="1">
                  <c:v>0.46330000000000016</c:v>
                </c:pt>
                <c:pt idx="2">
                  <c:v>0.1</c:v>
                </c:pt>
              </c:numCache>
            </c:numRef>
          </c:xVal>
          <c:yVal>
            <c:numRef>
              <c:f>QY_Calculations!$AQ$6:$AQ$8</c:f>
              <c:numCache>
                <c:formatCode>0.00</c:formatCode>
                <c:ptCount val="3"/>
                <c:pt idx="0">
                  <c:v>12.0277580594265</c:v>
                </c:pt>
                <c:pt idx="1">
                  <c:v>15.491954072826056</c:v>
                </c:pt>
                <c:pt idx="2">
                  <c:v>17.74059863549979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DA-DB44-8E76-3454F4C25CF9}"/>
            </c:ext>
          </c:extLst>
        </c:ser>
        <c:ser>
          <c:idx val="4"/>
          <c:order val="4"/>
          <c:tx>
            <c:v>MDNI-Glu_020</c:v>
          </c:tx>
          <c:spPr>
            <a:ln w="25400">
              <a:solidFill>
                <a:srgbClr val="FF0000"/>
              </a:solidFill>
              <a:prstDash val="lgDashDot"/>
            </a:ln>
          </c:spPr>
          <c:marker>
            <c:symbol val="circle"/>
            <c:size val="1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QY_Calculations!$AT$11:$AT$15</c:f>
              <c:numCache>
                <c:formatCode>0.0000</c:formatCode>
                <c:ptCount val="5"/>
                <c:pt idx="0">
                  <c:v>0.62490000000000012</c:v>
                </c:pt>
                <c:pt idx="1">
                  <c:v>0.28650000000000009</c:v>
                </c:pt>
                <c:pt idx="2">
                  <c:v>0.16330000000000036</c:v>
                </c:pt>
                <c:pt idx="3">
                  <c:v>0.11140000000000008</c:v>
                </c:pt>
                <c:pt idx="4">
                  <c:v>0.1</c:v>
                </c:pt>
              </c:numCache>
            </c:numRef>
          </c:xVal>
          <c:yVal>
            <c:numRef>
              <c:f>QY_Calculations!$AS$11:$AS$15</c:f>
              <c:numCache>
                <c:formatCode>0.00</c:formatCode>
                <c:ptCount val="5"/>
                <c:pt idx="0">
                  <c:v>12.920613382842854</c:v>
                </c:pt>
                <c:pt idx="1">
                  <c:v>17.389475894156185</c:v>
                </c:pt>
                <c:pt idx="2">
                  <c:v>17.814828778088792</c:v>
                </c:pt>
                <c:pt idx="3">
                  <c:v>17.801998388572269</c:v>
                </c:pt>
                <c:pt idx="4">
                  <c:v>17.783932774164832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DA-DB44-8E76-3454F4C25CF9}"/>
            </c:ext>
          </c:extLst>
        </c:ser>
        <c:ser>
          <c:idx val="5"/>
          <c:order val="5"/>
          <c:tx>
            <c:v>MNI-Glu_020</c:v>
          </c:tx>
          <c:spPr>
            <a:ln w="25400">
              <a:prstDash val="lgDashDot"/>
            </a:ln>
          </c:spPr>
          <c:marker>
            <c:symbol val="square"/>
            <c:size val="10"/>
            <c:spPr>
              <a:solidFill>
                <a:schemeClr val="accent6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QY_Calculations!$AT$6:$AT$8</c:f>
              <c:numCache>
                <c:formatCode>0.0000</c:formatCode>
                <c:ptCount val="3"/>
                <c:pt idx="0">
                  <c:v>0.62780000000000002</c:v>
                </c:pt>
                <c:pt idx="1">
                  <c:v>0.46330000000000016</c:v>
                </c:pt>
                <c:pt idx="2">
                  <c:v>0.1</c:v>
                </c:pt>
              </c:numCache>
            </c:numRef>
          </c:xVal>
          <c:yVal>
            <c:numRef>
              <c:f>QY_Calculations!$AS$6:$AS$8</c:f>
              <c:numCache>
                <c:formatCode>0.00</c:formatCode>
                <c:ptCount val="3"/>
                <c:pt idx="0">
                  <c:v>14.340483833541992</c:v>
                </c:pt>
                <c:pt idx="1">
                  <c:v>16.59105264826729</c:v>
                </c:pt>
                <c:pt idx="2">
                  <c:v>17.509905928258341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DA-DB44-8E76-3454F4C25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945072"/>
        <c:axId val="1508946704"/>
      </c:scatterChart>
      <c:valAx>
        <c:axId val="1508945072"/>
        <c:scaling>
          <c:orientation val="minMax"/>
          <c:max val="0.65000000000000013"/>
          <c:min val="0.1"/>
        </c:scaling>
        <c:delete val="0"/>
        <c:axPos val="b"/>
        <c:title>
          <c:tx>
            <c:rich>
              <a:bodyPr rot="0"/>
              <a:lstStyle/>
              <a:p>
                <a:pPr>
                  <a:defRPr sz="1400">
                    <a:latin typeface="Helvetica" pitchFamily="2" charset="0"/>
                  </a:defRPr>
                </a:pPr>
                <a:r>
                  <a:rPr lang="en-US" sz="1400">
                    <a:latin typeface="Helvetica" pitchFamily="2" charset="0"/>
                  </a:rPr>
                  <a:t>|∆E</a:t>
                </a:r>
                <a:r>
                  <a:rPr lang="en-US" sz="1400" baseline="-25000">
                    <a:latin typeface="Helvetica" pitchFamily="2" charset="0"/>
                  </a:rPr>
                  <a:t>ST</a:t>
                </a:r>
                <a:r>
                  <a:rPr lang="en-US" sz="1400" baseline="0">
                    <a:latin typeface="Helvetica" pitchFamily="2" charset="0"/>
                  </a:rPr>
                  <a:t>|, </a:t>
                </a:r>
                <a:r>
                  <a:rPr lang="en-US" sz="1400">
                    <a:latin typeface="Helvetica" pitchFamily="2" charset="0"/>
                  </a:rPr>
                  <a:t>eV</a:t>
                </a:r>
              </a:p>
            </c:rich>
          </c:tx>
          <c:overlay val="0"/>
        </c:title>
        <c:numFmt formatCode="0.0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508946704"/>
        <c:crosses val="autoZero"/>
        <c:crossBetween val="midCat"/>
        <c:majorUnit val="0.1"/>
        <c:minorUnit val="2.5000000000000005E-2"/>
      </c:valAx>
      <c:valAx>
        <c:axId val="1508946704"/>
        <c:scaling>
          <c:orientation val="minMax"/>
          <c:max val="18"/>
          <c:min val="12"/>
        </c:scaling>
        <c:delete val="0"/>
        <c:axPos val="l"/>
        <c:title>
          <c:tx>
            <c:rich>
              <a:bodyPr/>
              <a:lstStyle/>
              <a:p>
                <a:pPr>
                  <a:defRPr sz="1400">
                    <a:latin typeface="Helvetica" pitchFamily="2" charset="0"/>
                  </a:defRPr>
                </a:pPr>
                <a:r>
                  <a:rPr lang="en-US" sz="1400">
                    <a:latin typeface="Helvetica" pitchFamily="2" charset="0"/>
                  </a:rPr>
                  <a:t>log(</a:t>
                </a:r>
                <a:r>
                  <a:rPr lang="en-US" sz="1400" i="1">
                    <a:latin typeface="Helvetica" pitchFamily="2" charset="0"/>
                  </a:rPr>
                  <a:t>k</a:t>
                </a:r>
                <a:r>
                  <a:rPr lang="en-US" sz="1400" baseline="-25000">
                    <a:latin typeface="Helvetica" pitchFamily="2" charset="0"/>
                  </a:rPr>
                  <a:t>ISC</a:t>
                </a:r>
                <a:r>
                  <a:rPr lang="en-US" sz="1400">
                    <a:latin typeface="Helvetica" pitchFamily="2" charset="0"/>
                  </a:rPr>
                  <a:t>)</a:t>
                </a:r>
              </a:p>
            </c:rich>
          </c:tx>
          <c:overlay val="0"/>
        </c:title>
        <c:numFmt formatCode="0.0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508945072"/>
        <c:crosses val="autoZero"/>
        <c:crossBetween val="midCat"/>
        <c:majorUnit val="1"/>
        <c:minorUnit val="0.2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aMDNI-Glu_010</c:v>
          </c:tx>
          <c:spPr>
            <a:ln w="25400">
              <a:prstDash val="dash"/>
            </a:ln>
          </c:spPr>
          <c:marker>
            <c:symbol val="triangle"/>
            <c:size val="10"/>
            <c:spPr>
              <a:ln w="25400">
                <a:solidFill>
                  <a:schemeClr val="tx1"/>
                </a:solidFill>
              </a:ln>
            </c:spPr>
          </c:marker>
          <c:xVal>
            <c:numRef>
              <c:f>QY_Calculations!$AT$76:$AT$80</c:f>
              <c:numCache>
                <c:formatCode>0.0000</c:formatCode>
                <c:ptCount val="5"/>
                <c:pt idx="0">
                  <c:v>0.62649999999999995</c:v>
                </c:pt>
                <c:pt idx="1">
                  <c:v>0.29790000000000016</c:v>
                </c:pt>
                <c:pt idx="2">
                  <c:v>0.14059999999999997</c:v>
                </c:pt>
                <c:pt idx="3">
                  <c:v>0.1032000000000001</c:v>
                </c:pt>
                <c:pt idx="4">
                  <c:v>0.1</c:v>
                </c:pt>
              </c:numCache>
            </c:numRef>
          </c:xVal>
          <c:yVal>
            <c:numRef>
              <c:f>QY_Calculations!$AO$76:$AO$80</c:f>
              <c:numCache>
                <c:formatCode>0.00</c:formatCode>
                <c:ptCount val="5"/>
                <c:pt idx="0">
                  <c:v>4.4168955294354841</c:v>
                </c:pt>
                <c:pt idx="1">
                  <c:v>15.584197122846001</c:v>
                </c:pt>
                <c:pt idx="2">
                  <c:v>17.700033007908111</c:v>
                </c:pt>
                <c:pt idx="3">
                  <c:v>17.895379982842364</c:v>
                </c:pt>
                <c:pt idx="4">
                  <c:v>17.906603906085909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28-1041-AB86-3FCAFFC0F5EA}"/>
            </c:ext>
          </c:extLst>
        </c:ser>
        <c:ser>
          <c:idx val="1"/>
          <c:order val="1"/>
          <c:tx>
            <c:v>aMNI-Glu_010</c:v>
          </c:tx>
          <c:spPr>
            <a:ln w="25400">
              <a:prstDash val="dash"/>
            </a:ln>
          </c:spPr>
          <c:marker>
            <c:symbol val="diamond"/>
            <c:size val="13"/>
            <c:spPr>
              <a:ln w="25400">
                <a:solidFill>
                  <a:schemeClr val="tx1"/>
                </a:solidFill>
              </a:ln>
            </c:spPr>
          </c:marker>
          <c:xVal>
            <c:numRef>
              <c:f>QY_Calculations!$AT$71:$AT$73</c:f>
              <c:numCache>
                <c:formatCode>0.0000</c:formatCode>
                <c:ptCount val="3"/>
                <c:pt idx="0">
                  <c:v>0.61120000000000008</c:v>
                </c:pt>
                <c:pt idx="1">
                  <c:v>0.4635999999999999</c:v>
                </c:pt>
                <c:pt idx="2">
                  <c:v>0.1</c:v>
                </c:pt>
              </c:numCache>
            </c:numRef>
          </c:xVal>
          <c:yVal>
            <c:numRef>
              <c:f>QY_Calculations!$AO$71:$AO$73</c:f>
              <c:numCache>
                <c:formatCode>0.00</c:formatCode>
                <c:ptCount val="3"/>
                <c:pt idx="0">
                  <c:v>7.7653396224738209</c:v>
                </c:pt>
                <c:pt idx="1">
                  <c:v>12.97605613038864</c:v>
                </c:pt>
                <c:pt idx="2">
                  <c:v>17.957480056957024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28-1041-AB86-3FCAFFC0F5EA}"/>
            </c:ext>
          </c:extLst>
        </c:ser>
        <c:ser>
          <c:idx val="2"/>
          <c:order val="2"/>
          <c:tx>
            <c:v>aMDNI-Glu_015</c:v>
          </c:tx>
          <c:spPr>
            <a:ln w="38100">
              <a:solidFill>
                <a:srgbClr val="A5A5A5"/>
              </a:solidFill>
              <a:prstDash val="solid"/>
            </a:ln>
          </c:spPr>
          <c:marker>
            <c:symbol val="triangle"/>
            <c:size val="10"/>
            <c:spPr>
              <a:solidFill>
                <a:srgbClr val="A5A5A5"/>
              </a:solidFill>
              <a:ln w="25400">
                <a:solidFill>
                  <a:schemeClr val="tx1"/>
                </a:solidFill>
              </a:ln>
            </c:spPr>
          </c:marker>
          <c:xVal>
            <c:numRef>
              <c:f>QY_Calculations!$AT$76:$AT$80</c:f>
              <c:numCache>
                <c:formatCode>0.0000</c:formatCode>
                <c:ptCount val="5"/>
                <c:pt idx="0">
                  <c:v>0.62649999999999995</c:v>
                </c:pt>
                <c:pt idx="1">
                  <c:v>0.29790000000000016</c:v>
                </c:pt>
                <c:pt idx="2">
                  <c:v>0.14059999999999997</c:v>
                </c:pt>
                <c:pt idx="3">
                  <c:v>0.1032000000000001</c:v>
                </c:pt>
                <c:pt idx="4">
                  <c:v>0.1</c:v>
                </c:pt>
              </c:numCache>
            </c:numRef>
          </c:xVal>
          <c:yVal>
            <c:numRef>
              <c:f>QY_Calculations!$AQ$76:$AQ$80</c:f>
              <c:numCache>
                <c:formatCode>0.00</c:formatCode>
                <c:ptCount val="5"/>
                <c:pt idx="0">
                  <c:v>10.373103855344764</c:v>
                </c:pt>
                <c:pt idx="1">
                  <c:v>16.892223296677503</c:v>
                </c:pt>
                <c:pt idx="2">
                  <c:v>17.85962715825266</c:v>
                </c:pt>
                <c:pt idx="3">
                  <c:v>17.884493331976763</c:v>
                </c:pt>
                <c:pt idx="4">
                  <c:v>17.882960748080052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28-1041-AB86-3FCAFFC0F5EA}"/>
            </c:ext>
          </c:extLst>
        </c:ser>
        <c:ser>
          <c:idx val="3"/>
          <c:order val="3"/>
          <c:tx>
            <c:v>aMNI-Glu_015</c:v>
          </c:tx>
          <c:spPr>
            <a:ln w="38100">
              <a:prstDash val="solid"/>
            </a:ln>
          </c:spPr>
          <c:marker>
            <c:symbol val="diamond"/>
            <c:size val="13"/>
            <c:spPr>
              <a:ln w="25400">
                <a:solidFill>
                  <a:schemeClr val="tx1"/>
                </a:solidFill>
              </a:ln>
            </c:spPr>
          </c:marker>
          <c:xVal>
            <c:numRef>
              <c:f>QY_Calculations!$AT$71:$AT$73</c:f>
              <c:numCache>
                <c:formatCode>0.0000</c:formatCode>
                <c:ptCount val="3"/>
                <c:pt idx="0">
                  <c:v>0.61120000000000008</c:v>
                </c:pt>
                <c:pt idx="1">
                  <c:v>0.4635999999999999</c:v>
                </c:pt>
                <c:pt idx="2">
                  <c:v>0.1</c:v>
                </c:pt>
              </c:numCache>
            </c:numRef>
          </c:xVal>
          <c:yVal>
            <c:numRef>
              <c:f>QY_Calculations!$AQ$71:$AQ$73</c:f>
              <c:numCache>
                <c:formatCode>0.00</c:formatCode>
                <c:ptCount val="3"/>
                <c:pt idx="0">
                  <c:v>12.39438790659184</c:v>
                </c:pt>
                <c:pt idx="1">
                  <c:v>15.452372839893698</c:v>
                </c:pt>
                <c:pt idx="2">
                  <c:v>17.748970093310586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28-1041-AB86-3FCAFFC0F5EA}"/>
            </c:ext>
          </c:extLst>
        </c:ser>
        <c:ser>
          <c:idx val="4"/>
          <c:order val="4"/>
          <c:tx>
            <c:v>aMDNI-Glu_020</c:v>
          </c:tx>
          <c:spPr>
            <a:ln w="25400">
              <a:solidFill>
                <a:srgbClr val="FF0000"/>
              </a:solidFill>
              <a:prstDash val="lgDashDot"/>
            </a:ln>
          </c:spPr>
          <c:marker>
            <c:symbol val="triangle"/>
            <c:size val="10"/>
            <c:spPr>
              <a:solidFill>
                <a:srgbClr val="FF0000"/>
              </a:solidFill>
              <a:ln w="25400">
                <a:solidFill>
                  <a:schemeClr val="tx1"/>
                </a:solidFill>
              </a:ln>
            </c:spPr>
          </c:marker>
          <c:xVal>
            <c:numRef>
              <c:f>QY_Calculations!$AT$76:$AT$80</c:f>
              <c:numCache>
                <c:formatCode>0.0000</c:formatCode>
                <c:ptCount val="5"/>
                <c:pt idx="0">
                  <c:v>0.62649999999999995</c:v>
                </c:pt>
                <c:pt idx="1">
                  <c:v>0.29790000000000016</c:v>
                </c:pt>
                <c:pt idx="2">
                  <c:v>0.14059999999999997</c:v>
                </c:pt>
                <c:pt idx="3">
                  <c:v>0.1032000000000001</c:v>
                </c:pt>
                <c:pt idx="4">
                  <c:v>0.1</c:v>
                </c:pt>
              </c:numCache>
            </c:numRef>
          </c:xVal>
          <c:yVal>
            <c:numRef>
              <c:f>QY_Calculations!$AS$76:$AS$80</c:f>
              <c:numCache>
                <c:formatCode>0.00</c:formatCode>
                <c:ptCount val="5"/>
                <c:pt idx="0">
                  <c:v>13.227114596879424</c:v>
                </c:pt>
                <c:pt idx="1">
                  <c:v>17.422142962173279</c:v>
                </c:pt>
                <c:pt idx="2">
                  <c:v>17.815330812004959</c:v>
                </c:pt>
                <c:pt idx="3">
                  <c:v>17.754956585123981</c:v>
                </c:pt>
                <c:pt idx="4">
                  <c:v>17.747045747657147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328-1041-AB86-3FCAFFC0F5EA}"/>
            </c:ext>
          </c:extLst>
        </c:ser>
        <c:ser>
          <c:idx val="5"/>
          <c:order val="5"/>
          <c:tx>
            <c:v>aMNI-Glu_020</c:v>
          </c:tx>
          <c:spPr>
            <a:ln w="25400">
              <a:prstDash val="lgDashDot"/>
            </a:ln>
          </c:spPr>
          <c:marker>
            <c:symbol val="diamond"/>
            <c:size val="13"/>
            <c:spPr>
              <a:ln w="25400">
                <a:solidFill>
                  <a:schemeClr val="tx1"/>
                </a:solidFill>
              </a:ln>
            </c:spPr>
          </c:marker>
          <c:xVal>
            <c:numRef>
              <c:f>QY_Calculations!$AT$71:$AT$73</c:f>
              <c:numCache>
                <c:formatCode>0.0000</c:formatCode>
                <c:ptCount val="3"/>
                <c:pt idx="0">
                  <c:v>0.61120000000000008</c:v>
                </c:pt>
                <c:pt idx="1">
                  <c:v>0.4635999999999999</c:v>
                </c:pt>
                <c:pt idx="2">
                  <c:v>0.1</c:v>
                </c:pt>
              </c:numCache>
            </c:numRef>
          </c:xVal>
          <c:yVal>
            <c:numRef>
              <c:f>QY_Calculations!$AS$71:$AS$73</c:f>
              <c:numCache>
                <c:formatCode>0.00</c:formatCode>
                <c:ptCount val="3"/>
                <c:pt idx="0">
                  <c:v>14.58481862723087</c:v>
                </c:pt>
                <c:pt idx="1">
                  <c:v>16.566437773226248</c:v>
                </c:pt>
                <c:pt idx="2">
                  <c:v>17.520621690067387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328-1041-AB86-3FCAFFC0F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945072"/>
        <c:axId val="1508946704"/>
      </c:scatterChart>
      <c:valAx>
        <c:axId val="1508945072"/>
        <c:scaling>
          <c:orientation val="minMax"/>
          <c:max val="0.65000000000000013"/>
          <c:min val="0.1"/>
        </c:scaling>
        <c:delete val="0"/>
        <c:axPos val="b"/>
        <c:title>
          <c:tx>
            <c:rich>
              <a:bodyPr rot="0"/>
              <a:lstStyle/>
              <a:p>
                <a:pPr>
                  <a:defRPr sz="1400">
                    <a:latin typeface="Helvetica" pitchFamily="2" charset="0"/>
                  </a:defRPr>
                </a:pPr>
                <a:r>
                  <a:rPr lang="en-US" sz="1400">
                    <a:latin typeface="Helvetica" pitchFamily="2" charset="0"/>
                  </a:rPr>
                  <a:t>|∆E</a:t>
                </a:r>
                <a:r>
                  <a:rPr lang="en-US" sz="1400" baseline="-25000">
                    <a:latin typeface="Helvetica" pitchFamily="2" charset="0"/>
                  </a:rPr>
                  <a:t>ST</a:t>
                </a:r>
                <a:r>
                  <a:rPr lang="en-US" sz="1400" baseline="0">
                    <a:latin typeface="Helvetica" pitchFamily="2" charset="0"/>
                  </a:rPr>
                  <a:t>|, </a:t>
                </a:r>
                <a:r>
                  <a:rPr lang="en-US" sz="1400">
                    <a:latin typeface="Helvetica" pitchFamily="2" charset="0"/>
                  </a:rPr>
                  <a:t>eV</a:t>
                </a:r>
              </a:p>
            </c:rich>
          </c:tx>
          <c:overlay val="0"/>
        </c:title>
        <c:numFmt formatCode="0.0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508946704"/>
        <c:crosses val="autoZero"/>
        <c:crossBetween val="midCat"/>
        <c:majorUnit val="0.1"/>
        <c:minorUnit val="2.5000000000000005E-2"/>
      </c:valAx>
      <c:valAx>
        <c:axId val="1508946704"/>
        <c:scaling>
          <c:orientation val="minMax"/>
          <c:max val="18"/>
          <c:min val="12"/>
        </c:scaling>
        <c:delete val="0"/>
        <c:axPos val="l"/>
        <c:title>
          <c:tx>
            <c:rich>
              <a:bodyPr/>
              <a:lstStyle/>
              <a:p>
                <a:pPr>
                  <a:defRPr sz="1400">
                    <a:latin typeface="Helvetica" pitchFamily="2" charset="0"/>
                  </a:defRPr>
                </a:pPr>
                <a:r>
                  <a:rPr lang="en-US" sz="1400">
                    <a:latin typeface="Helvetica" pitchFamily="2" charset="0"/>
                  </a:rPr>
                  <a:t>log(</a:t>
                </a:r>
                <a:r>
                  <a:rPr lang="en-US" sz="1400" i="1">
                    <a:latin typeface="Helvetica" pitchFamily="2" charset="0"/>
                  </a:rPr>
                  <a:t>k</a:t>
                </a:r>
                <a:r>
                  <a:rPr lang="en-US" sz="1400" baseline="-25000">
                    <a:latin typeface="Helvetica" pitchFamily="2" charset="0"/>
                  </a:rPr>
                  <a:t>ISC</a:t>
                </a:r>
                <a:r>
                  <a:rPr lang="en-US" sz="1400">
                    <a:latin typeface="Helvetica" pitchFamily="2" charset="0"/>
                  </a:rPr>
                  <a:t>)</a:t>
                </a:r>
              </a:p>
            </c:rich>
          </c:tx>
          <c:overlay val="0"/>
        </c:title>
        <c:numFmt formatCode="0.0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508945072"/>
        <c:crosses val="autoZero"/>
        <c:crossBetween val="midCat"/>
        <c:majorUnit val="1"/>
        <c:minorUnit val="0.2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17560</xdr:colOff>
      <xdr:row>17</xdr:row>
      <xdr:rowOff>220132</xdr:rowOff>
    </xdr:from>
    <xdr:to>
      <xdr:col>53</xdr:col>
      <xdr:colOff>58200</xdr:colOff>
      <xdr:row>45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F45DA-5FCD-2941-9E84-959196C34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16933</xdr:colOff>
      <xdr:row>83</xdr:row>
      <xdr:rowOff>16934</xdr:rowOff>
    </xdr:from>
    <xdr:to>
      <xdr:col>54</xdr:col>
      <xdr:colOff>463973</xdr:colOff>
      <xdr:row>110</xdr:row>
      <xdr:rowOff>82636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7123CB-8661-3040-8277-27A3D80B1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061-C184-6E44-A7A6-6D6CBFE7306A}">
  <dimension ref="A1:P25"/>
  <sheetViews>
    <sheetView workbookViewId="0">
      <selection activeCell="A11" sqref="A11"/>
    </sheetView>
  </sheetViews>
  <sheetFormatPr baseColWidth="10" defaultRowHeight="16" x14ac:dyDescent="0.2"/>
  <cols>
    <col min="1" max="1" width="13.83203125" customWidth="1"/>
  </cols>
  <sheetData>
    <row r="1" spans="1:16" ht="55" customHeight="1" x14ac:dyDescent="0.2">
      <c r="A1" s="95" t="s">
        <v>149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</row>
    <row r="2" spans="1:16" ht="19" x14ac:dyDescent="0.2">
      <c r="A2" s="98" t="s">
        <v>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100"/>
    </row>
    <row r="3" spans="1:16" ht="17" thickBot="1" x14ac:dyDescent="0.25">
      <c r="A3" s="101" t="s">
        <v>10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17" thickBot="1" x14ac:dyDescent="0.25"/>
    <row r="5" spans="1:16" ht="20" thickBot="1" x14ac:dyDescent="0.25">
      <c r="A5" s="104" t="s">
        <v>148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6"/>
    </row>
    <row r="7" spans="1:16" x14ac:dyDescent="0.2">
      <c r="A7" s="19" t="s">
        <v>147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6" x14ac:dyDescent="0.2">
      <c r="A8" t="s">
        <v>115</v>
      </c>
    </row>
    <row r="9" spans="1:16" x14ac:dyDescent="0.2">
      <c r="A9" t="s">
        <v>18</v>
      </c>
    </row>
    <row r="10" spans="1:16" x14ac:dyDescent="0.2">
      <c r="A10" t="s">
        <v>198</v>
      </c>
    </row>
    <row r="11" spans="1:16" x14ac:dyDescent="0.2">
      <c r="A11" t="s">
        <v>17</v>
      </c>
    </row>
    <row r="13" spans="1:16" x14ac:dyDescent="0.2">
      <c r="A13" t="s">
        <v>11</v>
      </c>
    </row>
    <row r="14" spans="1:16" x14ac:dyDescent="0.2">
      <c r="A14" t="s">
        <v>12</v>
      </c>
    </row>
    <row r="15" spans="1:16" x14ac:dyDescent="0.2">
      <c r="A15" t="s">
        <v>13</v>
      </c>
    </row>
    <row r="16" spans="1:16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125</v>
      </c>
    </row>
    <row r="20" spans="1:1" x14ac:dyDescent="0.2">
      <c r="A20" t="s">
        <v>126</v>
      </c>
    </row>
    <row r="22" spans="1:1" x14ac:dyDescent="0.2">
      <c r="A22" t="s">
        <v>20</v>
      </c>
    </row>
    <row r="23" spans="1:1" x14ac:dyDescent="0.2">
      <c r="A23" t="s">
        <v>123</v>
      </c>
    </row>
    <row r="25" spans="1:1" x14ac:dyDescent="0.2">
      <c r="A25" t="s">
        <v>19</v>
      </c>
    </row>
  </sheetData>
  <mergeCells count="4">
    <mergeCell ref="A1:P1"/>
    <mergeCell ref="A2:P2"/>
    <mergeCell ref="A3:P3"/>
    <mergeCell ref="A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F94A-017C-BF4E-8DF1-CC0E2CD483CA}">
  <dimension ref="A1:P40"/>
  <sheetViews>
    <sheetView zoomScale="95" workbookViewId="0">
      <selection sqref="A1:L1"/>
    </sheetView>
  </sheetViews>
  <sheetFormatPr baseColWidth="10" defaultRowHeight="16" x14ac:dyDescent="0.2"/>
  <cols>
    <col min="1" max="1" width="34.83203125" customWidth="1"/>
    <col min="10" max="10" width="10.83203125" customWidth="1"/>
  </cols>
  <sheetData>
    <row r="1" spans="1:16" ht="19" x14ac:dyDescent="0.2">
      <c r="A1" s="117" t="s">
        <v>127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6" ht="19" x14ac:dyDescent="0.2">
      <c r="A2" s="118" t="s">
        <v>104</v>
      </c>
      <c r="B2" s="118"/>
      <c r="C2" s="118"/>
      <c r="D2" s="118"/>
      <c r="E2" s="118"/>
      <c r="F2" s="30"/>
      <c r="G2" s="30"/>
      <c r="J2" s="64"/>
    </row>
    <row r="3" spans="1:16" s="19" customFormat="1" ht="20" thickBot="1" x14ac:dyDescent="0.25">
      <c r="A3" s="119"/>
      <c r="B3" s="119"/>
      <c r="C3" s="119"/>
      <c r="D3" s="29"/>
      <c r="E3" s="29"/>
      <c r="F3" s="37"/>
      <c r="G3" s="37"/>
      <c r="H3" s="37"/>
      <c r="I3" s="73"/>
    </row>
    <row r="4" spans="1:16" ht="17" thickBot="1" x14ac:dyDescent="0.25">
      <c r="A4" s="107" t="s">
        <v>74</v>
      </c>
      <c r="B4" s="107"/>
      <c r="C4" s="14" t="s">
        <v>37</v>
      </c>
      <c r="D4" s="14" t="s">
        <v>105</v>
      </c>
      <c r="E4" s="14" t="s">
        <v>106</v>
      </c>
      <c r="F4" s="14" t="s">
        <v>107</v>
      </c>
      <c r="G4" s="14" t="s">
        <v>108</v>
      </c>
      <c r="H4" s="14" t="s">
        <v>109</v>
      </c>
      <c r="I4" s="14"/>
      <c r="J4" s="14" t="s">
        <v>110</v>
      </c>
      <c r="K4" s="14" t="s">
        <v>111</v>
      </c>
      <c r="L4" s="14" t="s">
        <v>112</v>
      </c>
      <c r="N4" s="114" t="s">
        <v>7</v>
      </c>
      <c r="O4" s="115"/>
      <c r="P4" s="116"/>
    </row>
    <row r="5" spans="1:16" x14ac:dyDescent="0.2">
      <c r="A5" s="13" t="s">
        <v>128</v>
      </c>
      <c r="C5" s="6">
        <v>0</v>
      </c>
      <c r="D5" s="6">
        <v>0</v>
      </c>
      <c r="E5" s="65">
        <v>0</v>
      </c>
      <c r="F5" s="65">
        <v>0</v>
      </c>
      <c r="G5" s="65">
        <v>0</v>
      </c>
      <c r="H5" s="6">
        <v>0</v>
      </c>
      <c r="J5" s="66">
        <f t="array" ref="J5">IF(ISNUMBER(C5:H5),AVERAGE(C5:H5),"")</f>
        <v>0</v>
      </c>
      <c r="K5" s="66">
        <f t="array" ref="K5">IF(ISNUMBER(C5:H5),MIN(C5:H5),"")</f>
        <v>0</v>
      </c>
      <c r="L5" s="66">
        <f t="array" ref="L5">IF(ISNUMBER(C5:H5),MAX(C5:H5),"")</f>
        <v>0</v>
      </c>
    </row>
    <row r="6" spans="1:16" x14ac:dyDescent="0.2">
      <c r="A6" s="13"/>
      <c r="C6" s="6"/>
      <c r="D6" s="6"/>
      <c r="E6" s="65"/>
      <c r="F6" s="65"/>
      <c r="G6" s="65"/>
      <c r="H6" s="6"/>
      <c r="J6" s="67"/>
    </row>
    <row r="7" spans="1:16" x14ac:dyDescent="0.2">
      <c r="A7" s="13" t="s">
        <v>129</v>
      </c>
      <c r="C7" s="66">
        <v>54.095754570036732</v>
      </c>
      <c r="D7" s="66">
        <v>56.246858850027529</v>
      </c>
      <c r="E7" s="68">
        <v>54.351778649961055</v>
      </c>
      <c r="F7" s="68">
        <v>52.514429370034179</v>
      </c>
      <c r="G7" s="68">
        <v>55.325046660000673</v>
      </c>
      <c r="H7" s="66">
        <v>54.32531429427366</v>
      </c>
      <c r="J7" s="66">
        <f t="array" ref="J7">IF(ISNUMBER(C7:H7),AVERAGE(C7:H7),"")</f>
        <v>54.476530399055633</v>
      </c>
      <c r="K7" s="66">
        <f t="array" ref="K7">IF(ISNUMBER(C7:H7),MIN(C7:H7),"")</f>
        <v>52.514429370034179</v>
      </c>
      <c r="L7" s="66">
        <f t="array" ref="L7">IF(ISNUMBER(C7:H7),MAX(C7:H7),"")</f>
        <v>56.246858850027529</v>
      </c>
    </row>
    <row r="8" spans="1:16" x14ac:dyDescent="0.2">
      <c r="A8" s="4"/>
      <c r="C8" s="66"/>
      <c r="D8" s="66"/>
      <c r="E8" s="68"/>
      <c r="F8" s="68"/>
      <c r="G8" s="68"/>
      <c r="H8" s="66"/>
      <c r="I8" s="13"/>
      <c r="J8" s="66" t="str">
        <f t="array" ref="J8">IF(ISNUMBER(C8:H8),AVERAGE(C8:H8),"")</f>
        <v/>
      </c>
      <c r="K8" s="66" t="str">
        <f t="array" ref="K8">IF(ISNUMBER(C8:H8),MIN(C8:H8),"")</f>
        <v/>
      </c>
      <c r="L8" s="66" t="str">
        <f t="array" ref="L8">IF(ISNUMBER(C8:H8),MAX(C8:H8),"")</f>
        <v/>
      </c>
    </row>
    <row r="9" spans="1:16" x14ac:dyDescent="0.2">
      <c r="A9" s="23" t="s">
        <v>130</v>
      </c>
      <c r="C9" s="66">
        <v>58.251753300030771</v>
      </c>
      <c r="D9" s="66">
        <v>60.759283259977757</v>
      </c>
      <c r="E9" s="68">
        <v>59.034258269981308</v>
      </c>
      <c r="F9" s="68">
        <v>56.196030540084521</v>
      </c>
      <c r="G9" s="68">
        <v>56.970377880126989</v>
      </c>
      <c r="H9" s="66">
        <v>57.557684443856346</v>
      </c>
      <c r="I9" s="69"/>
      <c r="J9" s="66">
        <f t="array" ref="J9">IF(ISNUMBER(C9:H9),AVERAGE(C9:H9),"")</f>
        <v>58.128231282342959</v>
      </c>
      <c r="K9" s="66">
        <f t="array" ref="K9">IF(ISNUMBER(C9:H9),MIN(C9:H9),"")</f>
        <v>56.196030540084521</v>
      </c>
      <c r="L9" s="66">
        <f t="array" ref="L9">IF(ISNUMBER(C9:H9),MAX(C9:H9),"")</f>
        <v>60.759283259977757</v>
      </c>
    </row>
    <row r="10" spans="1:16" x14ac:dyDescent="0.2">
      <c r="A10" s="23"/>
      <c r="C10" s="66"/>
      <c r="D10" s="66"/>
      <c r="E10" s="68"/>
      <c r="F10" s="68"/>
      <c r="G10" s="68"/>
      <c r="H10" s="66"/>
      <c r="J10" s="66" t="str">
        <f t="array" ref="J10">IF(ISNUMBER(C10:H10),AVERAGE(C10:H10),"")</f>
        <v/>
      </c>
      <c r="K10" s="66" t="str">
        <f t="array" ref="K10">IF(ISNUMBER(C10:H10),MIN(C10:H10),"")</f>
        <v/>
      </c>
      <c r="L10" s="66" t="str">
        <f t="array" ref="L10">IF(ISNUMBER(C10:H10),MAX(C10:H10),"")</f>
        <v/>
      </c>
    </row>
    <row r="11" spans="1:16" x14ac:dyDescent="0.2">
      <c r="A11" s="23" t="s">
        <v>131</v>
      </c>
      <c r="C11" s="66">
        <v>60.611190899923614</v>
      </c>
      <c r="D11" s="66">
        <v>63.391687709966156</v>
      </c>
      <c r="E11" s="68">
        <v>62.203183769970579</v>
      </c>
      <c r="F11" s="68">
        <v>57.592867800124829</v>
      </c>
      <c r="G11" s="68">
        <v>59.986190940074792</v>
      </c>
      <c r="H11" s="66">
        <v>60.471269787085646</v>
      </c>
      <c r="J11" s="66">
        <f t="array" ref="J11">IF(ISNUMBER(C11:H11),AVERAGE(C11:H11),"")</f>
        <v>60.709398484524264</v>
      </c>
      <c r="K11" s="66">
        <f t="array" ref="K11">IF(ISNUMBER(C11:H11),MIN(C11:H11),"")</f>
        <v>57.592867800124829</v>
      </c>
      <c r="L11" s="66">
        <f t="array" ref="L11">IF(ISNUMBER(C11:H11),MAX(C11:H11),"")</f>
        <v>63.391687709966156</v>
      </c>
    </row>
    <row r="12" spans="1:16" x14ac:dyDescent="0.2">
      <c r="A12" s="23"/>
      <c r="C12" s="66"/>
      <c r="D12" s="66"/>
      <c r="E12" s="68"/>
      <c r="F12" s="68"/>
      <c r="G12" s="68"/>
      <c r="H12" s="66"/>
      <c r="J12" s="66"/>
      <c r="K12" s="66"/>
      <c r="L12" s="66"/>
    </row>
    <row r="13" spans="1:16" x14ac:dyDescent="0.2">
      <c r="A13" s="107" t="s">
        <v>73</v>
      </c>
      <c r="B13" s="107"/>
      <c r="C13" s="14" t="s">
        <v>37</v>
      </c>
      <c r="D13" s="14" t="s">
        <v>105</v>
      </c>
      <c r="E13" s="14" t="s">
        <v>106</v>
      </c>
      <c r="F13" s="14" t="s">
        <v>107</v>
      </c>
      <c r="G13" s="14" t="s">
        <v>108</v>
      </c>
      <c r="H13" s="14" t="s">
        <v>109</v>
      </c>
      <c r="I13" s="14"/>
      <c r="J13" s="14" t="s">
        <v>110</v>
      </c>
      <c r="K13" s="14" t="s">
        <v>111</v>
      </c>
      <c r="L13" s="14" t="s">
        <v>112</v>
      </c>
    </row>
    <row r="14" spans="1:16" x14ac:dyDescent="0.2">
      <c r="A14" s="13" t="s">
        <v>132</v>
      </c>
      <c r="C14" s="6">
        <v>0</v>
      </c>
      <c r="D14" s="6">
        <v>0</v>
      </c>
      <c r="E14" s="65">
        <v>0</v>
      </c>
      <c r="F14" s="65">
        <v>0</v>
      </c>
      <c r="G14" s="65">
        <v>0</v>
      </c>
      <c r="H14" s="6">
        <v>0</v>
      </c>
      <c r="J14" s="66">
        <f t="array" ref="J14">IF(ISNUMBER(C14:H14),AVERAGE(C14:H14),"")</f>
        <v>0</v>
      </c>
      <c r="K14" s="66">
        <f t="array" ref="K14">IF(ISNUMBER(C14:H14),MIN(C14:H14),"")</f>
        <v>0</v>
      </c>
      <c r="L14" s="66">
        <f t="array" ref="L14">IF(ISNUMBER(C14:H14),MAX(C14:H14),"")</f>
        <v>0</v>
      </c>
    </row>
    <row r="15" spans="1:16" x14ac:dyDescent="0.2">
      <c r="A15" s="13"/>
      <c r="C15" s="6"/>
      <c r="D15" s="6"/>
      <c r="E15" s="65"/>
      <c r="F15" s="65"/>
      <c r="G15" s="65"/>
      <c r="H15" s="6"/>
      <c r="J15" s="67"/>
    </row>
    <row r="16" spans="1:16" x14ac:dyDescent="0.2">
      <c r="A16" s="13" t="s">
        <v>133</v>
      </c>
      <c r="C16" s="66">
        <v>52.498114109932693</v>
      </c>
      <c r="D16" s="66">
        <v>54.274594920084581</v>
      </c>
      <c r="E16" s="68">
        <v>52.441010700005521</v>
      </c>
      <c r="F16" s="68">
        <v>50.414780910056152</v>
      </c>
      <c r="G16" s="68">
        <v>52.934861070114124</v>
      </c>
      <c r="H16" s="66">
        <v>52.563252911028286</v>
      </c>
      <c r="J16" s="66">
        <f t="array" ref="J16">IF(ISNUMBER(C16:H16),AVERAGE(C16:H16),"")</f>
        <v>52.521102436870216</v>
      </c>
      <c r="K16" s="66">
        <f t="array" ref="K16">IF(ISNUMBER(C16:H16),MIN(C16:H16),"")</f>
        <v>50.414780910056152</v>
      </c>
      <c r="L16" s="66">
        <f t="array" ref="L16">IF(ISNUMBER(C16:H16),MAX(C16:H16),"")</f>
        <v>54.274594920084581</v>
      </c>
    </row>
    <row r="17" spans="1:16" ht="17" thickBot="1" x14ac:dyDescent="0.25">
      <c r="A17" s="72"/>
      <c r="C17" s="66"/>
      <c r="D17" s="66"/>
      <c r="E17" s="68"/>
      <c r="F17" s="68"/>
      <c r="G17" s="68"/>
      <c r="H17" s="66"/>
      <c r="I17" s="13"/>
      <c r="J17" s="66" t="str">
        <f t="array" ref="J17">IF(ISNUMBER(C17:H17),AVERAGE(C17:H17),"")</f>
        <v/>
      </c>
      <c r="K17" s="66" t="str">
        <f t="array" ref="K17">IF(ISNUMBER(C17:H17),MIN(C17:H17),"")</f>
        <v/>
      </c>
      <c r="L17" s="66" t="str">
        <f t="array" ref="L17">IF(ISNUMBER(C17:H17),MAX(C17:H17),"")</f>
        <v/>
      </c>
    </row>
    <row r="18" spans="1:16" x14ac:dyDescent="0.2">
      <c r="A18" s="23" t="s">
        <v>144</v>
      </c>
      <c r="C18" s="66">
        <v>59.191435919939117</v>
      </c>
      <c r="D18" s="66">
        <v>61.297874929969481</v>
      </c>
      <c r="E18" s="68">
        <v>58.611200559923816</v>
      </c>
      <c r="F18" s="68">
        <v>58.580411890076974</v>
      </c>
      <c r="G18" s="68">
        <v>61.1041570901128</v>
      </c>
      <c r="H18" s="66">
        <v>59.69766794286933</v>
      </c>
      <c r="I18" s="69"/>
      <c r="J18" s="66">
        <f t="array" ref="J18">IF(ISNUMBER(C18:H18),AVERAGE(C18:H18),"")</f>
        <v>59.747124722148584</v>
      </c>
      <c r="K18" s="66">
        <f t="array" ref="K18">IF(ISNUMBER(C18:H18),MIN(C18:H18),"")</f>
        <v>58.580411890076974</v>
      </c>
      <c r="L18" s="66">
        <f t="array" ref="L18">IF(ISNUMBER(C18:H18),MAX(C18:H18),"")</f>
        <v>61.297874929969481</v>
      </c>
      <c r="N18" s="108" t="s">
        <v>143</v>
      </c>
      <c r="O18" s="109"/>
      <c r="P18" s="110"/>
    </row>
    <row r="19" spans="1:16" ht="17" thickBot="1" x14ac:dyDescent="0.25">
      <c r="A19" s="23" t="s">
        <v>135</v>
      </c>
      <c r="C19" s="66">
        <v>57.766060559972914</v>
      </c>
      <c r="D19" s="66">
        <v>59.784132720014227</v>
      </c>
      <c r="E19" s="68">
        <v>57.114705180047956</v>
      </c>
      <c r="F19" s="68">
        <v>57.147335699965573</v>
      </c>
      <c r="G19" s="68">
        <v>59.718871680036315</v>
      </c>
      <c r="H19" s="66">
        <v>58.523930114973197</v>
      </c>
      <c r="I19" s="69"/>
      <c r="J19" s="66">
        <f t="array" ref="J19">IF(ISNUMBER(C19:H19),AVERAGE(C19:H19),"")</f>
        <v>58.342505992501692</v>
      </c>
      <c r="K19" s="66">
        <f t="array" ref="K19">IF(ISNUMBER(C19:H19),MIN(C19:H19),"")</f>
        <v>57.114705180047956</v>
      </c>
      <c r="L19" s="66">
        <f t="array" ref="L19">IF(ISNUMBER(C19:H19),MAX(C19:H19),"")</f>
        <v>59.784132720014227</v>
      </c>
      <c r="N19" s="111"/>
      <c r="O19" s="112"/>
      <c r="P19" s="113"/>
    </row>
    <row r="20" spans="1:16" x14ac:dyDescent="0.2">
      <c r="A20" s="23"/>
      <c r="C20" s="66"/>
      <c r="D20" s="66"/>
      <c r="E20" s="68"/>
      <c r="F20" s="68"/>
      <c r="G20" s="68"/>
      <c r="H20" s="66"/>
      <c r="J20" s="66" t="str">
        <f t="array" ref="J20">IF(ISNUMBER(C20:H20),AVERAGE(C20:H20),"")</f>
        <v/>
      </c>
      <c r="K20" s="66" t="str">
        <f t="array" ref="K20">IF(ISNUMBER(C20:H20),MIN(C20:H20),"")</f>
        <v/>
      </c>
      <c r="L20" s="66" t="str">
        <f t="array" ref="L20">IF(ISNUMBER(C20:H20),MAX(C20:H20),"")</f>
        <v/>
      </c>
    </row>
    <row r="21" spans="1:16" x14ac:dyDescent="0.2">
      <c r="A21" s="23" t="s">
        <v>134</v>
      </c>
      <c r="C21" s="66">
        <v>58.846005270028563</v>
      </c>
      <c r="D21" s="66">
        <v>60.363951959977115</v>
      </c>
      <c r="E21" s="68">
        <v>59.752757220093443</v>
      </c>
      <c r="F21" s="68">
        <v>56.593244370009067</v>
      </c>
      <c r="G21" s="68">
        <v>59.103284370092389</v>
      </c>
      <c r="H21" s="66">
        <v>58.891842051672661</v>
      </c>
      <c r="J21" s="66">
        <f t="array" ref="J21">IF(ISNUMBER(C21:H21),AVERAGE(C21:H21),"")</f>
        <v>58.925180873645537</v>
      </c>
      <c r="K21" s="66">
        <f t="array" ref="K21">IF(ISNUMBER(C21:H21),MIN(C21:H21),"")</f>
        <v>56.593244370009067</v>
      </c>
      <c r="L21" s="66">
        <f t="array" ref="L21">IF(ISNUMBER(C21:H21),MAX(C21:H21),"")</f>
        <v>60.363951959977115</v>
      </c>
    </row>
    <row r="22" spans="1:16" x14ac:dyDescent="0.2">
      <c r="A22" s="23"/>
      <c r="C22" s="66"/>
      <c r="D22" s="66"/>
      <c r="E22" s="68"/>
      <c r="F22" s="68"/>
      <c r="G22" s="68"/>
      <c r="H22" s="66"/>
      <c r="J22" s="66"/>
      <c r="K22" s="66"/>
      <c r="L22" s="66"/>
    </row>
    <row r="23" spans="1:16" x14ac:dyDescent="0.2">
      <c r="A23" s="107" t="s">
        <v>76</v>
      </c>
      <c r="B23" s="107"/>
      <c r="C23" s="14" t="s">
        <v>37</v>
      </c>
      <c r="D23" s="14" t="s">
        <v>105</v>
      </c>
      <c r="E23" s="14" t="s">
        <v>106</v>
      </c>
      <c r="F23" s="14" t="s">
        <v>107</v>
      </c>
      <c r="G23" s="14" t="s">
        <v>108</v>
      </c>
      <c r="H23" s="14" t="s">
        <v>109</v>
      </c>
      <c r="I23" s="14"/>
      <c r="J23" s="14" t="s">
        <v>110</v>
      </c>
      <c r="K23" s="14" t="s">
        <v>111</v>
      </c>
      <c r="L23" s="14" t="s">
        <v>112</v>
      </c>
    </row>
    <row r="24" spans="1:16" x14ac:dyDescent="0.2">
      <c r="A24" s="13" t="s">
        <v>136</v>
      </c>
      <c r="C24" s="6">
        <v>0</v>
      </c>
      <c r="D24" s="6">
        <v>0</v>
      </c>
      <c r="E24" s="65">
        <v>0</v>
      </c>
      <c r="F24" s="65">
        <v>0</v>
      </c>
      <c r="G24" s="65">
        <v>0</v>
      </c>
      <c r="H24" s="6">
        <v>0</v>
      </c>
      <c r="J24" s="66">
        <f t="array" ref="J24">IF(ISNUMBER(C24:H24),AVERAGE(C24:H24),"")</f>
        <v>0</v>
      </c>
      <c r="K24" s="66">
        <f t="array" ref="K24">IF(ISNUMBER(C24:H24),MIN(C24:H24),"")</f>
        <v>0</v>
      </c>
      <c r="L24" s="66">
        <f t="array" ref="L24">IF(ISNUMBER(C24:H24),MAX(C24:H24),"")</f>
        <v>0</v>
      </c>
    </row>
    <row r="25" spans="1:16" x14ac:dyDescent="0.2">
      <c r="A25" s="13"/>
      <c r="C25" s="6"/>
      <c r="D25" s="6"/>
      <c r="E25" s="65"/>
      <c r="F25" s="65"/>
      <c r="G25" s="65"/>
      <c r="H25" s="6"/>
      <c r="J25" s="67"/>
    </row>
    <row r="26" spans="1:16" x14ac:dyDescent="0.2">
      <c r="A26" s="13" t="s">
        <v>137</v>
      </c>
      <c r="C26" s="66">
        <v>53.178962459997202</v>
      </c>
      <c r="D26" s="66">
        <v>54.529991490081827</v>
      </c>
      <c r="E26" s="68">
        <v>52.930468500053877</v>
      </c>
      <c r="F26" s="68">
        <v>51.202933469921085</v>
      </c>
      <c r="G26" s="68">
        <v>54.093872039970151</v>
      </c>
      <c r="H26" s="66">
        <v>53.298884829321928</v>
      </c>
      <c r="J26" s="66">
        <f t="array" ref="J26">IF(ISNUMBER(C26:H26),AVERAGE(C26:H26),"")</f>
        <v>53.205852131557684</v>
      </c>
      <c r="K26" s="66">
        <f t="array" ref="K26">IF(ISNUMBER(C26:H26),MIN(C26:H26),"")</f>
        <v>51.202933469921085</v>
      </c>
      <c r="L26" s="66">
        <f t="array" ref="L26">IF(ISNUMBER(C26:H26),MAX(C26:H26),"")</f>
        <v>54.529991490081827</v>
      </c>
    </row>
    <row r="27" spans="1:16" x14ac:dyDescent="0.2">
      <c r="A27" s="72"/>
      <c r="C27" s="66"/>
      <c r="D27" s="66"/>
      <c r="E27" s="68"/>
      <c r="F27" s="68"/>
      <c r="G27" s="68"/>
      <c r="H27" s="66"/>
      <c r="I27" s="13"/>
      <c r="J27" s="66" t="str">
        <f t="array" ref="J27">IF(ISNUMBER(C27:H27),AVERAGE(C27:H27),"")</f>
        <v/>
      </c>
      <c r="K27" s="66" t="str">
        <f t="array" ref="K27">IF(ISNUMBER(C27:H27),MIN(C27:H27),"")</f>
        <v/>
      </c>
      <c r="L27" s="66" t="str">
        <f t="array" ref="L27">IF(ISNUMBER(C27:H27),MAX(C27:H27),"")</f>
        <v/>
      </c>
    </row>
    <row r="28" spans="1:16" x14ac:dyDescent="0.2">
      <c r="A28" s="23" t="s">
        <v>138</v>
      </c>
      <c r="C28" s="66">
        <v>61.435111530054947</v>
      </c>
      <c r="D28" s="66">
        <v>63.647711790033156</v>
      </c>
      <c r="E28" s="68">
        <v>61.880643630071518</v>
      </c>
      <c r="F28" s="68">
        <v>58.962722130019237</v>
      </c>
      <c r="G28" s="68">
        <v>60.508906769967837</v>
      </c>
      <c r="H28" s="66">
        <v>61.025419161674023</v>
      </c>
      <c r="I28" s="69"/>
      <c r="J28" s="66">
        <f t="array" ref="J28">IF(ISNUMBER(C28:H28),AVERAGE(C28:H28),"")</f>
        <v>61.243419168636784</v>
      </c>
      <c r="K28" s="66">
        <f t="array" ref="K28">IF(ISNUMBER(C28:H28),MIN(C28:H28),"")</f>
        <v>58.962722130019237</v>
      </c>
      <c r="L28" s="66">
        <f t="array" ref="L28">IF(ISNUMBER(C28:H28),MAX(C28:H28),"")</f>
        <v>63.647711790033156</v>
      </c>
    </row>
    <row r="29" spans="1:16" x14ac:dyDescent="0.2">
      <c r="A29" s="23"/>
      <c r="C29" s="66"/>
      <c r="D29" s="66"/>
      <c r="E29" s="68"/>
      <c r="F29" s="68"/>
      <c r="G29" s="68"/>
      <c r="H29" s="66"/>
      <c r="J29" s="66" t="str">
        <f t="array" ref="J29">IF(ISNUMBER(C29:H29),AVERAGE(C29:H29),"")</f>
        <v/>
      </c>
      <c r="K29" s="66" t="str">
        <f t="array" ref="K29">IF(ISNUMBER(C29:H29),MIN(C29:H29),"")</f>
        <v/>
      </c>
      <c r="L29" s="66" t="str">
        <f t="array" ref="L29">IF(ISNUMBER(C29:H29),MAX(C29:H29),"")</f>
        <v/>
      </c>
    </row>
    <row r="30" spans="1:16" x14ac:dyDescent="0.2">
      <c r="A30" s="23" t="s">
        <v>139</v>
      </c>
      <c r="C30" s="66">
        <v>63.975899519989298</v>
      </c>
      <c r="D30" s="66">
        <v>65.941888350090764</v>
      </c>
      <c r="E30" s="68">
        <v>65.10479001006405</v>
      </c>
      <c r="F30" s="68">
        <v>60.876627629895509</v>
      </c>
      <c r="G30" s="68">
        <v>63.780116399912885</v>
      </c>
      <c r="H30" s="66">
        <v>63.681681730006112</v>
      </c>
      <c r="J30" s="66">
        <f t="array" ref="J30">IF(ISNUMBER(C30:H30),AVERAGE(C30:H30),"")</f>
        <v>63.893500606659764</v>
      </c>
      <c r="K30" s="66">
        <f t="array" ref="K30">IF(ISNUMBER(C30:H30),MIN(C30:H30),"")</f>
        <v>60.876627629895509</v>
      </c>
      <c r="L30" s="66">
        <f t="array" ref="L30">IF(ISNUMBER(C30:H30),MAX(C30:H30),"")</f>
        <v>65.941888350090764</v>
      </c>
    </row>
    <row r="31" spans="1:16" x14ac:dyDescent="0.2">
      <c r="A31" s="23"/>
      <c r="C31" s="66"/>
      <c r="D31" s="66"/>
      <c r="E31" s="68"/>
      <c r="F31" s="68"/>
      <c r="G31" s="68"/>
      <c r="H31" s="66"/>
      <c r="J31" s="66"/>
      <c r="K31" s="66"/>
      <c r="L31" s="66"/>
    </row>
    <row r="32" spans="1:16" x14ac:dyDescent="0.2">
      <c r="A32" s="107" t="s">
        <v>75</v>
      </c>
      <c r="B32" s="107"/>
      <c r="C32" s="14" t="s">
        <v>37</v>
      </c>
      <c r="D32" s="14" t="s">
        <v>105</v>
      </c>
      <c r="E32" s="14" t="s">
        <v>106</v>
      </c>
      <c r="F32" s="14" t="s">
        <v>107</v>
      </c>
      <c r="G32" s="14" t="s">
        <v>108</v>
      </c>
      <c r="H32" s="14" t="s">
        <v>109</v>
      </c>
      <c r="I32" s="14"/>
      <c r="J32" s="14" t="s">
        <v>110</v>
      </c>
      <c r="K32" s="14" t="s">
        <v>111</v>
      </c>
      <c r="L32" s="14" t="s">
        <v>112</v>
      </c>
    </row>
    <row r="33" spans="1:12" x14ac:dyDescent="0.2">
      <c r="A33" s="13" t="s">
        <v>140</v>
      </c>
      <c r="C33" s="6">
        <v>0</v>
      </c>
      <c r="D33" s="6">
        <v>0</v>
      </c>
      <c r="E33" s="65">
        <v>0</v>
      </c>
      <c r="F33" s="65">
        <v>0</v>
      </c>
      <c r="G33" s="65">
        <v>0</v>
      </c>
      <c r="H33" s="6">
        <v>0</v>
      </c>
      <c r="J33" s="66">
        <f t="array" ref="J33">IF(ISNUMBER(C33:H33),AVERAGE(C33:H33),"")</f>
        <v>0</v>
      </c>
      <c r="K33" s="66">
        <f t="array" ref="K33">IF(ISNUMBER(C33:H33),MIN(C33:H33),"")</f>
        <v>0</v>
      </c>
      <c r="L33" s="66">
        <f t="array" ref="L33">IF(ISNUMBER(C33:H33),MAX(C33:H33),"")</f>
        <v>0</v>
      </c>
    </row>
    <row r="34" spans="1:12" x14ac:dyDescent="0.2">
      <c r="A34" s="13"/>
      <c r="C34" s="6"/>
      <c r="D34" s="6"/>
      <c r="E34" s="65"/>
      <c r="F34" s="65"/>
      <c r="G34" s="65"/>
      <c r="H34" s="6"/>
      <c r="J34" s="67"/>
    </row>
    <row r="35" spans="1:12" x14ac:dyDescent="0.2">
      <c r="A35" s="13" t="s">
        <v>141</v>
      </c>
      <c r="C35" s="66">
        <v>51.851151299925306</v>
      </c>
      <c r="D35" s="66">
        <v>53.061618089936772</v>
      </c>
      <c r="E35" s="68">
        <v>51.468370199892981</v>
      </c>
      <c r="F35" s="68">
        <v>49.486066109975383</v>
      </c>
      <c r="G35" s="68">
        <v>52.099017749941559</v>
      </c>
      <c r="H35" s="66">
        <v>51.388198141908092</v>
      </c>
      <c r="J35" s="66">
        <f t="array" ref="J35">IF(ISNUMBER(C35:H35),AVERAGE(C35:H35),"")</f>
        <v>51.559070265263351</v>
      </c>
      <c r="K35" s="66">
        <f t="array" ref="K35">IF(ISNUMBER(C35:H35),MIN(C35:H35),"")</f>
        <v>49.486066109975383</v>
      </c>
      <c r="L35" s="66">
        <f t="array" ref="L35">IF(ISNUMBER(C35:H35),MAX(C35:H35),"")</f>
        <v>53.061618089936772</v>
      </c>
    </row>
    <row r="36" spans="1:12" x14ac:dyDescent="0.2">
      <c r="A36" s="72"/>
      <c r="C36" s="66"/>
      <c r="D36" s="66"/>
      <c r="E36" s="68"/>
      <c r="F36" s="68"/>
      <c r="G36" s="68"/>
      <c r="H36" s="66"/>
      <c r="I36" s="13"/>
      <c r="J36" s="66" t="str">
        <f t="array" ref="J36">IF(ISNUMBER(C36:H36),AVERAGE(C36:H36),"")</f>
        <v/>
      </c>
      <c r="K36" s="66" t="str">
        <f t="array" ref="K36">IF(ISNUMBER(C36:H36),MIN(C36:H36),"")</f>
        <v/>
      </c>
      <c r="L36" s="66" t="str">
        <f t="array" ref="L36">IF(ISNUMBER(C36:H36),MAX(C36:H36),"")</f>
        <v/>
      </c>
    </row>
    <row r="37" spans="1:12" x14ac:dyDescent="0.2">
      <c r="A37" s="23" t="s">
        <v>145</v>
      </c>
      <c r="C37" s="66">
        <v>57.590985269915564</v>
      </c>
      <c r="D37" s="66">
        <v>58.138801499887911</v>
      </c>
      <c r="E37" s="68">
        <v>56.840483309955566</v>
      </c>
      <c r="F37" s="68">
        <v>55.566010499963014</v>
      </c>
      <c r="G37" s="68">
        <v>56.900096760019075</v>
      </c>
      <c r="H37" s="66">
        <v>56.452805184800887</v>
      </c>
      <c r="I37" s="69"/>
      <c r="J37" s="66">
        <f t="array" ref="J37">IF(ISNUMBER(C37:H37),AVERAGE(C37:H37),"")</f>
        <v>56.914863754090334</v>
      </c>
      <c r="K37" s="66">
        <f t="array" ref="K37">IF(ISNUMBER(C37:H37),MIN(C37:H37),"")</f>
        <v>55.566010499963014</v>
      </c>
      <c r="L37" s="66">
        <f t="array" ref="L37">IF(ISNUMBER(C37:H37),MAX(C37:H37),"")</f>
        <v>58.138801499887911</v>
      </c>
    </row>
    <row r="38" spans="1:12" x14ac:dyDescent="0.2">
      <c r="A38" s="23"/>
      <c r="C38" s="66"/>
      <c r="D38" s="66"/>
      <c r="E38" s="68"/>
      <c r="F38" s="68"/>
      <c r="G38" s="68"/>
      <c r="H38" s="66"/>
      <c r="I38" s="69"/>
      <c r="J38" s="66"/>
      <c r="K38" s="66"/>
      <c r="L38" s="66"/>
    </row>
    <row r="39" spans="1:12" x14ac:dyDescent="0.2">
      <c r="A39" s="23" t="s">
        <v>142</v>
      </c>
      <c r="C39" s="66">
        <v>61.88880125997958</v>
      </c>
      <c r="D39" s="66">
        <v>63.278735909965974</v>
      </c>
      <c r="E39" s="68">
        <v>62.758530119923918</v>
      </c>
      <c r="F39" s="68">
        <v>59.846256210071395</v>
      </c>
      <c r="G39" s="68">
        <v>62.730919679993626</v>
      </c>
      <c r="H39" s="66">
        <v>61.419937459869871</v>
      </c>
      <c r="J39" s="66">
        <f t="array" ref="J39">IF(ISNUMBER(C39:H39),AVERAGE(C39:H39),"")</f>
        <v>61.987196773300724</v>
      </c>
      <c r="K39" s="66">
        <f t="array" ref="K39">IF(ISNUMBER(C39:H39),MIN(C39:H39),"")</f>
        <v>59.846256210071395</v>
      </c>
      <c r="L39" s="66">
        <f t="array" ref="L39">IF(ISNUMBER(C39:H39),MAX(C39:H39),"")</f>
        <v>63.278735909965974</v>
      </c>
    </row>
    <row r="40" spans="1:12" x14ac:dyDescent="0.2">
      <c r="C40" s="66"/>
      <c r="D40" s="66"/>
      <c r="E40" s="68"/>
      <c r="F40" s="68"/>
      <c r="G40" s="68"/>
      <c r="H40" s="66"/>
      <c r="J40" s="66" t="str">
        <f t="array" ref="J40">IF(ISNUMBER(C40:H40),AVERAGE(C40:H40),"")</f>
        <v/>
      </c>
      <c r="K40" s="66" t="str">
        <f t="array" ref="K40">IF(ISNUMBER(C40:H40),MIN(C40:H40),"")</f>
        <v/>
      </c>
      <c r="L40" s="66" t="str">
        <f t="array" ref="L40">IF(ISNUMBER(C40:H40),MAX(C40:H40),"")</f>
        <v/>
      </c>
    </row>
  </sheetData>
  <mergeCells count="9">
    <mergeCell ref="A23:B23"/>
    <mergeCell ref="A32:B32"/>
    <mergeCell ref="N18:P19"/>
    <mergeCell ref="N4:P4"/>
    <mergeCell ref="A1:L1"/>
    <mergeCell ref="A2:E2"/>
    <mergeCell ref="A3:C3"/>
    <mergeCell ref="A4:B4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EAA5-0B21-144A-9AC4-28990E40DB82}">
  <dimension ref="A1:BE130"/>
  <sheetViews>
    <sheetView tabSelected="1" zoomScale="125" workbookViewId="0">
      <selection activeCell="AE6" sqref="AE6"/>
    </sheetView>
  </sheetViews>
  <sheetFormatPr baseColWidth="10" defaultRowHeight="16" x14ac:dyDescent="0.2"/>
  <cols>
    <col min="39" max="39" width="16.1640625" customWidth="1"/>
  </cols>
  <sheetData>
    <row r="1" spans="1:57" ht="19" x14ac:dyDescent="0.25">
      <c r="A1" s="117" t="s">
        <v>55</v>
      </c>
      <c r="B1" s="117"/>
      <c r="C1" s="117"/>
      <c r="D1" s="117"/>
      <c r="E1" s="117"/>
      <c r="F1" s="117"/>
      <c r="G1" s="117"/>
      <c r="H1" s="117"/>
      <c r="I1" s="117"/>
      <c r="J1" s="74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57" ht="17" thickBot="1" x14ac:dyDescent="0.25">
      <c r="A2" s="7" t="s">
        <v>56</v>
      </c>
      <c r="B2" s="46"/>
      <c r="C2" s="46"/>
      <c r="D2" s="46"/>
    </row>
    <row r="3" spans="1:57" ht="17" customHeight="1" thickBot="1" x14ac:dyDescent="0.25">
      <c r="A3" s="7"/>
      <c r="B3" s="47"/>
      <c r="C3" s="47"/>
      <c r="D3" s="47"/>
      <c r="Y3" s="91" t="s">
        <v>202</v>
      </c>
      <c r="Z3" s="91"/>
      <c r="AA3" s="91"/>
      <c r="AB3" s="92"/>
      <c r="AN3" s="120" t="s">
        <v>189</v>
      </c>
      <c r="AO3" s="121"/>
      <c r="AP3" s="120" t="s">
        <v>190</v>
      </c>
      <c r="AQ3" s="121"/>
      <c r="AR3" s="120" t="s">
        <v>191</v>
      </c>
      <c r="AS3" s="121"/>
      <c r="AX3" s="83"/>
      <c r="AY3" s="48"/>
    </row>
    <row r="4" spans="1:57" ht="39" thickBot="1" x14ac:dyDescent="0.25">
      <c r="A4" s="8" t="s">
        <v>57</v>
      </c>
      <c r="B4" s="39" t="s">
        <v>58</v>
      </c>
      <c r="C4" s="9" t="s">
        <v>59</v>
      </c>
      <c r="D4" s="11" t="s">
        <v>60</v>
      </c>
      <c r="F4" s="8" t="s">
        <v>57</v>
      </c>
      <c r="G4" s="39" t="s">
        <v>58</v>
      </c>
      <c r="H4" s="9" t="s">
        <v>59</v>
      </c>
      <c r="I4" s="11" t="s">
        <v>60</v>
      </c>
      <c r="L4" s="122" t="s">
        <v>34</v>
      </c>
      <c r="M4" s="123"/>
      <c r="N4" s="124"/>
      <c r="O4" s="77"/>
      <c r="P4" s="8" t="s">
        <v>2</v>
      </c>
      <c r="Q4" s="39" t="s">
        <v>26</v>
      </c>
      <c r="R4" s="9" t="s">
        <v>27</v>
      </c>
      <c r="S4" s="39" t="s">
        <v>28</v>
      </c>
      <c r="T4" s="11" t="s">
        <v>27</v>
      </c>
      <c r="U4" s="40"/>
      <c r="V4" s="39" t="s">
        <v>29</v>
      </c>
      <c r="W4" s="9" t="s">
        <v>30</v>
      </c>
      <c r="X4" s="11" t="s">
        <v>150</v>
      </c>
      <c r="Y4" s="76" t="s">
        <v>151</v>
      </c>
      <c r="Z4" s="9" t="s">
        <v>152</v>
      </c>
      <c r="AA4" s="9" t="s">
        <v>31</v>
      </c>
      <c r="AB4" s="9" t="s">
        <v>32</v>
      </c>
      <c r="AC4" s="11" t="s">
        <v>204</v>
      </c>
      <c r="AD4" s="11" t="s">
        <v>205</v>
      </c>
      <c r="AE4" s="78" t="s">
        <v>154</v>
      </c>
      <c r="AF4" s="9" t="s">
        <v>192</v>
      </c>
      <c r="AG4" s="87" t="s">
        <v>155</v>
      </c>
      <c r="AH4" s="125" t="s">
        <v>156</v>
      </c>
      <c r="AI4" s="126"/>
      <c r="AJ4" s="88" t="s">
        <v>157</v>
      </c>
      <c r="AM4" s="76" t="s">
        <v>193</v>
      </c>
      <c r="AN4" s="41" t="s">
        <v>33</v>
      </c>
      <c r="AO4" s="11" t="s">
        <v>153</v>
      </c>
      <c r="AP4" s="41" t="s">
        <v>33</v>
      </c>
      <c r="AQ4" s="11" t="s">
        <v>153</v>
      </c>
      <c r="AR4" s="41" t="s">
        <v>33</v>
      </c>
      <c r="AS4" s="11" t="s">
        <v>153</v>
      </c>
    </row>
    <row r="5" spans="1:57" x14ac:dyDescent="0.2">
      <c r="L5" s="30" t="s">
        <v>35</v>
      </c>
      <c r="M5" s="6">
        <v>23.0609</v>
      </c>
      <c r="N5" s="30" t="s">
        <v>36</v>
      </c>
      <c r="AT5" t="s">
        <v>201</v>
      </c>
      <c r="AU5" t="s">
        <v>203</v>
      </c>
    </row>
    <row r="6" spans="1:57" ht="18" customHeight="1" x14ac:dyDescent="0.25">
      <c r="A6" t="s">
        <v>74</v>
      </c>
      <c r="B6" s="30">
        <v>1</v>
      </c>
      <c r="C6" s="30" t="s">
        <v>41</v>
      </c>
      <c r="D6" s="30">
        <v>2.9573</v>
      </c>
      <c r="F6" t="s">
        <v>76</v>
      </c>
      <c r="G6" s="30">
        <v>1</v>
      </c>
      <c r="H6" s="30" t="s">
        <v>41</v>
      </c>
      <c r="I6" s="30">
        <v>3.0127999999999999</v>
      </c>
      <c r="L6" s="30" t="s">
        <v>35</v>
      </c>
      <c r="M6" s="6">
        <f>M10*M11</f>
        <v>96485.332123310029</v>
      </c>
      <c r="N6" s="30" t="s">
        <v>43</v>
      </c>
      <c r="O6" s="30"/>
      <c r="P6" t="s">
        <v>76</v>
      </c>
      <c r="Q6" s="42" t="s">
        <v>64</v>
      </c>
      <c r="R6" s="30">
        <f>I9</f>
        <v>3.6187999999999998</v>
      </c>
      <c r="S6" s="42" t="s">
        <v>65</v>
      </c>
      <c r="T6" s="30">
        <f>I6</f>
        <v>3.0127999999999999</v>
      </c>
      <c r="U6" s="6"/>
      <c r="V6" s="14" t="s">
        <v>158</v>
      </c>
      <c r="W6" s="6">
        <f>I33</f>
        <v>7.1625560000000004</v>
      </c>
      <c r="X6" s="43">
        <f>W6*$M$7/$M$6</f>
        <v>8.8797855872363191E-4</v>
      </c>
      <c r="Y6" s="30">
        <f t="shared" ref="Y6:Y42" si="0">(T6-R6)</f>
        <v>-0.60599999999999987</v>
      </c>
      <c r="Z6" s="6">
        <v>0.1</v>
      </c>
      <c r="AA6" s="43">
        <f>EXP(-((Y6+Z6)^2)/((4*Z6*$M$17*$M$9)))</f>
        <v>1.5143958618040482E-11</v>
      </c>
      <c r="AB6" s="43">
        <f>X6^2</f>
        <v>7.8850592075289861E-7</v>
      </c>
      <c r="AC6" s="43">
        <f>1/(SQRT(4*Z6*$M$17*$M$9))*$M$16*AA6</f>
        <v>14260004.69012326</v>
      </c>
      <c r="AD6" s="6">
        <f>LOG(AC6)</f>
        <v>7.1541196683555608</v>
      </c>
      <c r="AE6" s="30">
        <f>ABS(Y6)</f>
        <v>0.60599999999999987</v>
      </c>
      <c r="AF6" s="43">
        <f>SUM(AC6:AC8)</f>
        <v>8.990887674838441E+17</v>
      </c>
      <c r="AG6" s="45" t="s">
        <v>64</v>
      </c>
      <c r="AH6" s="30" t="s">
        <v>159</v>
      </c>
      <c r="AI6" s="45" t="s">
        <v>160</v>
      </c>
      <c r="AJ6" s="45" t="s">
        <v>161</v>
      </c>
      <c r="AL6" s="127" t="s">
        <v>194</v>
      </c>
      <c r="AM6" s="48">
        <v>0.60599999999999987</v>
      </c>
      <c r="AN6" s="43">
        <v>14260004.69012326</v>
      </c>
      <c r="AO6" s="6">
        <v>7.1541196683555608</v>
      </c>
      <c r="AP6" s="43">
        <v>1066002097999.0623</v>
      </c>
      <c r="AQ6" s="6">
        <v>12.0277580594265</v>
      </c>
      <c r="AR6" s="43">
        <v>219020029712197.06</v>
      </c>
      <c r="AS6" s="6">
        <v>14.340483833541992</v>
      </c>
      <c r="AT6" s="59">
        <f>AM6+$AU$6</f>
        <v>0.62780000000000002</v>
      </c>
      <c r="AU6" s="59">
        <f>0.1-AM8</f>
        <v>2.180000000000018E-2</v>
      </c>
      <c r="AZ6" s="43"/>
      <c r="BA6" s="6"/>
      <c r="BB6" s="43"/>
      <c r="BC6" s="6"/>
      <c r="BD6" s="43"/>
      <c r="BE6" s="6"/>
    </row>
    <row r="7" spans="1:57" ht="19" x14ac:dyDescent="0.25">
      <c r="B7" s="30">
        <v>2</v>
      </c>
      <c r="C7" s="30" t="s">
        <v>41</v>
      </c>
      <c r="D7" s="30">
        <v>3.2957000000000001</v>
      </c>
      <c r="G7" s="30">
        <v>2</v>
      </c>
      <c r="H7" s="30" t="s">
        <v>41</v>
      </c>
      <c r="I7" s="30">
        <v>3.1772999999999998</v>
      </c>
      <c r="L7" s="30" t="s">
        <v>44</v>
      </c>
      <c r="M7" s="6">
        <f>M14*M10</f>
        <v>11.961778191587999</v>
      </c>
      <c r="N7" s="30" t="s">
        <v>43</v>
      </c>
      <c r="O7" s="30"/>
      <c r="P7" t="s">
        <v>76</v>
      </c>
      <c r="Q7" s="42" t="s">
        <v>64</v>
      </c>
      <c r="R7" s="30">
        <f>I9</f>
        <v>3.6187999999999998</v>
      </c>
      <c r="S7" s="42" t="s">
        <v>66</v>
      </c>
      <c r="T7" s="30">
        <f>I7</f>
        <v>3.1772999999999998</v>
      </c>
      <c r="U7" s="6"/>
      <c r="V7" s="14" t="s">
        <v>162</v>
      </c>
      <c r="W7" s="6">
        <f>I34</f>
        <v>4.4009340000000003</v>
      </c>
      <c r="X7" s="43">
        <f>W7*$M$7/$M$6</f>
        <v>5.4560620962095495E-4</v>
      </c>
      <c r="Y7" s="30">
        <f t="shared" si="0"/>
        <v>-0.4415</v>
      </c>
      <c r="Z7" s="6">
        <v>0.1</v>
      </c>
      <c r="AA7" s="43">
        <f>EXP(-((Y7+Z7)^2)/((4*Z7*$M$17*$M$9)))</f>
        <v>1.1794779464068567E-5</v>
      </c>
      <c r="AB7" s="43">
        <f>X7^2</f>
        <v>2.9768613597694543E-7</v>
      </c>
      <c r="AC7" s="43">
        <f>1/(SQRT(4*Z7*$M$17*$M$9))*$M$16*AA7</f>
        <v>11106317358542.168</v>
      </c>
      <c r="AD7" s="6">
        <f t="shared" ref="AD7:AD8" si="1">LOG(AC7)</f>
        <v>13.045570079103634</v>
      </c>
      <c r="AE7" s="30">
        <f t="shared" ref="AE7:AE8" si="2">ABS(Y7)</f>
        <v>0.4415</v>
      </c>
      <c r="AG7" s="45" t="s">
        <v>38</v>
      </c>
      <c r="AH7" s="30">
        <v>79</v>
      </c>
      <c r="AI7" s="45" t="s">
        <v>160</v>
      </c>
      <c r="AJ7" s="45" t="s">
        <v>163</v>
      </c>
      <c r="AL7" s="127"/>
      <c r="AM7" s="48">
        <v>0.4415</v>
      </c>
      <c r="AN7" s="43">
        <v>11106317358542.168</v>
      </c>
      <c r="AO7" s="6">
        <v>13.045570079103634</v>
      </c>
      <c r="AP7" s="43">
        <v>3104231294504480.5</v>
      </c>
      <c r="AQ7" s="6">
        <v>15.491954072826056</v>
      </c>
      <c r="AR7" s="43">
        <v>3.8998926108418536E+16</v>
      </c>
      <c r="AS7" s="6">
        <v>16.59105264826729</v>
      </c>
      <c r="AT7" s="59">
        <f>AM7+$AU$6</f>
        <v>0.46330000000000016</v>
      </c>
      <c r="AZ7" s="43"/>
      <c r="BA7" s="6"/>
      <c r="BB7" s="43"/>
      <c r="BC7" s="6"/>
      <c r="BD7" s="43"/>
      <c r="BE7" s="6"/>
    </row>
    <row r="8" spans="1:57" ht="19" x14ac:dyDescent="0.25">
      <c r="B8" s="30">
        <v>3</v>
      </c>
      <c r="C8" s="30" t="s">
        <v>41</v>
      </c>
      <c r="D8" s="30">
        <v>3.4188999999999998</v>
      </c>
      <c r="G8" s="30">
        <v>3</v>
      </c>
      <c r="H8" s="21" t="s">
        <v>41</v>
      </c>
      <c r="I8" s="21">
        <v>3.5406</v>
      </c>
      <c r="L8" s="30" t="s">
        <v>47</v>
      </c>
      <c r="M8" s="6">
        <v>8.3144626181532395</v>
      </c>
      <c r="N8" s="30" t="s">
        <v>48</v>
      </c>
      <c r="O8" s="30"/>
      <c r="P8" t="s">
        <v>76</v>
      </c>
      <c r="Q8" s="42" t="s">
        <v>64</v>
      </c>
      <c r="R8" s="30">
        <f>I9</f>
        <v>3.6187999999999998</v>
      </c>
      <c r="S8" s="42" t="s">
        <v>164</v>
      </c>
      <c r="T8" s="30">
        <f>I8</f>
        <v>3.5406</v>
      </c>
      <c r="U8" s="6"/>
      <c r="V8" s="14" t="s">
        <v>165</v>
      </c>
      <c r="W8" s="6">
        <f>I35</f>
        <v>13.515412</v>
      </c>
      <c r="X8" s="43">
        <f>W8*$M$7/$M$6</f>
        <v>1.675574483231416E-3</v>
      </c>
      <c r="Y8" s="30">
        <f t="shared" si="0"/>
        <v>-7.8199999999999825E-2</v>
      </c>
      <c r="Z8" s="6">
        <v>0.1</v>
      </c>
      <c r="AA8" s="43">
        <f>EXP(-((Y8+Z8)^2)/((4*Z8*$M$17*$M$9)))</f>
        <v>0.95480998714708254</v>
      </c>
      <c r="AB8" s="43">
        <f>X8^2</f>
        <v>2.8075498488562268E-6</v>
      </c>
      <c r="AC8" s="43">
        <f>1/(SQRT(4*Z8*$M$17*$M$9))*$M$16*AA8</f>
        <v>8.9907766115222554E+17</v>
      </c>
      <c r="AD8" s="79">
        <f t="shared" si="1"/>
        <v>17.953797207142735</v>
      </c>
      <c r="AE8" s="30">
        <f t="shared" si="2"/>
        <v>7.8199999999999825E-2</v>
      </c>
      <c r="AG8" s="45" t="s">
        <v>45</v>
      </c>
      <c r="AH8" s="30">
        <v>84</v>
      </c>
      <c r="AI8" s="45" t="s">
        <v>160</v>
      </c>
      <c r="AJ8" s="45" t="s">
        <v>161</v>
      </c>
      <c r="AL8" s="127"/>
      <c r="AM8" s="48">
        <v>7.8199999999999825E-2</v>
      </c>
      <c r="AN8" s="43">
        <v>8.9907766115222554E+17</v>
      </c>
      <c r="AO8" s="6">
        <v>17.953797207142735</v>
      </c>
      <c r="AP8" s="43">
        <v>5.5029888834885824E+17</v>
      </c>
      <c r="AQ8" s="6">
        <v>17.74059863549979</v>
      </c>
      <c r="AR8" s="43">
        <v>3.2352357148411552E+17</v>
      </c>
      <c r="AS8" s="6">
        <v>17.509905928258341</v>
      </c>
      <c r="AT8" s="59">
        <f>AM8+$AU$6</f>
        <v>0.1</v>
      </c>
      <c r="AX8" s="83"/>
      <c r="AY8" s="48"/>
      <c r="AZ8" s="43"/>
      <c r="BA8" s="6"/>
      <c r="BB8" s="43"/>
      <c r="BC8" s="6"/>
      <c r="BD8" s="43"/>
      <c r="BE8" s="6"/>
    </row>
    <row r="9" spans="1:57" ht="18" x14ac:dyDescent="0.2">
      <c r="B9" s="30">
        <v>4</v>
      </c>
      <c r="C9" s="30" t="s">
        <v>41</v>
      </c>
      <c r="D9" s="30">
        <v>3.4708000000000001</v>
      </c>
      <c r="G9" s="30">
        <v>4</v>
      </c>
      <c r="H9" s="49" t="s">
        <v>39</v>
      </c>
      <c r="I9" s="30">
        <v>3.6187999999999998</v>
      </c>
      <c r="L9" s="30" t="s">
        <v>49</v>
      </c>
      <c r="M9" s="6">
        <v>298.14999999999998</v>
      </c>
      <c r="N9" s="30" t="s">
        <v>50</v>
      </c>
      <c r="O9" s="30"/>
      <c r="Q9" s="42"/>
      <c r="R9" s="30"/>
      <c r="S9" s="42"/>
      <c r="T9" s="30"/>
      <c r="U9" s="30"/>
      <c r="V9" s="14"/>
      <c r="W9" s="6"/>
      <c r="X9" s="43"/>
      <c r="Y9" s="30"/>
      <c r="Z9" s="6"/>
      <c r="AA9" s="43"/>
      <c r="AB9" s="43"/>
      <c r="AC9" s="43"/>
      <c r="AD9" s="6"/>
      <c r="AE9" s="30"/>
      <c r="AG9" s="42" t="s">
        <v>65</v>
      </c>
      <c r="AH9" s="30">
        <v>84</v>
      </c>
      <c r="AI9" s="45" t="s">
        <v>160</v>
      </c>
      <c r="AJ9" s="45" t="s">
        <v>161</v>
      </c>
      <c r="AL9" s="84"/>
      <c r="AM9" s="86" t="s">
        <v>199</v>
      </c>
      <c r="AN9" s="43">
        <f>SUM(AN6:AN8)</f>
        <v>8.990887674838441E+17</v>
      </c>
      <c r="AO9" s="6"/>
      <c r="AP9" s="43">
        <f>SUM(AP6:AP8)</f>
        <v>5.5340418564546074E+17</v>
      </c>
      <c r="AQ9" s="6"/>
      <c r="AR9" s="43">
        <f>SUM(AR6:AR8)</f>
        <v>3.6274151762224627E+17</v>
      </c>
      <c r="AS9" s="6"/>
      <c r="AX9" s="83"/>
      <c r="AY9" s="48"/>
      <c r="AZ9" s="43"/>
      <c r="BA9" s="6"/>
      <c r="BB9" s="43"/>
      <c r="BC9" s="6"/>
      <c r="BD9" s="43"/>
      <c r="BE9" s="6"/>
    </row>
    <row r="10" spans="1:57" ht="18" x14ac:dyDescent="0.2">
      <c r="B10" s="30">
        <v>5</v>
      </c>
      <c r="C10" s="21" t="s">
        <v>41</v>
      </c>
      <c r="D10" s="21">
        <v>3.4822000000000002</v>
      </c>
      <c r="G10" s="30">
        <v>5</v>
      </c>
      <c r="H10" s="30" t="s">
        <v>41</v>
      </c>
      <c r="I10" s="30">
        <v>3.6556999999999999</v>
      </c>
      <c r="L10" s="30" t="s">
        <v>51</v>
      </c>
      <c r="M10" s="43">
        <f>6.02214076*10^23</f>
        <v>6.0221407599999999E+23</v>
      </c>
      <c r="O10" s="30"/>
      <c r="P10" t="s">
        <v>76</v>
      </c>
      <c r="Q10" s="42" t="s">
        <v>38</v>
      </c>
      <c r="R10" s="30">
        <f>I11</f>
        <v>3.9327000000000001</v>
      </c>
      <c r="S10" s="42" t="s">
        <v>65</v>
      </c>
      <c r="T10" s="30">
        <f>I6</f>
        <v>3.0127999999999999</v>
      </c>
      <c r="U10" s="30"/>
      <c r="V10" s="14" t="s">
        <v>170</v>
      </c>
      <c r="W10" s="6">
        <f>I44</f>
        <v>16.007142000000002</v>
      </c>
      <c r="X10" s="43">
        <f>W10*$M$7/$M$6</f>
        <v>1.9844869460629022E-3</v>
      </c>
      <c r="Y10" s="30">
        <f t="shared" si="0"/>
        <v>-0.91990000000000016</v>
      </c>
      <c r="Z10" s="6">
        <v>0.1</v>
      </c>
      <c r="AA10" s="43">
        <f>EXP(-((Y10+Z10)^2)/((4*Z10*$M$17*$M$9)))</f>
        <v>3.9097449467894962E-29</v>
      </c>
      <c r="AB10" s="43">
        <f>X10^2</f>
        <v>3.9381884390940638E-6</v>
      </c>
      <c r="AC10" s="43">
        <f>1/(SQRT(4*Z10*$M$17*$M$9))*$M$16*AA10</f>
        <v>3.681532859709964E-11</v>
      </c>
      <c r="AD10" s="6">
        <f>LOG(AC10)</f>
        <v>-10.433971318852354</v>
      </c>
      <c r="AE10" s="30">
        <f>ABS(Y10)</f>
        <v>0.91990000000000016</v>
      </c>
      <c r="AF10" s="43">
        <f>SUM(AC10:AC13)</f>
        <v>4.4897316963391904E+16</v>
      </c>
      <c r="AG10" s="42" t="s">
        <v>66</v>
      </c>
      <c r="AH10" s="30" t="s">
        <v>159</v>
      </c>
      <c r="AI10" s="45" t="s">
        <v>160</v>
      </c>
      <c r="AJ10" s="45" t="s">
        <v>161</v>
      </c>
      <c r="AT10" t="s">
        <v>201</v>
      </c>
      <c r="AU10" t="s">
        <v>203</v>
      </c>
    </row>
    <row r="11" spans="1:57" ht="19" customHeight="1" x14ac:dyDescent="0.2">
      <c r="B11" s="30">
        <v>6</v>
      </c>
      <c r="C11" s="49" t="s">
        <v>39</v>
      </c>
      <c r="D11" s="30">
        <v>3.6389999999999998</v>
      </c>
      <c r="G11" s="30">
        <v>6</v>
      </c>
      <c r="H11" s="49" t="s">
        <v>39</v>
      </c>
      <c r="I11" s="21">
        <v>3.9327000000000001</v>
      </c>
      <c r="L11" s="30" t="s">
        <v>35</v>
      </c>
      <c r="M11" s="43">
        <f>1.602176634*10^-19</f>
        <v>1.6021766340000001E-19</v>
      </c>
      <c r="N11" s="30" t="s">
        <v>52</v>
      </c>
      <c r="O11" s="30"/>
      <c r="P11" t="s">
        <v>76</v>
      </c>
      <c r="Q11" s="42" t="s">
        <v>38</v>
      </c>
      <c r="R11" s="30">
        <f>I11</f>
        <v>3.9327000000000001</v>
      </c>
      <c r="S11" s="42" t="s">
        <v>66</v>
      </c>
      <c r="T11" s="30">
        <f>I7</f>
        <v>3.1772999999999998</v>
      </c>
      <c r="U11" s="30"/>
      <c r="V11" s="14" t="s">
        <v>171</v>
      </c>
      <c r="W11" s="6">
        <f>I45</f>
        <v>15.600115000000001</v>
      </c>
      <c r="X11" s="43">
        <f t="shared" ref="X11:X13" si="3">W11*$M$7/$M$6</f>
        <v>1.934025735173716E-3</v>
      </c>
      <c r="Y11" s="30">
        <f t="shared" si="0"/>
        <v>-0.75540000000000029</v>
      </c>
      <c r="Z11" s="6">
        <v>0.1</v>
      </c>
      <c r="AA11" s="43">
        <f>EXP(-((Y11+Z11)^2)/((4*Z11*$M$17*$M$9)))</f>
        <v>7.0435346959879048E-19</v>
      </c>
      <c r="AB11" s="43">
        <f t="shared" ref="AB11:AB13" si="4">X11^2</f>
        <v>3.7404555443142324E-6</v>
      </c>
      <c r="AC11" s="43">
        <f>1/(SQRT(4*Z11*$M$17*$M$9))*$M$16*AA11</f>
        <v>0.66324030811984436</v>
      </c>
      <c r="AD11" s="6">
        <f t="shared" ref="AD11:AD13" si="5">LOG(AC11)</f>
        <v>-0.17832908761148253</v>
      </c>
      <c r="AE11" s="30">
        <f t="shared" ref="AE11:AE13" si="6">ABS(Y11)</f>
        <v>0.75540000000000029</v>
      </c>
      <c r="AG11" s="30" t="s">
        <v>40</v>
      </c>
      <c r="AH11" s="30">
        <v>78</v>
      </c>
      <c r="AI11" s="45" t="s">
        <v>160</v>
      </c>
      <c r="AJ11" s="45" t="s">
        <v>163</v>
      </c>
      <c r="AL11" s="127" t="s">
        <v>195</v>
      </c>
      <c r="AM11" s="48">
        <v>0.68169999999999975</v>
      </c>
      <c r="AN11" s="43">
        <v>4726.9535543826978</v>
      </c>
      <c r="AO11" s="6">
        <v>3.6745813350775278</v>
      </c>
      <c r="AP11" s="43">
        <v>8343180662.6457872</v>
      </c>
      <c r="AQ11" s="6">
        <v>9.9213316478677314</v>
      </c>
      <c r="AR11" s="43">
        <v>8329393561140.9639</v>
      </c>
      <c r="AS11" s="6">
        <v>12.920613382842854</v>
      </c>
      <c r="AT11" s="59">
        <f>AM11-$AU$11</f>
        <v>0.62490000000000012</v>
      </c>
      <c r="AU11" s="59">
        <f>AM15-0.1</f>
        <v>5.6799999999999601E-2</v>
      </c>
      <c r="AX11" s="83"/>
      <c r="AY11" s="48"/>
      <c r="AZ11" s="43"/>
      <c r="BA11" s="6"/>
      <c r="BB11" s="43"/>
      <c r="BC11" s="6"/>
      <c r="BD11" s="43"/>
      <c r="BE11" s="6"/>
    </row>
    <row r="12" spans="1:57" ht="19" x14ac:dyDescent="0.2">
      <c r="B12" s="30">
        <v>7</v>
      </c>
      <c r="C12" s="30" t="s">
        <v>41</v>
      </c>
      <c r="D12" s="30">
        <v>3.6907999999999999</v>
      </c>
      <c r="G12" s="30">
        <v>7</v>
      </c>
      <c r="H12" s="30" t="s">
        <v>41</v>
      </c>
      <c r="I12" s="30">
        <v>4.0197000000000003</v>
      </c>
      <c r="L12" s="30" t="s">
        <v>44</v>
      </c>
      <c r="M12" s="43">
        <f>M7/M10</f>
        <v>1.9863000000000001E-23</v>
      </c>
      <c r="N12" s="30" t="s">
        <v>52</v>
      </c>
      <c r="O12" s="30"/>
      <c r="P12" t="s">
        <v>76</v>
      </c>
      <c r="Q12" s="42" t="s">
        <v>38</v>
      </c>
      <c r="R12" s="30">
        <f>I11</f>
        <v>3.9327000000000001</v>
      </c>
      <c r="S12" s="42" t="s">
        <v>164</v>
      </c>
      <c r="T12" s="30">
        <f>I8</f>
        <v>3.5406</v>
      </c>
      <c r="U12" s="30"/>
      <c r="V12" s="14" t="s">
        <v>42</v>
      </c>
      <c r="W12" s="6">
        <f>I46</f>
        <v>66.044864000000004</v>
      </c>
      <c r="X12" s="43">
        <f t="shared" si="3"/>
        <v>8.1879182718876172E-3</v>
      </c>
      <c r="Y12" s="30">
        <f t="shared" si="0"/>
        <v>-0.39210000000000012</v>
      </c>
      <c r="Z12" s="6">
        <v>0.1</v>
      </c>
      <c r="AA12" s="43">
        <f>EXP(-((Y12+Z12)^2)/((4*Z12*$M$17*$M$9)))</f>
        <v>2.4796012660214368E-4</v>
      </c>
      <c r="AB12" s="43">
        <f t="shared" si="4"/>
        <v>6.7042005627111108E-5</v>
      </c>
      <c r="AC12" s="43">
        <f>1/(SQRT(4*Z12*$M$17*$M$9))*$M$16*AA12</f>
        <v>233486676601051.56</v>
      </c>
      <c r="AD12" s="6">
        <f t="shared" si="5"/>
        <v>14.36826210355853</v>
      </c>
      <c r="AE12" s="30">
        <f t="shared" si="6"/>
        <v>0.39210000000000012</v>
      </c>
      <c r="AG12" s="30" t="s">
        <v>67</v>
      </c>
      <c r="AH12" s="30">
        <v>79</v>
      </c>
      <c r="AI12" s="45" t="s">
        <v>160</v>
      </c>
      <c r="AJ12" s="45" t="s">
        <v>163</v>
      </c>
      <c r="AL12" s="127"/>
      <c r="AM12" s="48">
        <v>0.34329999999999972</v>
      </c>
      <c r="AN12" s="43">
        <v>2967415527970257.5</v>
      </c>
      <c r="AO12" s="6">
        <v>15.472378364944726</v>
      </c>
      <c r="AP12" s="43">
        <v>6.8103954782027976E+16</v>
      </c>
      <c r="AQ12" s="6">
        <v>16.833172332032348</v>
      </c>
      <c r="AR12" s="43">
        <v>2.4517483638846691E+17</v>
      </c>
      <c r="AS12" s="6">
        <v>17.389475894156185</v>
      </c>
      <c r="AT12" s="59">
        <f>AM12-$AU$11</f>
        <v>0.28650000000000009</v>
      </c>
      <c r="AX12" s="83"/>
      <c r="AY12" s="48"/>
      <c r="AZ12" s="43"/>
      <c r="BA12" s="6"/>
      <c r="BB12" s="43"/>
      <c r="BC12" s="6"/>
      <c r="BD12" s="43"/>
      <c r="BE12" s="6"/>
    </row>
    <row r="13" spans="1:57" ht="18" x14ac:dyDescent="0.2">
      <c r="B13" s="30">
        <v>8</v>
      </c>
      <c r="C13" s="30" t="s">
        <v>41</v>
      </c>
      <c r="D13" s="30">
        <v>3.7486000000000002</v>
      </c>
      <c r="G13" s="30">
        <v>8</v>
      </c>
      <c r="H13" s="30" t="s">
        <v>41</v>
      </c>
      <c r="I13" s="30">
        <v>4.1973000000000003</v>
      </c>
      <c r="L13" s="30" t="s">
        <v>53</v>
      </c>
      <c r="M13" s="43">
        <f>4.135667696*10^-16</f>
        <v>4.1356676959999997E-16</v>
      </c>
      <c r="N13" s="30" t="s">
        <v>172</v>
      </c>
      <c r="O13" s="30"/>
      <c r="P13" t="s">
        <v>76</v>
      </c>
      <c r="Q13" s="42" t="s">
        <v>38</v>
      </c>
      <c r="R13" s="30">
        <f>I11</f>
        <v>3.9327000000000001</v>
      </c>
      <c r="S13" s="42" t="s">
        <v>166</v>
      </c>
      <c r="T13" s="30">
        <f>I10</f>
        <v>3.6556999999999999</v>
      </c>
      <c r="U13" s="30"/>
      <c r="V13" s="14" t="s">
        <v>173</v>
      </c>
      <c r="W13" s="6">
        <f>I47</f>
        <v>27.072918999999999</v>
      </c>
      <c r="X13" s="43">
        <f t="shared" si="3"/>
        <v>3.3563676980761657E-3</v>
      </c>
      <c r="Y13" s="30">
        <f t="shared" si="0"/>
        <v>-0.27700000000000014</v>
      </c>
      <c r="Z13" s="6">
        <v>0.1</v>
      </c>
      <c r="AA13" s="43">
        <f>EXP(-((Y13+Z13)^2)/((4*Z13*$M$17*$M$9)))</f>
        <v>4.74324666986135E-2</v>
      </c>
      <c r="AB13" s="43">
        <f t="shared" si="4"/>
        <v>1.1265204124689099E-5</v>
      </c>
      <c r="AC13" s="43">
        <f>1/(SQRT(4*Z13*$M$17*$M$9))*$M$16*AA13</f>
        <v>4.4663830286790848E+16</v>
      </c>
      <c r="AD13" s="79">
        <f t="shared" si="5"/>
        <v>16.649955964617355</v>
      </c>
      <c r="AE13" s="30">
        <f t="shared" si="6"/>
        <v>0.27700000000000014</v>
      </c>
      <c r="AG13" s="42" t="s">
        <v>168</v>
      </c>
      <c r="AH13" s="30" t="s">
        <v>159</v>
      </c>
      <c r="AI13" s="45" t="s">
        <v>177</v>
      </c>
      <c r="AJ13" s="45" t="s">
        <v>161</v>
      </c>
      <c r="AL13" s="127"/>
      <c r="AM13" s="48">
        <v>0.22009999999999996</v>
      </c>
      <c r="AN13" s="43">
        <v>2.3138737682481062E+17</v>
      </c>
      <c r="AO13" s="6">
        <v>17.364339662632741</v>
      </c>
      <c r="AP13" s="43">
        <v>5.5897796364885914E+17</v>
      </c>
      <c r="AQ13" s="6">
        <v>17.747394687216762</v>
      </c>
      <c r="AR13" s="43">
        <v>6.528731047075648E+17</v>
      </c>
      <c r="AS13" s="6">
        <v>17.814828778088792</v>
      </c>
      <c r="AT13" s="59">
        <f>AM13-$AU$11</f>
        <v>0.16330000000000036</v>
      </c>
      <c r="AX13" s="83"/>
      <c r="AY13" s="48"/>
      <c r="AZ13" s="43"/>
      <c r="BA13" s="6"/>
      <c r="BB13" s="43"/>
      <c r="BC13" s="6"/>
      <c r="BD13" s="43"/>
      <c r="BE13" s="6"/>
    </row>
    <row r="14" spans="1:57" ht="20" customHeight="1" x14ac:dyDescent="0.2">
      <c r="B14" s="30">
        <v>9</v>
      </c>
      <c r="C14" s="49" t="s">
        <v>39</v>
      </c>
      <c r="D14" s="30">
        <v>3.9077000000000002</v>
      </c>
      <c r="G14" s="30">
        <v>9</v>
      </c>
      <c r="H14" s="49" t="s">
        <v>39</v>
      </c>
      <c r="I14" s="30">
        <v>4.3487</v>
      </c>
      <c r="L14" s="30" t="s">
        <v>44</v>
      </c>
      <c r="M14" s="43">
        <f>1.9863*10^-23</f>
        <v>1.9863000000000001E-23</v>
      </c>
      <c r="N14" s="30" t="s">
        <v>52</v>
      </c>
      <c r="O14" s="43"/>
      <c r="Y14" s="30"/>
      <c r="AA14" s="43"/>
      <c r="AC14" s="43"/>
      <c r="AF14" s="16"/>
      <c r="AG14" s="30" t="s">
        <v>68</v>
      </c>
      <c r="AH14" s="30">
        <v>76</v>
      </c>
      <c r="AI14" s="45" t="s">
        <v>160</v>
      </c>
      <c r="AJ14" s="45" t="s">
        <v>163</v>
      </c>
      <c r="AL14" s="127"/>
      <c r="AM14" s="48">
        <v>0.16819999999999968</v>
      </c>
      <c r="AN14" s="43">
        <v>5.9885913550258765E+17</v>
      </c>
      <c r="AO14" s="6">
        <v>17.777324679036408</v>
      </c>
      <c r="AP14" s="43">
        <v>7.5249352334185126E+17</v>
      </c>
      <c r="AQ14" s="6">
        <v>17.876502766340298</v>
      </c>
      <c r="AR14" s="43">
        <v>6.3386735931975526E+17</v>
      </c>
      <c r="AS14" s="6">
        <v>17.801998388572269</v>
      </c>
      <c r="AT14" s="59">
        <f>AM14-$AU$11</f>
        <v>0.11140000000000008</v>
      </c>
      <c r="AX14" s="83"/>
      <c r="AY14" s="48"/>
      <c r="AZ14" s="43"/>
      <c r="BA14" s="6"/>
      <c r="BB14" s="43"/>
      <c r="BC14" s="6"/>
      <c r="BD14" s="43"/>
      <c r="BE14" s="6"/>
    </row>
    <row r="15" spans="1:57" ht="18" x14ac:dyDescent="0.2">
      <c r="B15" s="30">
        <v>10</v>
      </c>
      <c r="C15" s="49" t="s">
        <v>39</v>
      </c>
      <c r="D15" s="21">
        <v>4.0042999999999997</v>
      </c>
      <c r="G15" s="30">
        <v>10</v>
      </c>
      <c r="H15" s="30" t="s">
        <v>41</v>
      </c>
      <c r="I15" s="30">
        <v>4.6459999999999999</v>
      </c>
      <c r="L15" s="30" t="s">
        <v>53</v>
      </c>
      <c r="M15" s="43">
        <f>6.62607015*10^-34</f>
        <v>6.6260701500000015E-34</v>
      </c>
      <c r="N15" s="30" t="s">
        <v>54</v>
      </c>
      <c r="O15" s="30"/>
      <c r="P15" t="s">
        <v>76</v>
      </c>
      <c r="Q15" s="42" t="s">
        <v>45</v>
      </c>
      <c r="R15" s="30">
        <f>I14</f>
        <v>4.3487</v>
      </c>
      <c r="S15" s="42" t="s">
        <v>65</v>
      </c>
      <c r="T15" s="30">
        <f>I6</f>
        <v>3.0127999999999999</v>
      </c>
      <c r="U15" s="30"/>
      <c r="V15" s="14" t="s">
        <v>182</v>
      </c>
      <c r="W15" s="6">
        <f>I55</f>
        <v>13.001360999999999</v>
      </c>
      <c r="X15" s="43">
        <f>W15*$M$7/$M$6</f>
        <v>1.6118449618021326E-3</v>
      </c>
      <c r="Y15" s="30">
        <f t="shared" si="0"/>
        <v>-1.3359000000000001</v>
      </c>
      <c r="Z15" s="6">
        <v>0.1</v>
      </c>
      <c r="AA15" s="43">
        <f>EXP(-((Y15+Z15)^2)/((4*Z15*$M$17*$M$9)))</f>
        <v>2.8309157896702223E-65</v>
      </c>
      <c r="AB15" s="43">
        <f>X15^2</f>
        <v>2.5980441808869182E-6</v>
      </c>
      <c r="AC15" s="43">
        <f>1/(SQRT(4*Z15*$M$17*$M$9))*$M$16*AA15</f>
        <v>2.6656750362452323E-47</v>
      </c>
      <c r="AD15" s="6">
        <f>LOG(AC15)</f>
        <v>-46.574192795120027</v>
      </c>
      <c r="AE15" s="30">
        <f>ABS(Y15)</f>
        <v>1.3359000000000001</v>
      </c>
      <c r="AF15" s="43">
        <f>SUM(AC15:AC18)</f>
        <v>1299.0751664850593</v>
      </c>
      <c r="AL15" s="127"/>
      <c r="AM15" s="48">
        <v>0.15679999999999961</v>
      </c>
      <c r="AN15" s="43">
        <v>6.8792864515794214E+17</v>
      </c>
      <c r="AO15" s="6">
        <v>17.837543393727863</v>
      </c>
      <c r="AP15" s="43">
        <v>7.6653489191640563E+17</v>
      </c>
      <c r="AQ15" s="6">
        <v>17.884531928299161</v>
      </c>
      <c r="AR15" s="43">
        <v>6.0804087339760294E+17</v>
      </c>
      <c r="AS15" s="6">
        <v>17.783932774164832</v>
      </c>
      <c r="AT15" s="59">
        <f>AM15-$AU$11</f>
        <v>0.1</v>
      </c>
      <c r="AX15" s="83"/>
      <c r="AY15" s="48"/>
      <c r="AZ15" s="43"/>
      <c r="BA15" s="6"/>
      <c r="BB15" s="43"/>
      <c r="BC15" s="6"/>
      <c r="BD15" s="43"/>
      <c r="BE15" s="6"/>
    </row>
    <row r="16" spans="1:57" ht="19" x14ac:dyDescent="0.2">
      <c r="B16" s="30">
        <v>11</v>
      </c>
      <c r="C16" s="30" t="s">
        <v>41</v>
      </c>
      <c r="D16" s="30">
        <v>4.1189</v>
      </c>
      <c r="G16" s="30">
        <v>11</v>
      </c>
      <c r="H16" s="49" t="s">
        <v>39</v>
      </c>
      <c r="I16" s="30">
        <v>4.6536</v>
      </c>
      <c r="L16" s="30" t="s">
        <v>174</v>
      </c>
      <c r="M16" s="43">
        <f>(4*PI()^2/M13)</f>
        <v>9.5458389083196384E+16</v>
      </c>
      <c r="N16" s="30" t="s">
        <v>175</v>
      </c>
      <c r="O16" s="30"/>
      <c r="P16" t="s">
        <v>76</v>
      </c>
      <c r="Q16" s="42" t="s">
        <v>45</v>
      </c>
      <c r="R16" s="30">
        <f>I14</f>
        <v>4.3487</v>
      </c>
      <c r="S16" s="42" t="s">
        <v>66</v>
      </c>
      <c r="T16" s="30">
        <f>I7</f>
        <v>3.1772999999999998</v>
      </c>
      <c r="U16" s="30"/>
      <c r="V16" s="14" t="s">
        <v>183</v>
      </c>
      <c r="W16" s="6">
        <f t="shared" ref="W16:W20" si="7">I56</f>
        <v>10.437184999999999</v>
      </c>
      <c r="X16" s="43">
        <f t="shared" ref="X16:X20" si="8">W16*$M$7/$M$6</f>
        <v>1.2939509992566771E-3</v>
      </c>
      <c r="Y16" s="30">
        <f t="shared" si="0"/>
        <v>-1.1714000000000002</v>
      </c>
      <c r="Z16" s="6">
        <v>0.1</v>
      </c>
      <c r="AA16" s="43">
        <f t="shared" ref="AA16:AA20" si="9">EXP(-((Y16+Z16)^2)/((4*Z16*$M$17*$M$9)))</f>
        <v>3.0993480705662682E-49</v>
      </c>
      <c r="AB16" s="43">
        <f t="shared" ref="AB16:AB20" si="10">X16^2</f>
        <v>1.6743091884773531E-6</v>
      </c>
      <c r="AC16" s="43">
        <f t="shared" ref="AC16:AC20" si="11">1/(SQRT(4*Z16*$M$17*$M$9))*$M$16*AA16</f>
        <v>2.9184389060565322E-31</v>
      </c>
      <c r="AD16" s="6">
        <f t="shared" ref="AD16:AD20" si="12">LOG(AC16)</f>
        <v>-30.53484939368164</v>
      </c>
      <c r="AE16" s="30">
        <f t="shared" ref="AE16:AE20" si="13">ABS(Y16)</f>
        <v>1.1714000000000002</v>
      </c>
      <c r="AL16" s="84"/>
      <c r="AM16" s="86" t="s">
        <v>199</v>
      </c>
      <c r="AN16" s="43">
        <f>SUM(AN11:AN15)</f>
        <v>1.5211425730133156E+18</v>
      </c>
      <c r="AO16" s="6"/>
      <c r="AP16" s="43">
        <f>SUM(AP11:AP15)</f>
        <v>2.1461103420323246E+18</v>
      </c>
      <c r="AQ16" s="6"/>
      <c r="AR16" s="43">
        <f>SUM(AR11:AR15)</f>
        <v>2.1399645032069509E+18</v>
      </c>
      <c r="AS16" s="6"/>
      <c r="AX16" s="83"/>
      <c r="AY16" s="48"/>
      <c r="AZ16" s="43"/>
      <c r="BA16" s="6"/>
      <c r="BB16" s="43"/>
      <c r="BC16" s="6"/>
      <c r="BD16" s="43"/>
      <c r="BE16" s="6"/>
    </row>
    <row r="17" spans="1:44" ht="19" x14ac:dyDescent="0.2">
      <c r="B17" s="30">
        <v>12</v>
      </c>
      <c r="C17" s="30" t="s">
        <v>41</v>
      </c>
      <c r="D17" s="30">
        <v>4.1471999999999998</v>
      </c>
      <c r="G17" s="30">
        <v>12</v>
      </c>
      <c r="H17" s="30" t="s">
        <v>41</v>
      </c>
      <c r="I17" s="30">
        <v>4.7472000000000003</v>
      </c>
      <c r="L17" s="30" t="s">
        <v>47</v>
      </c>
      <c r="M17" s="43">
        <f>M8/M6</f>
        <v>8.6173332621451761E-5</v>
      </c>
      <c r="N17" s="30" t="s">
        <v>176</v>
      </c>
      <c r="O17" s="30"/>
      <c r="P17" t="s">
        <v>76</v>
      </c>
      <c r="Q17" s="42" t="s">
        <v>45</v>
      </c>
      <c r="R17" s="30">
        <f>I14</f>
        <v>4.3487</v>
      </c>
      <c r="S17" s="42" t="s">
        <v>164</v>
      </c>
      <c r="T17" s="30">
        <f>I8</f>
        <v>3.5406</v>
      </c>
      <c r="U17" s="30"/>
      <c r="V17" s="14" t="s">
        <v>184</v>
      </c>
      <c r="W17" s="6">
        <f t="shared" si="7"/>
        <v>33.483300999999997</v>
      </c>
      <c r="X17" s="43">
        <f t="shared" si="8"/>
        <v>4.1510954138843084E-3</v>
      </c>
      <c r="Y17" s="30">
        <f t="shared" si="0"/>
        <v>-0.80810000000000004</v>
      </c>
      <c r="Z17" s="6">
        <v>0.1</v>
      </c>
      <c r="AA17" s="43">
        <f t="shared" si="9"/>
        <v>6.4748111580596764E-22</v>
      </c>
      <c r="AB17" s="43">
        <f t="shared" si="10"/>
        <v>1.7231593135171337E-5</v>
      </c>
      <c r="AC17" s="43">
        <f t="shared" si="11"/>
        <v>6.0968759761138554E-4</v>
      </c>
      <c r="AD17" s="6">
        <f t="shared" si="12"/>
        <v>-3.2148926393945501</v>
      </c>
      <c r="AE17" s="30">
        <f t="shared" si="13"/>
        <v>0.80810000000000004</v>
      </c>
      <c r="AL17" s="84"/>
      <c r="AM17" s="86" t="s">
        <v>200</v>
      </c>
      <c r="AN17" s="43">
        <f>AN16/AN9</f>
        <v>1.6918714013860141</v>
      </c>
      <c r="AO17" s="6"/>
      <c r="AP17" s="43">
        <f>AP16/AP9</f>
        <v>3.8780161005273524</v>
      </c>
      <c r="AQ17" s="6"/>
      <c r="AR17" s="43">
        <f>AR16/AR9</f>
        <v>5.8994198327070979</v>
      </c>
    </row>
    <row r="18" spans="1:44" ht="18" x14ac:dyDescent="0.2">
      <c r="B18" s="30">
        <v>13</v>
      </c>
      <c r="C18" s="30" t="s">
        <v>41</v>
      </c>
      <c r="D18" s="30">
        <v>4.2119999999999997</v>
      </c>
      <c r="G18" s="30">
        <v>13</v>
      </c>
      <c r="H18" s="49" t="s">
        <v>39</v>
      </c>
      <c r="I18" s="30">
        <v>4.8228999999999997</v>
      </c>
      <c r="M18" s="30"/>
      <c r="N18" s="30"/>
      <c r="O18" s="30"/>
      <c r="P18" t="s">
        <v>76</v>
      </c>
      <c r="Q18" s="42" t="s">
        <v>45</v>
      </c>
      <c r="R18" s="30">
        <f>I14</f>
        <v>4.3487</v>
      </c>
      <c r="S18" s="42" t="s">
        <v>166</v>
      </c>
      <c r="T18" s="48">
        <f>I10</f>
        <v>3.6556999999999999</v>
      </c>
      <c r="U18" s="30"/>
      <c r="V18" s="14" t="s">
        <v>185</v>
      </c>
      <c r="W18" s="6">
        <f t="shared" si="7"/>
        <v>18.175056000000001</v>
      </c>
      <c r="X18" s="43">
        <f t="shared" si="8"/>
        <v>2.2532542896141123E-3</v>
      </c>
      <c r="Y18" s="30">
        <f t="shared" si="0"/>
        <v>-0.69300000000000006</v>
      </c>
      <c r="Z18" s="6">
        <v>0.1</v>
      </c>
      <c r="AA18" s="43">
        <f t="shared" si="9"/>
        <v>1.3796020237998947E-15</v>
      </c>
      <c r="AB18" s="43">
        <f t="shared" si="10"/>
        <v>5.0771548936643983E-6</v>
      </c>
      <c r="AC18" s="43">
        <f t="shared" si="11"/>
        <v>1299.0745567974616</v>
      </c>
      <c r="AD18" s="6">
        <f t="shared" si="12"/>
        <v>3.1136340769210178</v>
      </c>
      <c r="AE18" s="30">
        <f t="shared" si="13"/>
        <v>0.69300000000000006</v>
      </c>
    </row>
    <row r="19" spans="1:44" ht="18" x14ac:dyDescent="0.2">
      <c r="B19" s="30">
        <v>14</v>
      </c>
      <c r="C19" s="49" t="s">
        <v>39</v>
      </c>
      <c r="D19" s="30">
        <v>4.383</v>
      </c>
      <c r="G19" s="30">
        <v>14</v>
      </c>
      <c r="H19" s="30" t="s">
        <v>41</v>
      </c>
      <c r="I19" s="30">
        <v>4.8715999999999999</v>
      </c>
      <c r="M19" s="30"/>
      <c r="N19" s="30"/>
      <c r="O19" s="30"/>
      <c r="P19" t="s">
        <v>76</v>
      </c>
      <c r="Q19" s="42" t="s">
        <v>45</v>
      </c>
      <c r="R19" s="48">
        <f>I14</f>
        <v>4.3487</v>
      </c>
      <c r="S19" s="42" t="s">
        <v>168</v>
      </c>
      <c r="T19" s="48">
        <f>I12</f>
        <v>4.0197000000000003</v>
      </c>
      <c r="V19" s="14" t="s">
        <v>186</v>
      </c>
      <c r="W19" s="6">
        <f t="shared" si="7"/>
        <v>1.334562</v>
      </c>
      <c r="X19" s="43">
        <f t="shared" si="8"/>
        <v>1.6545245039443007E-4</v>
      </c>
      <c r="Y19" s="30">
        <f t="shared" si="0"/>
        <v>-0.32899999999999974</v>
      </c>
      <c r="Z19" s="6">
        <v>0.1</v>
      </c>
      <c r="AA19" s="43">
        <f t="shared" si="9"/>
        <v>6.0800764576205571E-3</v>
      </c>
      <c r="AB19" s="43">
        <f t="shared" si="10"/>
        <v>2.7374513341521344E-8</v>
      </c>
      <c r="AC19" s="43">
        <f t="shared" si="11"/>
        <v>5725181967856945</v>
      </c>
      <c r="AD19" s="6">
        <f t="shared" si="12"/>
        <v>15.757789294746466</v>
      </c>
      <c r="AE19" s="30">
        <f t="shared" si="13"/>
        <v>0.32899999999999974</v>
      </c>
    </row>
    <row r="20" spans="1:44" ht="18" x14ac:dyDescent="0.2">
      <c r="B20" s="30">
        <v>15</v>
      </c>
      <c r="C20" s="49" t="s">
        <v>39</v>
      </c>
      <c r="D20" s="30">
        <v>4.5481999999999996</v>
      </c>
      <c r="G20" s="30">
        <v>15</v>
      </c>
      <c r="H20" s="49" t="s">
        <v>39</v>
      </c>
      <c r="I20" s="30">
        <v>5.0819999999999999</v>
      </c>
      <c r="M20" s="30"/>
      <c r="N20" s="30"/>
      <c r="O20" s="30"/>
      <c r="P20" t="s">
        <v>76</v>
      </c>
      <c r="Q20" s="42" t="s">
        <v>45</v>
      </c>
      <c r="R20" s="48">
        <f>I14</f>
        <v>4.3487</v>
      </c>
      <c r="S20" s="42" t="s">
        <v>169</v>
      </c>
      <c r="T20" s="48">
        <f>I13</f>
        <v>4.1973000000000003</v>
      </c>
      <c r="V20" s="14" t="s">
        <v>187</v>
      </c>
      <c r="W20" s="6">
        <f t="shared" si="7"/>
        <v>35.825285999999998</v>
      </c>
      <c r="X20" s="43">
        <f t="shared" si="8"/>
        <v>4.4414432261530527E-3</v>
      </c>
      <c r="Y20" s="30">
        <f t="shared" si="0"/>
        <v>-0.15139999999999976</v>
      </c>
      <c r="Z20" s="6">
        <v>0.1</v>
      </c>
      <c r="AA20" s="43">
        <f t="shared" si="9"/>
        <v>0.77331080860100709</v>
      </c>
      <c r="AB20" s="43">
        <f t="shared" si="10"/>
        <v>1.9726417931140837E-5</v>
      </c>
      <c r="AC20" s="43">
        <f t="shared" si="11"/>
        <v>7.2817260240243827E+17</v>
      </c>
      <c r="AD20" s="79">
        <f t="shared" si="12"/>
        <v>17.862234334513772</v>
      </c>
      <c r="AE20" s="30">
        <f t="shared" si="13"/>
        <v>0.15139999999999976</v>
      </c>
    </row>
    <row r="21" spans="1:44" ht="18" x14ac:dyDescent="0.25">
      <c r="B21" s="30">
        <v>16</v>
      </c>
      <c r="C21" s="49" t="s">
        <v>39</v>
      </c>
      <c r="D21" s="30">
        <v>4.5575000000000001</v>
      </c>
      <c r="G21" s="30">
        <v>16</v>
      </c>
      <c r="H21" s="30" t="s">
        <v>41</v>
      </c>
      <c r="I21" s="30">
        <v>5.1138000000000003</v>
      </c>
      <c r="M21" s="30"/>
      <c r="N21" s="30"/>
      <c r="O21" s="30"/>
      <c r="AG21" s="45" t="s">
        <v>64</v>
      </c>
      <c r="AH21" s="30" t="s">
        <v>159</v>
      </c>
      <c r="AI21" s="45" t="s">
        <v>160</v>
      </c>
      <c r="AJ21" s="45" t="s">
        <v>161</v>
      </c>
    </row>
    <row r="22" spans="1:44" ht="18" x14ac:dyDescent="0.25">
      <c r="B22" s="30">
        <v>17</v>
      </c>
      <c r="C22" s="49" t="s">
        <v>39</v>
      </c>
      <c r="D22" s="30">
        <v>4.5789</v>
      </c>
      <c r="G22" s="30">
        <v>17</v>
      </c>
      <c r="H22" s="49" t="s">
        <v>39</v>
      </c>
      <c r="I22" s="30">
        <v>5.3918999999999997</v>
      </c>
      <c r="M22" s="30"/>
      <c r="N22" s="30"/>
      <c r="O22" s="30"/>
      <c r="P22" t="s">
        <v>74</v>
      </c>
      <c r="Q22" s="42" t="s">
        <v>64</v>
      </c>
      <c r="R22" s="48">
        <f>D11</f>
        <v>3.6389999999999998</v>
      </c>
      <c r="S22" s="42" t="s">
        <v>65</v>
      </c>
      <c r="T22" s="48">
        <f>D6</f>
        <v>2.9573</v>
      </c>
      <c r="U22" s="6"/>
      <c r="V22" s="14" t="s">
        <v>158</v>
      </c>
      <c r="W22" s="6">
        <f>D33</f>
        <v>2.7851189999999999</v>
      </c>
      <c r="X22" s="43">
        <f t="shared" ref="X22:X26" si="14">W22*$M$7/$M$6</f>
        <v>3.4528539190392405E-4</v>
      </c>
      <c r="Y22" s="30">
        <f t="shared" si="0"/>
        <v>-0.68169999999999975</v>
      </c>
      <c r="Z22" s="6">
        <v>0.1</v>
      </c>
      <c r="AA22" s="43">
        <f>EXP(-((Y22+Z22)^2)/((4*Z22*$M$17*$M$9)))</f>
        <v>5.0199695282394884E-15</v>
      </c>
      <c r="AB22" s="43">
        <f t="shared" ref="AB22:AB26" si="15">X22^2</f>
        <v>1.1922200186224641E-7</v>
      </c>
      <c r="AC22" s="43">
        <f>1/(SQRT(4*Z22*$M$17*$M$9))*$M$16*AA22</f>
        <v>4726.9535543826978</v>
      </c>
      <c r="AD22" s="6">
        <f>LOG(AC22)</f>
        <v>3.6745813350775278</v>
      </c>
      <c r="AE22" s="30">
        <f>ABS(Y22)</f>
        <v>0.68169999999999975</v>
      </c>
      <c r="AF22" s="43">
        <f>SUM(AC22:AC26)</f>
        <v>1.5211425730133156E+18</v>
      </c>
      <c r="AG22" s="45" t="s">
        <v>38</v>
      </c>
      <c r="AH22" s="30">
        <v>90</v>
      </c>
      <c r="AI22" s="45" t="s">
        <v>177</v>
      </c>
      <c r="AJ22" s="45" t="s">
        <v>163</v>
      </c>
    </row>
    <row r="23" spans="1:44" ht="18" x14ac:dyDescent="0.25">
      <c r="B23" s="30">
        <v>18</v>
      </c>
      <c r="C23" s="49" t="s">
        <v>39</v>
      </c>
      <c r="D23" s="30">
        <v>4.7073</v>
      </c>
      <c r="G23" s="30">
        <v>18</v>
      </c>
      <c r="H23" s="49" t="s">
        <v>39</v>
      </c>
      <c r="I23" s="30">
        <v>5.5209000000000001</v>
      </c>
      <c r="M23" s="30"/>
      <c r="N23" s="30"/>
      <c r="O23" s="30"/>
      <c r="P23" t="s">
        <v>74</v>
      </c>
      <c r="Q23" s="42" t="s">
        <v>64</v>
      </c>
      <c r="R23" s="48">
        <f>D11</f>
        <v>3.6389999999999998</v>
      </c>
      <c r="S23" s="42" t="s">
        <v>66</v>
      </c>
      <c r="T23" s="48">
        <f>D7</f>
        <v>3.2957000000000001</v>
      </c>
      <c r="U23" s="6"/>
      <c r="V23" s="14" t="s">
        <v>162</v>
      </c>
      <c r="W23" s="6">
        <f>D34</f>
        <v>3.2168939999999999</v>
      </c>
      <c r="X23" s="43">
        <f t="shared" si="14"/>
        <v>3.9881473843788429E-4</v>
      </c>
      <c r="Y23" s="30">
        <f t="shared" si="0"/>
        <v>-0.34329999999999972</v>
      </c>
      <c r="Z23" s="44">
        <v>0.1</v>
      </c>
      <c r="AA23" s="43">
        <f>EXP(-((Y23+Z23)^2)/((4*Z23*$M$17*$M$9)))</f>
        <v>3.1513606716579486E-3</v>
      </c>
      <c r="AB23" s="43">
        <f t="shared" si="15"/>
        <v>1.5905319559527806E-7</v>
      </c>
      <c r="AC23" s="43">
        <f>1/(SQRT(4*Z23*$M$17*$M$9))*$M$16*AA23</f>
        <v>2967415527970257.5</v>
      </c>
      <c r="AD23" s="6">
        <f>LOG(AC23)</f>
        <v>15.472378364944726</v>
      </c>
      <c r="AE23" s="30">
        <f>ABS(Y23)</f>
        <v>0.34329999999999972</v>
      </c>
      <c r="AG23" s="45" t="s">
        <v>45</v>
      </c>
      <c r="AH23" s="45">
        <v>89</v>
      </c>
      <c r="AI23" s="45" t="s">
        <v>160</v>
      </c>
      <c r="AJ23" s="45" t="s">
        <v>163</v>
      </c>
    </row>
    <row r="24" spans="1:44" ht="18" x14ac:dyDescent="0.2">
      <c r="B24" s="30">
        <v>19</v>
      </c>
      <c r="C24" s="49" t="s">
        <v>39</v>
      </c>
      <c r="D24" s="30">
        <v>4.8632</v>
      </c>
      <c r="G24" s="30">
        <v>19</v>
      </c>
      <c r="H24" s="49" t="s">
        <v>39</v>
      </c>
      <c r="I24" s="30">
        <v>5.9303999999999997</v>
      </c>
      <c r="M24" s="30"/>
      <c r="N24" s="30"/>
      <c r="O24" s="30"/>
      <c r="P24" t="s">
        <v>74</v>
      </c>
      <c r="Q24" s="42" t="s">
        <v>64</v>
      </c>
      <c r="R24" s="48">
        <f>D11</f>
        <v>3.6389999999999998</v>
      </c>
      <c r="S24" s="42" t="s">
        <v>164</v>
      </c>
      <c r="T24" s="48">
        <f>D8</f>
        <v>3.4188999999999998</v>
      </c>
      <c r="U24" s="6"/>
      <c r="V24" s="14" t="s">
        <v>165</v>
      </c>
      <c r="W24" s="6">
        <f>D35</f>
        <v>9.2869109999999999</v>
      </c>
      <c r="X24" s="43">
        <f t="shared" si="14"/>
        <v>1.1513456711228006E-3</v>
      </c>
      <c r="Y24" s="30">
        <f t="shared" si="0"/>
        <v>-0.22009999999999996</v>
      </c>
      <c r="Z24" s="44">
        <v>0.1</v>
      </c>
      <c r="AA24" s="43">
        <f>EXP(-((Y24+Z24)^2)/((4*Z24*$M$17*$M$9)))</f>
        <v>0.24573069473103959</v>
      </c>
      <c r="AB24" s="43">
        <f t="shared" si="15"/>
        <v>1.325596854413212E-6</v>
      </c>
      <c r="AC24" s="43">
        <f>1/(SQRT(4*Z24*$M$17*$M$9))*$M$16*AA24</f>
        <v>2.3138737682481062E+17</v>
      </c>
      <c r="AD24" s="6">
        <f>LOG(AC24)</f>
        <v>17.364339662632741</v>
      </c>
      <c r="AE24" s="30">
        <f>ABS(Y24)</f>
        <v>0.22009999999999996</v>
      </c>
      <c r="AG24" s="42" t="s">
        <v>65</v>
      </c>
      <c r="AH24" s="30" t="s">
        <v>159</v>
      </c>
      <c r="AI24" s="45" t="s">
        <v>160</v>
      </c>
      <c r="AJ24" s="45" t="s">
        <v>161</v>
      </c>
    </row>
    <row r="25" spans="1:44" ht="18" x14ac:dyDescent="0.2">
      <c r="B25" s="30">
        <v>20</v>
      </c>
      <c r="C25" s="49" t="s">
        <v>39</v>
      </c>
      <c r="D25" s="30">
        <v>4.9363000000000001</v>
      </c>
      <c r="G25" s="30">
        <v>20</v>
      </c>
      <c r="H25" s="49" t="s">
        <v>39</v>
      </c>
      <c r="I25" s="30">
        <v>5.9825999999999997</v>
      </c>
      <c r="M25" s="30"/>
      <c r="N25" s="30"/>
      <c r="O25" s="30"/>
      <c r="P25" t="s">
        <v>74</v>
      </c>
      <c r="Q25" s="42" t="s">
        <v>64</v>
      </c>
      <c r="R25" s="48">
        <f>D11</f>
        <v>3.6389999999999998</v>
      </c>
      <c r="S25" s="42" t="s">
        <v>166</v>
      </c>
      <c r="T25" s="48">
        <f>D9</f>
        <v>3.4708000000000001</v>
      </c>
      <c r="U25" s="6"/>
      <c r="V25" s="14" t="s">
        <v>167</v>
      </c>
      <c r="W25" s="6">
        <f>D36</f>
        <v>6.5286929999999996</v>
      </c>
      <c r="X25" s="43">
        <f t="shared" si="14"/>
        <v>8.0939533324263908E-4</v>
      </c>
      <c r="Y25" s="30">
        <f t="shared" si="0"/>
        <v>-0.16819999999999968</v>
      </c>
      <c r="Z25" s="44">
        <v>0.1</v>
      </c>
      <c r="AA25" s="43">
        <f>EXP(-((Y25+Z25)^2)/((4*Z25*$M$17*$M$9)))</f>
        <v>0.63598141537555797</v>
      </c>
      <c r="AB25" s="43">
        <f t="shared" si="15"/>
        <v>6.5512080547496278E-7</v>
      </c>
      <c r="AC25" s="43">
        <f>1/(SQRT(4*Z25*$M$17*$M$9))*$M$16*AA25</f>
        <v>5.9885913550258765E+17</v>
      </c>
      <c r="AD25" s="6">
        <f>LOG(AC25)</f>
        <v>17.777324679036408</v>
      </c>
      <c r="AE25" s="30">
        <f>ABS(Y25)</f>
        <v>0.16819999999999968</v>
      </c>
      <c r="AG25" s="42" t="s">
        <v>66</v>
      </c>
      <c r="AH25" s="30" t="s">
        <v>159</v>
      </c>
      <c r="AI25" s="45" t="s">
        <v>177</v>
      </c>
      <c r="AJ25" s="45" t="s">
        <v>161</v>
      </c>
    </row>
    <row r="26" spans="1:44" ht="18" x14ac:dyDescent="0.2">
      <c r="D26" s="48"/>
      <c r="P26" t="s">
        <v>74</v>
      </c>
      <c r="Q26" s="42" t="s">
        <v>64</v>
      </c>
      <c r="R26" s="48">
        <f>D11</f>
        <v>3.6389999999999998</v>
      </c>
      <c r="S26" s="42" t="s">
        <v>168</v>
      </c>
      <c r="T26" s="48">
        <f>D10</f>
        <v>3.4822000000000002</v>
      </c>
      <c r="U26" s="6"/>
      <c r="V26" s="14" t="s">
        <v>178</v>
      </c>
      <c r="W26" s="6">
        <f>D37</f>
        <v>9.3045790000000004</v>
      </c>
      <c r="X26" s="43">
        <f t="shared" si="14"/>
        <v>1.1535360630967732E-3</v>
      </c>
      <c r="Y26" s="30">
        <f t="shared" si="0"/>
        <v>-0.15679999999999961</v>
      </c>
      <c r="Z26" s="44">
        <v>0.1</v>
      </c>
      <c r="AA26" s="43">
        <f>EXP(-((Y26+Z26)^2)/((4*Z26*$M$17*$M$9)))</f>
        <v>0.73057219550931862</v>
      </c>
      <c r="AB26" s="43">
        <f t="shared" si="15"/>
        <v>1.3306454488648028E-6</v>
      </c>
      <c r="AC26" s="43">
        <f>1/(SQRT(4*Z26*$M$17*$M$9))*$M$16*AA26</f>
        <v>6.8792864515794214E+17</v>
      </c>
      <c r="AD26" s="79">
        <f>LOG(AC26)</f>
        <v>17.837543393727863</v>
      </c>
      <c r="AE26" s="30">
        <f>ABS(Y26)</f>
        <v>0.15679999999999961</v>
      </c>
      <c r="AG26" s="42" t="s">
        <v>164</v>
      </c>
      <c r="AH26" s="30">
        <v>94</v>
      </c>
      <c r="AI26" s="45" t="s">
        <v>160</v>
      </c>
      <c r="AJ26" s="45" t="s">
        <v>161</v>
      </c>
    </row>
    <row r="27" spans="1:44" ht="19" x14ac:dyDescent="0.25">
      <c r="A27" s="117" t="s">
        <v>61</v>
      </c>
      <c r="B27" s="117"/>
      <c r="C27" s="117"/>
      <c r="D27" s="117"/>
      <c r="E27" s="117"/>
      <c r="F27" s="117"/>
      <c r="G27" s="117"/>
      <c r="H27" s="117"/>
      <c r="I27" s="117"/>
      <c r="J27" s="1"/>
      <c r="K27" s="1"/>
      <c r="L27" s="1"/>
      <c r="M27" s="1"/>
      <c r="N27" s="1"/>
      <c r="O27" s="1"/>
      <c r="Q27" s="42"/>
      <c r="R27" s="48"/>
      <c r="S27" s="42"/>
      <c r="T27" s="48"/>
      <c r="U27" s="30"/>
      <c r="V27" s="14"/>
      <c r="W27" s="6"/>
      <c r="X27" s="43"/>
      <c r="Y27" s="30"/>
      <c r="Z27" s="6"/>
      <c r="AA27" s="43"/>
      <c r="AB27" s="43"/>
      <c r="AC27" s="43"/>
      <c r="AD27" s="30"/>
      <c r="AE27" s="30"/>
      <c r="AG27" s="42" t="s">
        <v>166</v>
      </c>
      <c r="AH27" s="30">
        <v>87</v>
      </c>
      <c r="AI27" s="45" t="s">
        <v>177</v>
      </c>
      <c r="AJ27" s="45" t="s">
        <v>163</v>
      </c>
    </row>
    <row r="28" spans="1:44" ht="18" x14ac:dyDescent="0.2">
      <c r="A28" s="7" t="s">
        <v>56</v>
      </c>
      <c r="P28" t="s">
        <v>74</v>
      </c>
      <c r="Q28" s="42" t="s">
        <v>38</v>
      </c>
      <c r="R28" s="48">
        <f>D14</f>
        <v>3.9077000000000002</v>
      </c>
      <c r="S28" s="42" t="s">
        <v>65</v>
      </c>
      <c r="T28" s="48">
        <f t="shared" ref="T28:T33" si="16">D6</f>
        <v>2.9573</v>
      </c>
      <c r="U28" s="30"/>
      <c r="V28" s="14" t="s">
        <v>170</v>
      </c>
      <c r="W28" s="6">
        <f t="shared" ref="W28:W34" si="17">D44</f>
        <v>7.8480129999999999</v>
      </c>
      <c r="X28" s="43">
        <f t="shared" ref="X28:X34" si="18">W28*$M$7/$M$6</f>
        <v>9.7295815524295044E-4</v>
      </c>
      <c r="Y28" s="30">
        <f t="shared" si="0"/>
        <v>-0.95040000000000013</v>
      </c>
      <c r="Z28" s="6">
        <v>0.1</v>
      </c>
      <c r="AA28" s="43">
        <f t="shared" ref="AA28:AA34" si="19">EXP(-((Y28+Z28)^2)/((4*Z28*$M$17*$M$9)))</f>
        <v>2.7498719643157133E-31</v>
      </c>
      <c r="AB28" s="43">
        <f t="shared" ref="AB28:AB34" si="20">X28^2</f>
        <v>9.4664757185376522E-7</v>
      </c>
      <c r="AC28" s="43">
        <f t="shared" ref="AC28:AC34" si="21">1/(SQRT(4*Z28*$M$17*$M$9))*$M$16*AA28</f>
        <v>2.5893617446674211E-13</v>
      </c>
      <c r="AD28" s="6">
        <f t="shared" ref="AD28:AD34" si="22">LOG(AC28)</f>
        <v>-12.586807272570773</v>
      </c>
      <c r="AE28" s="30">
        <f t="shared" ref="AE28:AE34" si="23">ABS(Y28)</f>
        <v>0.95040000000000013</v>
      </c>
      <c r="AF28" s="43">
        <f>SUM(AC28:AC34)</f>
        <v>7.2940967100698547E+17</v>
      </c>
      <c r="AG28" s="42" t="s">
        <v>168</v>
      </c>
      <c r="AH28" s="30">
        <v>85</v>
      </c>
      <c r="AI28" s="45" t="s">
        <v>160</v>
      </c>
      <c r="AJ28" s="45" t="s">
        <v>163</v>
      </c>
    </row>
    <row r="29" spans="1:44" ht="18" x14ac:dyDescent="0.2">
      <c r="A29" s="7"/>
      <c r="P29" t="s">
        <v>74</v>
      </c>
      <c r="Q29" s="42" t="s">
        <v>38</v>
      </c>
      <c r="R29" s="48">
        <f>D14</f>
        <v>3.9077000000000002</v>
      </c>
      <c r="S29" s="42" t="s">
        <v>66</v>
      </c>
      <c r="T29" s="48">
        <f t="shared" si="16"/>
        <v>3.2957000000000001</v>
      </c>
      <c r="U29" s="30"/>
      <c r="V29" s="14" t="s">
        <v>171</v>
      </c>
      <c r="W29" s="6">
        <f t="shared" si="17"/>
        <v>4.671945</v>
      </c>
      <c r="X29" s="43">
        <f t="shared" si="18"/>
        <v>5.7920482402316691E-4</v>
      </c>
      <c r="Y29" s="30">
        <f t="shared" si="0"/>
        <v>-0.6120000000000001</v>
      </c>
      <c r="Z29" s="6">
        <v>0.1</v>
      </c>
      <c r="AA29" s="43">
        <f t="shared" si="19"/>
        <v>8.3583968376946894E-12</v>
      </c>
      <c r="AB29" s="43">
        <f t="shared" si="20"/>
        <v>3.3547822817170773E-7</v>
      </c>
      <c r="AC29" s="43">
        <f t="shared" si="21"/>
        <v>7870516.6273664916</v>
      </c>
      <c r="AD29" s="6">
        <f t="shared" si="22"/>
        <v>6.8960032407517504</v>
      </c>
      <c r="AE29" s="30">
        <f t="shared" si="23"/>
        <v>0.6120000000000001</v>
      </c>
      <c r="AG29" s="30" t="s">
        <v>68</v>
      </c>
      <c r="AH29" s="45">
        <v>90</v>
      </c>
      <c r="AI29" s="45" t="s">
        <v>177</v>
      </c>
      <c r="AJ29" s="45" t="s">
        <v>163</v>
      </c>
    </row>
    <row r="30" spans="1:44" ht="19" thickBot="1" x14ac:dyDescent="0.25">
      <c r="A30" s="7"/>
      <c r="P30" t="s">
        <v>74</v>
      </c>
      <c r="Q30" s="42" t="s">
        <v>38</v>
      </c>
      <c r="R30" s="48">
        <f>D14</f>
        <v>3.9077000000000002</v>
      </c>
      <c r="S30" s="42" t="s">
        <v>164</v>
      </c>
      <c r="T30" s="48">
        <f t="shared" si="16"/>
        <v>3.4188999999999998</v>
      </c>
      <c r="U30" s="48"/>
      <c r="V30" s="14" t="s">
        <v>42</v>
      </c>
      <c r="W30" s="6">
        <f t="shared" si="17"/>
        <v>18.890900999999999</v>
      </c>
      <c r="X30" s="43">
        <f t="shared" si="18"/>
        <v>2.3420012413125726E-3</v>
      </c>
      <c r="Y30" s="30">
        <f t="shared" si="0"/>
        <v>-0.48880000000000035</v>
      </c>
      <c r="Z30" s="6">
        <v>0.1</v>
      </c>
      <c r="AA30" s="43">
        <f t="shared" si="19"/>
        <v>4.0920213685598842E-7</v>
      </c>
      <c r="AB30" s="43">
        <f t="shared" si="20"/>
        <v>5.4849698143096312E-6</v>
      </c>
      <c r="AC30" s="43">
        <f t="shared" si="21"/>
        <v>385316979394.24835</v>
      </c>
      <c r="AD30" s="6">
        <f t="shared" si="22"/>
        <v>11.58581814707361</v>
      </c>
      <c r="AE30" s="30">
        <f t="shared" si="23"/>
        <v>0.48880000000000035</v>
      </c>
      <c r="AG30" s="30" t="s">
        <v>69</v>
      </c>
      <c r="AH30" s="30">
        <v>89</v>
      </c>
      <c r="AI30" s="45" t="s">
        <v>160</v>
      </c>
      <c r="AJ30" s="45" t="s">
        <v>163</v>
      </c>
    </row>
    <row r="31" spans="1:44" ht="35" thickBot="1" x14ac:dyDescent="0.3">
      <c r="A31" s="8" t="s">
        <v>57</v>
      </c>
      <c r="B31" s="9" t="s">
        <v>63</v>
      </c>
      <c r="C31" s="9" t="s">
        <v>63</v>
      </c>
      <c r="D31" s="11" t="s">
        <v>30</v>
      </c>
      <c r="F31" s="8" t="s">
        <v>57</v>
      </c>
      <c r="G31" s="9" t="s">
        <v>63</v>
      </c>
      <c r="H31" s="9" t="s">
        <v>63</v>
      </c>
      <c r="I31" s="11" t="s">
        <v>30</v>
      </c>
      <c r="L31" s="80"/>
      <c r="M31" s="81"/>
      <c r="N31" s="81"/>
      <c r="O31" s="81"/>
      <c r="P31" t="s">
        <v>74</v>
      </c>
      <c r="Q31" s="42" t="s">
        <v>38</v>
      </c>
      <c r="R31" s="48">
        <f>D14</f>
        <v>3.9077000000000002</v>
      </c>
      <c r="S31" s="42" t="s">
        <v>166</v>
      </c>
      <c r="T31" s="48">
        <f t="shared" si="16"/>
        <v>3.4708000000000001</v>
      </c>
      <c r="U31" s="1"/>
      <c r="V31" s="14" t="s">
        <v>173</v>
      </c>
      <c r="W31" s="6">
        <f t="shared" si="17"/>
        <v>70.634653</v>
      </c>
      <c r="X31" s="43">
        <f t="shared" si="18"/>
        <v>8.7569377980268297E-3</v>
      </c>
      <c r="Y31" s="30">
        <f t="shared" si="0"/>
        <v>-0.43690000000000007</v>
      </c>
      <c r="Z31" s="6">
        <v>0.1</v>
      </c>
      <c r="AA31" s="43">
        <f t="shared" si="19"/>
        <v>1.597953589640558E-5</v>
      </c>
      <c r="AB31" s="43">
        <f t="shared" si="20"/>
        <v>7.6683959598510988E-5</v>
      </c>
      <c r="AC31" s="43">
        <f t="shared" si="21"/>
        <v>15046809264077.416</v>
      </c>
      <c r="AD31" s="6">
        <f t="shared" si="22"/>
        <v>13.177444415815733</v>
      </c>
      <c r="AE31" s="30">
        <f t="shared" si="23"/>
        <v>0.43690000000000007</v>
      </c>
      <c r="AH31" s="30"/>
      <c r="AI31" s="45"/>
      <c r="AJ31" s="45"/>
    </row>
    <row r="32" spans="1:44" ht="18" x14ac:dyDescent="0.2">
      <c r="P32" t="s">
        <v>74</v>
      </c>
      <c r="Q32" s="42" t="s">
        <v>38</v>
      </c>
      <c r="R32" s="48">
        <f>D14</f>
        <v>3.9077000000000002</v>
      </c>
      <c r="S32" s="42" t="s">
        <v>168</v>
      </c>
      <c r="T32" s="48">
        <f t="shared" si="16"/>
        <v>3.4822000000000002</v>
      </c>
      <c r="V32" s="14" t="s">
        <v>179</v>
      </c>
      <c r="W32" s="6">
        <f t="shared" si="17"/>
        <v>9.2260240000000007</v>
      </c>
      <c r="X32" s="43">
        <f t="shared" si="18"/>
        <v>1.1437971995290003E-3</v>
      </c>
      <c r="Y32" s="30">
        <f t="shared" si="0"/>
        <v>-0.42549999999999999</v>
      </c>
      <c r="Z32" s="6">
        <v>0.1</v>
      </c>
      <c r="AA32" s="43">
        <f t="shared" si="19"/>
        <v>3.3317712365225253E-5</v>
      </c>
      <c r="AB32" s="43">
        <f t="shared" si="20"/>
        <v>1.3082720336503838E-6</v>
      </c>
      <c r="AC32" s="43">
        <f t="shared" si="21"/>
        <v>31372955154955.758</v>
      </c>
      <c r="AD32" s="6">
        <f t="shared" si="22"/>
        <v>13.496555428708701</v>
      </c>
      <c r="AE32" s="30">
        <f t="shared" si="23"/>
        <v>0.42549999999999999</v>
      </c>
      <c r="AH32" s="30"/>
      <c r="AI32" s="45"/>
      <c r="AJ32" s="45"/>
    </row>
    <row r="33" spans="1:32" ht="18" x14ac:dyDescent="0.25">
      <c r="A33" t="s">
        <v>74</v>
      </c>
      <c r="B33" t="s">
        <v>64</v>
      </c>
      <c r="C33" t="s">
        <v>65</v>
      </c>
      <c r="D33">
        <v>2.7851189999999999</v>
      </c>
      <c r="F33" t="s">
        <v>76</v>
      </c>
      <c r="G33" t="s">
        <v>64</v>
      </c>
      <c r="H33" t="s">
        <v>65</v>
      </c>
      <c r="I33">
        <v>7.1625560000000004</v>
      </c>
      <c r="P33" t="s">
        <v>74</v>
      </c>
      <c r="Q33" s="42" t="s">
        <v>38</v>
      </c>
      <c r="R33" s="48">
        <f>D14</f>
        <v>3.9077000000000002</v>
      </c>
      <c r="S33" s="42" t="s">
        <v>169</v>
      </c>
      <c r="T33" s="48">
        <f t="shared" si="16"/>
        <v>3.6389999999999998</v>
      </c>
      <c r="V33" s="14" t="s">
        <v>180</v>
      </c>
      <c r="W33" s="6">
        <f t="shared" si="17"/>
        <v>14.474798</v>
      </c>
      <c r="X33" s="43">
        <f t="shared" si="18"/>
        <v>1.7945144534794154E-3</v>
      </c>
      <c r="Y33" s="30">
        <f t="shared" si="0"/>
        <v>-0.26870000000000038</v>
      </c>
      <c r="Z33" s="6">
        <v>0.1</v>
      </c>
      <c r="AA33" s="43">
        <f t="shared" si="19"/>
        <v>6.2708896180307283E-2</v>
      </c>
      <c r="AB33" s="43">
        <f t="shared" si="20"/>
        <v>3.2202821237465248E-6</v>
      </c>
      <c r="AC33" s="43">
        <f t="shared" si="21"/>
        <v>5.9048573506954096E+16</v>
      </c>
      <c r="AD33" s="6">
        <f t="shared" si="22"/>
        <v>16.771209410407767</v>
      </c>
      <c r="AE33" s="30">
        <f t="shared" si="23"/>
        <v>0.26870000000000038</v>
      </c>
    </row>
    <row r="34" spans="1:32" ht="18" x14ac:dyDescent="0.25">
      <c r="B34" t="s">
        <v>64</v>
      </c>
      <c r="C34" t="s">
        <v>66</v>
      </c>
      <c r="D34">
        <v>3.2168939999999999</v>
      </c>
      <c r="G34" t="s">
        <v>64</v>
      </c>
      <c r="H34" t="s">
        <v>66</v>
      </c>
      <c r="I34">
        <v>4.4009340000000003</v>
      </c>
      <c r="P34" t="s">
        <v>74</v>
      </c>
      <c r="Q34" s="42" t="s">
        <v>38</v>
      </c>
      <c r="R34" s="48">
        <f>D14</f>
        <v>3.9077000000000002</v>
      </c>
      <c r="S34" s="42" t="s">
        <v>69</v>
      </c>
      <c r="T34" s="48">
        <f>D13</f>
        <v>3.7486000000000002</v>
      </c>
      <c r="V34" s="14" t="s">
        <v>181</v>
      </c>
      <c r="W34" s="6">
        <f t="shared" si="17"/>
        <v>3.9913029999999998</v>
      </c>
      <c r="X34" s="43">
        <f t="shared" si="18"/>
        <v>4.9482216758505034E-4</v>
      </c>
      <c r="Y34" s="30">
        <f t="shared" si="0"/>
        <v>-0.15910000000000002</v>
      </c>
      <c r="Z34" s="6">
        <v>0.1</v>
      </c>
      <c r="AA34" s="43">
        <f t="shared" si="19"/>
        <v>0.71186595838783917</v>
      </c>
      <c r="AB34" s="43">
        <f t="shared" si="20"/>
        <v>2.4484897753356762E-7</v>
      </c>
      <c r="AC34" s="43">
        <f t="shared" si="21"/>
        <v>6.703142924107625E+17</v>
      </c>
      <c r="AD34" s="79">
        <f t="shared" si="22"/>
        <v>17.826278479499578</v>
      </c>
      <c r="AE34" s="30">
        <f t="shared" si="23"/>
        <v>0.15910000000000002</v>
      </c>
    </row>
    <row r="35" spans="1:32" ht="18" x14ac:dyDescent="0.25">
      <c r="B35" t="s">
        <v>64</v>
      </c>
      <c r="C35" t="s">
        <v>40</v>
      </c>
      <c r="D35">
        <v>9.2869109999999999</v>
      </c>
      <c r="G35" t="s">
        <v>64</v>
      </c>
      <c r="H35" t="s">
        <v>40</v>
      </c>
      <c r="I35">
        <v>13.515412</v>
      </c>
      <c r="Y35" s="30"/>
      <c r="AA35" s="43"/>
      <c r="AC35" s="43"/>
    </row>
    <row r="36" spans="1:32" ht="18" x14ac:dyDescent="0.25">
      <c r="B36" t="s">
        <v>64</v>
      </c>
      <c r="C36" t="s">
        <v>67</v>
      </c>
      <c r="D36">
        <v>6.5286929999999996</v>
      </c>
      <c r="G36" t="s">
        <v>64</v>
      </c>
      <c r="H36" t="s">
        <v>67</v>
      </c>
      <c r="I36">
        <v>8.1184519999999996</v>
      </c>
      <c r="P36" t="s">
        <v>74</v>
      </c>
      <c r="Q36" s="42" t="s">
        <v>45</v>
      </c>
      <c r="R36" s="48">
        <f>D15</f>
        <v>4.0042999999999997</v>
      </c>
      <c r="S36" s="42" t="s">
        <v>65</v>
      </c>
      <c r="T36" s="48">
        <f>D6</f>
        <v>2.9573</v>
      </c>
      <c r="U36" s="30"/>
      <c r="V36" s="14" t="s">
        <v>182</v>
      </c>
      <c r="W36" s="6">
        <f t="shared" ref="W36:W42" si="24">D55</f>
        <v>10.259175000000001</v>
      </c>
      <c r="X36" s="43">
        <f t="shared" ref="X36:X42" si="25">W36*$M$7/$M$6</f>
        <v>1.2718821926409394E-3</v>
      </c>
      <c r="Y36" s="30">
        <f t="shared" si="0"/>
        <v>-1.0469999999999997</v>
      </c>
      <c r="Z36" s="6">
        <v>0.1</v>
      </c>
      <c r="AA36" s="43">
        <f t="shared" ref="AA36:AA42" si="26">EXP(-((Y36+Z36)^2)/((4*Z36*$M$17*$M$9)))</f>
        <v>1.2646642020069047E-38</v>
      </c>
      <c r="AB36" s="43">
        <f t="shared" ref="AB36:AB42" si="27">X36^2</f>
        <v>1.6176843119571239E-6</v>
      </c>
      <c r="AC36" s="43">
        <f t="shared" ref="AC36:AC42" si="28">1/(SQRT(4*Z36*$M$17*$M$9))*$M$16*AA36</f>
        <v>1.1908456637332606E-20</v>
      </c>
      <c r="AD36" s="6">
        <f t="shared" ref="AD36:AD42" si="29">LOG(AC36)</f>
        <v>-19.924144520408294</v>
      </c>
      <c r="AE36" s="30">
        <f t="shared" ref="AE36:AE42" si="30">ABS(Y36)</f>
        <v>1.0469999999999997</v>
      </c>
      <c r="AF36" s="43">
        <f>SUM(AC36:AC42)</f>
        <v>1.0016595937199741E+17</v>
      </c>
    </row>
    <row r="37" spans="1:32" ht="18" x14ac:dyDescent="0.25">
      <c r="B37" t="s">
        <v>64</v>
      </c>
      <c r="C37" t="s">
        <v>46</v>
      </c>
      <c r="D37">
        <v>9.3045790000000004</v>
      </c>
      <c r="G37" t="s">
        <v>64</v>
      </c>
      <c r="H37" t="s">
        <v>46</v>
      </c>
      <c r="I37">
        <v>0.96304299999999998</v>
      </c>
      <c r="P37" t="s">
        <v>74</v>
      </c>
      <c r="Q37" s="42" t="s">
        <v>45</v>
      </c>
      <c r="R37" s="48">
        <f>D15</f>
        <v>4.0042999999999997</v>
      </c>
      <c r="S37" s="42" t="s">
        <v>66</v>
      </c>
      <c r="T37" s="48">
        <f>D7</f>
        <v>3.2957000000000001</v>
      </c>
      <c r="U37" s="30"/>
      <c r="V37" s="14" t="s">
        <v>183</v>
      </c>
      <c r="W37" s="6">
        <f t="shared" si="24"/>
        <v>20.672353999999999</v>
      </c>
      <c r="X37" s="43">
        <f t="shared" si="25"/>
        <v>2.5628570457731435E-3</v>
      </c>
      <c r="Y37" s="30">
        <f t="shared" si="0"/>
        <v>-0.70859999999999967</v>
      </c>
      <c r="Z37" s="6">
        <v>0.1</v>
      </c>
      <c r="AA37" s="43">
        <f t="shared" si="26"/>
        <v>2.226462053996625E-16</v>
      </c>
      <c r="AB37" s="43">
        <f t="shared" si="27"/>
        <v>6.5682362370690443E-6</v>
      </c>
      <c r="AC37" s="43">
        <f t="shared" si="28"/>
        <v>209.65033075665835</v>
      </c>
      <c r="AD37" s="6">
        <f t="shared" si="29"/>
        <v>2.3214955519085745</v>
      </c>
      <c r="AE37" s="30">
        <f t="shared" si="30"/>
        <v>0.70859999999999967</v>
      </c>
    </row>
    <row r="38" spans="1:32" ht="18" x14ac:dyDescent="0.25">
      <c r="B38" t="s">
        <v>64</v>
      </c>
      <c r="C38" t="s">
        <v>68</v>
      </c>
      <c r="D38">
        <v>1.493177</v>
      </c>
      <c r="G38" t="s">
        <v>64</v>
      </c>
      <c r="H38" t="s">
        <v>68</v>
      </c>
      <c r="I38">
        <v>15.895412</v>
      </c>
      <c r="P38" s="75" t="s">
        <v>74</v>
      </c>
      <c r="Q38" s="42" t="s">
        <v>45</v>
      </c>
      <c r="R38" s="48">
        <f>D15</f>
        <v>4.0042999999999997</v>
      </c>
      <c r="S38" s="42" t="s">
        <v>164</v>
      </c>
      <c r="T38" s="48">
        <f>D8</f>
        <v>3.4188999999999998</v>
      </c>
      <c r="U38" s="48"/>
      <c r="V38" s="14" t="s">
        <v>184</v>
      </c>
      <c r="W38" s="6">
        <f t="shared" si="24"/>
        <v>11.827038999999999</v>
      </c>
      <c r="X38" s="43">
        <f t="shared" si="25"/>
        <v>1.466258280589804E-3</v>
      </c>
      <c r="Y38" s="30">
        <f t="shared" si="0"/>
        <v>-0.58539999999999992</v>
      </c>
      <c r="Z38" s="6">
        <v>0.1</v>
      </c>
      <c r="AA38" s="43">
        <f t="shared" si="26"/>
        <v>1.1047984236237399E-10</v>
      </c>
      <c r="AB38" s="43">
        <f t="shared" si="27"/>
        <v>2.1499133453981686E-6</v>
      </c>
      <c r="AC38" s="43">
        <f t="shared" si="28"/>
        <v>104031126.20598155</v>
      </c>
      <c r="AD38" s="6">
        <f t="shared" si="29"/>
        <v>8.0171633000392504</v>
      </c>
      <c r="AE38" s="30">
        <f t="shared" si="30"/>
        <v>0.58539999999999992</v>
      </c>
    </row>
    <row r="39" spans="1:32" ht="19" x14ac:dyDescent="0.25">
      <c r="B39" t="s">
        <v>64</v>
      </c>
      <c r="C39" t="s">
        <v>69</v>
      </c>
      <c r="D39">
        <v>6.1231749999999998</v>
      </c>
      <c r="G39" t="s">
        <v>64</v>
      </c>
      <c r="H39" t="s">
        <v>69</v>
      </c>
      <c r="I39">
        <v>1.2651829999999999</v>
      </c>
      <c r="P39" t="s">
        <v>74</v>
      </c>
      <c r="Q39" s="42" t="s">
        <v>45</v>
      </c>
      <c r="R39" s="48">
        <f>D15</f>
        <v>4.0042999999999997</v>
      </c>
      <c r="S39" s="42" t="s">
        <v>166</v>
      </c>
      <c r="T39" s="48">
        <f>D9</f>
        <v>3.4708000000000001</v>
      </c>
      <c r="U39" s="1"/>
      <c r="V39" s="14" t="s">
        <v>185</v>
      </c>
      <c r="W39" s="6">
        <f t="shared" si="24"/>
        <v>11.640739</v>
      </c>
      <c r="X39" s="43">
        <f t="shared" si="25"/>
        <v>1.4431617204386214E-3</v>
      </c>
      <c r="Y39" s="30">
        <f t="shared" si="0"/>
        <v>-0.53349999999999964</v>
      </c>
      <c r="Z39" s="6">
        <v>0.1</v>
      </c>
      <c r="AA39" s="43">
        <f t="shared" si="26"/>
        <v>1.1445668228983959E-8</v>
      </c>
      <c r="AB39" s="43">
        <f t="shared" si="27"/>
        <v>2.0827157513393617E-6</v>
      </c>
      <c r="AC39" s="43">
        <f t="shared" si="28"/>
        <v>10777583770.763426</v>
      </c>
      <c r="AD39" s="6">
        <f t="shared" si="29"/>
        <v>10.032521407173238</v>
      </c>
      <c r="AE39" s="30">
        <f t="shared" si="30"/>
        <v>0.53349999999999964</v>
      </c>
    </row>
    <row r="40" spans="1:32" ht="18" x14ac:dyDescent="0.25">
      <c r="B40" t="s">
        <v>64</v>
      </c>
      <c r="C40" t="s">
        <v>70</v>
      </c>
      <c r="D40">
        <v>2.7591709999999998</v>
      </c>
      <c r="G40" t="s">
        <v>64</v>
      </c>
      <c r="H40" t="s">
        <v>70</v>
      </c>
      <c r="I40">
        <v>14.164595</v>
      </c>
      <c r="P40" t="s">
        <v>74</v>
      </c>
      <c r="Q40" s="42" t="s">
        <v>45</v>
      </c>
      <c r="R40" s="48">
        <f>D15</f>
        <v>4.0042999999999997</v>
      </c>
      <c r="S40" s="42" t="s">
        <v>168</v>
      </c>
      <c r="T40" s="48">
        <f>D10</f>
        <v>3.4822000000000002</v>
      </c>
      <c r="V40" s="14" t="s">
        <v>186</v>
      </c>
      <c r="W40" s="6">
        <f t="shared" si="24"/>
        <v>74.725971999999999</v>
      </c>
      <c r="X40" s="43">
        <f t="shared" si="25"/>
        <v>9.2641594586879983E-3</v>
      </c>
      <c r="Y40" s="30">
        <f t="shared" si="0"/>
        <v>-0.52209999999999956</v>
      </c>
      <c r="Z40" s="6">
        <v>0.1</v>
      </c>
      <c r="AA40" s="43">
        <f t="shared" si="26"/>
        <v>2.9568290157814537E-8</v>
      </c>
      <c r="AB40" s="43">
        <f t="shared" si="27"/>
        <v>8.5824650475998311E-5</v>
      </c>
      <c r="AC40" s="43">
        <f t="shared" si="28"/>
        <v>27842386985.069454</v>
      </c>
      <c r="AD40" s="6">
        <f t="shared" si="29"/>
        <v>10.44470646549332</v>
      </c>
      <c r="AE40" s="30">
        <f t="shared" si="30"/>
        <v>0.52209999999999956</v>
      </c>
    </row>
    <row r="41" spans="1:32" ht="18" x14ac:dyDescent="0.25">
      <c r="B41" t="s">
        <v>64</v>
      </c>
      <c r="C41" t="s">
        <v>71</v>
      </c>
      <c r="D41">
        <v>13.438192000000001</v>
      </c>
      <c r="G41" t="s">
        <v>64</v>
      </c>
      <c r="H41" t="s">
        <v>71</v>
      </c>
      <c r="I41">
        <v>7.3161680000000002</v>
      </c>
      <c r="P41" t="s">
        <v>74</v>
      </c>
      <c r="Q41" s="42" t="s">
        <v>45</v>
      </c>
      <c r="R41" s="48">
        <f>D15</f>
        <v>4.0042999999999997</v>
      </c>
      <c r="S41" s="42" t="s">
        <v>169</v>
      </c>
      <c r="T41" s="48">
        <f>D12</f>
        <v>3.6907999999999999</v>
      </c>
      <c r="V41" s="14" t="s">
        <v>187</v>
      </c>
      <c r="W41" s="6">
        <f t="shared" si="24"/>
        <v>6.4722249999999999</v>
      </c>
      <c r="X41" s="43">
        <f t="shared" si="25"/>
        <v>8.0239470759252115E-4</v>
      </c>
      <c r="Y41" s="30">
        <f t="shared" si="0"/>
        <v>-0.31349999999999989</v>
      </c>
      <c r="Z41" s="6">
        <v>0.1</v>
      </c>
      <c r="AA41" s="43">
        <f t="shared" si="26"/>
        <v>1.1850896975177386E-2</v>
      </c>
      <c r="AB41" s="43">
        <f t="shared" si="27"/>
        <v>6.4383726677248755E-7</v>
      </c>
      <c r="AC41" s="43">
        <f t="shared" si="28"/>
        <v>1.1159159286587092E+16</v>
      </c>
      <c r="AD41" s="6">
        <f t="shared" si="29"/>
        <v>16.047631476774551</v>
      </c>
      <c r="AE41" s="30">
        <f t="shared" si="30"/>
        <v>0.31349999999999989</v>
      </c>
    </row>
    <row r="42" spans="1:32" ht="18" x14ac:dyDescent="0.25">
      <c r="B42" t="s">
        <v>64</v>
      </c>
      <c r="C42" t="s">
        <v>72</v>
      </c>
      <c r="D42">
        <v>5.8681390000000002</v>
      </c>
      <c r="G42" t="s">
        <v>64</v>
      </c>
      <c r="H42" t="s">
        <v>72</v>
      </c>
      <c r="I42">
        <v>3.62507</v>
      </c>
      <c r="P42" t="s">
        <v>74</v>
      </c>
      <c r="Q42" s="42" t="s">
        <v>45</v>
      </c>
      <c r="R42" s="48">
        <f>D15</f>
        <v>4.0042999999999997</v>
      </c>
      <c r="S42" s="42" t="s">
        <v>69</v>
      </c>
      <c r="T42" s="48">
        <f>D13</f>
        <v>3.7486000000000002</v>
      </c>
      <c r="V42" s="14" t="s">
        <v>188</v>
      </c>
      <c r="W42" s="6">
        <f t="shared" si="24"/>
        <v>17.538328</v>
      </c>
      <c r="X42" s="43">
        <f t="shared" si="25"/>
        <v>2.1743158754866719E-3</v>
      </c>
      <c r="Y42" s="30">
        <f t="shared" si="0"/>
        <v>-0.25569999999999959</v>
      </c>
      <c r="Z42" s="6">
        <v>0.1</v>
      </c>
      <c r="AA42" s="43">
        <f t="shared" si="26"/>
        <v>9.4524142177636244E-2</v>
      </c>
      <c r="AB42" s="43">
        <f t="shared" si="27"/>
        <v>4.7276495263933728E-6</v>
      </c>
      <c r="AC42" s="43">
        <f t="shared" si="28"/>
        <v>8.9006761361408224E+16</v>
      </c>
      <c r="AD42" s="79">
        <f t="shared" si="29"/>
        <v>16.949422998896765</v>
      </c>
      <c r="AE42" s="30">
        <f t="shared" si="30"/>
        <v>0.25569999999999959</v>
      </c>
    </row>
    <row r="44" spans="1:32" ht="18" x14ac:dyDescent="0.25">
      <c r="B44" t="s">
        <v>38</v>
      </c>
      <c r="C44" t="s">
        <v>65</v>
      </c>
      <c r="D44">
        <v>7.8480129999999999</v>
      </c>
      <c r="G44" t="s">
        <v>38</v>
      </c>
      <c r="H44" t="s">
        <v>65</v>
      </c>
      <c r="I44">
        <v>16.007142000000002</v>
      </c>
    </row>
    <row r="45" spans="1:32" ht="19" thickBot="1" x14ac:dyDescent="0.3">
      <c r="B45" t="s">
        <v>38</v>
      </c>
      <c r="C45" t="s">
        <v>66</v>
      </c>
      <c r="D45">
        <v>4.671945</v>
      </c>
      <c r="G45" t="s">
        <v>38</v>
      </c>
      <c r="H45" t="s">
        <v>66</v>
      </c>
      <c r="I45">
        <v>15.600115000000001</v>
      </c>
    </row>
    <row r="46" spans="1:32" ht="19" thickBot="1" x14ac:dyDescent="0.3">
      <c r="B46" t="s">
        <v>38</v>
      </c>
      <c r="C46" t="s">
        <v>40</v>
      </c>
      <c r="D46">
        <v>18.890900999999999</v>
      </c>
      <c r="G46" s="50" t="s">
        <v>38</v>
      </c>
      <c r="H46" s="51" t="s">
        <v>40</v>
      </c>
      <c r="I46" s="52">
        <v>66.044864000000004</v>
      </c>
    </row>
    <row r="47" spans="1:32" ht="18" x14ac:dyDescent="0.25">
      <c r="B47" t="s">
        <v>38</v>
      </c>
      <c r="C47" t="s">
        <v>67</v>
      </c>
      <c r="D47">
        <v>70.634653</v>
      </c>
      <c r="G47" t="s">
        <v>38</v>
      </c>
      <c r="H47" t="s">
        <v>67</v>
      </c>
      <c r="I47">
        <v>27.072918999999999</v>
      </c>
    </row>
    <row r="48" spans="1:32" ht="18" x14ac:dyDescent="0.25">
      <c r="B48" t="s">
        <v>38</v>
      </c>
      <c r="C48" t="s">
        <v>46</v>
      </c>
      <c r="D48">
        <v>9.2260240000000007</v>
      </c>
      <c r="G48" t="s">
        <v>38</v>
      </c>
      <c r="H48" t="s">
        <v>46</v>
      </c>
      <c r="I48">
        <v>3.5379879999999999</v>
      </c>
    </row>
    <row r="49" spans="2:9" ht="18" x14ac:dyDescent="0.25">
      <c r="B49" t="s">
        <v>38</v>
      </c>
      <c r="C49" t="s">
        <v>68</v>
      </c>
      <c r="D49">
        <v>14.474798</v>
      </c>
      <c r="G49" t="s">
        <v>38</v>
      </c>
      <c r="H49" t="s">
        <v>68</v>
      </c>
      <c r="I49">
        <v>47.282259000000003</v>
      </c>
    </row>
    <row r="50" spans="2:9" ht="18" x14ac:dyDescent="0.25">
      <c r="B50" t="s">
        <v>38</v>
      </c>
      <c r="C50" t="s">
        <v>69</v>
      </c>
      <c r="D50">
        <v>3.9913029999999998</v>
      </c>
      <c r="G50" t="s">
        <v>38</v>
      </c>
      <c r="H50" t="s">
        <v>69</v>
      </c>
      <c r="I50">
        <v>1.1136060000000001</v>
      </c>
    </row>
    <row r="51" spans="2:9" ht="18" x14ac:dyDescent="0.25">
      <c r="B51" t="s">
        <v>38</v>
      </c>
      <c r="C51" t="s">
        <v>70</v>
      </c>
      <c r="D51">
        <v>44.08211</v>
      </c>
      <c r="G51" t="s">
        <v>38</v>
      </c>
      <c r="H51" t="s">
        <v>70</v>
      </c>
      <c r="I51">
        <v>5.9682539999999999</v>
      </c>
    </row>
    <row r="52" spans="2:9" ht="18" x14ac:dyDescent="0.25">
      <c r="B52" t="s">
        <v>38</v>
      </c>
      <c r="C52" t="s">
        <v>71</v>
      </c>
      <c r="D52">
        <v>4.545674</v>
      </c>
      <c r="G52" t="s">
        <v>38</v>
      </c>
      <c r="H52" t="s">
        <v>71</v>
      </c>
      <c r="I52">
        <v>2.2078419999999999</v>
      </c>
    </row>
    <row r="53" spans="2:9" ht="18" x14ac:dyDescent="0.25">
      <c r="B53" t="s">
        <v>38</v>
      </c>
      <c r="C53" t="s">
        <v>72</v>
      </c>
      <c r="D53">
        <v>11.220813</v>
      </c>
      <c r="G53" t="s">
        <v>38</v>
      </c>
      <c r="H53" t="s">
        <v>72</v>
      </c>
      <c r="I53">
        <v>11.872565</v>
      </c>
    </row>
    <row r="55" spans="2:9" ht="18" x14ac:dyDescent="0.25">
      <c r="B55" t="s">
        <v>45</v>
      </c>
      <c r="C55" t="s">
        <v>65</v>
      </c>
      <c r="D55">
        <v>10.259175000000001</v>
      </c>
      <c r="G55" t="s">
        <v>45</v>
      </c>
      <c r="H55" t="s">
        <v>65</v>
      </c>
      <c r="I55">
        <v>13.001360999999999</v>
      </c>
    </row>
    <row r="56" spans="2:9" ht="18" x14ac:dyDescent="0.25">
      <c r="B56" t="s">
        <v>45</v>
      </c>
      <c r="C56" t="s">
        <v>66</v>
      </c>
      <c r="D56">
        <v>20.672353999999999</v>
      </c>
      <c r="G56" t="s">
        <v>45</v>
      </c>
      <c r="H56" t="s">
        <v>66</v>
      </c>
      <c r="I56">
        <v>10.437184999999999</v>
      </c>
    </row>
    <row r="57" spans="2:9" ht="18" x14ac:dyDescent="0.25">
      <c r="B57" t="s">
        <v>45</v>
      </c>
      <c r="C57" t="s">
        <v>40</v>
      </c>
      <c r="D57">
        <v>11.827038999999999</v>
      </c>
      <c r="G57" t="s">
        <v>45</v>
      </c>
      <c r="H57" t="s">
        <v>40</v>
      </c>
      <c r="I57">
        <v>33.483300999999997</v>
      </c>
    </row>
    <row r="58" spans="2:9" ht="19" thickBot="1" x14ac:dyDescent="0.3">
      <c r="B58" t="s">
        <v>45</v>
      </c>
      <c r="C58" t="s">
        <v>67</v>
      </c>
      <c r="D58">
        <v>11.640739</v>
      </c>
      <c r="G58" t="s">
        <v>45</v>
      </c>
      <c r="H58" t="s">
        <v>67</v>
      </c>
      <c r="I58">
        <v>18.175056000000001</v>
      </c>
    </row>
    <row r="59" spans="2:9" ht="19" thickBot="1" x14ac:dyDescent="0.3">
      <c r="B59" s="50" t="s">
        <v>45</v>
      </c>
      <c r="C59" s="51" t="s">
        <v>46</v>
      </c>
      <c r="D59" s="52">
        <v>74.725971999999999</v>
      </c>
      <c r="G59" t="s">
        <v>45</v>
      </c>
      <c r="H59" t="s">
        <v>46</v>
      </c>
      <c r="I59">
        <v>1.334562</v>
      </c>
    </row>
    <row r="60" spans="2:9" ht="18" x14ac:dyDescent="0.25">
      <c r="B60" t="s">
        <v>45</v>
      </c>
      <c r="C60" t="s">
        <v>68</v>
      </c>
      <c r="D60">
        <v>6.4722249999999999</v>
      </c>
      <c r="G60" t="s">
        <v>45</v>
      </c>
      <c r="H60" t="s">
        <v>68</v>
      </c>
      <c r="I60">
        <v>35.825285999999998</v>
      </c>
    </row>
    <row r="61" spans="2:9" ht="18" x14ac:dyDescent="0.25">
      <c r="B61" t="s">
        <v>45</v>
      </c>
      <c r="C61" t="s">
        <v>69</v>
      </c>
      <c r="D61">
        <v>17.538328</v>
      </c>
      <c r="G61" t="s">
        <v>45</v>
      </c>
      <c r="H61" t="s">
        <v>69</v>
      </c>
      <c r="I61">
        <v>2.1087590000000001</v>
      </c>
    </row>
    <row r="62" spans="2:9" ht="18" x14ac:dyDescent="0.25">
      <c r="B62" t="s">
        <v>45</v>
      </c>
      <c r="C62" t="s">
        <v>70</v>
      </c>
      <c r="D62">
        <v>5.3154589999999997</v>
      </c>
      <c r="G62" t="s">
        <v>45</v>
      </c>
      <c r="H62" t="s">
        <v>70</v>
      </c>
      <c r="I62">
        <v>2.223131</v>
      </c>
    </row>
    <row r="63" spans="2:9" ht="18" x14ac:dyDescent="0.25">
      <c r="B63" t="s">
        <v>45</v>
      </c>
      <c r="C63" t="s">
        <v>71</v>
      </c>
      <c r="D63">
        <v>49.440317</v>
      </c>
      <c r="G63" t="s">
        <v>45</v>
      </c>
      <c r="H63" t="s">
        <v>71</v>
      </c>
      <c r="I63">
        <v>2.9902639999999998</v>
      </c>
    </row>
    <row r="64" spans="2:9" ht="18" x14ac:dyDescent="0.25">
      <c r="B64" t="s">
        <v>45</v>
      </c>
      <c r="C64" t="s">
        <v>72</v>
      </c>
      <c r="D64">
        <v>17.041167999999999</v>
      </c>
      <c r="G64" t="s">
        <v>45</v>
      </c>
      <c r="H64" t="s">
        <v>72</v>
      </c>
      <c r="I64">
        <v>6.884817</v>
      </c>
    </row>
    <row r="67" spans="1:47" ht="17" thickBot="1" x14ac:dyDescent="0.25">
      <c r="A67" s="7"/>
      <c r="B67" s="47"/>
      <c r="C67" s="47"/>
      <c r="D67" s="47"/>
      <c r="Y67" s="91" t="s">
        <v>202</v>
      </c>
      <c r="Z67" s="91"/>
      <c r="AA67" s="91"/>
      <c r="AB67" s="92"/>
    </row>
    <row r="68" spans="1:47" ht="39" thickBot="1" x14ac:dyDescent="0.25">
      <c r="A68" s="8" t="s">
        <v>57</v>
      </c>
      <c r="B68" s="39" t="s">
        <v>58</v>
      </c>
      <c r="C68" s="9" t="s">
        <v>59</v>
      </c>
      <c r="D68" s="11" t="s">
        <v>60</v>
      </c>
      <c r="F68" s="8" t="s">
        <v>57</v>
      </c>
      <c r="G68" s="39" t="s">
        <v>58</v>
      </c>
      <c r="H68" s="9" t="s">
        <v>59</v>
      </c>
      <c r="I68" s="11" t="s">
        <v>60</v>
      </c>
      <c r="L68" s="85"/>
      <c r="M68" s="85"/>
      <c r="N68" s="85"/>
      <c r="O68" s="77"/>
      <c r="P68" s="8" t="s">
        <v>2</v>
      </c>
      <c r="Q68" s="39" t="s">
        <v>26</v>
      </c>
      <c r="R68" s="9" t="s">
        <v>27</v>
      </c>
      <c r="S68" s="39" t="s">
        <v>28</v>
      </c>
      <c r="T68" s="11" t="s">
        <v>27</v>
      </c>
      <c r="U68" s="40"/>
      <c r="V68" s="39" t="s">
        <v>29</v>
      </c>
      <c r="W68" s="9" t="s">
        <v>30</v>
      </c>
      <c r="X68" s="11" t="s">
        <v>150</v>
      </c>
      <c r="Y68" s="76" t="s">
        <v>151</v>
      </c>
      <c r="Z68" s="9" t="s">
        <v>152</v>
      </c>
      <c r="AA68" s="9" t="s">
        <v>31</v>
      </c>
      <c r="AB68" s="9" t="s">
        <v>32</v>
      </c>
      <c r="AC68" s="82" t="s">
        <v>204</v>
      </c>
      <c r="AD68" s="82" t="s">
        <v>205</v>
      </c>
      <c r="AE68" s="78" t="s">
        <v>154</v>
      </c>
      <c r="AF68" s="9" t="s">
        <v>192</v>
      </c>
      <c r="AG68" s="89" t="s">
        <v>155</v>
      </c>
      <c r="AH68" s="125" t="s">
        <v>156</v>
      </c>
      <c r="AI68" s="126"/>
      <c r="AJ68" s="90" t="s">
        <v>157</v>
      </c>
      <c r="AN68" s="120" t="s">
        <v>189</v>
      </c>
      <c r="AO68" s="121"/>
      <c r="AP68" s="120" t="s">
        <v>190</v>
      </c>
      <c r="AQ68" s="121"/>
      <c r="AR68" s="120" t="s">
        <v>191</v>
      </c>
      <c r="AS68" s="121"/>
    </row>
    <row r="69" spans="1:47" ht="22" thickBot="1" x14ac:dyDescent="0.25">
      <c r="L69" s="85"/>
      <c r="M69" s="85"/>
      <c r="N69" s="85"/>
      <c r="AM69" s="76" t="s">
        <v>193</v>
      </c>
      <c r="AN69" s="41" t="s">
        <v>33</v>
      </c>
      <c r="AO69" s="11" t="s">
        <v>153</v>
      </c>
      <c r="AP69" s="41" t="s">
        <v>33</v>
      </c>
      <c r="AQ69" s="11" t="s">
        <v>153</v>
      </c>
      <c r="AR69" s="41" t="s">
        <v>33</v>
      </c>
      <c r="AS69" s="11" t="s">
        <v>153</v>
      </c>
    </row>
    <row r="70" spans="1:47" ht="18" x14ac:dyDescent="0.25">
      <c r="A70" t="s">
        <v>73</v>
      </c>
      <c r="B70" s="30">
        <v>1</v>
      </c>
      <c r="C70" s="30" t="s">
        <v>41</v>
      </c>
      <c r="D70" s="48">
        <v>2.9487000000000001</v>
      </c>
      <c r="F70" t="s">
        <v>75</v>
      </c>
      <c r="G70" s="30">
        <v>1</v>
      </c>
      <c r="H70" s="30" t="s">
        <v>41</v>
      </c>
      <c r="I70" s="30">
        <v>3.0139999999999998</v>
      </c>
      <c r="L70" s="85"/>
      <c r="M70" s="85"/>
      <c r="N70" s="85"/>
      <c r="O70" s="30"/>
      <c r="P70" t="s">
        <v>75</v>
      </c>
      <c r="Q70" s="42" t="s">
        <v>64</v>
      </c>
      <c r="R70" s="30">
        <f>I73</f>
        <v>3.6055000000000001</v>
      </c>
      <c r="S70" s="42" t="s">
        <v>65</v>
      </c>
      <c r="T70" s="30">
        <f>I70</f>
        <v>3.0139999999999998</v>
      </c>
      <c r="U70" s="6"/>
      <c r="V70" s="14" t="s">
        <v>158</v>
      </c>
      <c r="W70" s="6">
        <f>I97</f>
        <v>7.6549940000000003</v>
      </c>
      <c r="X70" s="43">
        <f t="shared" ref="X70:X72" si="31">W70*$M$7/$M$6</f>
        <v>9.4902860643016963E-4</v>
      </c>
      <c r="Y70" s="30">
        <f>(T70-R70)</f>
        <v>-0.59150000000000036</v>
      </c>
      <c r="Z70" s="6">
        <v>0.1</v>
      </c>
      <c r="AA70" s="43">
        <f>EXP(-((Y70+Z70)^2)/((4*Z70*$M$17*$M$9)))</f>
        <v>6.1867044335845088E-11</v>
      </c>
      <c r="AB70" s="43">
        <f>X70^2</f>
        <v>9.0065529582278975E-7</v>
      </c>
      <c r="AC70" s="43">
        <f>1/(SQRT(4*Z70*$M$17*$M$9))*$M$16*AA70</f>
        <v>58255860.613766521</v>
      </c>
      <c r="AD70" s="6">
        <f>LOG(AC70)</f>
        <v>7.7653396224738209</v>
      </c>
      <c r="AE70" s="30">
        <f>ABS(Y70)</f>
        <v>0.59150000000000036</v>
      </c>
      <c r="AF70" s="43">
        <f>SUM(AC70:AC72)</f>
        <v>9.0674378953869683E+17</v>
      </c>
      <c r="AG70" s="45" t="s">
        <v>64</v>
      </c>
      <c r="AH70" s="30" t="s">
        <v>159</v>
      </c>
      <c r="AI70" s="45" t="s">
        <v>160</v>
      </c>
      <c r="AJ70" s="45" t="s">
        <v>161</v>
      </c>
      <c r="AT70" t="s">
        <v>201</v>
      </c>
      <c r="AU70" t="s">
        <v>203</v>
      </c>
    </row>
    <row r="71" spans="1:47" ht="18" x14ac:dyDescent="0.25">
      <c r="B71" s="30">
        <v>2</v>
      </c>
      <c r="C71" s="30" t="s">
        <v>41</v>
      </c>
      <c r="D71" s="48">
        <v>3.2772999999999999</v>
      </c>
      <c r="G71" s="30">
        <v>2</v>
      </c>
      <c r="H71" s="30" t="s">
        <v>41</v>
      </c>
      <c r="I71" s="30">
        <v>3.1616</v>
      </c>
      <c r="L71" s="85"/>
      <c r="M71" s="85"/>
      <c r="N71" s="85"/>
      <c r="O71" s="30"/>
      <c r="P71" t="s">
        <v>75</v>
      </c>
      <c r="Q71" s="42" t="s">
        <v>64</v>
      </c>
      <c r="R71" s="30">
        <f>I73</f>
        <v>3.6055000000000001</v>
      </c>
      <c r="S71" s="42" t="s">
        <v>66</v>
      </c>
      <c r="T71" s="30">
        <f>I71</f>
        <v>3.1616</v>
      </c>
      <c r="U71" s="6"/>
      <c r="V71" s="14" t="s">
        <v>162</v>
      </c>
      <c r="W71" s="6">
        <f>I98</f>
        <v>5.1588019999999997</v>
      </c>
      <c r="X71" s="43">
        <f t="shared" si="31"/>
        <v>6.3956296672592705E-4</v>
      </c>
      <c r="Y71" s="30">
        <f>(T71-R71)</f>
        <v>-0.44390000000000018</v>
      </c>
      <c r="Z71" s="6">
        <v>0.1</v>
      </c>
      <c r="AA71" s="43">
        <f>EXP(-((Y71+Z71)^2)/((4*Z71*$M$17*$M$9)))</f>
        <v>1.0050227119552695E-5</v>
      </c>
      <c r="AB71" s="43">
        <f>X71^2</f>
        <v>4.0904078840726928E-7</v>
      </c>
      <c r="AC71" s="43">
        <f>1/(SQRT(4*Z71*$M$17*$M$9))*$M$16*AA71</f>
        <v>9463594656875.0918</v>
      </c>
      <c r="AD71" s="6">
        <f t="shared" ref="AD71:AD72" si="32">LOG(AC71)</f>
        <v>12.97605613038864</v>
      </c>
      <c r="AE71" s="30">
        <f t="shared" ref="AE71:AE72" si="33">ABS(Y71)</f>
        <v>0.44390000000000018</v>
      </c>
      <c r="AG71" s="45" t="s">
        <v>38</v>
      </c>
      <c r="AH71" s="30">
        <v>79</v>
      </c>
      <c r="AI71" s="45" t="s">
        <v>160</v>
      </c>
      <c r="AJ71" s="45" t="s">
        <v>163</v>
      </c>
      <c r="AL71" s="127" t="s">
        <v>196</v>
      </c>
      <c r="AM71" s="48">
        <v>0.59150000000000036</v>
      </c>
      <c r="AN71" s="43">
        <v>58255860.613766521</v>
      </c>
      <c r="AO71" s="6">
        <v>7.7653396224738209</v>
      </c>
      <c r="AP71" s="43">
        <v>2479635849646.1416</v>
      </c>
      <c r="AQ71" s="6">
        <v>12.39438790659184</v>
      </c>
      <c r="AR71" s="43">
        <v>384431199961588.44</v>
      </c>
      <c r="AS71" s="6">
        <v>14.58481862723087</v>
      </c>
      <c r="AT71" s="59">
        <f>AM71+$AU$71</f>
        <v>0.61120000000000008</v>
      </c>
      <c r="AU71" s="59">
        <f>0.1-AM73</f>
        <v>1.9699999999999745E-2</v>
      </c>
    </row>
    <row r="72" spans="1:47" ht="18" x14ac:dyDescent="0.25">
      <c r="B72" s="30">
        <v>3</v>
      </c>
      <c r="C72" s="30" t="s">
        <v>41</v>
      </c>
      <c r="D72" s="48">
        <v>3.4346000000000001</v>
      </c>
      <c r="G72" s="30">
        <v>3</v>
      </c>
      <c r="H72" s="21" t="s">
        <v>41</v>
      </c>
      <c r="I72" s="21">
        <v>3.5251999999999999</v>
      </c>
      <c r="L72" s="85"/>
      <c r="M72" s="85"/>
      <c r="N72" s="85"/>
      <c r="O72" s="30"/>
      <c r="P72" t="s">
        <v>75</v>
      </c>
      <c r="Q72" s="42" t="s">
        <v>64</v>
      </c>
      <c r="R72" s="30">
        <f>I73</f>
        <v>3.6055000000000001</v>
      </c>
      <c r="S72" s="42" t="s">
        <v>164</v>
      </c>
      <c r="T72" s="30">
        <f>I72</f>
        <v>3.5251999999999999</v>
      </c>
      <c r="U72" s="6"/>
      <c r="V72" s="14" t="s">
        <v>165</v>
      </c>
      <c r="W72" s="6">
        <f>I99</f>
        <v>19.511818999999999</v>
      </c>
      <c r="X72" s="43">
        <f t="shared" si="31"/>
        <v>2.4189796091920782E-3</v>
      </c>
      <c r="Y72" s="30">
        <f>(T72-R72)</f>
        <v>-8.030000000000026E-2</v>
      </c>
      <c r="Z72" s="6">
        <v>0.1</v>
      </c>
      <c r="AA72" s="43">
        <f>EXP(-((Y72+Z72)^2)/((4*Z72*$M$17*$M$9)))</f>
        <v>0.96294127576843425</v>
      </c>
      <c r="AB72" s="43">
        <f>X72^2</f>
        <v>5.8514623496870592E-6</v>
      </c>
      <c r="AC72" s="43">
        <f>1/(SQRT(4*Z72*$M$17*$M$9))*$M$16*AA72</f>
        <v>9.0673432588578406E+17</v>
      </c>
      <c r="AD72" s="79">
        <f t="shared" si="32"/>
        <v>17.957480056957024</v>
      </c>
      <c r="AE72" s="30">
        <f t="shared" si="33"/>
        <v>8.030000000000026E-2</v>
      </c>
      <c r="AG72" s="45" t="s">
        <v>45</v>
      </c>
      <c r="AH72" s="30">
        <v>84</v>
      </c>
      <c r="AI72" s="45" t="s">
        <v>160</v>
      </c>
      <c r="AJ72" s="45" t="s">
        <v>161</v>
      </c>
      <c r="AL72" s="127"/>
      <c r="AM72" s="48">
        <v>0.44390000000000018</v>
      </c>
      <c r="AN72" s="43">
        <v>9463594656875.0918</v>
      </c>
      <c r="AO72" s="6">
        <v>12.97605613038864</v>
      </c>
      <c r="AP72" s="43">
        <v>2833823777004060.5</v>
      </c>
      <c r="AQ72" s="6">
        <v>15.452372839893698</v>
      </c>
      <c r="AR72" s="43">
        <v>3.6850023845576416E+16</v>
      </c>
      <c r="AS72" s="6">
        <v>16.566437773226248</v>
      </c>
      <c r="AT72" s="59">
        <f>AM72+$AU$71</f>
        <v>0.4635999999999999</v>
      </c>
    </row>
    <row r="73" spans="1:47" ht="18" x14ac:dyDescent="0.2">
      <c r="B73" s="30">
        <v>4</v>
      </c>
      <c r="C73" s="30" t="s">
        <v>41</v>
      </c>
      <c r="D73" s="48">
        <v>3.472</v>
      </c>
      <c r="G73" s="30">
        <v>4</v>
      </c>
      <c r="H73" s="49" t="s">
        <v>39</v>
      </c>
      <c r="I73" s="30">
        <v>3.6055000000000001</v>
      </c>
      <c r="L73" s="85"/>
      <c r="M73" s="85"/>
      <c r="N73" s="85"/>
      <c r="O73" s="30"/>
      <c r="Q73" s="42"/>
      <c r="R73" s="30"/>
      <c r="S73" s="42"/>
      <c r="T73" s="30"/>
      <c r="U73" s="43"/>
      <c r="V73" s="14"/>
      <c r="W73" s="6"/>
      <c r="X73" s="43"/>
      <c r="Y73" s="30"/>
      <c r="Z73" s="6"/>
      <c r="AA73" s="43"/>
      <c r="AB73" s="43"/>
      <c r="AC73" s="43"/>
      <c r="AD73" s="6"/>
      <c r="AE73" s="30"/>
      <c r="AG73" s="42" t="s">
        <v>65</v>
      </c>
      <c r="AH73" s="30">
        <v>84</v>
      </c>
      <c r="AI73" s="45" t="s">
        <v>160</v>
      </c>
      <c r="AJ73" s="45" t="s">
        <v>161</v>
      </c>
      <c r="AL73" s="127"/>
      <c r="AM73" s="48">
        <v>8.030000000000026E-2</v>
      </c>
      <c r="AN73" s="43">
        <v>9.0673432588578406E+17</v>
      </c>
      <c r="AO73" s="6">
        <v>17.957480056957024</v>
      </c>
      <c r="AP73" s="43">
        <v>5.6100934208579981E+17</v>
      </c>
      <c r="AQ73" s="6">
        <v>17.748970093310586</v>
      </c>
      <c r="AR73" s="43">
        <v>3.3160547322436275E+17</v>
      </c>
      <c r="AS73" s="6">
        <v>17.520621690067387</v>
      </c>
      <c r="AT73" s="59">
        <f>AM73+$AU$71</f>
        <v>0.1</v>
      </c>
    </row>
    <row r="74" spans="1:47" ht="18" x14ac:dyDescent="0.2">
      <c r="B74" s="30">
        <v>5</v>
      </c>
      <c r="C74" s="21" t="s">
        <v>41</v>
      </c>
      <c r="D74" s="93">
        <v>3.4752000000000001</v>
      </c>
      <c r="G74" s="30">
        <v>5</v>
      </c>
      <c r="H74" s="30" t="s">
        <v>41</v>
      </c>
      <c r="I74" s="30">
        <v>3.6284000000000001</v>
      </c>
      <c r="L74" s="85"/>
      <c r="M74" s="85"/>
      <c r="N74" s="85"/>
      <c r="O74" s="30"/>
      <c r="P74" t="s">
        <v>75</v>
      </c>
      <c r="Q74" s="42" t="s">
        <v>38</v>
      </c>
      <c r="R74" s="30">
        <f>I75</f>
        <v>3.9769000000000001</v>
      </c>
      <c r="S74" s="42" t="s">
        <v>65</v>
      </c>
      <c r="T74" s="30">
        <f>I70</f>
        <v>3.0139999999999998</v>
      </c>
      <c r="U74" s="43"/>
      <c r="V74" s="14" t="s">
        <v>170</v>
      </c>
      <c r="W74" s="6">
        <f>I108</f>
        <v>17.992920999999999</v>
      </c>
      <c r="X74" s="43">
        <f t="shared" ref="X74:X77" si="34">W74*$M$7/$M$6</f>
        <v>2.2306740857325467E-3</v>
      </c>
      <c r="Y74" s="30">
        <f>(T74-R74)</f>
        <v>-0.96290000000000031</v>
      </c>
      <c r="Z74" s="6">
        <v>0.1</v>
      </c>
      <c r="AA74" s="43">
        <f>EXP(-((Y74+Z74)^2)/((4*Z74*$M$17*$M$9)))</f>
        <v>3.4220675621357339E-32</v>
      </c>
      <c r="AB74" s="43">
        <f>X74^2</f>
        <v>4.9759068767587332E-6</v>
      </c>
      <c r="AC74" s="43">
        <f>1/(SQRT(4*Z74*$M$17*$M$9))*$M$16*AA74</f>
        <v>3.222321238242292E-14</v>
      </c>
      <c r="AD74" s="6">
        <f>LOG(AC74)</f>
        <v>-13.491831166262646</v>
      </c>
      <c r="AE74" s="30">
        <f>ABS(Y74)</f>
        <v>0.96290000000000031</v>
      </c>
      <c r="AF74" s="43">
        <f>SUM(AC74:AC77)</f>
        <v>2319284396338292.5</v>
      </c>
      <c r="AG74" s="42" t="s">
        <v>66</v>
      </c>
      <c r="AH74" s="30" t="s">
        <v>159</v>
      </c>
      <c r="AI74" s="45" t="s">
        <v>160</v>
      </c>
      <c r="AJ74" s="45" t="s">
        <v>161</v>
      </c>
      <c r="AL74" s="84"/>
      <c r="AM74" s="48"/>
      <c r="AN74" s="43">
        <f>SUM(AN71:AN73)</f>
        <v>9.0674378953869683E+17</v>
      </c>
      <c r="AO74" s="6"/>
      <c r="AP74" s="43">
        <f>SUM(AP71:AP73)</f>
        <v>5.638456454986535E+17</v>
      </c>
      <c r="AQ74" s="6"/>
      <c r="AR74" s="43">
        <f>SUM(AR71:AR73)</f>
        <v>3.6883992826990074E+17</v>
      </c>
      <c r="AS74" s="6"/>
    </row>
    <row r="75" spans="1:47" ht="18" x14ac:dyDescent="0.2">
      <c r="B75" s="30">
        <v>6</v>
      </c>
      <c r="C75" s="49" t="s">
        <v>39</v>
      </c>
      <c r="D75" s="48">
        <v>3.6151</v>
      </c>
      <c r="G75" s="30">
        <v>6</v>
      </c>
      <c r="H75" s="49" t="s">
        <v>39</v>
      </c>
      <c r="I75" s="21">
        <v>3.9769000000000001</v>
      </c>
      <c r="L75" s="85"/>
      <c r="M75" s="85"/>
      <c r="N75" s="85"/>
      <c r="O75" s="30"/>
      <c r="P75" t="s">
        <v>75</v>
      </c>
      <c r="Q75" s="42" t="s">
        <v>38</v>
      </c>
      <c r="R75" s="30">
        <f>I75</f>
        <v>3.9769000000000001</v>
      </c>
      <c r="S75" s="42" t="s">
        <v>66</v>
      </c>
      <c r="T75" s="30">
        <f>I71</f>
        <v>3.1616</v>
      </c>
      <c r="U75" s="43"/>
      <c r="V75" s="14" t="s">
        <v>171</v>
      </c>
      <c r="W75" s="6">
        <f>I109</f>
        <v>15.26478</v>
      </c>
      <c r="X75" s="43">
        <f t="shared" si="34"/>
        <v>1.8924525467770611E-3</v>
      </c>
      <c r="Y75" s="30">
        <f>(T75-R75)</f>
        <v>-0.81530000000000014</v>
      </c>
      <c r="Z75" s="6">
        <v>0.1</v>
      </c>
      <c r="AA75" s="43">
        <f>EXP(-((Y75+Z75)^2)/((4*Z75*$M$17*$M$9)))</f>
        <v>2.3885766444859556E-22</v>
      </c>
      <c r="AB75" s="43">
        <f t="shared" ref="AB75:AB77" si="35">X75^2</f>
        <v>3.5813766418029847E-6</v>
      </c>
      <c r="AC75" s="43">
        <f>1/(SQRT(4*Z75*$M$17*$M$9))*$M$16*AA75</f>
        <v>2.2491552580256496E-4</v>
      </c>
      <c r="AD75" s="6">
        <f t="shared" ref="AD75:AD77" si="36">LOG(AC75)</f>
        <v>-3.6479805644058496</v>
      </c>
      <c r="AE75" s="30">
        <f t="shared" ref="AE75:AE77" si="37">ABS(Y75)</f>
        <v>0.81530000000000014</v>
      </c>
      <c r="AG75" s="30" t="s">
        <v>40</v>
      </c>
      <c r="AH75" s="30">
        <v>78</v>
      </c>
      <c r="AI75" s="45" t="s">
        <v>160</v>
      </c>
      <c r="AJ75" s="45" t="s">
        <v>163</v>
      </c>
      <c r="AT75" t="s">
        <v>201</v>
      </c>
      <c r="AU75" t="s">
        <v>203</v>
      </c>
    </row>
    <row r="76" spans="1:47" ht="18" x14ac:dyDescent="0.2">
      <c r="B76" s="30">
        <v>7</v>
      </c>
      <c r="C76" s="30" t="s">
        <v>41</v>
      </c>
      <c r="D76" s="48">
        <v>3.6871999999999998</v>
      </c>
      <c r="G76" s="30">
        <v>7</v>
      </c>
      <c r="H76" s="30" t="s">
        <v>41</v>
      </c>
      <c r="I76" s="30">
        <v>4.0225999999999997</v>
      </c>
      <c r="L76" s="85"/>
      <c r="M76" s="85"/>
      <c r="N76" s="85"/>
      <c r="O76" s="30"/>
      <c r="P76" t="s">
        <v>75</v>
      </c>
      <c r="Q76" s="42" t="s">
        <v>38</v>
      </c>
      <c r="R76" s="30">
        <f>I75</f>
        <v>3.9769000000000001</v>
      </c>
      <c r="S76" s="42" t="s">
        <v>164</v>
      </c>
      <c r="T76" s="30">
        <f>I72</f>
        <v>3.5251999999999999</v>
      </c>
      <c r="U76" s="43"/>
      <c r="V76" s="14" t="s">
        <v>42</v>
      </c>
      <c r="W76" s="6">
        <f>I110</f>
        <v>63.688569000000001</v>
      </c>
      <c r="X76" s="43">
        <f t="shared" si="34"/>
        <v>7.8957963760130576E-3</v>
      </c>
      <c r="Y76" s="30">
        <f>(T76-R76)</f>
        <v>-0.45170000000000021</v>
      </c>
      <c r="Z76" s="6">
        <v>0.1</v>
      </c>
      <c r="AA76" s="43">
        <f>EXP(-((Y76+Z76)^2)/((4*Z76*$M$17*$M$9)))</f>
        <v>5.9277985612132494E-6</v>
      </c>
      <c r="AB76" s="43">
        <f t="shared" si="35"/>
        <v>6.2343600411460929E-5</v>
      </c>
      <c r="AC76" s="43">
        <f>1/(SQRT(4*Z76*$M$17*$M$9))*$M$16*AA76</f>
        <v>5581792542955.6191</v>
      </c>
      <c r="AD76" s="6">
        <f t="shared" si="36"/>
        <v>12.746773691141524</v>
      </c>
      <c r="AE76" s="30">
        <f t="shared" si="37"/>
        <v>0.45170000000000021</v>
      </c>
      <c r="AG76" s="30" t="s">
        <v>67</v>
      </c>
      <c r="AH76" s="30">
        <v>79</v>
      </c>
      <c r="AI76" s="45" t="s">
        <v>160</v>
      </c>
      <c r="AJ76" s="45" t="s">
        <v>163</v>
      </c>
      <c r="AL76" s="127" t="s">
        <v>197</v>
      </c>
      <c r="AM76" s="48">
        <v>0.66639999999999988</v>
      </c>
      <c r="AN76" s="43">
        <v>26115.330683797929</v>
      </c>
      <c r="AO76" s="6">
        <v>4.4168955294354841</v>
      </c>
      <c r="AP76" s="43">
        <v>23610427754.557568</v>
      </c>
      <c r="AQ76" s="6">
        <v>10.373103855344764</v>
      </c>
      <c r="AR76" s="43">
        <v>16869981132806.396</v>
      </c>
      <c r="AS76" s="6">
        <v>13.227114596879424</v>
      </c>
      <c r="AT76" s="59">
        <f>AM76-$AU$76</f>
        <v>0.62649999999999995</v>
      </c>
      <c r="AU76" s="59">
        <f>AM80-0.1</f>
        <v>3.9899999999999908E-2</v>
      </c>
    </row>
    <row r="77" spans="1:47" ht="18" x14ac:dyDescent="0.2">
      <c r="B77" s="30">
        <v>8</v>
      </c>
      <c r="C77" s="30" t="s">
        <v>41</v>
      </c>
      <c r="D77" s="48">
        <v>3.7130000000000001</v>
      </c>
      <c r="G77" s="30">
        <v>8</v>
      </c>
      <c r="H77" s="30" t="s">
        <v>41</v>
      </c>
      <c r="I77" s="30">
        <v>4.1966000000000001</v>
      </c>
      <c r="L77" s="85"/>
      <c r="M77" s="85"/>
      <c r="N77" s="85"/>
      <c r="O77" s="30"/>
      <c r="P77" t="s">
        <v>75</v>
      </c>
      <c r="Q77" s="42" t="s">
        <v>38</v>
      </c>
      <c r="R77" s="30">
        <f>I75</f>
        <v>3.9769000000000001</v>
      </c>
      <c r="S77" s="42" t="s">
        <v>166</v>
      </c>
      <c r="T77" s="30">
        <f>I74</f>
        <v>3.6284000000000001</v>
      </c>
      <c r="U77" s="43"/>
      <c r="V77" s="14" t="s">
        <v>173</v>
      </c>
      <c r="W77" s="6">
        <f>I111</f>
        <v>35.908411000000001</v>
      </c>
      <c r="X77" s="43">
        <f t="shared" si="34"/>
        <v>4.4517486559038149E-3</v>
      </c>
      <c r="Y77" s="30">
        <f>(T77-R77)</f>
        <v>-0.34850000000000003</v>
      </c>
      <c r="Z77" s="6">
        <v>0.1</v>
      </c>
      <c r="AA77" s="43">
        <f>EXP(-((Y77+Z77)^2)/((4*Z77*$M$17*$M$9)))</f>
        <v>2.4571251726584272E-3</v>
      </c>
      <c r="AB77" s="43">
        <f t="shared" si="35"/>
        <v>1.9818066095341422E-5</v>
      </c>
      <c r="AC77" s="43">
        <f>1/(SQRT(4*Z77*$M$17*$M$9))*$M$16*AA77</f>
        <v>2313702603795337</v>
      </c>
      <c r="AD77" s="79">
        <f t="shared" si="36"/>
        <v>15.36430753532834</v>
      </c>
      <c r="AE77" s="30">
        <f t="shared" si="37"/>
        <v>0.34850000000000003</v>
      </c>
      <c r="AG77" s="42" t="s">
        <v>168</v>
      </c>
      <c r="AH77" s="30" t="s">
        <v>159</v>
      </c>
      <c r="AI77" s="45" t="s">
        <v>177</v>
      </c>
      <c r="AJ77" s="45" t="s">
        <v>161</v>
      </c>
      <c r="AL77" s="127"/>
      <c r="AM77" s="48">
        <v>0.3378000000000001</v>
      </c>
      <c r="AN77" s="43">
        <v>3838814467212547.5</v>
      </c>
      <c r="AO77" s="6">
        <v>15.584197122846001</v>
      </c>
      <c r="AP77" s="43">
        <v>7.8023117075733312E+16</v>
      </c>
      <c r="AQ77" s="6">
        <v>16.892223296677503</v>
      </c>
      <c r="AR77" s="43">
        <v>2.6432787354081232E+17</v>
      </c>
      <c r="AS77" s="6">
        <v>17.422142962173279</v>
      </c>
      <c r="AT77" s="59">
        <f>AM77-$AU$76</f>
        <v>0.29790000000000016</v>
      </c>
    </row>
    <row r="78" spans="1:47" ht="18" x14ac:dyDescent="0.2">
      <c r="B78" s="30">
        <v>9</v>
      </c>
      <c r="C78" s="49" t="s">
        <v>39</v>
      </c>
      <c r="D78" s="48">
        <v>3.9077999999999999</v>
      </c>
      <c r="G78" s="30">
        <v>9</v>
      </c>
      <c r="H78" s="49" t="s">
        <v>39</v>
      </c>
      <c r="I78" s="30">
        <v>4.3089000000000004</v>
      </c>
      <c r="L78" s="85"/>
      <c r="M78" s="85"/>
      <c r="N78" s="85"/>
      <c r="O78" s="43"/>
      <c r="U78" s="43"/>
      <c r="AA78" s="43"/>
      <c r="AC78" s="43"/>
      <c r="AG78" s="30" t="s">
        <v>68</v>
      </c>
      <c r="AH78" s="30">
        <v>76</v>
      </c>
      <c r="AI78" s="45" t="s">
        <v>160</v>
      </c>
      <c r="AJ78" s="45" t="s">
        <v>163</v>
      </c>
      <c r="AL78" s="127"/>
      <c r="AM78" s="48">
        <v>0.18049999999999988</v>
      </c>
      <c r="AN78" s="43">
        <v>5.0122532706738547E+17</v>
      </c>
      <c r="AO78" s="6">
        <v>17.700033007908111</v>
      </c>
      <c r="AP78" s="43">
        <v>7.2381429879855258E+17</v>
      </c>
      <c r="AQ78" s="6">
        <v>17.85962715825266</v>
      </c>
      <c r="AR78" s="43">
        <v>6.5362824660340314E+17</v>
      </c>
      <c r="AS78" s="6">
        <v>17.815330812004959</v>
      </c>
      <c r="AT78" s="59">
        <f>AM78-$AU$76</f>
        <v>0.14059999999999997</v>
      </c>
    </row>
    <row r="79" spans="1:47" ht="18" x14ac:dyDescent="0.2">
      <c r="B79" s="30">
        <v>10</v>
      </c>
      <c r="C79" s="49" t="s">
        <v>39</v>
      </c>
      <c r="D79" s="93">
        <v>4.0118999999999998</v>
      </c>
      <c r="G79" s="30">
        <v>10</v>
      </c>
      <c r="H79" s="30" t="s">
        <v>41</v>
      </c>
      <c r="I79" s="30">
        <v>4.5233999999999996</v>
      </c>
      <c r="L79" s="85"/>
      <c r="M79" s="85"/>
      <c r="N79" s="85"/>
      <c r="O79" s="30"/>
      <c r="P79" t="s">
        <v>75</v>
      </c>
      <c r="Q79" s="42" t="s">
        <v>45</v>
      </c>
      <c r="R79" s="30">
        <f>I78</f>
        <v>4.3089000000000004</v>
      </c>
      <c r="S79" s="42" t="s">
        <v>65</v>
      </c>
      <c r="T79" s="30">
        <f>I70</f>
        <v>3.0139999999999998</v>
      </c>
      <c r="U79" s="43"/>
      <c r="V79" s="14" t="s">
        <v>182</v>
      </c>
      <c r="W79" s="6">
        <f>I119</f>
        <v>8.8565190000000005</v>
      </c>
      <c r="X79" s="43">
        <f t="shared" ref="X79:X82" si="38">W79*$M$7/$M$6</f>
        <v>1.0979877821448742E-3</v>
      </c>
      <c r="Y79" s="30">
        <f t="shared" ref="Y79:Y106" si="39">(T79-R79)</f>
        <v>-1.2949000000000006</v>
      </c>
      <c r="Z79" s="6">
        <v>0.1</v>
      </c>
      <c r="AA79" s="43">
        <f t="shared" ref="AA79:AA84" si="40">EXP(-((Y79+Z79)^2)/((4*Z79*$M$17*$M$9)))</f>
        <v>4.6084196142507486E-61</v>
      </c>
      <c r="AB79" s="43">
        <f>X79^2</f>
        <v>1.2055771697394198E-6</v>
      </c>
      <c r="AC79" s="43">
        <f t="shared" ref="AC79:AC84" si="41">1/(SQRT(4*Z79*$M$17*$M$9))*$M$16*AA79</f>
        <v>4.3394258377717933E-43</v>
      </c>
      <c r="AD79" s="6">
        <f>LOG(AC79)</f>
        <v>-42.362567729469788</v>
      </c>
      <c r="AE79" s="30">
        <f>ABS(Y79)</f>
        <v>1.2949000000000006</v>
      </c>
      <c r="AF79" s="43">
        <f>SUM(AC79:AC82)</f>
        <v>5414.0019283873762</v>
      </c>
      <c r="AL79" s="127"/>
      <c r="AM79" s="48">
        <v>0.1431</v>
      </c>
      <c r="AN79" s="43">
        <v>7.8592297154360717E+17</v>
      </c>
      <c r="AO79" s="6">
        <v>17.895379982842364</v>
      </c>
      <c r="AP79" s="43">
        <v>7.6646677197834022E+17</v>
      </c>
      <c r="AQ79" s="6">
        <v>17.884493331976763</v>
      </c>
      <c r="AR79" s="43">
        <v>5.6879606748012134E+17</v>
      </c>
      <c r="AS79" s="6">
        <v>17.754956585123981</v>
      </c>
      <c r="AT79" s="59">
        <f>AM79-$AU$76</f>
        <v>0.1032000000000001</v>
      </c>
    </row>
    <row r="80" spans="1:47" ht="18" x14ac:dyDescent="0.2">
      <c r="B80" s="30">
        <v>11</v>
      </c>
      <c r="C80" s="30" t="s">
        <v>41</v>
      </c>
      <c r="D80" s="48">
        <v>4.1181000000000001</v>
      </c>
      <c r="G80" s="30">
        <v>11</v>
      </c>
      <c r="H80" s="49" t="s">
        <v>39</v>
      </c>
      <c r="I80" s="30">
        <v>4.6295999999999999</v>
      </c>
      <c r="L80" s="85"/>
      <c r="M80" s="85"/>
      <c r="N80" s="85"/>
      <c r="O80" s="30"/>
      <c r="P80" t="s">
        <v>75</v>
      </c>
      <c r="Q80" s="42" t="s">
        <v>45</v>
      </c>
      <c r="R80" s="30">
        <f>I78</f>
        <v>4.3089000000000004</v>
      </c>
      <c r="S80" s="42" t="s">
        <v>66</v>
      </c>
      <c r="T80" s="30">
        <f>I71</f>
        <v>3.1616</v>
      </c>
      <c r="U80" s="43"/>
      <c r="V80" s="14" t="s">
        <v>183</v>
      </c>
      <c r="W80" s="6">
        <f t="shared" ref="W80:W84" si="42">I120</f>
        <v>10.301546</v>
      </c>
      <c r="X80" s="43">
        <f t="shared" si="38"/>
        <v>1.2771351413804228E-3</v>
      </c>
      <c r="Y80" s="30">
        <f t="shared" si="39"/>
        <v>-1.1473000000000004</v>
      </c>
      <c r="Z80" s="6">
        <v>0.1</v>
      </c>
      <c r="AA80" s="43">
        <f t="shared" si="40"/>
        <v>4.4568733716119301E-47</v>
      </c>
      <c r="AB80" s="43">
        <f t="shared" ref="AB80:AB82" si="43">X80^2</f>
        <v>1.6310741693487924E-6</v>
      </c>
      <c r="AC80" s="43">
        <f t="shared" si="41"/>
        <v>4.1967253599571141E-29</v>
      </c>
      <c r="AD80" s="6">
        <f t="shared" ref="AD80:AD82" si="44">LOG(AC80)</f>
        <v>-28.3770894507451</v>
      </c>
      <c r="AE80" s="30">
        <f t="shared" ref="AE80:AE82" si="45">ABS(Y80)</f>
        <v>1.1473000000000004</v>
      </c>
      <c r="AL80" s="127"/>
      <c r="AM80" s="48">
        <v>0.13989999999999991</v>
      </c>
      <c r="AN80" s="43">
        <v>8.0649913529246758E+17</v>
      </c>
      <c r="AO80" s="6">
        <v>17.906603906085909</v>
      </c>
      <c r="AP80" s="43">
        <v>7.6376675054268992E+17</v>
      </c>
      <c r="AQ80" s="6">
        <v>17.882960748080052</v>
      </c>
      <c r="AR80" s="43">
        <v>5.5852902589801434E+17</v>
      </c>
      <c r="AS80" s="6">
        <v>17.747045747657147</v>
      </c>
      <c r="AT80" s="59">
        <f>AM80-$AU$76</f>
        <v>0.1</v>
      </c>
    </row>
    <row r="81" spans="1:45" ht="18" x14ac:dyDescent="0.2">
      <c r="B81" s="30">
        <v>12</v>
      </c>
      <c r="C81" s="30" t="s">
        <v>41</v>
      </c>
      <c r="D81" s="48">
        <v>4.1391999999999998</v>
      </c>
      <c r="G81" s="30">
        <v>12</v>
      </c>
      <c r="H81" s="30" t="s">
        <v>41</v>
      </c>
      <c r="I81" s="30">
        <v>4.6637000000000004</v>
      </c>
      <c r="L81" s="85"/>
      <c r="M81" s="85"/>
      <c r="N81" s="85"/>
      <c r="O81" s="30"/>
      <c r="P81" t="s">
        <v>75</v>
      </c>
      <c r="Q81" s="42" t="s">
        <v>45</v>
      </c>
      <c r="R81" s="30">
        <f>I78</f>
        <v>4.3089000000000004</v>
      </c>
      <c r="S81" s="42" t="s">
        <v>164</v>
      </c>
      <c r="T81" s="30">
        <f>I72</f>
        <v>3.5251999999999999</v>
      </c>
      <c r="U81" s="43"/>
      <c r="V81" s="14" t="s">
        <v>184</v>
      </c>
      <c r="W81" s="6">
        <f t="shared" si="42"/>
        <v>26.073895</v>
      </c>
      <c r="X81" s="43">
        <f t="shared" si="38"/>
        <v>3.2325136030226238E-3</v>
      </c>
      <c r="Y81" s="30">
        <f t="shared" si="39"/>
        <v>-0.78370000000000051</v>
      </c>
      <c r="Z81" s="6">
        <v>0.1</v>
      </c>
      <c r="AA81" s="43">
        <f t="shared" si="40"/>
        <v>1.763318561197865E-20</v>
      </c>
      <c r="AB81" s="43">
        <f t="shared" si="43"/>
        <v>1.0449144193726305E-5</v>
      </c>
      <c r="AC81" s="43">
        <f t="shared" si="41"/>
        <v>1.6603935329636103E-2</v>
      </c>
      <c r="AD81" s="6">
        <f t="shared" si="44"/>
        <v>-1.7797889668158549</v>
      </c>
      <c r="AE81" s="30">
        <f t="shared" si="45"/>
        <v>0.78370000000000051</v>
      </c>
      <c r="AL81" s="84"/>
      <c r="AM81" s="86" t="s">
        <v>199</v>
      </c>
      <c r="AN81" s="43">
        <f>SUM(AN76:AN80)</f>
        <v>2.0974862483706988E+18</v>
      </c>
      <c r="AO81" s="6"/>
      <c r="AP81" s="43">
        <f>SUM(AP76:AP80)</f>
        <v>2.3320709620057436E+18</v>
      </c>
      <c r="AQ81" s="6"/>
      <c r="AR81" s="43">
        <f>SUM(AR76:AR80)</f>
        <v>2.0452980835034839E+18</v>
      </c>
      <c r="AS81" s="6"/>
    </row>
    <row r="82" spans="1:45" ht="18" x14ac:dyDescent="0.2">
      <c r="B82" s="30">
        <v>13</v>
      </c>
      <c r="C82" s="30" t="s">
        <v>41</v>
      </c>
      <c r="D82" s="48">
        <v>4.2153999999999998</v>
      </c>
      <c r="G82" s="30">
        <v>13</v>
      </c>
      <c r="H82" s="49" t="s">
        <v>39</v>
      </c>
      <c r="I82" s="30">
        <v>4.7146999999999997</v>
      </c>
      <c r="L82" s="85"/>
      <c r="M82" s="85"/>
      <c r="N82" s="85"/>
      <c r="O82" s="30"/>
      <c r="P82" t="s">
        <v>75</v>
      </c>
      <c r="Q82" s="42" t="s">
        <v>45</v>
      </c>
      <c r="R82" s="30">
        <f>I78</f>
        <v>4.3089000000000004</v>
      </c>
      <c r="S82" s="42" t="s">
        <v>166</v>
      </c>
      <c r="T82" s="30">
        <f>I74</f>
        <v>3.6284000000000001</v>
      </c>
      <c r="U82" s="43"/>
      <c r="V82" s="14" t="s">
        <v>185</v>
      </c>
      <c r="W82" s="6">
        <f t="shared" si="42"/>
        <v>20.924810999999998</v>
      </c>
      <c r="X82" s="43">
        <f t="shared" si="38"/>
        <v>2.5941554262674383E-3</v>
      </c>
      <c r="Y82" s="30">
        <f t="shared" si="39"/>
        <v>-0.68050000000000033</v>
      </c>
      <c r="Z82" s="6">
        <v>0.1</v>
      </c>
      <c r="AA82" s="43">
        <f t="shared" si="40"/>
        <v>5.7495892528680211E-15</v>
      </c>
      <c r="AB82" s="43">
        <f t="shared" si="43"/>
        <v>6.7296423756327946E-6</v>
      </c>
      <c r="AC82" s="43">
        <f t="shared" si="41"/>
        <v>5413.9853244520464</v>
      </c>
      <c r="AD82" s="94">
        <f t="shared" si="44"/>
        <v>3.7335170742054271</v>
      </c>
      <c r="AE82" s="30">
        <f t="shared" si="45"/>
        <v>0.68050000000000033</v>
      </c>
      <c r="AL82" s="84"/>
      <c r="AM82" s="86" t="s">
        <v>200</v>
      </c>
      <c r="AN82" s="43">
        <f>AN81/AN74</f>
        <v>2.3132071843996731</v>
      </c>
      <c r="AO82" s="6"/>
      <c r="AP82" s="43">
        <f>AP81/AP74</f>
        <v>4.1360095278261975</v>
      </c>
      <c r="AQ82" s="6"/>
      <c r="AR82" s="43">
        <f>AR81/AR74</f>
        <v>5.5452187432560862</v>
      </c>
    </row>
    <row r="83" spans="1:45" ht="18" x14ac:dyDescent="0.2">
      <c r="B83" s="30">
        <v>14</v>
      </c>
      <c r="C83" s="49" t="s">
        <v>39</v>
      </c>
      <c r="D83" s="48">
        <v>4.3714000000000004</v>
      </c>
      <c r="G83" s="30">
        <v>14</v>
      </c>
      <c r="H83" s="30" t="s">
        <v>41</v>
      </c>
      <c r="I83" s="30">
        <v>5.0949999999999998</v>
      </c>
      <c r="L83" s="85"/>
      <c r="M83" s="85"/>
      <c r="N83" s="85"/>
      <c r="O83" s="30"/>
      <c r="P83" t="s">
        <v>75</v>
      </c>
      <c r="Q83" s="42" t="s">
        <v>45</v>
      </c>
      <c r="R83" s="30">
        <f>I78</f>
        <v>4.3089000000000004</v>
      </c>
      <c r="S83" s="42" t="s">
        <v>168</v>
      </c>
      <c r="T83" s="30">
        <f>I76</f>
        <v>4.0225999999999997</v>
      </c>
      <c r="U83" s="43"/>
      <c r="V83" s="14" t="s">
        <v>186</v>
      </c>
      <c r="W83" s="6">
        <f t="shared" si="42"/>
        <v>1.1094919999999999</v>
      </c>
      <c r="X83" s="43">
        <f t="shared" ref="X83:X84" si="46">W83*$M$7/$M$6</f>
        <v>1.3754937581994468E-4</v>
      </c>
      <c r="Y83" s="30">
        <f t="shared" si="39"/>
        <v>-0.28630000000000067</v>
      </c>
      <c r="Z83" s="6">
        <v>0.1</v>
      </c>
      <c r="AA83" s="43">
        <f t="shared" si="40"/>
        <v>3.4142593237355266E-2</v>
      </c>
      <c r="AB83" s="43">
        <f t="shared" ref="AB83:AB84" si="47">X83^2</f>
        <v>1.8919830788456383E-8</v>
      </c>
      <c r="AC83" s="43">
        <f t="shared" si="41"/>
        <v>3.2149687672657856E+16</v>
      </c>
      <c r="AD83" s="6">
        <f t="shared" ref="AD83:AD84" si="48">LOG(AC83)</f>
        <v>16.507176758202696</v>
      </c>
      <c r="AE83" s="30">
        <f t="shared" ref="AE83:AE84" si="49">ABS(Y83)</f>
        <v>0.28630000000000067</v>
      </c>
    </row>
    <row r="84" spans="1:45" ht="18" x14ac:dyDescent="0.2">
      <c r="B84" s="30">
        <v>15</v>
      </c>
      <c r="C84" s="49" t="s">
        <v>39</v>
      </c>
      <c r="D84" s="48">
        <v>4.4028999999999998</v>
      </c>
      <c r="G84" s="30">
        <v>15</v>
      </c>
      <c r="H84" s="30" t="s">
        <v>41</v>
      </c>
      <c r="I84" s="30">
        <v>5.1509</v>
      </c>
      <c r="L84" s="85"/>
      <c r="M84" s="85"/>
      <c r="N84" s="85"/>
      <c r="O84" s="30"/>
      <c r="P84" t="s">
        <v>75</v>
      </c>
      <c r="Q84" s="42" t="s">
        <v>45</v>
      </c>
      <c r="R84" s="30">
        <f>I78</f>
        <v>4.3089000000000004</v>
      </c>
      <c r="S84" s="42" t="s">
        <v>169</v>
      </c>
      <c r="T84" s="30">
        <f>I77</f>
        <v>4.1966000000000001</v>
      </c>
      <c r="U84" s="43"/>
      <c r="V84" s="14" t="s">
        <v>187</v>
      </c>
      <c r="W84" s="6">
        <f t="shared" si="42"/>
        <v>32.071050999999997</v>
      </c>
      <c r="X84" s="43">
        <f t="shared" si="46"/>
        <v>3.9760115863292497E-3</v>
      </c>
      <c r="Y84" s="30">
        <f t="shared" si="39"/>
        <v>-0.11230000000000029</v>
      </c>
      <c r="Z84" s="6">
        <v>0.1</v>
      </c>
      <c r="AA84" s="43">
        <f t="shared" si="40"/>
        <v>0.98538664995054248</v>
      </c>
      <c r="AB84" s="43">
        <f t="shared" si="47"/>
        <v>1.5808668134624438E-5</v>
      </c>
      <c r="AC84" s="43">
        <f t="shared" si="41"/>
        <v>9.2786956200080781E+17</v>
      </c>
      <c r="AD84" s="79">
        <f t="shared" si="48"/>
        <v>17.967486928282593</v>
      </c>
      <c r="AE84" s="30">
        <f t="shared" si="49"/>
        <v>0.11230000000000029</v>
      </c>
    </row>
    <row r="85" spans="1:45" x14ac:dyDescent="0.2">
      <c r="B85" s="30">
        <v>16</v>
      </c>
      <c r="C85" s="49" t="s">
        <v>39</v>
      </c>
      <c r="D85" s="48">
        <v>4.5650000000000004</v>
      </c>
      <c r="G85" s="30">
        <v>16</v>
      </c>
      <c r="H85" s="49" t="s">
        <v>39</v>
      </c>
      <c r="I85" s="30">
        <v>5.3151999999999999</v>
      </c>
      <c r="M85" s="30"/>
      <c r="N85" s="30"/>
      <c r="O85" s="30"/>
    </row>
    <row r="86" spans="1:45" ht="18" x14ac:dyDescent="0.25">
      <c r="B86" s="30">
        <v>17</v>
      </c>
      <c r="C86" s="49" t="s">
        <v>39</v>
      </c>
      <c r="D86" s="48">
        <v>4.5777000000000001</v>
      </c>
      <c r="G86" s="30">
        <v>17</v>
      </c>
      <c r="H86" s="49" t="s">
        <v>39</v>
      </c>
      <c r="I86" s="30">
        <v>5.4043999999999999</v>
      </c>
      <c r="M86" s="30"/>
      <c r="N86" s="30"/>
      <c r="O86" s="30"/>
      <c r="P86" t="s">
        <v>73</v>
      </c>
      <c r="Q86" s="42" t="s">
        <v>64</v>
      </c>
      <c r="R86" s="48">
        <f>D75</f>
        <v>3.6151</v>
      </c>
      <c r="S86" s="42" t="s">
        <v>65</v>
      </c>
      <c r="T86" s="48">
        <f>D70</f>
        <v>2.9487000000000001</v>
      </c>
      <c r="U86" s="6"/>
      <c r="V86" s="14" t="s">
        <v>158</v>
      </c>
      <c r="W86" s="6">
        <f>D97</f>
        <v>3.2604869999999999</v>
      </c>
      <c r="X86" s="43">
        <f t="shared" ref="X86:X90" si="50">W86*$M$7/$M$6</f>
        <v>4.0421918474314725E-4</v>
      </c>
      <c r="Y86" s="30">
        <f t="shared" si="39"/>
        <v>-0.66639999999999988</v>
      </c>
      <c r="Z86" s="6">
        <v>0.1</v>
      </c>
      <c r="AA86" s="43">
        <f>EXP(-((Y86+Z86)^2)/((4*Z86*$M$17*$M$9)))</f>
        <v>2.7734176514387963E-14</v>
      </c>
      <c r="AB86" s="43">
        <f t="shared" ref="AB86:AB90" si="51">X86^2</f>
        <v>1.633931493144146E-7</v>
      </c>
      <c r="AC86" s="43">
        <f>1/(SQRT(4*Z86*$M$17*$M$9))*$M$16*AA86</f>
        <v>26115.330683797929</v>
      </c>
      <c r="AD86" s="6">
        <f>LOG(AC86)</f>
        <v>4.4168955294354841</v>
      </c>
      <c r="AE86" s="30">
        <f>ABS(Y86)</f>
        <v>0.66639999999999988</v>
      </c>
      <c r="AF86" s="43">
        <f>SUM(AC86:AC90)</f>
        <v>2.0974862483706988E+18</v>
      </c>
      <c r="AG86" s="45" t="s">
        <v>64</v>
      </c>
      <c r="AH86" s="30" t="s">
        <v>159</v>
      </c>
      <c r="AI86" s="45" t="s">
        <v>160</v>
      </c>
      <c r="AJ86" s="45" t="s">
        <v>161</v>
      </c>
    </row>
    <row r="87" spans="1:45" ht="18" x14ac:dyDescent="0.25">
      <c r="B87" s="30">
        <v>18</v>
      </c>
      <c r="C87" s="49" t="s">
        <v>39</v>
      </c>
      <c r="D87" s="48">
        <v>4.7146999999999997</v>
      </c>
      <c r="G87" s="30">
        <v>18</v>
      </c>
      <c r="H87" s="49" t="s">
        <v>39</v>
      </c>
      <c r="I87" s="30">
        <v>5.5358999999999998</v>
      </c>
      <c r="M87" s="30"/>
      <c r="N87" s="30"/>
      <c r="O87" s="30"/>
      <c r="P87" t="s">
        <v>73</v>
      </c>
      <c r="Q87" s="42" t="s">
        <v>64</v>
      </c>
      <c r="R87" s="48">
        <f>D75</f>
        <v>3.6151</v>
      </c>
      <c r="S87" s="42" t="s">
        <v>66</v>
      </c>
      <c r="T87" s="48">
        <f>D71</f>
        <v>3.2772999999999999</v>
      </c>
      <c r="U87" s="6"/>
      <c r="V87" s="14" t="s">
        <v>162</v>
      </c>
      <c r="W87" s="6">
        <f>D98</f>
        <v>3.5277780000000001</v>
      </c>
      <c r="X87" s="43">
        <f t="shared" si="50"/>
        <v>4.3735661179290417E-4</v>
      </c>
      <c r="Y87" s="30">
        <f t="shared" si="39"/>
        <v>-0.3378000000000001</v>
      </c>
      <c r="Z87" s="6">
        <v>0.1</v>
      </c>
      <c r="AA87" s="43">
        <f>EXP(-((Y87+Z87)^2)/((4*Z87*$M$17*$M$9)))</f>
        <v>4.0767761790476273E-3</v>
      </c>
      <c r="AB87" s="43">
        <f t="shared" si="51"/>
        <v>1.9128080587896909E-7</v>
      </c>
      <c r="AC87" s="43">
        <f>1/(SQRT(4*Z87*$M$17*$M$9))*$M$16*AA87</f>
        <v>3838814467212547.5</v>
      </c>
      <c r="AD87" s="6">
        <f>LOG(AC87)</f>
        <v>15.584197122846001</v>
      </c>
      <c r="AE87" s="30">
        <f>ABS(Y87)</f>
        <v>0.3378000000000001</v>
      </c>
      <c r="AF87" s="16"/>
      <c r="AG87" s="45" t="s">
        <v>38</v>
      </c>
      <c r="AH87" s="30">
        <v>90</v>
      </c>
      <c r="AI87" s="45" t="s">
        <v>177</v>
      </c>
      <c r="AJ87" s="45" t="s">
        <v>163</v>
      </c>
    </row>
    <row r="88" spans="1:45" ht="18" x14ac:dyDescent="0.25">
      <c r="B88" s="30">
        <v>19</v>
      </c>
      <c r="C88" s="49" t="s">
        <v>39</v>
      </c>
      <c r="D88" s="48">
        <v>4.9147999999999996</v>
      </c>
      <c r="G88" s="30">
        <v>19</v>
      </c>
      <c r="H88" s="49" t="s">
        <v>39</v>
      </c>
      <c r="I88" s="30">
        <v>5.9343000000000004</v>
      </c>
      <c r="M88" s="30"/>
      <c r="N88" s="30"/>
      <c r="O88" s="30"/>
      <c r="P88" t="s">
        <v>73</v>
      </c>
      <c r="Q88" s="42" t="s">
        <v>64</v>
      </c>
      <c r="R88" s="48">
        <f>D75</f>
        <v>3.6151</v>
      </c>
      <c r="S88" s="42" t="s">
        <v>164</v>
      </c>
      <c r="T88" s="48">
        <f>D72</f>
        <v>3.4346000000000001</v>
      </c>
      <c r="U88" s="6"/>
      <c r="V88" s="14" t="s">
        <v>165</v>
      </c>
      <c r="W88" s="6">
        <f>D99</f>
        <v>9.2601200000000006</v>
      </c>
      <c r="X88" s="43">
        <f t="shared" si="50"/>
        <v>1.1480242543594602E-3</v>
      </c>
      <c r="Y88" s="30">
        <f t="shared" si="39"/>
        <v>-0.18049999999999988</v>
      </c>
      <c r="Z88" s="6">
        <v>0.1</v>
      </c>
      <c r="AA88" s="43">
        <f>EXP(-((Y88+Z88)^2)/((4*Z88*$M$17*$M$9)))</f>
        <v>0.53229544985210531</v>
      </c>
      <c r="AB88" s="43">
        <f t="shared" si="51"/>
        <v>1.3179596885975947E-6</v>
      </c>
      <c r="AC88" s="43">
        <f>1/(SQRT(4*Z88*$M$17*$M$9))*$M$16*AA88</f>
        <v>5.0122532706738547E+17</v>
      </c>
      <c r="AD88" s="6">
        <f>LOG(AC88)</f>
        <v>17.700033007908111</v>
      </c>
      <c r="AE88" s="30">
        <f>ABS(Y88)</f>
        <v>0.18049999999999988</v>
      </c>
      <c r="AG88" s="45" t="s">
        <v>45</v>
      </c>
      <c r="AH88" s="45">
        <v>89</v>
      </c>
      <c r="AI88" s="45" t="s">
        <v>160</v>
      </c>
      <c r="AJ88" s="45" t="s">
        <v>163</v>
      </c>
    </row>
    <row r="89" spans="1:45" ht="18" x14ac:dyDescent="0.2">
      <c r="B89" s="30">
        <v>20</v>
      </c>
      <c r="C89" s="49" t="s">
        <v>39</v>
      </c>
      <c r="D89" s="48">
        <v>5.0917000000000003</v>
      </c>
      <c r="G89" s="30">
        <v>20</v>
      </c>
      <c r="H89" s="49" t="s">
        <v>39</v>
      </c>
      <c r="I89" s="30">
        <v>6.0149999999999997</v>
      </c>
      <c r="M89" s="30"/>
      <c r="N89" s="30"/>
      <c r="O89" s="30"/>
      <c r="P89" t="s">
        <v>73</v>
      </c>
      <c r="Q89" s="42" t="s">
        <v>64</v>
      </c>
      <c r="R89" s="48">
        <f>D75</f>
        <v>3.6151</v>
      </c>
      <c r="S89" s="42" t="s">
        <v>166</v>
      </c>
      <c r="T89" s="48">
        <f>D73</f>
        <v>3.472</v>
      </c>
      <c r="U89" s="6"/>
      <c r="V89" s="14" t="s">
        <v>167</v>
      </c>
      <c r="W89" s="6">
        <f>D100</f>
        <v>6.9744729999999997</v>
      </c>
      <c r="X89" s="43">
        <f t="shared" si="50"/>
        <v>8.6466095097851713E-4</v>
      </c>
      <c r="Y89" s="30">
        <f t="shared" si="39"/>
        <v>-0.1431</v>
      </c>
      <c r="Z89" s="6">
        <v>0.1</v>
      </c>
      <c r="AA89" s="43">
        <f>EXP(-((Y89+Z89)^2)/((4*Z89*$M$17*$M$9)))</f>
        <v>0.83464102689021746</v>
      </c>
      <c r="AB89" s="43">
        <f t="shared" si="51"/>
        <v>7.4763856014707357E-7</v>
      </c>
      <c r="AC89" s="43">
        <f>1/(SQRT(4*Z89*$M$17*$M$9))*$M$16*AA89</f>
        <v>7.8592297154360717E+17</v>
      </c>
      <c r="AD89" s="6">
        <f>LOG(AC89)</f>
        <v>17.895379982842364</v>
      </c>
      <c r="AE89" s="30">
        <f>ABS(Y89)</f>
        <v>0.1431</v>
      </c>
      <c r="AG89" s="42" t="s">
        <v>65</v>
      </c>
      <c r="AH89" s="30" t="s">
        <v>159</v>
      </c>
      <c r="AI89" s="45" t="s">
        <v>160</v>
      </c>
      <c r="AJ89" s="45" t="s">
        <v>161</v>
      </c>
    </row>
    <row r="90" spans="1:45" ht="18" x14ac:dyDescent="0.2">
      <c r="D90" s="48"/>
      <c r="P90" t="s">
        <v>73</v>
      </c>
      <c r="Q90" s="42" t="s">
        <v>64</v>
      </c>
      <c r="R90" s="48">
        <f>D75</f>
        <v>3.6151</v>
      </c>
      <c r="S90" s="42" t="s">
        <v>168</v>
      </c>
      <c r="T90" s="48">
        <f>D74</f>
        <v>3.4752000000000001</v>
      </c>
      <c r="U90" s="6"/>
      <c r="V90" s="14" t="s">
        <v>178</v>
      </c>
      <c r="W90" s="6">
        <f>D101</f>
        <v>14.215522</v>
      </c>
      <c r="X90" s="43">
        <f t="shared" si="50"/>
        <v>1.762370686814048E-3</v>
      </c>
      <c r="Y90" s="30">
        <f t="shared" si="39"/>
        <v>-0.13989999999999991</v>
      </c>
      <c r="Z90" s="6">
        <v>0.1</v>
      </c>
      <c r="AA90" s="43">
        <f>EXP(-((Y90+Z90)^2)/((4*Z90*$M$17*$M$9)))</f>
        <v>0.85649267274182017</v>
      </c>
      <c r="AB90" s="43">
        <f t="shared" si="51"/>
        <v>3.105950437741419E-6</v>
      </c>
      <c r="AC90" s="43">
        <f>1/(SQRT(4*Z90*$M$17*$M$9))*$M$16*AA90</f>
        <v>8.0649913529246758E+17</v>
      </c>
      <c r="AD90" s="79">
        <f>LOG(AC90)</f>
        <v>17.906603906085909</v>
      </c>
      <c r="AE90" s="30">
        <f>ABS(Y90)</f>
        <v>0.13989999999999991</v>
      </c>
      <c r="AG90" s="42" t="s">
        <v>66</v>
      </c>
      <c r="AH90" s="30" t="s">
        <v>159</v>
      </c>
      <c r="AI90" s="45" t="s">
        <v>177</v>
      </c>
      <c r="AJ90" s="45" t="s">
        <v>161</v>
      </c>
    </row>
    <row r="91" spans="1:45" ht="19" x14ac:dyDescent="0.25">
      <c r="A91" s="117" t="s">
        <v>61</v>
      </c>
      <c r="B91" s="117"/>
      <c r="C91" s="117"/>
      <c r="D91" s="117"/>
      <c r="E91" s="117"/>
      <c r="F91" s="117"/>
      <c r="G91" s="117"/>
      <c r="H91" s="117"/>
      <c r="I91" s="117"/>
      <c r="J91" s="1"/>
      <c r="K91" s="1"/>
      <c r="L91" s="1"/>
      <c r="M91" s="1"/>
      <c r="N91" s="1"/>
      <c r="O91" s="1"/>
      <c r="Q91" s="42"/>
      <c r="R91" s="48"/>
      <c r="S91" s="42"/>
      <c r="T91" s="48"/>
      <c r="U91" s="43"/>
      <c r="V91" s="14"/>
      <c r="W91" s="6"/>
      <c r="X91" s="43"/>
      <c r="Y91" s="48"/>
      <c r="Z91" s="6"/>
      <c r="AA91" s="43"/>
      <c r="AB91" s="43"/>
      <c r="AC91" s="43"/>
      <c r="AD91" s="30"/>
      <c r="AE91" s="30"/>
      <c r="AG91" s="42" t="s">
        <v>164</v>
      </c>
      <c r="AH91" s="30">
        <v>94</v>
      </c>
      <c r="AI91" s="45" t="s">
        <v>160</v>
      </c>
      <c r="AJ91" s="45" t="s">
        <v>161</v>
      </c>
    </row>
    <row r="92" spans="1:45" ht="18" x14ac:dyDescent="0.2">
      <c r="A92" s="7" t="s">
        <v>56</v>
      </c>
      <c r="P92" t="s">
        <v>73</v>
      </c>
      <c r="Q92" s="42" t="s">
        <v>38</v>
      </c>
      <c r="R92" s="48">
        <f>D78</f>
        <v>3.9077999999999999</v>
      </c>
      <c r="S92" s="42" t="s">
        <v>65</v>
      </c>
      <c r="T92" s="48">
        <f t="shared" ref="T92:T97" si="52">D70</f>
        <v>2.9487000000000001</v>
      </c>
      <c r="U92" s="43"/>
      <c r="V92" s="14" t="s">
        <v>170</v>
      </c>
      <c r="W92" s="6">
        <f t="shared" ref="W92:W98" si="53">D108</f>
        <v>7.5705479999999996</v>
      </c>
      <c r="X92" s="43">
        <f t="shared" ref="X92:X98" si="54">W92*$M$7/$M$6</f>
        <v>9.3855940557924754E-4</v>
      </c>
      <c r="Y92" s="30">
        <f t="shared" si="39"/>
        <v>-0.95909999999999984</v>
      </c>
      <c r="Z92" s="6">
        <v>0.1</v>
      </c>
      <c r="AA92" s="43">
        <f t="shared" ref="AA92:AA98" si="55">EXP(-((Y92+Z92)^2)/((4*Z92*$M$17*$M$9)))</f>
        <v>6.468639039170174E-32</v>
      </c>
      <c r="AB92" s="43">
        <f t="shared" ref="AB92:AB98" si="56">X92^2</f>
        <v>8.8089375780127042E-7</v>
      </c>
      <c r="AC92" s="43">
        <f t="shared" ref="AC92:AC98" si="57">1/(SQRT(4*Z92*$M$17*$M$9))*$M$16*AA92</f>
        <v>6.0910641242373279E-14</v>
      </c>
      <c r="AD92" s="6">
        <f t="shared" ref="AD92:AD98" si="58">LOG(AC92)</f>
        <v>-13.215306828399443</v>
      </c>
      <c r="AE92" s="30">
        <f t="shared" ref="AE92:AE98" si="59">ABS(Y92)</f>
        <v>0.95909999999999984</v>
      </c>
      <c r="AF92" s="43">
        <f>SUM(AC92:AC98)</f>
        <v>4.1816259877323213E+17</v>
      </c>
      <c r="AG92" s="42" t="s">
        <v>166</v>
      </c>
      <c r="AH92" s="30">
        <v>87</v>
      </c>
      <c r="AI92" s="45" t="s">
        <v>177</v>
      </c>
      <c r="AJ92" s="45" t="s">
        <v>163</v>
      </c>
    </row>
    <row r="93" spans="1:45" ht="18" x14ac:dyDescent="0.2">
      <c r="A93" s="7"/>
      <c r="P93" t="s">
        <v>73</v>
      </c>
      <c r="Q93" s="42" t="s">
        <v>38</v>
      </c>
      <c r="R93" s="48">
        <f>D78</f>
        <v>3.9077999999999999</v>
      </c>
      <c r="S93" s="42" t="s">
        <v>66</v>
      </c>
      <c r="T93" s="48">
        <f t="shared" si="52"/>
        <v>3.2772999999999999</v>
      </c>
      <c r="U93" s="43"/>
      <c r="V93" s="14" t="s">
        <v>171</v>
      </c>
      <c r="W93" s="6">
        <f t="shared" si="53"/>
        <v>4.8594379999999999</v>
      </c>
      <c r="X93" s="43">
        <f t="shared" si="54"/>
        <v>6.0244928646238129E-4</v>
      </c>
      <c r="Y93" s="30">
        <f t="shared" si="39"/>
        <v>-0.63050000000000006</v>
      </c>
      <c r="Z93" s="6">
        <v>0.1</v>
      </c>
      <c r="AA93" s="43">
        <f t="shared" si="55"/>
        <v>1.279706053563366E-12</v>
      </c>
      <c r="AB93" s="43">
        <f t="shared" si="56"/>
        <v>3.6294514275903232E-7</v>
      </c>
      <c r="AC93" s="43">
        <f t="shared" si="57"/>
        <v>1205009.5213581589</v>
      </c>
      <c r="AD93" s="6">
        <f t="shared" si="58"/>
        <v>6.0809904784934368</v>
      </c>
      <c r="AE93" s="30">
        <f t="shared" si="59"/>
        <v>0.63050000000000006</v>
      </c>
      <c r="AG93" s="42" t="s">
        <v>168</v>
      </c>
      <c r="AH93" s="30">
        <v>85</v>
      </c>
      <c r="AI93" s="45" t="s">
        <v>160</v>
      </c>
      <c r="AJ93" s="45" t="s">
        <v>163</v>
      </c>
    </row>
    <row r="94" spans="1:45" ht="19" thickBot="1" x14ac:dyDescent="0.25">
      <c r="A94" s="7" t="s">
        <v>62</v>
      </c>
      <c r="P94" t="s">
        <v>73</v>
      </c>
      <c r="Q94" s="42" t="s">
        <v>38</v>
      </c>
      <c r="R94" s="48">
        <f>D78</f>
        <v>3.9077999999999999</v>
      </c>
      <c r="S94" s="42" t="s">
        <v>164</v>
      </c>
      <c r="T94" s="48">
        <f t="shared" si="52"/>
        <v>3.4346000000000001</v>
      </c>
      <c r="U94" s="43"/>
      <c r="V94" s="14" t="s">
        <v>42</v>
      </c>
      <c r="W94" s="6">
        <f t="shared" si="53"/>
        <v>26.582788999999998</v>
      </c>
      <c r="X94" s="43">
        <f t="shared" si="54"/>
        <v>3.2956037848883013E-3</v>
      </c>
      <c r="Y94" s="30">
        <f t="shared" si="39"/>
        <v>-0.47319999999999984</v>
      </c>
      <c r="Z94" s="6">
        <v>0.1</v>
      </c>
      <c r="AA94" s="43">
        <f t="shared" si="55"/>
        <v>1.3009963318661846E-6</v>
      </c>
      <c r="AB94" s="43">
        <f t="shared" si="56"/>
        <v>1.0861004306970098E-5</v>
      </c>
      <c r="AC94" s="43">
        <f t="shared" si="57"/>
        <v>1225057084621.4758</v>
      </c>
      <c r="AD94" s="6">
        <f t="shared" si="58"/>
        <v>12.088156326217684</v>
      </c>
      <c r="AE94" s="30">
        <f t="shared" si="59"/>
        <v>0.47319999999999984</v>
      </c>
      <c r="AG94" s="30" t="s">
        <v>68</v>
      </c>
      <c r="AH94" s="45">
        <v>90</v>
      </c>
      <c r="AI94" s="45" t="s">
        <v>177</v>
      </c>
      <c r="AJ94" s="45" t="s">
        <v>163</v>
      </c>
    </row>
    <row r="95" spans="1:45" ht="35" thickBot="1" x14ac:dyDescent="0.25">
      <c r="A95" s="8" t="s">
        <v>57</v>
      </c>
      <c r="B95" s="9" t="s">
        <v>63</v>
      </c>
      <c r="C95" s="9" t="s">
        <v>63</v>
      </c>
      <c r="D95" s="11" t="s">
        <v>30</v>
      </c>
      <c r="F95" s="8" t="s">
        <v>57</v>
      </c>
      <c r="G95" s="9" t="s">
        <v>63</v>
      </c>
      <c r="H95" s="9" t="s">
        <v>63</v>
      </c>
      <c r="I95" s="11" t="s">
        <v>30</v>
      </c>
      <c r="L95" s="80"/>
      <c r="M95" s="81"/>
      <c r="N95" s="81"/>
      <c r="O95" s="81"/>
      <c r="P95" t="s">
        <v>73</v>
      </c>
      <c r="Q95" s="42" t="s">
        <v>38</v>
      </c>
      <c r="R95" s="48">
        <f>D78</f>
        <v>3.9077999999999999</v>
      </c>
      <c r="S95" s="42" t="s">
        <v>166</v>
      </c>
      <c r="T95" s="48">
        <f t="shared" si="52"/>
        <v>3.472</v>
      </c>
      <c r="U95" s="43"/>
      <c r="V95" s="14" t="s">
        <v>173</v>
      </c>
      <c r="W95" s="6">
        <f t="shared" si="53"/>
        <v>67.787909999999997</v>
      </c>
      <c r="X95" s="43">
        <f t="shared" si="54"/>
        <v>8.4040125648842771E-3</v>
      </c>
      <c r="Y95" s="30">
        <f t="shared" si="39"/>
        <v>-0.43579999999999997</v>
      </c>
      <c r="Z95" s="6">
        <v>0.1</v>
      </c>
      <c r="AA95" s="43">
        <f t="shared" si="55"/>
        <v>1.7172533284107386E-5</v>
      </c>
      <c r="AB95" s="43">
        <f t="shared" si="56"/>
        <v>7.0627427190732807E-5</v>
      </c>
      <c r="AC95" s="43">
        <f t="shared" si="57"/>
        <v>16170171310488.883</v>
      </c>
      <c r="AD95" s="6">
        <f t="shared" si="58"/>
        <v>13.208714620945727</v>
      </c>
      <c r="AE95" s="30">
        <f t="shared" si="59"/>
        <v>0.43579999999999997</v>
      </c>
      <c r="AG95" s="30" t="s">
        <v>69</v>
      </c>
      <c r="AH95" s="30">
        <v>89</v>
      </c>
      <c r="AI95" s="45" t="s">
        <v>160</v>
      </c>
      <c r="AJ95" s="45" t="s">
        <v>163</v>
      </c>
    </row>
    <row r="96" spans="1:45" ht="18" x14ac:dyDescent="0.2">
      <c r="P96" t="s">
        <v>73</v>
      </c>
      <c r="Q96" s="42" t="s">
        <v>38</v>
      </c>
      <c r="R96" s="48">
        <f>D78</f>
        <v>3.9077999999999999</v>
      </c>
      <c r="S96" s="42" t="s">
        <v>168</v>
      </c>
      <c r="T96" s="48">
        <f t="shared" si="52"/>
        <v>3.4752000000000001</v>
      </c>
      <c r="U96" s="43"/>
      <c r="V96" s="14" t="s">
        <v>179</v>
      </c>
      <c r="W96" s="6">
        <f t="shared" si="53"/>
        <v>12.087090999999999</v>
      </c>
      <c r="X96" s="43">
        <f t="shared" si="54"/>
        <v>1.4984982519286943E-3</v>
      </c>
      <c r="Y96" s="30">
        <f t="shared" si="39"/>
        <v>-0.43259999999999987</v>
      </c>
      <c r="Z96" s="6">
        <v>0.1</v>
      </c>
      <c r="AA96" s="43">
        <f t="shared" si="55"/>
        <v>2.1145636190118877E-5</v>
      </c>
      <c r="AB96" s="43">
        <f t="shared" si="56"/>
        <v>2.2454970110333526E-6</v>
      </c>
      <c r="AC96" s="43">
        <f t="shared" si="57"/>
        <v>19911363920892.172</v>
      </c>
      <c r="AD96" s="6">
        <f t="shared" si="58"/>
        <v>13.299101010053985</v>
      </c>
      <c r="AE96" s="30">
        <f t="shared" si="59"/>
        <v>0.43259999999999987</v>
      </c>
      <c r="AI96" s="45"/>
    </row>
    <row r="97" spans="1:32" ht="18" x14ac:dyDescent="0.25">
      <c r="A97" t="s">
        <v>73</v>
      </c>
      <c r="B97" t="s">
        <v>64</v>
      </c>
      <c r="C97" t="s">
        <v>65</v>
      </c>
      <c r="D97">
        <v>3.2604869999999999</v>
      </c>
      <c r="F97" t="s">
        <v>75</v>
      </c>
      <c r="G97" t="s">
        <v>64</v>
      </c>
      <c r="H97" t="s">
        <v>65</v>
      </c>
      <c r="I97">
        <v>7.6549940000000003</v>
      </c>
      <c r="P97" t="s">
        <v>73</v>
      </c>
      <c r="Q97" s="42" t="s">
        <v>38</v>
      </c>
      <c r="R97" s="48">
        <f>D78</f>
        <v>3.9077999999999999</v>
      </c>
      <c r="S97" s="42" t="s">
        <v>169</v>
      </c>
      <c r="T97" s="48">
        <f t="shared" si="52"/>
        <v>3.6151</v>
      </c>
      <c r="U97" s="43"/>
      <c r="V97" s="14" t="s">
        <v>180</v>
      </c>
      <c r="W97" s="6">
        <f t="shared" si="53"/>
        <v>13.945081999999999</v>
      </c>
      <c r="X97" s="43">
        <f t="shared" si="54"/>
        <v>1.7288428621909358E-3</v>
      </c>
      <c r="Y97" s="30">
        <f t="shared" si="39"/>
        <v>-0.29269999999999996</v>
      </c>
      <c r="Z97" s="6">
        <v>0.1</v>
      </c>
      <c r="AA97" s="43">
        <f t="shared" si="55"/>
        <v>2.6964581667754867E-2</v>
      </c>
      <c r="AB97" s="43">
        <f t="shared" si="56"/>
        <v>2.9888976421485471E-6</v>
      </c>
      <c r="AC97" s="43">
        <f t="shared" si="57"/>
        <v>2.5390657142402408E+16</v>
      </c>
      <c r="AD97" s="6">
        <f t="shared" si="58"/>
        <v>16.40467394111106</v>
      </c>
      <c r="AE97" s="30">
        <f t="shared" si="59"/>
        <v>0.29269999999999996</v>
      </c>
    </row>
    <row r="98" spans="1:32" ht="18" x14ac:dyDescent="0.25">
      <c r="B98" t="s">
        <v>64</v>
      </c>
      <c r="C98" t="s">
        <v>66</v>
      </c>
      <c r="D98">
        <v>3.5277780000000001</v>
      </c>
      <c r="G98" t="s">
        <v>64</v>
      </c>
      <c r="H98" t="s">
        <v>66</v>
      </c>
      <c r="I98">
        <v>5.1588019999999997</v>
      </c>
      <c r="P98" t="s">
        <v>73</v>
      </c>
      <c r="Q98" s="42" t="s">
        <v>38</v>
      </c>
      <c r="R98" s="48">
        <f>D78</f>
        <v>3.9077999999999999</v>
      </c>
      <c r="S98" s="42" t="s">
        <v>69</v>
      </c>
      <c r="T98" s="48">
        <f>D77</f>
        <v>3.7130000000000001</v>
      </c>
      <c r="U98" s="43"/>
      <c r="V98" s="14" t="s">
        <v>181</v>
      </c>
      <c r="W98" s="6">
        <f t="shared" si="53"/>
        <v>5.6168209999999998</v>
      </c>
      <c r="X98" s="43">
        <f t="shared" si="54"/>
        <v>6.9634591564640171E-4</v>
      </c>
      <c r="Y98" s="30">
        <f t="shared" si="39"/>
        <v>-0.19479999999999986</v>
      </c>
      <c r="Z98" s="6">
        <v>0.1</v>
      </c>
      <c r="AA98" s="43">
        <f t="shared" si="55"/>
        <v>0.41707960061160587</v>
      </c>
      <c r="AB98" s="43">
        <f t="shared" si="56"/>
        <v>4.8489763423742556E-7</v>
      </c>
      <c r="AC98" s="43">
        <f t="shared" si="57"/>
        <v>3.9273463503730874E+17</v>
      </c>
      <c r="AD98" s="79">
        <f t="shared" si="58"/>
        <v>17.594099203135201</v>
      </c>
      <c r="AE98" s="30">
        <f t="shared" si="59"/>
        <v>0.19479999999999986</v>
      </c>
    </row>
    <row r="99" spans="1:32" ht="18" x14ac:dyDescent="0.25">
      <c r="B99" t="s">
        <v>64</v>
      </c>
      <c r="C99" t="s">
        <v>40</v>
      </c>
      <c r="D99">
        <v>9.2601200000000006</v>
      </c>
      <c r="G99" t="s">
        <v>64</v>
      </c>
      <c r="H99" t="s">
        <v>40</v>
      </c>
      <c r="I99">
        <v>19.511818999999999</v>
      </c>
      <c r="U99" s="43"/>
      <c r="AA99" s="43"/>
      <c r="AC99" s="43"/>
    </row>
    <row r="100" spans="1:32" ht="18" x14ac:dyDescent="0.25">
      <c r="B100" t="s">
        <v>64</v>
      </c>
      <c r="C100" t="s">
        <v>67</v>
      </c>
      <c r="D100">
        <v>6.9744729999999997</v>
      </c>
      <c r="G100" t="s">
        <v>64</v>
      </c>
      <c r="H100" t="s">
        <v>67</v>
      </c>
      <c r="I100">
        <v>10.168284</v>
      </c>
      <c r="P100" t="s">
        <v>73</v>
      </c>
      <c r="Q100" s="42" t="s">
        <v>45</v>
      </c>
      <c r="R100" s="48">
        <f>D79</f>
        <v>4.0118999999999998</v>
      </c>
      <c r="S100" s="42" t="s">
        <v>65</v>
      </c>
      <c r="T100" s="48">
        <f>D70</f>
        <v>2.9487000000000001</v>
      </c>
      <c r="U100" s="43"/>
      <c r="V100" s="14" t="s">
        <v>182</v>
      </c>
      <c r="W100" s="6">
        <f t="shared" ref="W100:W106" si="60">D119</f>
        <v>10.764469</v>
      </c>
      <c r="X100" s="43">
        <f t="shared" ref="X100:X106" si="61">W100*$M$7/$M$6</f>
        <v>1.3345260641655318E-3</v>
      </c>
      <c r="Y100" s="30">
        <f t="shared" si="39"/>
        <v>-1.0631999999999997</v>
      </c>
      <c r="Z100" s="6">
        <v>0.1</v>
      </c>
      <c r="AA100" s="43">
        <f t="shared" ref="AA100:AA106" si="62">EXP(-((Y100+Z100)^2)/((4*Z100*$M$17*$M$9)))</f>
        <v>6.226846397019341E-40</v>
      </c>
      <c r="AB100" s="43">
        <f t="shared" ref="AB100:AB106" si="63">X100^2</f>
        <v>1.780959815937145E-6</v>
      </c>
      <c r="AC100" s="43">
        <f t="shared" ref="AC100:AC106" si="64">1/(SQRT(4*Z100*$M$17*$M$9))*$M$16*AA100</f>
        <v>5.8633849355870942E-22</v>
      </c>
      <c r="AD100" s="6">
        <f t="shared" ref="AD100:AD106" si="65">LOG(AC100)</f>
        <v>-21.231851593123125</v>
      </c>
      <c r="AE100" s="30">
        <f t="shared" ref="AE100:AE106" si="66">ABS(Y100)</f>
        <v>1.0631999999999997</v>
      </c>
      <c r="AF100" s="43">
        <f>SUM(AC100:AC106)</f>
        <v>2.6970119762166056E+16</v>
      </c>
    </row>
    <row r="101" spans="1:32" ht="18" x14ac:dyDescent="0.25">
      <c r="B101" t="s">
        <v>64</v>
      </c>
      <c r="C101" t="s">
        <v>46</v>
      </c>
      <c r="D101">
        <v>14.215522</v>
      </c>
      <c r="G101" t="s">
        <v>64</v>
      </c>
      <c r="H101" t="s">
        <v>46</v>
      </c>
      <c r="I101">
        <v>0.93928800000000001</v>
      </c>
      <c r="P101" t="s">
        <v>73</v>
      </c>
      <c r="Q101" s="42" t="s">
        <v>45</v>
      </c>
      <c r="R101" s="48">
        <f>D79</f>
        <v>4.0118999999999998</v>
      </c>
      <c r="S101" s="42" t="s">
        <v>66</v>
      </c>
      <c r="T101" s="48">
        <f>D71</f>
        <v>3.2772999999999999</v>
      </c>
      <c r="U101" s="43"/>
      <c r="V101" s="14" t="s">
        <v>183</v>
      </c>
      <c r="W101" s="6">
        <f t="shared" si="60"/>
        <v>16.724112000000002</v>
      </c>
      <c r="X101" s="43">
        <f t="shared" si="61"/>
        <v>2.0733733697429519E-3</v>
      </c>
      <c r="Y101" s="30">
        <f t="shared" si="39"/>
        <v>-0.73459999999999992</v>
      </c>
      <c r="Z101" s="6">
        <v>0.1</v>
      </c>
      <c r="AA101" s="43">
        <f t="shared" si="62"/>
        <v>9.5868815570140529E-18</v>
      </c>
      <c r="AB101" s="43">
        <f t="shared" si="63"/>
        <v>4.2988771303592431E-6</v>
      </c>
      <c r="AC101" s="43">
        <f t="shared" si="64"/>
        <v>9.0272946073571418</v>
      </c>
      <c r="AD101" s="6">
        <f t="shared" si="65"/>
        <v>0.95555761596829913</v>
      </c>
      <c r="AE101" s="30">
        <f t="shared" si="66"/>
        <v>0.73459999999999992</v>
      </c>
    </row>
    <row r="102" spans="1:32" ht="18" x14ac:dyDescent="0.25">
      <c r="B102" t="s">
        <v>64</v>
      </c>
      <c r="C102" t="s">
        <v>68</v>
      </c>
      <c r="D102">
        <v>1.1526829999999999</v>
      </c>
      <c r="G102" t="s">
        <v>64</v>
      </c>
      <c r="H102" t="s">
        <v>68</v>
      </c>
      <c r="I102">
        <v>18.415655999999998</v>
      </c>
      <c r="P102" t="s">
        <v>73</v>
      </c>
      <c r="Q102" s="42" t="s">
        <v>45</v>
      </c>
      <c r="R102" s="48">
        <f>D79</f>
        <v>4.0118999999999998</v>
      </c>
      <c r="S102" s="42" t="s">
        <v>164</v>
      </c>
      <c r="T102" s="48">
        <f>D72</f>
        <v>3.4346000000000001</v>
      </c>
      <c r="U102" s="43"/>
      <c r="V102" s="14" t="s">
        <v>184</v>
      </c>
      <c r="W102" s="6">
        <f t="shared" si="60"/>
        <v>15.081369</v>
      </c>
      <c r="X102" s="43">
        <f t="shared" si="61"/>
        <v>1.8697141506746002E-3</v>
      </c>
      <c r="Y102" s="30">
        <f t="shared" si="39"/>
        <v>-0.5772999999999997</v>
      </c>
      <c r="Z102" s="6">
        <v>0.1</v>
      </c>
      <c r="AA102" s="43">
        <f t="shared" si="62"/>
        <v>2.3594526299065752E-10</v>
      </c>
      <c r="AB102" s="43">
        <f t="shared" si="63"/>
        <v>3.4958310052328415E-6</v>
      </c>
      <c r="AC102" s="43">
        <f t="shared" si="64"/>
        <v>222173121.42223051</v>
      </c>
      <c r="AD102" s="6">
        <f t="shared" si="65"/>
        <v>8.3466915166926388</v>
      </c>
      <c r="AE102" s="30">
        <f t="shared" si="66"/>
        <v>0.5772999999999997</v>
      </c>
    </row>
    <row r="103" spans="1:32" ht="18" x14ac:dyDescent="0.25">
      <c r="B103" t="s">
        <v>64</v>
      </c>
      <c r="C103" t="s">
        <v>69</v>
      </c>
      <c r="D103">
        <v>6.1021010000000002</v>
      </c>
      <c r="G103" t="s">
        <v>64</v>
      </c>
      <c r="H103" t="s">
        <v>69</v>
      </c>
      <c r="I103">
        <v>12.668324999999999</v>
      </c>
      <c r="P103" t="s">
        <v>73</v>
      </c>
      <c r="Q103" s="42" t="s">
        <v>45</v>
      </c>
      <c r="R103" s="48">
        <f>D79</f>
        <v>4.0118999999999998</v>
      </c>
      <c r="S103" s="42" t="s">
        <v>166</v>
      </c>
      <c r="T103" s="48">
        <f>D73</f>
        <v>3.472</v>
      </c>
      <c r="U103" s="43"/>
      <c r="V103" s="14" t="s">
        <v>185</v>
      </c>
      <c r="W103" s="6">
        <f t="shared" si="60"/>
        <v>12.770921</v>
      </c>
      <c r="X103" s="43">
        <f t="shared" si="61"/>
        <v>1.5832761409688611E-3</v>
      </c>
      <c r="Y103" s="30">
        <f t="shared" si="39"/>
        <v>-0.53989999999999982</v>
      </c>
      <c r="Z103" s="6">
        <v>0.1</v>
      </c>
      <c r="AA103" s="43">
        <f t="shared" si="62"/>
        <v>6.6439277121255892E-9</v>
      </c>
      <c r="AB103" s="43">
        <f t="shared" si="63"/>
        <v>2.5067633385612492E-6</v>
      </c>
      <c r="AC103" s="43">
        <f t="shared" si="64"/>
        <v>6256121185.0438728</v>
      </c>
      <c r="AD103" s="6">
        <f t="shared" si="65"/>
        <v>9.7963051526934315</v>
      </c>
      <c r="AE103" s="30">
        <f t="shared" si="66"/>
        <v>0.53989999999999982</v>
      </c>
    </row>
    <row r="104" spans="1:32" ht="18" x14ac:dyDescent="0.25">
      <c r="B104" t="s">
        <v>64</v>
      </c>
      <c r="C104" t="s">
        <v>70</v>
      </c>
      <c r="D104">
        <v>2.1827369999999999</v>
      </c>
      <c r="G104" t="s">
        <v>64</v>
      </c>
      <c r="H104" t="s">
        <v>70</v>
      </c>
      <c r="I104">
        <v>1.9093260000000001</v>
      </c>
      <c r="P104" t="s">
        <v>73</v>
      </c>
      <c r="Q104" s="42" t="s">
        <v>45</v>
      </c>
      <c r="R104" s="48">
        <f>D79</f>
        <v>4.0118999999999998</v>
      </c>
      <c r="S104" s="42" t="s">
        <v>168</v>
      </c>
      <c r="T104" s="48">
        <f>D74</f>
        <v>3.4752000000000001</v>
      </c>
      <c r="U104" s="43"/>
      <c r="V104" s="14" t="s">
        <v>186</v>
      </c>
      <c r="W104" s="6">
        <f t="shared" si="60"/>
        <v>74.712884000000003</v>
      </c>
      <c r="X104" s="43">
        <f t="shared" si="61"/>
        <v>9.2625368726479626E-3</v>
      </c>
      <c r="Y104" s="30">
        <f t="shared" si="39"/>
        <v>-0.53669999999999973</v>
      </c>
      <c r="Z104" s="6">
        <v>0.1</v>
      </c>
      <c r="AA104" s="43">
        <f t="shared" si="62"/>
        <v>8.729025362740281E-9</v>
      </c>
      <c r="AB104" s="43">
        <f t="shared" si="63"/>
        <v>8.5794589317163102E-5</v>
      </c>
      <c r="AC104" s="43">
        <f t="shared" si="64"/>
        <v>8219511539.3802872</v>
      </c>
      <c r="AD104" s="6">
        <f t="shared" si="65"/>
        <v>9.9148460095041706</v>
      </c>
      <c r="AE104" s="30">
        <f t="shared" si="66"/>
        <v>0.53669999999999973</v>
      </c>
    </row>
    <row r="105" spans="1:32" ht="18" x14ac:dyDescent="0.25">
      <c r="B105" t="s">
        <v>64</v>
      </c>
      <c r="C105" t="s">
        <v>71</v>
      </c>
      <c r="D105">
        <v>14.2577</v>
      </c>
      <c r="G105" t="s">
        <v>64</v>
      </c>
      <c r="H105" t="s">
        <v>71</v>
      </c>
      <c r="I105">
        <v>8.1982759999999999</v>
      </c>
      <c r="P105" t="s">
        <v>73</v>
      </c>
      <c r="Q105" s="42" t="s">
        <v>45</v>
      </c>
      <c r="R105" s="48">
        <f>D79</f>
        <v>4.0118999999999998</v>
      </c>
      <c r="S105" s="42" t="s">
        <v>169</v>
      </c>
      <c r="T105" s="48">
        <f>D76</f>
        <v>3.6871999999999998</v>
      </c>
      <c r="U105" s="43"/>
      <c r="V105" s="14" t="s">
        <v>187</v>
      </c>
      <c r="W105" s="6">
        <f t="shared" si="60"/>
        <v>6.272049</v>
      </c>
      <c r="X105" s="43">
        <f t="shared" si="61"/>
        <v>7.7757786902664307E-4</v>
      </c>
      <c r="Y105" s="30">
        <f t="shared" si="39"/>
        <v>-0.32469999999999999</v>
      </c>
      <c r="Z105" s="6">
        <v>0.1</v>
      </c>
      <c r="AA105" s="43">
        <f t="shared" si="62"/>
        <v>7.3510953001683383E-3</v>
      </c>
      <c r="AB105" s="43">
        <f t="shared" si="63"/>
        <v>6.0462734240001531E-7</v>
      </c>
      <c r="AC105" s="43">
        <f t="shared" si="64"/>
        <v>6922011351316500</v>
      </c>
      <c r="AD105" s="6">
        <f t="shared" si="65"/>
        <v>15.840232307152572</v>
      </c>
      <c r="AE105" s="30">
        <f t="shared" si="66"/>
        <v>0.32469999999999999</v>
      </c>
    </row>
    <row r="106" spans="1:32" ht="18" x14ac:dyDescent="0.25">
      <c r="B106" t="s">
        <v>64</v>
      </c>
      <c r="C106" t="s">
        <v>72</v>
      </c>
      <c r="D106">
        <v>5.0227320000000004</v>
      </c>
      <c r="G106" t="s">
        <v>64</v>
      </c>
      <c r="H106" t="s">
        <v>72</v>
      </c>
      <c r="I106">
        <v>5.0085119999999996</v>
      </c>
      <c r="P106" t="s">
        <v>73</v>
      </c>
      <c r="Q106" s="42" t="s">
        <v>45</v>
      </c>
      <c r="R106" s="48">
        <f>D79</f>
        <v>4.0118999999999998</v>
      </c>
      <c r="S106" s="42" t="s">
        <v>69</v>
      </c>
      <c r="T106" s="48">
        <f>D77</f>
        <v>3.7130000000000001</v>
      </c>
      <c r="U106" s="43"/>
      <c r="V106" s="14" t="s">
        <v>188</v>
      </c>
      <c r="W106" s="6">
        <f t="shared" si="60"/>
        <v>20.491599999999998</v>
      </c>
      <c r="X106" s="43">
        <f t="shared" si="61"/>
        <v>2.5404480514974225E-3</v>
      </c>
      <c r="Y106" s="30">
        <f t="shared" si="39"/>
        <v>-0.29889999999999972</v>
      </c>
      <c r="Z106" s="6">
        <v>0.1</v>
      </c>
      <c r="AA106" s="43">
        <f t="shared" si="62"/>
        <v>2.1290841634239818E-2</v>
      </c>
      <c r="AB106" s="43">
        <f t="shared" si="63"/>
        <v>6.4538763023570506E-6</v>
      </c>
      <c r="AC106" s="43">
        <f t="shared" si="64"/>
        <v>2.00480937130437E+16</v>
      </c>
      <c r="AD106" s="79">
        <f t="shared" si="65"/>
        <v>16.302073083726025</v>
      </c>
      <c r="AE106" s="30">
        <f t="shared" si="66"/>
        <v>0.29889999999999972</v>
      </c>
    </row>
    <row r="108" spans="1:32" ht="18" x14ac:dyDescent="0.25">
      <c r="B108" t="s">
        <v>38</v>
      </c>
      <c r="C108" t="s">
        <v>65</v>
      </c>
      <c r="D108">
        <v>7.5705479999999996</v>
      </c>
      <c r="G108" t="s">
        <v>38</v>
      </c>
      <c r="H108" t="s">
        <v>65</v>
      </c>
      <c r="I108">
        <v>17.992920999999999</v>
      </c>
    </row>
    <row r="109" spans="1:32" ht="19" thickBot="1" x14ac:dyDescent="0.3">
      <c r="B109" t="s">
        <v>38</v>
      </c>
      <c r="C109" t="s">
        <v>66</v>
      </c>
      <c r="D109">
        <v>4.8594379999999999</v>
      </c>
      <c r="G109" t="s">
        <v>38</v>
      </c>
      <c r="H109" t="s">
        <v>66</v>
      </c>
      <c r="I109">
        <v>15.26478</v>
      </c>
    </row>
    <row r="110" spans="1:32" ht="19" thickBot="1" x14ac:dyDescent="0.3">
      <c r="B110" t="s">
        <v>38</v>
      </c>
      <c r="C110" t="s">
        <v>40</v>
      </c>
      <c r="D110">
        <v>26.582788999999998</v>
      </c>
      <c r="G110" s="50" t="s">
        <v>38</v>
      </c>
      <c r="H110" s="51" t="s">
        <v>40</v>
      </c>
      <c r="I110" s="52">
        <v>63.688569000000001</v>
      </c>
    </row>
    <row r="111" spans="1:32" ht="18" x14ac:dyDescent="0.25">
      <c r="B111" t="s">
        <v>38</v>
      </c>
      <c r="C111" t="s">
        <v>67</v>
      </c>
      <c r="D111">
        <v>67.787909999999997</v>
      </c>
      <c r="G111" t="s">
        <v>38</v>
      </c>
      <c r="H111" t="s">
        <v>67</v>
      </c>
      <c r="I111">
        <v>35.908411000000001</v>
      </c>
    </row>
    <row r="112" spans="1:32" ht="18" x14ac:dyDescent="0.25">
      <c r="B112" t="s">
        <v>38</v>
      </c>
      <c r="C112" t="s">
        <v>46</v>
      </c>
      <c r="D112">
        <v>12.087090999999999</v>
      </c>
      <c r="G112" t="s">
        <v>38</v>
      </c>
      <c r="H112" t="s">
        <v>46</v>
      </c>
      <c r="I112">
        <v>3.3418060000000001</v>
      </c>
    </row>
    <row r="113" spans="2:9" ht="18" x14ac:dyDescent="0.25">
      <c r="B113" t="s">
        <v>38</v>
      </c>
      <c r="C113" t="s">
        <v>68</v>
      </c>
      <c r="D113">
        <v>13.945081999999999</v>
      </c>
      <c r="G113" t="s">
        <v>38</v>
      </c>
      <c r="H113" t="s">
        <v>68</v>
      </c>
      <c r="I113">
        <v>48.800756</v>
      </c>
    </row>
    <row r="114" spans="2:9" ht="18" x14ac:dyDescent="0.25">
      <c r="B114" t="s">
        <v>38</v>
      </c>
      <c r="C114" t="s">
        <v>69</v>
      </c>
      <c r="D114">
        <v>5.6168209999999998</v>
      </c>
      <c r="G114" t="s">
        <v>38</v>
      </c>
      <c r="H114" t="s">
        <v>69</v>
      </c>
      <c r="I114">
        <v>6.6052819999999999</v>
      </c>
    </row>
    <row r="115" spans="2:9" ht="18" x14ac:dyDescent="0.25">
      <c r="B115" t="s">
        <v>38</v>
      </c>
      <c r="C115" t="s">
        <v>70</v>
      </c>
      <c r="D115">
        <v>43.514529000000003</v>
      </c>
      <c r="G115" t="s">
        <v>38</v>
      </c>
      <c r="H115" t="s">
        <v>70</v>
      </c>
      <c r="I115">
        <v>1.0098480000000001</v>
      </c>
    </row>
    <row r="116" spans="2:9" ht="18" x14ac:dyDescent="0.25">
      <c r="B116" t="s">
        <v>38</v>
      </c>
      <c r="C116" t="s">
        <v>71</v>
      </c>
      <c r="D116">
        <v>7.7511659999999996</v>
      </c>
      <c r="G116" t="s">
        <v>38</v>
      </c>
      <c r="H116" t="s">
        <v>71</v>
      </c>
      <c r="I116">
        <v>7.9537870000000002</v>
      </c>
    </row>
    <row r="117" spans="2:9" ht="18" x14ac:dyDescent="0.25">
      <c r="B117" t="s">
        <v>38</v>
      </c>
      <c r="C117" t="s">
        <v>72</v>
      </c>
      <c r="D117">
        <v>10.594139</v>
      </c>
      <c r="G117" t="s">
        <v>38</v>
      </c>
      <c r="H117" t="s">
        <v>72</v>
      </c>
      <c r="I117">
        <v>7.1667399999999999</v>
      </c>
    </row>
    <row r="119" spans="2:9" ht="18" x14ac:dyDescent="0.25">
      <c r="B119" t="s">
        <v>45</v>
      </c>
      <c r="C119" t="s">
        <v>65</v>
      </c>
      <c r="D119">
        <v>10.764469</v>
      </c>
      <c r="G119" t="s">
        <v>45</v>
      </c>
      <c r="H119" t="s">
        <v>65</v>
      </c>
      <c r="I119">
        <v>8.8565190000000005</v>
      </c>
    </row>
    <row r="120" spans="2:9" ht="18" x14ac:dyDescent="0.25">
      <c r="B120" t="s">
        <v>45</v>
      </c>
      <c r="C120" t="s">
        <v>66</v>
      </c>
      <c r="D120">
        <v>16.724112000000002</v>
      </c>
      <c r="G120" t="s">
        <v>45</v>
      </c>
      <c r="H120" t="s">
        <v>66</v>
      </c>
      <c r="I120">
        <v>10.301546</v>
      </c>
    </row>
    <row r="121" spans="2:9" ht="18" x14ac:dyDescent="0.25">
      <c r="B121" t="s">
        <v>45</v>
      </c>
      <c r="C121" t="s">
        <v>40</v>
      </c>
      <c r="D121">
        <v>15.081369</v>
      </c>
      <c r="G121" t="s">
        <v>45</v>
      </c>
      <c r="H121" t="s">
        <v>40</v>
      </c>
      <c r="I121">
        <v>26.073895</v>
      </c>
    </row>
    <row r="122" spans="2:9" ht="19" thickBot="1" x14ac:dyDescent="0.3">
      <c r="B122" t="s">
        <v>45</v>
      </c>
      <c r="C122" t="s">
        <v>67</v>
      </c>
      <c r="D122">
        <v>12.770921</v>
      </c>
      <c r="G122" t="s">
        <v>45</v>
      </c>
      <c r="H122" t="s">
        <v>67</v>
      </c>
      <c r="I122">
        <v>20.924810999999998</v>
      </c>
    </row>
    <row r="123" spans="2:9" ht="19" thickBot="1" x14ac:dyDescent="0.3">
      <c r="B123" s="50" t="s">
        <v>45</v>
      </c>
      <c r="C123" s="51" t="s">
        <v>46</v>
      </c>
      <c r="D123" s="52">
        <v>74.712884000000003</v>
      </c>
      <c r="G123" t="s">
        <v>45</v>
      </c>
      <c r="H123" t="s">
        <v>46</v>
      </c>
      <c r="I123">
        <v>1.1094919999999999</v>
      </c>
    </row>
    <row r="124" spans="2:9" ht="18" x14ac:dyDescent="0.25">
      <c r="B124" t="s">
        <v>45</v>
      </c>
      <c r="C124" t="s">
        <v>68</v>
      </c>
      <c r="D124">
        <v>6.272049</v>
      </c>
      <c r="G124" t="s">
        <v>45</v>
      </c>
      <c r="H124" t="s">
        <v>68</v>
      </c>
      <c r="I124">
        <v>32.071050999999997</v>
      </c>
    </row>
    <row r="125" spans="2:9" ht="18" x14ac:dyDescent="0.25">
      <c r="B125" t="s">
        <v>45</v>
      </c>
      <c r="C125" t="s">
        <v>69</v>
      </c>
      <c r="D125">
        <v>20.491599999999998</v>
      </c>
      <c r="G125" t="s">
        <v>45</v>
      </c>
      <c r="H125" t="s">
        <v>69</v>
      </c>
      <c r="I125">
        <v>4.085731</v>
      </c>
    </row>
    <row r="126" spans="2:9" ht="18" x14ac:dyDescent="0.25">
      <c r="B126" t="s">
        <v>45</v>
      </c>
      <c r="C126" t="s">
        <v>70</v>
      </c>
      <c r="D126">
        <v>8.4941879999999994</v>
      </c>
      <c r="G126" t="s">
        <v>45</v>
      </c>
      <c r="H126" t="s">
        <v>70</v>
      </c>
      <c r="I126">
        <v>2.346889</v>
      </c>
    </row>
    <row r="127" spans="2:9" ht="18" x14ac:dyDescent="0.25">
      <c r="B127" t="s">
        <v>45</v>
      </c>
      <c r="C127" t="s">
        <v>71</v>
      </c>
      <c r="D127">
        <v>48.676324999999999</v>
      </c>
      <c r="G127" t="s">
        <v>45</v>
      </c>
      <c r="H127" t="s">
        <v>71</v>
      </c>
      <c r="I127">
        <v>3.9377650000000002</v>
      </c>
    </row>
    <row r="128" spans="2:9" ht="18" x14ac:dyDescent="0.25">
      <c r="B128" t="s">
        <v>45</v>
      </c>
      <c r="C128" t="s">
        <v>72</v>
      </c>
      <c r="D128">
        <v>6.1490640000000001</v>
      </c>
      <c r="G128" t="s">
        <v>45</v>
      </c>
      <c r="H128" t="s">
        <v>72</v>
      </c>
      <c r="I128">
        <v>3.747541</v>
      </c>
    </row>
    <row r="130" spans="2:3" x14ac:dyDescent="0.2">
      <c r="B130" s="30"/>
      <c r="C130" s="30"/>
    </row>
  </sheetData>
  <mergeCells count="16">
    <mergeCell ref="A1:I1"/>
    <mergeCell ref="AN3:AO3"/>
    <mergeCell ref="AP3:AQ3"/>
    <mergeCell ref="AR3:AS3"/>
    <mergeCell ref="A91:I91"/>
    <mergeCell ref="L4:N4"/>
    <mergeCell ref="AH4:AI4"/>
    <mergeCell ref="AL6:AL8"/>
    <mergeCell ref="AL11:AL15"/>
    <mergeCell ref="A27:I27"/>
    <mergeCell ref="AH68:AI68"/>
    <mergeCell ref="AN68:AO68"/>
    <mergeCell ref="AP68:AQ68"/>
    <mergeCell ref="AR68:AS68"/>
    <mergeCell ref="AL71:AL73"/>
    <mergeCell ref="AL76:AL80"/>
  </mergeCells>
  <conditionalFormatting sqref="N90">
    <cfRule type="containsText" dxfId="5" priority="1" operator="containsText" text="Singlet">
      <formula>NOT(ISERROR(SEARCH("Singlet",N90)))</formula>
    </cfRule>
  </conditionalFormatting>
  <conditionalFormatting sqref="C26">
    <cfRule type="containsText" dxfId="4" priority="6" operator="containsText" text="Singlet">
      <formula>NOT(ISERROR(SEARCH("Singlet",C26)))</formula>
    </cfRule>
  </conditionalFormatting>
  <conditionalFormatting sqref="H26">
    <cfRule type="containsText" dxfId="3" priority="5" operator="containsText" text="Singlet">
      <formula>NOT(ISERROR(SEARCH("Singlet",H26)))</formula>
    </cfRule>
  </conditionalFormatting>
  <conditionalFormatting sqref="N26">
    <cfRule type="containsText" dxfId="2" priority="4" operator="containsText" text="Singlet">
      <formula>NOT(ISERROR(SEARCH("Singlet",N26)))</formula>
    </cfRule>
  </conditionalFormatting>
  <conditionalFormatting sqref="C90">
    <cfRule type="containsText" dxfId="1" priority="3" operator="containsText" text="Singlet">
      <formula>NOT(ISERROR(SEARCH("Singlet",C90)))</formula>
    </cfRule>
  </conditionalFormatting>
  <conditionalFormatting sqref="H90">
    <cfRule type="containsText" dxfId="0" priority="2" operator="containsText" text="Singlet">
      <formula>NOT(ISERROR(SEARCH("Singlet",H90)))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D1CA-F783-F64C-913E-19C6F5BC9D6A}">
  <dimension ref="A1:W42"/>
  <sheetViews>
    <sheetView workbookViewId="0"/>
  </sheetViews>
  <sheetFormatPr baseColWidth="10" defaultRowHeight="16" x14ac:dyDescent="0.2"/>
  <cols>
    <col min="1" max="1" width="27.6640625" customWidth="1"/>
    <col min="5" max="5" width="7.5" customWidth="1"/>
    <col min="6" max="6" width="16.33203125" customWidth="1"/>
    <col min="9" max="9" width="12.1640625" customWidth="1"/>
    <col min="15" max="15" width="12.1640625" bestFit="1" customWidth="1"/>
    <col min="16" max="16" width="20.1640625" customWidth="1"/>
    <col min="21" max="21" width="12.1640625" customWidth="1"/>
    <col min="22" max="22" width="15" customWidth="1"/>
  </cols>
  <sheetData>
    <row r="1" spans="1:23" ht="19" x14ac:dyDescent="0.25">
      <c r="A1" s="1" t="s">
        <v>21</v>
      </c>
      <c r="B1" s="2"/>
      <c r="C1" s="2"/>
      <c r="D1" s="2"/>
      <c r="E1" s="2"/>
      <c r="F1" s="2"/>
      <c r="G1" s="2"/>
      <c r="H1" s="2"/>
      <c r="I1" s="26"/>
      <c r="J1" s="26"/>
    </row>
    <row r="2" spans="1:23" s="20" customFormat="1" x14ac:dyDescent="0.2">
      <c r="B2" s="24"/>
      <c r="C2" s="22"/>
      <c r="D2" s="21"/>
      <c r="E2" s="22"/>
      <c r="G2" s="21"/>
      <c r="H2" s="21"/>
      <c r="J2" s="25"/>
    </row>
    <row r="3" spans="1:23" ht="17" thickBot="1" x14ac:dyDescent="0.25">
      <c r="A3" s="132" t="s">
        <v>0</v>
      </c>
      <c r="B3" s="132"/>
      <c r="C3" s="132"/>
      <c r="D3" s="132" t="s">
        <v>1</v>
      </c>
      <c r="E3" s="132"/>
      <c r="F3" s="132"/>
      <c r="G3" s="132"/>
      <c r="H3" s="132"/>
      <c r="J3" s="6"/>
    </row>
    <row r="4" spans="1:23" ht="35" thickBot="1" x14ac:dyDescent="0.25">
      <c r="A4" s="8" t="s">
        <v>2</v>
      </c>
      <c r="B4" s="5" t="s">
        <v>3</v>
      </c>
      <c r="C4" s="9" t="s">
        <v>4</v>
      </c>
      <c r="D4" s="9"/>
      <c r="E4" s="9"/>
      <c r="F4" s="9" t="s">
        <v>8</v>
      </c>
      <c r="G4" s="10" t="s">
        <v>5</v>
      </c>
      <c r="H4" s="11" t="s">
        <v>6</v>
      </c>
      <c r="L4" s="129" t="s">
        <v>7</v>
      </c>
      <c r="M4" s="130"/>
      <c r="N4" s="131"/>
    </row>
    <row r="6" spans="1:23" x14ac:dyDescent="0.2">
      <c r="A6" s="128" t="s">
        <v>74</v>
      </c>
      <c r="B6" s="128"/>
      <c r="C6" s="128"/>
      <c r="D6" s="128"/>
      <c r="E6" s="128"/>
      <c r="F6" s="128"/>
      <c r="G6" s="128"/>
      <c r="H6" s="128"/>
    </row>
    <row r="7" spans="1:23" x14ac:dyDescent="0.2">
      <c r="B7" s="12"/>
      <c r="C7" s="12"/>
      <c r="D7" s="12"/>
      <c r="F7" s="17"/>
    </row>
    <row r="8" spans="1:23" x14ac:dyDescent="0.2">
      <c r="A8" s="13" t="s">
        <v>22</v>
      </c>
      <c r="B8" s="30">
        <v>-1363.8655471699999</v>
      </c>
      <c r="C8" s="6"/>
      <c r="E8" s="2"/>
      <c r="F8" s="2">
        <f>G8-B8</f>
        <v>0.26751016999992316</v>
      </c>
      <c r="G8" s="30">
        <v>-1363.598037</v>
      </c>
      <c r="H8" s="6"/>
    </row>
    <row r="9" spans="1:23" x14ac:dyDescent="0.2">
      <c r="A9" s="13" t="s">
        <v>23</v>
      </c>
      <c r="B9" s="4">
        <v>-1363.7748540800001</v>
      </c>
      <c r="C9" s="6">
        <f>(B9-$B$8)*627.51</f>
        <v>56.91082090579426</v>
      </c>
      <c r="E9" s="13"/>
      <c r="F9" s="17">
        <f>G9-B9</f>
        <v>0.26302408000015021</v>
      </c>
      <c r="G9" s="4">
        <v>-1363.5118299999999</v>
      </c>
      <c r="H9" s="6">
        <f>(G9-$G$8)*627.51</f>
        <v>54.095754570036732</v>
      </c>
      <c r="I9" s="4"/>
      <c r="J9" s="4"/>
      <c r="K9" s="4"/>
      <c r="L9" s="4"/>
      <c r="M9" s="4"/>
      <c r="N9" s="4"/>
      <c r="O9" s="4"/>
    </row>
    <row r="10" spans="1:23" x14ac:dyDescent="0.2">
      <c r="A10" s="13"/>
      <c r="C10" s="6"/>
    </row>
    <row r="11" spans="1:23" x14ac:dyDescent="0.2">
      <c r="A11" s="23" t="s">
        <v>77</v>
      </c>
      <c r="B11">
        <v>-1363.76768001</v>
      </c>
      <c r="C11" s="6">
        <f>(B11-$B$8)*627.51</f>
        <v>61.412621571506264</v>
      </c>
      <c r="D11" s="6"/>
      <c r="F11" s="17">
        <f>G11-B11</f>
        <v>0.26247301000012158</v>
      </c>
      <c r="G11">
        <v>-1363.5052069999999</v>
      </c>
      <c r="H11" s="6">
        <f>(G11-$G$8)*627.51</f>
        <v>58.251753300030771</v>
      </c>
      <c r="I11" s="6"/>
      <c r="L11" s="28"/>
      <c r="M11" s="28"/>
      <c r="N11" s="28"/>
      <c r="P11" s="31"/>
      <c r="Q11" s="31"/>
      <c r="R11" s="32"/>
      <c r="S11" s="31"/>
      <c r="T11" s="31"/>
      <c r="U11" s="31"/>
      <c r="V11" s="31"/>
      <c r="W11" s="31"/>
    </row>
    <row r="12" spans="1:23" x14ac:dyDescent="0.2">
      <c r="A12" s="23"/>
      <c r="C12" s="6"/>
      <c r="H12" s="6"/>
      <c r="I12" s="15"/>
      <c r="L12" s="27"/>
      <c r="M12" s="27"/>
      <c r="N12" s="27"/>
      <c r="P12" s="33"/>
      <c r="Q12" s="33"/>
      <c r="R12" s="33"/>
      <c r="S12" s="33"/>
      <c r="T12" s="33"/>
      <c r="U12" s="33"/>
      <c r="V12" s="33"/>
      <c r="W12" s="33"/>
    </row>
    <row r="13" spans="1:23" x14ac:dyDescent="0.2">
      <c r="A13" s="23" t="s">
        <v>78</v>
      </c>
      <c r="B13">
        <v>-1363.7622973499999</v>
      </c>
      <c r="C13" s="6">
        <f>(B13-$B$8)*627.51</f>
        <v>64.790294548183454</v>
      </c>
      <c r="D13" s="6"/>
      <c r="F13" s="30">
        <f>G13-B13</f>
        <v>0.26085034999982781</v>
      </c>
      <c r="G13">
        <v>-1363.5014470000001</v>
      </c>
      <c r="H13" s="6">
        <f>(G13-$G$8)*627.51</f>
        <v>60.611190899923614</v>
      </c>
      <c r="I13" s="18"/>
      <c r="P13" s="31"/>
      <c r="Q13" s="31"/>
      <c r="R13" s="32"/>
      <c r="S13" s="31"/>
      <c r="T13" s="31"/>
      <c r="U13" s="34"/>
      <c r="V13" s="31"/>
      <c r="W13" s="31"/>
    </row>
    <row r="14" spans="1:23" x14ac:dyDescent="0.2">
      <c r="A14" s="23"/>
      <c r="P14" s="31"/>
      <c r="Q14" s="31"/>
      <c r="R14" s="32"/>
      <c r="S14" s="31"/>
      <c r="T14" s="31"/>
      <c r="U14" s="31"/>
      <c r="V14" s="31"/>
      <c r="W14" s="31"/>
    </row>
    <row r="15" spans="1:23" ht="17" thickBot="1" x14ac:dyDescent="0.25">
      <c r="C15" s="6"/>
      <c r="H15" s="6"/>
      <c r="I15" s="6"/>
      <c r="L15" s="2"/>
    </row>
    <row r="16" spans="1:23" x14ac:dyDescent="0.2">
      <c r="A16" s="128" t="s">
        <v>73</v>
      </c>
      <c r="B16" s="128"/>
      <c r="C16" s="128"/>
      <c r="D16" s="128"/>
      <c r="E16" s="128"/>
      <c r="F16" s="128"/>
      <c r="G16" s="128"/>
      <c r="H16" s="128"/>
      <c r="P16" s="53" t="s">
        <v>101</v>
      </c>
      <c r="Q16" s="3"/>
      <c r="R16" s="3" t="s">
        <v>88</v>
      </c>
      <c r="S16" s="3"/>
      <c r="T16" s="3"/>
      <c r="U16" s="3"/>
      <c r="V16" s="3"/>
      <c r="W16" s="54"/>
    </row>
    <row r="17" spans="1:23" x14ac:dyDescent="0.2">
      <c r="A17" s="38"/>
      <c r="B17" s="38"/>
      <c r="C17" s="38"/>
      <c r="D17" s="38"/>
      <c r="E17" s="38"/>
      <c r="F17" s="38"/>
      <c r="G17" s="38"/>
      <c r="H17" s="38"/>
      <c r="P17" s="55" t="s">
        <v>89</v>
      </c>
      <c r="R17" t="s">
        <v>90</v>
      </c>
      <c r="W17" s="56"/>
    </row>
    <row r="18" spans="1:23" x14ac:dyDescent="0.2">
      <c r="A18" s="13" t="s">
        <v>24</v>
      </c>
      <c r="B18" s="30">
        <v>-1363.86326323</v>
      </c>
      <c r="C18" s="6"/>
      <c r="E18" s="30"/>
      <c r="F18" s="30">
        <f>G18-B18</f>
        <v>0.26711423000006107</v>
      </c>
      <c r="G18" s="30">
        <v>-1363.596149</v>
      </c>
      <c r="H18" s="6"/>
      <c r="P18" s="55" t="s">
        <v>91</v>
      </c>
      <c r="R18">
        <v>159.07300000000001</v>
      </c>
      <c r="T18" s="7" t="s">
        <v>92</v>
      </c>
      <c r="U18" s="57" t="s">
        <v>93</v>
      </c>
      <c r="V18" s="7" t="s">
        <v>102</v>
      </c>
      <c r="W18" s="56"/>
    </row>
    <row r="19" spans="1:23" x14ac:dyDescent="0.2">
      <c r="A19" s="13" t="s">
        <v>25</v>
      </c>
      <c r="B19" s="4">
        <v>-1363.7747386200001</v>
      </c>
      <c r="C19" s="6">
        <f>(B19-$B$18)*627.51</f>
        <v>55.550078021051164</v>
      </c>
      <c r="E19" s="13"/>
      <c r="F19" s="30">
        <f>G19-B19</f>
        <v>0.26225062000003163</v>
      </c>
      <c r="G19" s="4">
        <v>-1363.5124880000001</v>
      </c>
      <c r="H19" s="6">
        <f>(G19-$G$18)*627.51</f>
        <v>52.498114109932693</v>
      </c>
      <c r="I19" s="4"/>
      <c r="P19" s="55" t="s">
        <v>94</v>
      </c>
      <c r="R19" s="58">
        <v>2.1829999999999998</v>
      </c>
      <c r="T19">
        <v>-1363.428512</v>
      </c>
      <c r="U19">
        <f>-298.15*(R18-R24)/(1000*627.51)</f>
        <v>-7.3309521680929385E-2</v>
      </c>
      <c r="V19">
        <f>U19+T19</f>
        <v>-1363.501821521681</v>
      </c>
      <c r="W19" s="56"/>
    </row>
    <row r="20" spans="1:23" ht="17" thickBot="1" x14ac:dyDescent="0.25">
      <c r="A20" s="13"/>
      <c r="C20" s="6"/>
      <c r="H20" s="6"/>
      <c r="P20" s="55" t="s">
        <v>95</v>
      </c>
      <c r="R20">
        <v>43.603000000000002</v>
      </c>
      <c r="W20" s="56"/>
    </row>
    <row r="21" spans="1:23" x14ac:dyDescent="0.2">
      <c r="A21" s="23" t="s">
        <v>77</v>
      </c>
      <c r="B21">
        <v>-1363.76525526</v>
      </c>
      <c r="C21" s="6">
        <f>(B21-$B$18)*627.51</f>
        <v>61.500981254716336</v>
      </c>
      <c r="F21" s="30">
        <f>G21-B21</f>
        <v>0.26343373831900863</v>
      </c>
      <c r="G21">
        <f>V19</f>
        <v>-1363.501821521681</v>
      </c>
      <c r="H21" s="6">
        <f>(G21-$G$18)*627.51</f>
        <v>59.191435919939117</v>
      </c>
      <c r="I21" s="6" t="s">
        <v>87</v>
      </c>
      <c r="J21" s="18"/>
      <c r="L21" s="108" t="s">
        <v>124</v>
      </c>
      <c r="M21" s="109"/>
      <c r="N21" s="110"/>
      <c r="P21" s="55" t="s">
        <v>96</v>
      </c>
      <c r="R21" s="59">
        <v>35.58</v>
      </c>
      <c r="W21" s="56"/>
    </row>
    <row r="22" spans="1:23" ht="17" thickBot="1" x14ac:dyDescent="0.25">
      <c r="A22" s="23"/>
      <c r="C22" s="6"/>
      <c r="F22" s="30">
        <f>G22-B21</f>
        <v>0.26116225999999187</v>
      </c>
      <c r="G22">
        <v>-1363.504093</v>
      </c>
      <c r="H22" s="6">
        <f>(G22-$G$18)*627.51</f>
        <v>57.766060559972914</v>
      </c>
      <c r="I22" s="15" t="s">
        <v>103</v>
      </c>
      <c r="L22" s="111"/>
      <c r="M22" s="112"/>
      <c r="N22" s="113"/>
      <c r="P22" s="55" t="s">
        <v>97</v>
      </c>
      <c r="R22" s="60">
        <v>77.707999999999998</v>
      </c>
      <c r="W22" s="56"/>
    </row>
    <row r="23" spans="1:23" x14ac:dyDescent="0.2">
      <c r="I23" s="18"/>
      <c r="P23" s="55" t="s">
        <v>98</v>
      </c>
      <c r="R23">
        <v>5.0579999999999998</v>
      </c>
      <c r="W23" s="56"/>
    </row>
    <row r="24" spans="1:23" x14ac:dyDescent="0.2">
      <c r="A24" s="23" t="s">
        <v>78</v>
      </c>
      <c r="B24">
        <v>-1363.76333105</v>
      </c>
      <c r="C24" s="6">
        <f>(B24-$B$18)*627.51</f>
        <v>62.708442271797587</v>
      </c>
      <c r="F24" s="30">
        <f>G24-B24</f>
        <v>0.26095905000011044</v>
      </c>
      <c r="G24">
        <v>-1363.5023719999999</v>
      </c>
      <c r="H24" s="6">
        <f>(G24-$G$18)*627.51</f>
        <v>58.846005270028563</v>
      </c>
      <c r="I24" s="18"/>
      <c r="J24" s="18"/>
      <c r="P24" s="55" t="s">
        <v>99</v>
      </c>
      <c r="R24">
        <v>4.78</v>
      </c>
      <c r="W24" s="56"/>
    </row>
    <row r="25" spans="1:23" ht="17" thickBot="1" x14ac:dyDescent="0.25">
      <c r="J25" s="18"/>
      <c r="P25" s="61" t="s">
        <v>100</v>
      </c>
      <c r="Q25" s="62"/>
      <c r="R25" s="62">
        <v>4.0309999999999997</v>
      </c>
      <c r="S25" s="62"/>
      <c r="T25" s="62"/>
      <c r="U25" s="62"/>
      <c r="V25" s="62"/>
      <c r="W25" s="63"/>
    </row>
    <row r="26" spans="1:23" x14ac:dyDescent="0.2">
      <c r="A26" s="128" t="s">
        <v>76</v>
      </c>
      <c r="B26" s="128"/>
      <c r="C26" s="128"/>
      <c r="D26" s="128"/>
      <c r="E26" s="128"/>
      <c r="F26" s="128"/>
      <c r="G26" s="128"/>
      <c r="H26" s="128"/>
    </row>
    <row r="27" spans="1:23" x14ac:dyDescent="0.2">
      <c r="B27" s="12"/>
      <c r="C27" s="12"/>
      <c r="D27" s="12"/>
      <c r="F27" s="30"/>
    </row>
    <row r="28" spans="1:23" x14ac:dyDescent="0.2">
      <c r="A28" s="13" t="s">
        <v>79</v>
      </c>
      <c r="B28" s="30">
        <v>-1159.3573842799999</v>
      </c>
      <c r="C28" s="6"/>
      <c r="E28" s="30"/>
      <c r="F28" s="30">
        <f>G28-B28</f>
        <v>0.26858627999990858</v>
      </c>
      <c r="G28" s="30">
        <v>-1159.088798</v>
      </c>
      <c r="H28" s="6"/>
    </row>
    <row r="29" spans="1:23" x14ac:dyDescent="0.2">
      <c r="A29" s="13" t="s">
        <v>80</v>
      </c>
      <c r="B29" s="4">
        <v>-1159.26829623</v>
      </c>
      <c r="C29" s="6">
        <f>(B29-$B$28)*627.51</f>
        <v>55.90364225542028</v>
      </c>
      <c r="E29" s="13"/>
      <c r="F29" s="30">
        <f>G29-B29</f>
        <v>0.26424423000003117</v>
      </c>
      <c r="G29" s="4">
        <v>-1159.004052</v>
      </c>
      <c r="H29" s="6">
        <f>(G29-$G$28)*627.51</f>
        <v>53.178962459997202</v>
      </c>
      <c r="I29" s="4"/>
      <c r="J29" s="4"/>
      <c r="K29" s="4"/>
      <c r="L29" s="4"/>
      <c r="M29" s="4"/>
      <c r="N29" s="4"/>
      <c r="O29" s="4"/>
    </row>
    <row r="30" spans="1:23" x14ac:dyDescent="0.2">
      <c r="A30" s="13"/>
      <c r="C30" s="6"/>
    </row>
    <row r="31" spans="1:23" x14ac:dyDescent="0.2">
      <c r="A31" s="23" t="s">
        <v>77</v>
      </c>
      <c r="B31">
        <v>-1159.25435831</v>
      </c>
      <c r="C31" s="6">
        <f>(B31-$B$28)*627.51</f>
        <v>64.64982643461363</v>
      </c>
      <c r="D31" s="6"/>
      <c r="F31" s="30">
        <f>G31-B31</f>
        <v>0.26346331000013379</v>
      </c>
      <c r="G31">
        <v>-1158.9908949999999</v>
      </c>
      <c r="H31" s="6">
        <f>(G31-$G$28)*627.51</f>
        <v>61.435111530054947</v>
      </c>
      <c r="I31" s="6"/>
      <c r="L31" s="28"/>
      <c r="M31" s="28"/>
      <c r="N31" s="28"/>
      <c r="P31" s="31"/>
      <c r="Q31" s="31"/>
      <c r="R31" s="32"/>
      <c r="S31" s="31"/>
      <c r="T31" s="31"/>
      <c r="U31" s="31"/>
      <c r="V31" s="31"/>
      <c r="W31" s="31"/>
    </row>
    <row r="32" spans="1:23" x14ac:dyDescent="0.2">
      <c r="A32" s="23"/>
      <c r="C32" s="6"/>
      <c r="H32" s="6"/>
      <c r="I32" s="15"/>
      <c r="L32" s="35"/>
      <c r="M32" s="35"/>
      <c r="N32" s="35"/>
      <c r="P32" s="33"/>
      <c r="Q32" s="33"/>
      <c r="R32" s="33"/>
      <c r="S32" s="33"/>
      <c r="T32" s="33"/>
      <c r="U32" s="33"/>
      <c r="V32" s="33"/>
      <c r="W32" s="33"/>
    </row>
    <row r="33" spans="1:23" x14ac:dyDescent="0.2">
      <c r="A33" s="23" t="s">
        <v>78</v>
      </c>
      <c r="B33">
        <v>-1159.2484462800001</v>
      </c>
      <c r="C33" s="6">
        <f>(B33-$B$28)*627.51</f>
        <v>68.359684379907605</v>
      </c>
      <c r="D33" s="6"/>
      <c r="F33" s="30">
        <f>G33-B33</f>
        <v>0.26160028000003877</v>
      </c>
      <c r="G33">
        <v>-1158.986846</v>
      </c>
      <c r="H33" s="6">
        <f>(G33-$G$28)*627.51</f>
        <v>63.975899519989298</v>
      </c>
      <c r="I33" s="6"/>
      <c r="J33" s="18"/>
      <c r="P33" s="31"/>
      <c r="Q33" s="31"/>
      <c r="R33" s="32"/>
      <c r="S33" s="31"/>
      <c r="T33" s="31"/>
      <c r="U33" s="34"/>
      <c r="V33" s="31"/>
      <c r="W33" s="31"/>
    </row>
    <row r="34" spans="1:23" x14ac:dyDescent="0.2">
      <c r="A34" s="23"/>
      <c r="P34" s="31"/>
      <c r="Q34" s="31"/>
      <c r="R34" s="32"/>
      <c r="S34" s="31"/>
      <c r="T34" s="31"/>
      <c r="U34" s="31"/>
      <c r="V34" s="31"/>
      <c r="W34" s="31"/>
    </row>
    <row r="35" spans="1:23" x14ac:dyDescent="0.2">
      <c r="C35" s="6"/>
      <c r="H35" s="6"/>
      <c r="I35" s="6"/>
      <c r="L35" s="30"/>
    </row>
    <row r="36" spans="1:23" x14ac:dyDescent="0.2">
      <c r="A36" s="128" t="s">
        <v>75</v>
      </c>
      <c r="B36" s="128"/>
      <c r="C36" s="128"/>
      <c r="D36" s="128"/>
      <c r="E36" s="128"/>
      <c r="F36" s="128"/>
      <c r="G36" s="128"/>
      <c r="H36" s="128"/>
    </row>
    <row r="37" spans="1:23" x14ac:dyDescent="0.2">
      <c r="A37" s="13" t="s">
        <v>81</v>
      </c>
      <c r="B37" s="30">
        <v>-1159.3553119799999</v>
      </c>
      <c r="C37" s="6"/>
      <c r="E37" s="30"/>
      <c r="F37" s="30">
        <f>G37-B37</f>
        <v>0.26805497999998806</v>
      </c>
      <c r="G37" s="30">
        <v>-1159.0872569999999</v>
      </c>
      <c r="H37" s="6"/>
    </row>
    <row r="38" spans="1:23" x14ac:dyDescent="0.2">
      <c r="A38" s="13" t="s">
        <v>82</v>
      </c>
      <c r="B38" s="4">
        <v>-1159.26786717</v>
      </c>
      <c r="C38" s="6">
        <f>(B38-$B$37)*627.51</f>
        <v>54.87249272300695</v>
      </c>
      <c r="E38" s="13"/>
      <c r="F38" s="30">
        <f>G38-B38</f>
        <v>0.26324017000001732</v>
      </c>
      <c r="G38" s="4">
        <v>-1159.004627</v>
      </c>
      <c r="H38" s="6">
        <f>(G38-$G$37)*627.51</f>
        <v>51.851151299925306</v>
      </c>
      <c r="I38" s="4"/>
    </row>
    <row r="39" spans="1:23" x14ac:dyDescent="0.2">
      <c r="A39" s="13"/>
      <c r="C39" s="6"/>
      <c r="H39" s="6"/>
    </row>
    <row r="40" spans="1:23" x14ac:dyDescent="0.2">
      <c r="A40" s="23" t="s">
        <v>77</v>
      </c>
      <c r="B40">
        <v>-1159.25909359</v>
      </c>
      <c r="C40" s="6">
        <f>(B40-$B$37)*627.51</f>
        <v>60.378001908822384</v>
      </c>
      <c r="D40" s="6"/>
      <c r="F40" s="30">
        <f>G40-B40</f>
        <v>0.26361358999997719</v>
      </c>
      <c r="G40">
        <v>-1158.99548</v>
      </c>
      <c r="H40" s="6">
        <f>(G40-$G$37)*627.51</f>
        <v>57.590985269915564</v>
      </c>
      <c r="I40" s="6"/>
    </row>
    <row r="41" spans="1:23" x14ac:dyDescent="0.2">
      <c r="A41" s="23"/>
      <c r="C41" s="6"/>
      <c r="H41" s="6"/>
      <c r="I41" s="15"/>
    </row>
    <row r="42" spans="1:23" x14ac:dyDescent="0.2">
      <c r="A42" s="23" t="s">
        <v>78</v>
      </c>
      <c r="B42">
        <v>-1159.2506302700001</v>
      </c>
      <c r="C42" s="6">
        <f>(B42-$B$37)*627.51</f>
        <v>65.68881984197148</v>
      </c>
      <c r="F42" s="30">
        <f>G42-B42</f>
        <v>0.26199927000016032</v>
      </c>
      <c r="G42">
        <v>-1158.9886309999999</v>
      </c>
      <c r="H42" s="6">
        <f>(G42-$G$37)*627.51</f>
        <v>61.88880125997958</v>
      </c>
      <c r="I42" s="6"/>
      <c r="J42" s="18"/>
    </row>
  </sheetData>
  <mergeCells count="8">
    <mergeCell ref="A26:H26"/>
    <mergeCell ref="A36:H36"/>
    <mergeCell ref="A16:H16"/>
    <mergeCell ref="L4:N4"/>
    <mergeCell ref="A3:C3"/>
    <mergeCell ref="D3:H3"/>
    <mergeCell ref="A6:H6"/>
    <mergeCell ref="L21:N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20C-4E1C-3D4F-889E-E962FA8DD4D4}">
  <dimension ref="A1:W43"/>
  <sheetViews>
    <sheetView workbookViewId="0"/>
  </sheetViews>
  <sheetFormatPr baseColWidth="10" defaultRowHeight="16" x14ac:dyDescent="0.2"/>
  <cols>
    <col min="1" max="1" width="27.6640625" customWidth="1"/>
    <col min="5" max="5" width="7.5" customWidth="1"/>
    <col min="6" max="6" width="16.33203125" customWidth="1"/>
    <col min="9" max="9" width="12.1640625" customWidth="1"/>
    <col min="15" max="15" width="12.1640625" bestFit="1" customWidth="1"/>
    <col min="16" max="16" width="20.1640625" customWidth="1"/>
    <col min="21" max="21" width="12.1640625" customWidth="1"/>
    <col min="22" max="22" width="15" customWidth="1"/>
  </cols>
  <sheetData>
    <row r="1" spans="1:23" ht="19" x14ac:dyDescent="0.25">
      <c r="A1" s="1" t="s">
        <v>21</v>
      </c>
      <c r="B1" s="30"/>
      <c r="C1" s="30"/>
      <c r="D1" s="30"/>
      <c r="E1" s="30"/>
      <c r="F1" s="30"/>
      <c r="G1" s="30"/>
      <c r="H1" s="30"/>
      <c r="I1" s="26"/>
      <c r="J1" s="26"/>
    </row>
    <row r="2" spans="1:23" s="20" customFormat="1" x14ac:dyDescent="0.2">
      <c r="B2" s="24"/>
      <c r="C2" s="36"/>
      <c r="D2" s="21"/>
      <c r="E2" s="36"/>
      <c r="G2" s="21"/>
      <c r="H2" s="21"/>
      <c r="J2" s="25"/>
    </row>
    <row r="3" spans="1:23" ht="17" thickBot="1" x14ac:dyDescent="0.25">
      <c r="A3" s="132" t="s">
        <v>0</v>
      </c>
      <c r="B3" s="132"/>
      <c r="C3" s="132"/>
      <c r="D3" s="132" t="s">
        <v>86</v>
      </c>
      <c r="E3" s="132"/>
      <c r="F3" s="132"/>
      <c r="G3" s="132"/>
      <c r="H3" s="132"/>
      <c r="J3" s="6"/>
    </row>
    <row r="4" spans="1:23" ht="35" thickBot="1" x14ac:dyDescent="0.25">
      <c r="A4" s="8" t="s">
        <v>2</v>
      </c>
      <c r="B4" s="5" t="s">
        <v>3</v>
      </c>
      <c r="C4" s="9" t="s">
        <v>4</v>
      </c>
      <c r="D4" s="9"/>
      <c r="E4" s="9"/>
      <c r="F4" s="9" t="s">
        <v>8</v>
      </c>
      <c r="G4" s="10" t="s">
        <v>5</v>
      </c>
      <c r="H4" s="11" t="s">
        <v>6</v>
      </c>
      <c r="L4" s="129" t="s">
        <v>7</v>
      </c>
      <c r="M4" s="130"/>
      <c r="N4" s="131"/>
    </row>
    <row r="6" spans="1:23" x14ac:dyDescent="0.2">
      <c r="A6" s="128" t="s">
        <v>74</v>
      </c>
      <c r="B6" s="128"/>
      <c r="C6" s="128"/>
      <c r="D6" s="128"/>
      <c r="E6" s="128"/>
      <c r="F6" s="128"/>
      <c r="G6" s="128"/>
      <c r="H6" s="128"/>
    </row>
    <row r="7" spans="1:23" x14ac:dyDescent="0.2">
      <c r="B7" s="12"/>
      <c r="C7" s="12"/>
      <c r="D7" s="12"/>
      <c r="F7" s="30"/>
    </row>
    <row r="8" spans="1:23" x14ac:dyDescent="0.2">
      <c r="A8" s="13" t="s">
        <v>22</v>
      </c>
      <c r="B8" s="30">
        <v>-1363.7334216199999</v>
      </c>
      <c r="C8" s="6"/>
      <c r="E8" s="30"/>
      <c r="F8" s="30">
        <f>G8-B8</f>
        <v>0.26470661999996992</v>
      </c>
      <c r="G8" s="30">
        <v>-1363.468715</v>
      </c>
      <c r="H8" s="6"/>
    </row>
    <row r="9" spans="1:23" x14ac:dyDescent="0.2">
      <c r="A9" s="13" t="s">
        <v>23</v>
      </c>
      <c r="B9" s="4">
        <v>-1363.63889838</v>
      </c>
      <c r="C9" s="6">
        <f>(B9-$B$8)*627.51</f>
        <v>59.314278332364893</v>
      </c>
      <c r="E9" s="13"/>
      <c r="F9" s="30">
        <f>G9-B9</f>
        <v>0.25981838000006974</v>
      </c>
      <c r="G9" s="4">
        <v>-1363.3790799999999</v>
      </c>
      <c r="H9" s="6">
        <f>(G9-$G$8)*627.51</f>
        <v>56.246858850027529</v>
      </c>
      <c r="I9" s="4"/>
      <c r="J9" s="4"/>
      <c r="K9" s="4"/>
      <c r="L9" s="4"/>
      <c r="M9" s="4"/>
      <c r="N9" s="4"/>
      <c r="O9" s="4"/>
    </row>
    <row r="10" spans="1:23" x14ac:dyDescent="0.2">
      <c r="A10" s="13"/>
      <c r="C10" s="6"/>
    </row>
    <row r="11" spans="1:23" x14ac:dyDescent="0.2">
      <c r="A11" s="23" t="s">
        <v>77</v>
      </c>
      <c r="B11">
        <v>-1363.6314437799999</v>
      </c>
      <c r="C11" s="6">
        <f>(B11-$B$8)*627.51</f>
        <v>63.992114378411138</v>
      </c>
      <c r="D11" s="6"/>
      <c r="F11" s="30">
        <f>G11-B11</f>
        <v>0.25955477999991672</v>
      </c>
      <c r="G11">
        <v>-1363.371889</v>
      </c>
      <c r="H11" s="6">
        <f>(G11-$G$8)*627.51</f>
        <v>60.759283259977757</v>
      </c>
      <c r="I11" s="6"/>
      <c r="L11" s="28"/>
      <c r="M11" s="28"/>
      <c r="N11" s="28"/>
      <c r="P11" s="31"/>
      <c r="Q11" s="31"/>
      <c r="R11" s="32"/>
      <c r="S11" s="31"/>
      <c r="T11" s="31"/>
      <c r="U11" s="31"/>
      <c r="V11" s="31"/>
      <c r="W11" s="31"/>
    </row>
    <row r="12" spans="1:23" x14ac:dyDescent="0.2">
      <c r="A12" s="23"/>
      <c r="C12" s="6"/>
      <c r="H12" s="6"/>
      <c r="I12" s="15"/>
      <c r="L12" s="35"/>
      <c r="M12" s="35"/>
      <c r="N12" s="35"/>
      <c r="P12" s="33"/>
      <c r="Q12" s="33"/>
      <c r="R12" s="33"/>
      <c r="S12" s="33"/>
      <c r="T12" s="33"/>
      <c r="U12" s="33"/>
      <c r="V12" s="33"/>
      <c r="W12" s="33"/>
    </row>
    <row r="13" spans="1:23" x14ac:dyDescent="0.2">
      <c r="A13" s="23" t="s">
        <v>78</v>
      </c>
      <c r="B13">
        <v>-1363.6254214600001</v>
      </c>
      <c r="C13" s="6">
        <f>(B13-$B$8)*627.51</f>
        <v>67.771180401503869</v>
      </c>
      <c r="D13" s="6"/>
      <c r="F13" s="30">
        <f>G13-B13</f>
        <v>0.25772746000006919</v>
      </c>
      <c r="G13">
        <v>-1363.367694</v>
      </c>
      <c r="H13" s="6">
        <f>(G13-$G$8)*627.51</f>
        <v>63.391687709966156</v>
      </c>
      <c r="I13" s="18"/>
      <c r="P13" s="31"/>
      <c r="Q13" s="31"/>
      <c r="R13" s="32"/>
      <c r="S13" s="31"/>
      <c r="T13" s="31"/>
      <c r="U13" s="34"/>
      <c r="V13" s="31"/>
      <c r="W13" s="31"/>
    </row>
    <row r="14" spans="1:23" x14ac:dyDescent="0.2">
      <c r="A14" s="23"/>
      <c r="P14" s="31"/>
      <c r="Q14" s="31"/>
      <c r="R14" s="32"/>
      <c r="S14" s="31"/>
      <c r="T14" s="31"/>
      <c r="U14" s="31"/>
      <c r="V14" s="31"/>
      <c r="W14" s="31"/>
    </row>
    <row r="15" spans="1:23" ht="17" thickBot="1" x14ac:dyDescent="0.25">
      <c r="C15" s="6"/>
      <c r="H15" s="6"/>
      <c r="I15" s="6"/>
      <c r="L15" s="30"/>
    </row>
    <row r="16" spans="1:23" x14ac:dyDescent="0.2">
      <c r="A16" s="128" t="s">
        <v>73</v>
      </c>
      <c r="B16" s="128"/>
      <c r="C16" s="128"/>
      <c r="D16" s="128"/>
      <c r="E16" s="128"/>
      <c r="F16" s="128"/>
      <c r="G16" s="128"/>
      <c r="H16" s="128"/>
      <c r="P16" s="53" t="s">
        <v>101</v>
      </c>
      <c r="Q16" s="3"/>
      <c r="R16" s="3" t="s">
        <v>88</v>
      </c>
      <c r="S16" s="3"/>
      <c r="T16" s="3"/>
      <c r="U16" s="3"/>
      <c r="V16" s="3"/>
      <c r="W16" s="54"/>
    </row>
    <row r="17" spans="1:23" x14ac:dyDescent="0.2">
      <c r="A17" s="38"/>
      <c r="B17" s="38"/>
      <c r="C17" s="38"/>
      <c r="D17" s="38"/>
      <c r="E17" s="38"/>
      <c r="F17" s="38"/>
      <c r="G17" s="38"/>
      <c r="H17" s="38"/>
      <c r="P17" s="55" t="s">
        <v>89</v>
      </c>
      <c r="R17" t="s">
        <v>90</v>
      </c>
      <c r="W17" s="56"/>
    </row>
    <row r="18" spans="1:23" x14ac:dyDescent="0.2">
      <c r="A18" s="13" t="s">
        <v>24</v>
      </c>
      <c r="B18" s="30">
        <v>-1363.73010447</v>
      </c>
      <c r="C18" s="6"/>
      <c r="E18" s="30"/>
      <c r="F18" s="30">
        <f>G18-B18</f>
        <v>0.26435646999993878</v>
      </c>
      <c r="G18" s="30">
        <v>-1363.4657480000001</v>
      </c>
      <c r="H18" s="6"/>
      <c r="P18" s="55" t="s">
        <v>91</v>
      </c>
      <c r="R18">
        <v>162.62</v>
      </c>
      <c r="T18" s="7" t="s">
        <v>92</v>
      </c>
      <c r="U18" s="57" t="s">
        <v>93</v>
      </c>
      <c r="V18" s="7" t="s">
        <v>102</v>
      </c>
      <c r="W18" s="56"/>
    </row>
    <row r="19" spans="1:23" x14ac:dyDescent="0.2">
      <c r="A19" s="13" t="s">
        <v>25</v>
      </c>
      <c r="B19" s="4">
        <v>-1363.63803863</v>
      </c>
      <c r="C19" s="6">
        <f>(B19-$B$18)*627.51</f>
        <v>57.772235258420103</v>
      </c>
      <c r="E19" s="13"/>
      <c r="F19" s="30">
        <f>G19-B19</f>
        <v>0.25878263000004154</v>
      </c>
      <c r="G19" s="4">
        <v>-1363.3792559999999</v>
      </c>
      <c r="H19" s="6">
        <f>(G19-$G$18)*627.51</f>
        <v>54.274594920084581</v>
      </c>
      <c r="I19" s="4"/>
      <c r="P19" s="55" t="s">
        <v>94</v>
      </c>
      <c r="R19" s="58">
        <v>2.1829999999999998</v>
      </c>
      <c r="T19">
        <v>-1363.29321</v>
      </c>
      <c r="U19">
        <f>-298.15*(R18-R24)/(1000*627.51)</f>
        <v>-7.4853700259756809E-2</v>
      </c>
      <c r="V19">
        <f>U19+T19</f>
        <v>-1363.3680637002599</v>
      </c>
      <c r="W19" s="56"/>
    </row>
    <row r="20" spans="1:23" ht="17" thickBot="1" x14ac:dyDescent="0.25">
      <c r="A20" s="13"/>
      <c r="C20" s="6"/>
      <c r="H20" s="6"/>
      <c r="P20" s="55" t="s">
        <v>95</v>
      </c>
      <c r="R20">
        <v>43.603000000000002</v>
      </c>
      <c r="W20" s="56"/>
    </row>
    <row r="21" spans="1:23" x14ac:dyDescent="0.2">
      <c r="A21" s="23" t="s">
        <v>77</v>
      </c>
      <c r="B21">
        <v>-1363.6282043900001</v>
      </c>
      <c r="C21" s="6">
        <f>(B21-$B$18)*627.51</f>
        <v>63.943319200768826</v>
      </c>
      <c r="D21" s="6"/>
      <c r="F21" s="30">
        <f>G21-B21</f>
        <v>0.26014068974018301</v>
      </c>
      <c r="G21">
        <f>V19</f>
        <v>-1363.3680637002599</v>
      </c>
      <c r="H21" s="6">
        <f>(G21-$G$18)*627.51</f>
        <v>61.297874929969481</v>
      </c>
      <c r="I21" s="6" t="s">
        <v>87</v>
      </c>
      <c r="L21" s="108" t="s">
        <v>124</v>
      </c>
      <c r="M21" s="109"/>
      <c r="N21" s="110"/>
      <c r="P21" s="55" t="s">
        <v>96</v>
      </c>
      <c r="R21" s="59">
        <v>35.58</v>
      </c>
      <c r="W21" s="56"/>
    </row>
    <row r="22" spans="1:23" ht="17" thickBot="1" x14ac:dyDescent="0.25">
      <c r="A22" s="23"/>
      <c r="C22" s="6"/>
      <c r="F22" s="30">
        <f>G22-B21</f>
        <v>0.25772839000001113</v>
      </c>
      <c r="G22">
        <v>-1363.3704760000001</v>
      </c>
      <c r="H22" s="6">
        <f>(G22-$G$18)*627.51</f>
        <v>59.784132720014227</v>
      </c>
      <c r="I22" s="15" t="s">
        <v>103</v>
      </c>
      <c r="L22" s="111"/>
      <c r="M22" s="112"/>
      <c r="N22" s="113"/>
      <c r="P22" s="55" t="s">
        <v>97</v>
      </c>
      <c r="R22" s="60">
        <v>81.254999999999995</v>
      </c>
      <c r="W22" s="56"/>
    </row>
    <row r="23" spans="1:23" x14ac:dyDescent="0.2">
      <c r="P23" s="55" t="s">
        <v>98</v>
      </c>
      <c r="R23">
        <v>5.1689999999999996</v>
      </c>
      <c r="W23" s="56"/>
    </row>
    <row r="24" spans="1:23" x14ac:dyDescent="0.2">
      <c r="A24" s="23" t="s">
        <v>78</v>
      </c>
      <c r="B24">
        <v>-1363.62747104</v>
      </c>
      <c r="C24" s="6">
        <f>(B24-$B$18)*627.51</f>
        <v>64.403503659280503</v>
      </c>
      <c r="F24" s="30">
        <f>G24-B24</f>
        <v>0.25791903999993337</v>
      </c>
      <c r="G24">
        <v>-1363.3695520000001</v>
      </c>
      <c r="H24" s="6">
        <f>(G24-$G$18)*627.51</f>
        <v>60.363951959977115</v>
      </c>
      <c r="I24" s="18"/>
      <c r="P24" s="55" t="s">
        <v>99</v>
      </c>
      <c r="R24">
        <v>5.077</v>
      </c>
      <c r="W24" s="56"/>
    </row>
    <row r="25" spans="1:23" ht="17" thickBot="1" x14ac:dyDescent="0.25">
      <c r="P25" s="61" t="s">
        <v>100</v>
      </c>
      <c r="Q25" s="62"/>
      <c r="R25" s="62">
        <v>4.2089999999999996</v>
      </c>
      <c r="S25" s="62"/>
      <c r="T25" s="62"/>
      <c r="U25" s="62"/>
      <c r="V25" s="62"/>
      <c r="W25" s="63"/>
    </row>
    <row r="26" spans="1:23" x14ac:dyDescent="0.2">
      <c r="A26" s="128" t="s">
        <v>76</v>
      </c>
      <c r="B26" s="128"/>
      <c r="C26" s="128"/>
      <c r="D26" s="128"/>
      <c r="E26" s="128"/>
      <c r="F26" s="128"/>
      <c r="G26" s="128"/>
      <c r="H26" s="128"/>
    </row>
    <row r="27" spans="1:23" x14ac:dyDescent="0.2">
      <c r="B27" s="12"/>
      <c r="C27" s="12"/>
      <c r="D27" s="12"/>
      <c r="F27" s="30"/>
    </row>
    <row r="28" spans="1:23" x14ac:dyDescent="0.2">
      <c r="A28" s="13" t="s">
        <v>79</v>
      </c>
      <c r="B28" s="30">
        <v>-1159.21212092</v>
      </c>
      <c r="C28" s="6"/>
      <c r="E28" s="30"/>
      <c r="F28" s="30">
        <f>G28-B28</f>
        <v>0.26326391999987209</v>
      </c>
      <c r="G28" s="30">
        <v>-1158.9488570000001</v>
      </c>
      <c r="H28" s="6"/>
    </row>
    <row r="29" spans="1:23" x14ac:dyDescent="0.2">
      <c r="A29" s="13" t="s">
        <v>80</v>
      </c>
      <c r="B29" s="4">
        <v>-1159.12204561</v>
      </c>
      <c r="C29" s="6">
        <f>(B29-$B$28)*627.51</f>
        <v>56.523157778084126</v>
      </c>
      <c r="E29" s="13"/>
      <c r="F29" s="30">
        <f>G29-B29</f>
        <v>0.26008761000002778</v>
      </c>
      <c r="G29" s="4">
        <v>-1158.861958</v>
      </c>
      <c r="H29" s="6">
        <f>(G29-$G$28)*627.51</f>
        <v>54.529991490081827</v>
      </c>
      <c r="I29" s="4"/>
      <c r="J29" s="4"/>
      <c r="K29" s="4"/>
      <c r="L29" s="4"/>
      <c r="M29" s="4"/>
      <c r="N29" s="4"/>
      <c r="O29" s="4"/>
    </row>
    <row r="30" spans="1:23" x14ac:dyDescent="0.2">
      <c r="A30" s="13"/>
      <c r="C30" s="6"/>
    </row>
    <row r="31" spans="1:23" x14ac:dyDescent="0.2">
      <c r="A31" s="23" t="s">
        <v>77</v>
      </c>
      <c r="B31">
        <v>-1159.10737806</v>
      </c>
      <c r="C31" s="6">
        <f>(B31-$B$28)*627.51</f>
        <v>65.727192078592196</v>
      </c>
      <c r="D31" s="6"/>
      <c r="F31" s="30">
        <f>G31-B31</f>
        <v>0.25995005999993737</v>
      </c>
      <c r="G31">
        <v>-1158.847428</v>
      </c>
      <c r="H31" s="6">
        <f>(G31-$G$28)*627.51</f>
        <v>63.647711790033156</v>
      </c>
      <c r="I31" s="6"/>
      <c r="L31" s="28"/>
      <c r="M31" s="28"/>
      <c r="N31" s="28"/>
      <c r="P31" s="31"/>
      <c r="Q31" s="31"/>
      <c r="R31" s="32"/>
      <c r="S31" s="31"/>
      <c r="T31" s="31"/>
      <c r="U31" s="31"/>
      <c r="V31" s="31"/>
      <c r="W31" s="31"/>
    </row>
    <row r="32" spans="1:23" x14ac:dyDescent="0.2">
      <c r="A32" s="23"/>
      <c r="C32" s="6"/>
      <c r="H32" s="6"/>
      <c r="I32" s="15"/>
      <c r="L32" s="35"/>
      <c r="M32" s="35"/>
      <c r="N32" s="35"/>
      <c r="P32" s="33"/>
      <c r="Q32" s="33"/>
      <c r="R32" s="33"/>
      <c r="S32" s="33"/>
      <c r="T32" s="33"/>
      <c r="U32" s="33"/>
      <c r="V32" s="33"/>
      <c r="W32" s="33"/>
    </row>
    <row r="33" spans="1:23" x14ac:dyDescent="0.2">
      <c r="A33" s="23" t="s">
        <v>78</v>
      </c>
      <c r="B33">
        <v>-1159.1017169300001</v>
      </c>
      <c r="C33" s="6">
        <f>(B33-$B$28)*627.51</f>
        <v>69.279607764834239</v>
      </c>
      <c r="D33" s="6"/>
      <c r="F33" s="30">
        <f>G33-B33</f>
        <v>0.25794493000012153</v>
      </c>
      <c r="G33">
        <v>-1158.8437719999999</v>
      </c>
      <c r="H33" s="6">
        <f>(G33-$G$28)*627.51</f>
        <v>65.941888350090764</v>
      </c>
      <c r="P33" s="31"/>
      <c r="Q33" s="31"/>
      <c r="R33" s="32"/>
      <c r="S33" s="31"/>
      <c r="T33" s="31"/>
      <c r="U33" s="34"/>
      <c r="V33" s="31"/>
      <c r="W33" s="31"/>
    </row>
    <row r="34" spans="1:23" x14ac:dyDescent="0.2">
      <c r="A34" s="23"/>
      <c r="P34" s="31"/>
      <c r="Q34" s="31"/>
      <c r="R34" s="32"/>
      <c r="S34" s="31"/>
      <c r="T34" s="31"/>
      <c r="U34" s="31"/>
      <c r="V34" s="31"/>
      <c r="W34" s="31"/>
    </row>
    <row r="35" spans="1:23" x14ac:dyDescent="0.2">
      <c r="C35" s="6"/>
      <c r="H35" s="6"/>
      <c r="I35" s="6"/>
      <c r="L35" s="30"/>
    </row>
    <row r="36" spans="1:23" x14ac:dyDescent="0.2">
      <c r="A36" s="128" t="s">
        <v>75</v>
      </c>
      <c r="B36" s="128"/>
      <c r="C36" s="128"/>
      <c r="D36" s="128"/>
      <c r="E36" s="128"/>
      <c r="F36" s="128"/>
      <c r="G36" s="128"/>
      <c r="H36" s="128"/>
    </row>
    <row r="37" spans="1:23" s="19" customFormat="1" x14ac:dyDescent="0.2">
      <c r="A37" s="38"/>
      <c r="B37" s="38"/>
      <c r="C37" s="38"/>
      <c r="D37" s="38"/>
      <c r="E37" s="38"/>
      <c r="F37" s="38"/>
      <c r="G37" s="38"/>
      <c r="H37" s="38"/>
    </row>
    <row r="38" spans="1:23" x14ac:dyDescent="0.2">
      <c r="A38" s="13" t="s">
        <v>81</v>
      </c>
      <c r="B38" s="30">
        <v>-1159.21506471</v>
      </c>
      <c r="C38" s="6"/>
      <c r="E38" s="30"/>
      <c r="F38" s="30">
        <f>G38-B38</f>
        <v>0.26833871000008003</v>
      </c>
      <c r="G38" s="30">
        <v>-1158.9467259999999</v>
      </c>
      <c r="H38" s="6"/>
    </row>
    <row r="39" spans="1:23" x14ac:dyDescent="0.2">
      <c r="A39" s="13" t="s">
        <v>82</v>
      </c>
      <c r="B39" s="4">
        <v>-1159.1234239999999</v>
      </c>
      <c r="C39" s="6">
        <f>(B39-$B$38)*627.51</f>
        <v>57.505461932158006</v>
      </c>
      <c r="E39" s="13"/>
      <c r="F39" s="30">
        <f>G39-B39</f>
        <v>0.26125699999988683</v>
      </c>
      <c r="G39" s="4">
        <v>-1158.862167</v>
      </c>
      <c r="H39" s="6">
        <f>(G39-$G$38)*627.51</f>
        <v>53.061618089936772</v>
      </c>
      <c r="I39" s="4"/>
    </row>
    <row r="40" spans="1:23" x14ac:dyDescent="0.2">
      <c r="A40" s="13"/>
      <c r="C40" s="6"/>
      <c r="H40" s="6"/>
    </row>
    <row r="41" spans="1:23" x14ac:dyDescent="0.2">
      <c r="A41" s="23" t="s">
        <v>77</v>
      </c>
      <c r="B41">
        <v>-1159.1144463600001</v>
      </c>
      <c r="C41" s="6">
        <f>(B41-$B$38)*627.51</f>
        <v>63.139020808422785</v>
      </c>
      <c r="D41" s="6"/>
      <c r="F41" s="30">
        <f>G41-B41</f>
        <v>0.26037036000002445</v>
      </c>
      <c r="G41">
        <v>-1158.8540760000001</v>
      </c>
      <c r="H41" s="6">
        <f>(G41-$G$38)*627.51</f>
        <v>58.138801499887911</v>
      </c>
      <c r="I41" s="6"/>
    </row>
    <row r="42" spans="1:23" x14ac:dyDescent="0.2">
      <c r="A42" s="23"/>
      <c r="C42" s="6"/>
      <c r="H42" s="6"/>
      <c r="I42" s="15"/>
    </row>
    <row r="43" spans="1:23" x14ac:dyDescent="0.2">
      <c r="A43" s="23" t="s">
        <v>78</v>
      </c>
      <c r="B43">
        <v>-1159.10486965</v>
      </c>
      <c r="C43" s="6">
        <f>(B43-$B$38)*627.51</f>
        <v>69.148502100614849</v>
      </c>
      <c r="F43" s="30">
        <f>G43-B43</f>
        <v>0.25898465000000215</v>
      </c>
      <c r="G43">
        <v>-1158.845885</v>
      </c>
      <c r="H43" s="6">
        <f>(G43-$G$38)*627.51</f>
        <v>63.278735909965974</v>
      </c>
      <c r="I43" s="18"/>
    </row>
  </sheetData>
  <mergeCells count="8">
    <mergeCell ref="A36:H36"/>
    <mergeCell ref="A3:C3"/>
    <mergeCell ref="D3:H3"/>
    <mergeCell ref="L4:N4"/>
    <mergeCell ref="A6:H6"/>
    <mergeCell ref="A16:H16"/>
    <mergeCell ref="A26:H26"/>
    <mergeCell ref="L21:N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4AAD-B17F-5846-94E1-11D7540F5EDC}">
  <dimension ref="A1:W42"/>
  <sheetViews>
    <sheetView workbookViewId="0"/>
  </sheetViews>
  <sheetFormatPr baseColWidth="10" defaultRowHeight="16" x14ac:dyDescent="0.2"/>
  <cols>
    <col min="1" max="1" width="27.6640625" customWidth="1"/>
    <col min="5" max="5" width="7.5" customWidth="1"/>
    <col min="6" max="6" width="16.33203125" customWidth="1"/>
    <col min="9" max="9" width="12.1640625" customWidth="1"/>
    <col min="15" max="15" width="12.1640625" bestFit="1" customWidth="1"/>
    <col min="16" max="16" width="20.33203125" customWidth="1"/>
    <col min="21" max="21" width="12.1640625" customWidth="1"/>
    <col min="22" max="22" width="15" customWidth="1"/>
  </cols>
  <sheetData>
    <row r="1" spans="1:23" ht="19" x14ac:dyDescent="0.25">
      <c r="A1" s="1" t="s">
        <v>21</v>
      </c>
      <c r="B1" s="30"/>
      <c r="C1" s="30"/>
      <c r="D1" s="30"/>
      <c r="E1" s="30"/>
      <c r="F1" s="30"/>
      <c r="G1" s="30"/>
      <c r="H1" s="30"/>
      <c r="I1" s="26"/>
      <c r="J1" s="26"/>
    </row>
    <row r="2" spans="1:23" s="20" customFormat="1" x14ac:dyDescent="0.2">
      <c r="B2" s="24"/>
      <c r="C2" s="36"/>
      <c r="D2" s="21"/>
      <c r="E2" s="36"/>
      <c r="G2" s="21"/>
      <c r="H2" s="21"/>
      <c r="J2" s="25"/>
    </row>
    <row r="3" spans="1:23" ht="17" thickBot="1" x14ac:dyDescent="0.25">
      <c r="A3" s="132" t="s">
        <v>0</v>
      </c>
      <c r="B3" s="132"/>
      <c r="C3" s="132"/>
      <c r="D3" s="132" t="s">
        <v>83</v>
      </c>
      <c r="E3" s="132"/>
      <c r="F3" s="132"/>
      <c r="G3" s="132"/>
      <c r="H3" s="132"/>
      <c r="J3" s="6"/>
    </row>
    <row r="4" spans="1:23" ht="35" thickBot="1" x14ac:dyDescent="0.25">
      <c r="A4" s="8" t="s">
        <v>2</v>
      </c>
      <c r="B4" s="5" t="s">
        <v>3</v>
      </c>
      <c r="C4" s="9" t="s">
        <v>4</v>
      </c>
      <c r="D4" s="9"/>
      <c r="E4" s="9"/>
      <c r="F4" s="9" t="s">
        <v>8</v>
      </c>
      <c r="G4" s="10" t="s">
        <v>5</v>
      </c>
      <c r="H4" s="11" t="s">
        <v>6</v>
      </c>
      <c r="L4" s="129" t="s">
        <v>7</v>
      </c>
      <c r="M4" s="130"/>
      <c r="N4" s="131"/>
    </row>
    <row r="6" spans="1:23" x14ac:dyDescent="0.2">
      <c r="A6" s="128" t="s">
        <v>74</v>
      </c>
      <c r="B6" s="128"/>
      <c r="C6" s="128"/>
      <c r="D6" s="128"/>
      <c r="E6" s="128"/>
      <c r="F6" s="128"/>
      <c r="G6" s="128"/>
      <c r="H6" s="128"/>
    </row>
    <row r="7" spans="1:23" x14ac:dyDescent="0.2">
      <c r="B7" s="12"/>
      <c r="C7" s="12"/>
      <c r="D7" s="12"/>
      <c r="F7" s="30"/>
    </row>
    <row r="8" spans="1:23" x14ac:dyDescent="0.2">
      <c r="A8" s="13" t="s">
        <v>22</v>
      </c>
      <c r="B8" s="30">
        <v>-1362.8109505899999</v>
      </c>
      <c r="C8" s="6"/>
      <c r="E8" s="30"/>
      <c r="F8" s="30">
        <f>G8-B8</f>
        <v>0.26408059000004869</v>
      </c>
      <c r="G8" s="30">
        <v>-1362.5468699999999</v>
      </c>
      <c r="H8" s="6"/>
    </row>
    <row r="9" spans="1:23" x14ac:dyDescent="0.2">
      <c r="A9" s="13" t="s">
        <v>23</v>
      </c>
      <c r="B9" s="4">
        <v>-1362.71959485</v>
      </c>
      <c r="C9" s="6">
        <f>(B9-$B$8)*627.51</f>
        <v>57.32664040735375</v>
      </c>
      <c r="E9" s="13"/>
      <c r="F9" s="30">
        <f>G9-B9</f>
        <v>0.25933985000006032</v>
      </c>
      <c r="G9" s="4">
        <v>-1362.460255</v>
      </c>
      <c r="H9" s="6">
        <f>(G9-$G$8)*627.51</f>
        <v>54.351778649961055</v>
      </c>
      <c r="I9" s="4"/>
      <c r="J9" s="4"/>
      <c r="K9" s="4"/>
      <c r="L9" s="4"/>
      <c r="M9" s="4"/>
      <c r="N9" s="4"/>
      <c r="O9" s="4"/>
    </row>
    <row r="10" spans="1:23" x14ac:dyDescent="0.2">
      <c r="A10" s="13"/>
      <c r="C10" s="6"/>
    </row>
    <row r="11" spans="1:23" x14ac:dyDescent="0.2">
      <c r="A11" s="23" t="s">
        <v>77</v>
      </c>
      <c r="B11">
        <v>-1362.7119698399999</v>
      </c>
      <c r="C11" s="6">
        <f>(B11-$B$8)*627.51</f>
        <v>62.111410432506098</v>
      </c>
      <c r="D11" s="6"/>
      <c r="F11" s="30">
        <f>G11-B11</f>
        <v>0.25917684000000918</v>
      </c>
      <c r="G11">
        <v>-1362.4527929999999</v>
      </c>
      <c r="H11" s="6">
        <f>(G11-$G$8)*627.51</f>
        <v>59.034258269981308</v>
      </c>
      <c r="I11" s="6"/>
      <c r="L11" s="28"/>
      <c r="M11" s="28"/>
      <c r="N11" s="28"/>
      <c r="P11" s="31"/>
      <c r="Q11" s="31"/>
      <c r="R11" s="32"/>
      <c r="S11" s="31"/>
      <c r="T11" s="31"/>
      <c r="U11" s="31"/>
      <c r="V11" s="31"/>
      <c r="W11" s="31"/>
    </row>
    <row r="12" spans="1:23" x14ac:dyDescent="0.2">
      <c r="A12" s="23"/>
      <c r="C12" s="6"/>
      <c r="H12" s="6"/>
      <c r="I12" s="15"/>
      <c r="L12" s="35"/>
      <c r="M12" s="35"/>
      <c r="N12" s="35"/>
      <c r="P12" s="33"/>
      <c r="Q12" s="33"/>
      <c r="R12" s="33"/>
      <c r="S12" s="33"/>
      <c r="T12" s="33"/>
      <c r="U12" s="33"/>
      <c r="V12" s="33"/>
      <c r="W12" s="33"/>
    </row>
    <row r="13" spans="1:23" x14ac:dyDescent="0.2">
      <c r="A13" s="23" t="s">
        <v>78</v>
      </c>
      <c r="B13">
        <v>-1362.70497144</v>
      </c>
      <c r="C13" s="6">
        <f>(B13-$B$8)*627.51</f>
        <v>66.502976416461834</v>
      </c>
      <c r="D13" s="6"/>
      <c r="F13" s="30">
        <f>G13-B13</f>
        <v>0.25722844000006262</v>
      </c>
      <c r="G13">
        <v>-1362.4477429999999</v>
      </c>
      <c r="H13" s="6">
        <f>(G13-$G$8)*627.51</f>
        <v>62.203183769970579</v>
      </c>
      <c r="P13" s="31"/>
      <c r="Q13" s="31"/>
      <c r="R13" s="32"/>
      <c r="S13" s="31"/>
      <c r="T13" s="31"/>
      <c r="U13" s="34"/>
      <c r="V13" s="31"/>
      <c r="W13" s="31"/>
    </row>
    <row r="14" spans="1:23" x14ac:dyDescent="0.2">
      <c r="A14" s="23"/>
      <c r="P14" s="31"/>
      <c r="Q14" s="31"/>
      <c r="R14" s="32"/>
      <c r="S14" s="31"/>
      <c r="T14" s="31"/>
      <c r="U14" s="31"/>
      <c r="V14" s="31"/>
      <c r="W14" s="31"/>
    </row>
    <row r="15" spans="1:23" ht="17" thickBot="1" x14ac:dyDescent="0.25">
      <c r="C15" s="6"/>
      <c r="H15" s="6"/>
      <c r="I15" s="6"/>
      <c r="L15" s="30"/>
    </row>
    <row r="16" spans="1:23" x14ac:dyDescent="0.2">
      <c r="A16" s="128" t="s">
        <v>73</v>
      </c>
      <c r="B16" s="128"/>
      <c r="C16" s="128"/>
      <c r="D16" s="128"/>
      <c r="E16" s="128"/>
      <c r="F16" s="128"/>
      <c r="G16" s="128"/>
      <c r="H16" s="128"/>
      <c r="P16" s="53" t="s">
        <v>101</v>
      </c>
      <c r="Q16" s="3"/>
      <c r="R16" s="3" t="s">
        <v>88</v>
      </c>
      <c r="S16" s="3"/>
      <c r="T16" s="3"/>
      <c r="U16" s="3"/>
      <c r="V16" s="3"/>
      <c r="W16" s="54"/>
    </row>
    <row r="17" spans="1:23" x14ac:dyDescent="0.2">
      <c r="A17" s="38"/>
      <c r="B17" s="38"/>
      <c r="C17" s="38"/>
      <c r="D17" s="38"/>
      <c r="E17" s="38"/>
      <c r="F17" s="38"/>
      <c r="G17" s="38"/>
      <c r="H17" s="38"/>
      <c r="P17" s="55" t="s">
        <v>89</v>
      </c>
      <c r="R17" t="s">
        <v>90</v>
      </c>
      <c r="W17" s="56"/>
    </row>
    <row r="18" spans="1:23" x14ac:dyDescent="0.2">
      <c r="A18" s="13" t="s">
        <v>24</v>
      </c>
      <c r="B18" s="30">
        <v>-1362.8079217</v>
      </c>
      <c r="C18" s="6"/>
      <c r="E18" s="30"/>
      <c r="F18" s="30">
        <f>G18-B18</f>
        <v>0.26363769999989017</v>
      </c>
      <c r="G18" s="30">
        <v>-1362.5442840000001</v>
      </c>
      <c r="H18" s="6"/>
      <c r="P18" s="55" t="s">
        <v>91</v>
      </c>
      <c r="R18">
        <v>162.82400000000001</v>
      </c>
      <c r="T18" s="7" t="s">
        <v>92</v>
      </c>
      <c r="U18" s="57" t="s">
        <v>93</v>
      </c>
      <c r="V18" s="7" t="s">
        <v>102</v>
      </c>
      <c r="W18" s="56"/>
    </row>
    <row r="19" spans="1:23" x14ac:dyDescent="0.2">
      <c r="A19" s="13" t="s">
        <v>25</v>
      </c>
      <c r="B19" s="4">
        <v>-1362.71914464</v>
      </c>
      <c r="C19" s="6">
        <f>(B19-$B$18)*627.51</f>
        <v>55.708492920589947</v>
      </c>
      <c r="E19" s="13"/>
      <c r="F19" s="30">
        <f>G19-B19</f>
        <v>0.258430639999915</v>
      </c>
      <c r="G19" s="4">
        <v>-1362.4607140000001</v>
      </c>
      <c r="H19" s="6">
        <f>(G19-$G$18)*627.51</f>
        <v>52.441010700005521</v>
      </c>
      <c r="I19" s="4"/>
      <c r="P19" s="55" t="s">
        <v>94</v>
      </c>
      <c r="R19" s="58">
        <v>2.1829999999999998</v>
      </c>
      <c r="T19">
        <v>-1362.3759030000001</v>
      </c>
      <c r="U19">
        <f>-298.15*(R18-R24)/(1000*627.51)</f>
        <v>-7.4978184809803824E-2</v>
      </c>
      <c r="V19">
        <f>U19+T19</f>
        <v>-1362.45088118481</v>
      </c>
      <c r="W19" s="56"/>
    </row>
    <row r="20" spans="1:23" ht="17" thickBot="1" x14ac:dyDescent="0.25">
      <c r="A20" s="13"/>
      <c r="C20" s="6"/>
      <c r="H20" s="6"/>
      <c r="P20" s="55" t="s">
        <v>95</v>
      </c>
      <c r="R20">
        <v>43.603000000000002</v>
      </c>
      <c r="W20" s="56"/>
    </row>
    <row r="21" spans="1:23" x14ac:dyDescent="0.2">
      <c r="A21" s="23" t="s">
        <v>77</v>
      </c>
      <c r="B21">
        <v>-1362.71111877</v>
      </c>
      <c r="C21" s="6">
        <f>(B21-$B$18)*627.51</f>
        <v>60.744806604279347</v>
      </c>
      <c r="D21" s="6"/>
      <c r="F21" s="30">
        <f>G21-B21</f>
        <v>0.26023758518999784</v>
      </c>
      <c r="G21">
        <f>V19</f>
        <v>-1362.45088118481</v>
      </c>
      <c r="H21" s="6">
        <f>(G21-$G$18)*627.51</f>
        <v>58.611200559923816</v>
      </c>
      <c r="I21" s="6" t="s">
        <v>87</v>
      </c>
      <c r="L21" s="108" t="s">
        <v>124</v>
      </c>
      <c r="M21" s="109"/>
      <c r="N21" s="110"/>
      <c r="P21" s="55" t="s">
        <v>96</v>
      </c>
      <c r="R21" s="59">
        <v>35.58</v>
      </c>
      <c r="W21" s="56"/>
    </row>
    <row r="22" spans="1:23" ht="17" thickBot="1" x14ac:dyDescent="0.25">
      <c r="A22" s="23"/>
      <c r="C22" s="6"/>
      <c r="F22" s="30">
        <f>G22-B21</f>
        <v>0.25785276999999951</v>
      </c>
      <c r="G22">
        <v>-1362.453266</v>
      </c>
      <c r="H22" s="6">
        <f>(G22-$G$18)*627.51</f>
        <v>57.114705180047956</v>
      </c>
      <c r="I22" s="15" t="s">
        <v>103</v>
      </c>
      <c r="L22" s="111"/>
      <c r="M22" s="112"/>
      <c r="N22" s="113"/>
      <c r="P22" s="55" t="s">
        <v>97</v>
      </c>
      <c r="R22" s="60">
        <v>81.459000000000003</v>
      </c>
      <c r="W22" s="56"/>
    </row>
    <row r="23" spans="1:23" x14ac:dyDescent="0.2">
      <c r="I23" s="18"/>
      <c r="P23" s="55" t="s">
        <v>98</v>
      </c>
      <c r="R23">
        <v>5.157</v>
      </c>
      <c r="W23" s="56"/>
    </row>
    <row r="24" spans="1:23" x14ac:dyDescent="0.2">
      <c r="A24" s="23" t="s">
        <v>78</v>
      </c>
      <c r="B24">
        <v>-1362.7065661900001</v>
      </c>
      <c r="C24" s="6">
        <f>(B24-$B$18)*627.51</f>
        <v>63.601596080004889</v>
      </c>
      <c r="F24" s="30">
        <f>G24-B24</f>
        <v>0.25750419000019065</v>
      </c>
      <c r="G24">
        <v>-1362.4490619999999</v>
      </c>
      <c r="H24" s="6">
        <f>(G24-$G$18)*627.51</f>
        <v>59.752757220093443</v>
      </c>
      <c r="P24" s="55" t="s">
        <v>99</v>
      </c>
      <c r="R24">
        <v>5.0190000000000001</v>
      </c>
      <c r="W24" s="56"/>
    </row>
    <row r="25" spans="1:23" ht="17" thickBot="1" x14ac:dyDescent="0.25">
      <c r="P25" s="61" t="s">
        <v>100</v>
      </c>
      <c r="Q25" s="62"/>
      <c r="R25" s="62">
        <v>4.2300000000000004</v>
      </c>
      <c r="S25" s="62"/>
      <c r="T25" s="62"/>
      <c r="U25" s="62"/>
      <c r="V25" s="62"/>
      <c r="W25" s="63"/>
    </row>
    <row r="26" spans="1:23" x14ac:dyDescent="0.2">
      <c r="A26" s="128" t="s">
        <v>76</v>
      </c>
      <c r="B26" s="128"/>
      <c r="C26" s="128"/>
      <c r="D26" s="128"/>
      <c r="E26" s="128"/>
      <c r="F26" s="128"/>
      <c r="G26" s="128"/>
      <c r="H26" s="128"/>
    </row>
    <row r="27" spans="1:23" x14ac:dyDescent="0.2">
      <c r="B27" s="12"/>
      <c r="C27" s="12"/>
      <c r="D27" s="12"/>
      <c r="F27" s="30"/>
    </row>
    <row r="28" spans="1:23" x14ac:dyDescent="0.2">
      <c r="A28" s="13" t="s">
        <v>79</v>
      </c>
      <c r="B28" s="30">
        <v>-1158.4347886</v>
      </c>
      <c r="C28" s="6"/>
      <c r="E28" s="30"/>
      <c r="F28" s="30">
        <f>G28-B28</f>
        <v>0.26570560000004662</v>
      </c>
      <c r="G28" s="30">
        <v>-1158.169083</v>
      </c>
      <c r="H28" s="6"/>
    </row>
    <row r="29" spans="1:23" x14ac:dyDescent="0.2">
      <c r="A29" s="13" t="s">
        <v>80</v>
      </c>
      <c r="B29" s="4">
        <v>-1158.3458714400001</v>
      </c>
      <c r="C29" s="6">
        <f>(B29-$B$28)*627.51</f>
        <v>55.796407071560601</v>
      </c>
      <c r="E29" s="13"/>
      <c r="F29" s="30">
        <f>G29-B29</f>
        <v>0.26113844000019526</v>
      </c>
      <c r="G29" s="4">
        <v>-1158.0847329999999</v>
      </c>
      <c r="H29" s="6">
        <f>(G29-$G$28)*627.51</f>
        <v>52.930468500053877</v>
      </c>
      <c r="I29" s="4"/>
      <c r="J29" s="4"/>
      <c r="K29" s="4"/>
      <c r="L29" s="4"/>
      <c r="M29" s="4"/>
      <c r="N29" s="4"/>
      <c r="O29" s="4"/>
    </row>
    <row r="30" spans="1:23" x14ac:dyDescent="0.2">
      <c r="A30" s="13"/>
      <c r="C30" s="6"/>
    </row>
    <row r="31" spans="1:23" x14ac:dyDescent="0.2">
      <c r="A31" s="23" t="s">
        <v>77</v>
      </c>
      <c r="B31">
        <v>-1158.3304162100001</v>
      </c>
      <c r="C31" s="6">
        <f>(B31-$B$28)*627.51</f>
        <v>65.494718448887724</v>
      </c>
      <c r="D31" s="6"/>
      <c r="F31" s="30">
        <f>G31-B31</f>
        <v>0.25994621000018014</v>
      </c>
      <c r="G31">
        <v>-1158.0704699999999</v>
      </c>
      <c r="H31" s="6">
        <f>(G31-$G$28)*627.51</f>
        <v>61.880643630071518</v>
      </c>
      <c r="I31" s="6"/>
      <c r="L31" s="28"/>
      <c r="M31" s="28"/>
      <c r="N31" s="28"/>
      <c r="P31" s="31"/>
      <c r="Q31" s="31"/>
      <c r="R31" s="32"/>
      <c r="S31" s="31"/>
      <c r="T31" s="31"/>
      <c r="U31" s="31"/>
      <c r="V31" s="31"/>
      <c r="W31" s="31"/>
    </row>
    <row r="32" spans="1:23" x14ac:dyDescent="0.2">
      <c r="A32" s="23"/>
      <c r="C32" s="6"/>
      <c r="H32" s="6"/>
      <c r="I32" s="15"/>
      <c r="L32" s="35"/>
      <c r="M32" s="35"/>
      <c r="N32" s="35"/>
      <c r="P32" s="33"/>
      <c r="Q32" s="33"/>
      <c r="R32" s="33"/>
      <c r="S32" s="33"/>
      <c r="T32" s="33"/>
      <c r="U32" s="33"/>
      <c r="V32" s="33"/>
      <c r="W32" s="33"/>
    </row>
    <row r="33" spans="1:23" x14ac:dyDescent="0.2">
      <c r="A33" s="23" t="s">
        <v>78</v>
      </c>
      <c r="B33">
        <v>-1158.32352967</v>
      </c>
      <c r="C33" s="6">
        <f>(B33-$B$28)*627.51</f>
        <v>69.81609116434791</v>
      </c>
      <c r="D33" s="6"/>
      <c r="F33" s="30">
        <f>G33-B33</f>
        <v>0.25819767000007232</v>
      </c>
      <c r="G33">
        <v>-1158.0653319999999</v>
      </c>
      <c r="H33" s="6">
        <f>(G33-$G$28)*627.51</f>
        <v>65.10479001006405</v>
      </c>
      <c r="P33" s="31"/>
      <c r="Q33" s="31"/>
      <c r="R33" s="32"/>
      <c r="S33" s="31"/>
      <c r="T33" s="31"/>
      <c r="U33" s="34"/>
      <c r="V33" s="31"/>
      <c r="W33" s="31"/>
    </row>
    <row r="34" spans="1:23" x14ac:dyDescent="0.2">
      <c r="A34" s="23"/>
      <c r="P34" s="31"/>
      <c r="Q34" s="31"/>
      <c r="R34" s="32"/>
      <c r="S34" s="31"/>
      <c r="T34" s="31"/>
      <c r="U34" s="31"/>
      <c r="V34" s="31"/>
      <c r="W34" s="31"/>
    </row>
    <row r="35" spans="1:23" x14ac:dyDescent="0.2">
      <c r="C35" s="6"/>
      <c r="H35" s="6"/>
      <c r="I35" s="6"/>
      <c r="L35" s="30"/>
    </row>
    <row r="36" spans="1:23" x14ac:dyDescent="0.2">
      <c r="A36" s="128" t="s">
        <v>75</v>
      </c>
      <c r="B36" s="128"/>
      <c r="C36" s="128"/>
      <c r="D36" s="128"/>
      <c r="E36" s="128"/>
      <c r="F36" s="128"/>
      <c r="G36" s="128"/>
      <c r="H36" s="128"/>
    </row>
    <row r="37" spans="1:23" x14ac:dyDescent="0.2">
      <c r="A37" s="13" t="s">
        <v>81</v>
      </c>
      <c r="B37" s="30">
        <v>-1158.4320901900001</v>
      </c>
      <c r="C37" s="6"/>
      <c r="E37" s="30"/>
      <c r="F37" s="30">
        <f>G37-B37</f>
        <v>0.26494919000015216</v>
      </c>
      <c r="G37" s="30">
        <v>-1158.1671409999999</v>
      </c>
      <c r="H37" s="6"/>
    </row>
    <row r="38" spans="1:23" x14ac:dyDescent="0.2">
      <c r="A38" s="13" t="s">
        <v>82</v>
      </c>
      <c r="B38" s="4">
        <v>-1158.3449783599999</v>
      </c>
      <c r="C38" s="6">
        <f>(B38-$B$37)*627.51</f>
        <v>54.663544443387778</v>
      </c>
      <c r="E38" s="13"/>
      <c r="F38" s="30">
        <f>G38-B38</f>
        <v>0.25985735999984172</v>
      </c>
      <c r="G38" s="4">
        <v>-1158.0851210000001</v>
      </c>
      <c r="H38" s="6">
        <f>(G38-$G$37)*627.51</f>
        <v>51.468370199892981</v>
      </c>
      <c r="I38" s="4"/>
    </row>
    <row r="39" spans="1:23" x14ac:dyDescent="0.2">
      <c r="A39" s="13"/>
      <c r="C39" s="6"/>
      <c r="H39" s="6"/>
    </row>
    <row r="40" spans="1:23" x14ac:dyDescent="0.2">
      <c r="A40" s="23" t="s">
        <v>77</v>
      </c>
      <c r="B40">
        <v>-1158.3369889000001</v>
      </c>
      <c r="C40" s="6">
        <f>(B40-$B$37)*627.51</f>
        <v>59.677010487901462</v>
      </c>
      <c r="D40" s="6"/>
      <c r="F40" s="30">
        <f>G40-B40</f>
        <v>0.26042890000007901</v>
      </c>
      <c r="G40">
        <v>-1158.07656</v>
      </c>
      <c r="H40" s="6">
        <f>(G40-$G$37)*627.51</f>
        <v>56.840483309955566</v>
      </c>
      <c r="I40" s="6"/>
    </row>
    <row r="41" spans="1:23" x14ac:dyDescent="0.2">
      <c r="A41" s="23"/>
      <c r="C41" s="6"/>
      <c r="H41" s="6"/>
      <c r="I41" s="15"/>
    </row>
    <row r="42" spans="1:23" x14ac:dyDescent="0.2">
      <c r="A42" s="23" t="s">
        <v>78</v>
      </c>
      <c r="B42">
        <v>-1158.3261397000001</v>
      </c>
      <c r="C42" s="6">
        <f>(B42-$B$37)*627.51</f>
        <v>66.484991979863011</v>
      </c>
      <c r="F42" s="30">
        <f>G42-B42</f>
        <v>0.25901070000008986</v>
      </c>
      <c r="G42">
        <v>-1158.067129</v>
      </c>
      <c r="H42" s="6">
        <f>(G42-$G$37)*627.51</f>
        <v>62.758530119923918</v>
      </c>
      <c r="I42" s="18"/>
    </row>
  </sheetData>
  <mergeCells count="8">
    <mergeCell ref="A36:H36"/>
    <mergeCell ref="A3:C3"/>
    <mergeCell ref="D3:H3"/>
    <mergeCell ref="L4:N4"/>
    <mergeCell ref="A6:H6"/>
    <mergeCell ref="A16:H16"/>
    <mergeCell ref="A26:H26"/>
    <mergeCell ref="L21:N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C872-8F6F-1043-93F0-9A3C45F8165C}">
  <dimension ref="A1:W42"/>
  <sheetViews>
    <sheetView workbookViewId="0"/>
  </sheetViews>
  <sheetFormatPr baseColWidth="10" defaultRowHeight="16" x14ac:dyDescent="0.2"/>
  <cols>
    <col min="1" max="1" width="27.6640625" customWidth="1"/>
    <col min="5" max="5" width="7.5" customWidth="1"/>
    <col min="6" max="6" width="16.33203125" customWidth="1"/>
    <col min="9" max="9" width="12.1640625" customWidth="1"/>
    <col min="15" max="15" width="12.1640625" bestFit="1" customWidth="1"/>
    <col min="16" max="16" width="14.5" customWidth="1"/>
    <col min="21" max="21" width="12.1640625" customWidth="1"/>
    <col min="22" max="22" width="15" customWidth="1"/>
  </cols>
  <sheetData>
    <row r="1" spans="1:23" ht="19" x14ac:dyDescent="0.25">
      <c r="A1" s="1" t="s">
        <v>21</v>
      </c>
      <c r="B1" s="30"/>
      <c r="C1" s="30"/>
      <c r="D1" s="30"/>
      <c r="E1" s="30"/>
      <c r="F1" s="30"/>
      <c r="G1" s="30"/>
      <c r="H1" s="30"/>
      <c r="I1" s="26"/>
      <c r="J1" s="26"/>
    </row>
    <row r="2" spans="1:23" s="20" customFormat="1" x14ac:dyDescent="0.2">
      <c r="B2" s="24"/>
      <c r="C2" s="36"/>
      <c r="D2" s="21"/>
      <c r="E2" s="36"/>
      <c r="G2" s="21"/>
      <c r="H2" s="21"/>
      <c r="J2" s="25"/>
    </row>
    <row r="3" spans="1:23" ht="17" thickBot="1" x14ac:dyDescent="0.25">
      <c r="A3" s="132" t="s">
        <v>0</v>
      </c>
      <c r="B3" s="132"/>
      <c r="C3" s="132"/>
      <c r="D3" s="132" t="s">
        <v>85</v>
      </c>
      <c r="E3" s="132"/>
      <c r="F3" s="132"/>
      <c r="G3" s="132"/>
      <c r="H3" s="132"/>
      <c r="J3" s="6"/>
    </row>
    <row r="4" spans="1:23" ht="35" thickBot="1" x14ac:dyDescent="0.25">
      <c r="A4" s="8" t="s">
        <v>2</v>
      </c>
      <c r="B4" s="5" t="s">
        <v>3</v>
      </c>
      <c r="C4" s="9" t="s">
        <v>4</v>
      </c>
      <c r="D4" s="9"/>
      <c r="E4" s="9"/>
      <c r="F4" s="9" t="s">
        <v>8</v>
      </c>
      <c r="G4" s="10" t="s">
        <v>5</v>
      </c>
      <c r="H4" s="11" t="s">
        <v>6</v>
      </c>
      <c r="L4" s="129" t="s">
        <v>7</v>
      </c>
      <c r="M4" s="130"/>
      <c r="N4" s="131"/>
    </row>
    <row r="6" spans="1:23" x14ac:dyDescent="0.2">
      <c r="A6" s="128" t="s">
        <v>74</v>
      </c>
      <c r="B6" s="128"/>
      <c r="C6" s="128"/>
      <c r="D6" s="128"/>
      <c r="E6" s="128"/>
      <c r="F6" s="128"/>
      <c r="G6" s="128"/>
      <c r="H6" s="128"/>
    </row>
    <row r="7" spans="1:23" x14ac:dyDescent="0.2">
      <c r="B7" s="12"/>
      <c r="C7" s="12"/>
      <c r="D7" s="12"/>
      <c r="F7" s="30"/>
    </row>
    <row r="8" spans="1:23" x14ac:dyDescent="0.2">
      <c r="A8" s="13" t="s">
        <v>22</v>
      </c>
      <c r="B8" s="30">
        <v>-1363.72976182</v>
      </c>
      <c r="C8" s="6"/>
      <c r="E8" s="30"/>
      <c r="F8" s="30">
        <f>G8-B8</f>
        <v>0.26740281999991566</v>
      </c>
      <c r="G8" s="30">
        <v>-1363.4623590000001</v>
      </c>
      <c r="H8" s="6"/>
    </row>
    <row r="9" spans="1:23" x14ac:dyDescent="0.2">
      <c r="A9" s="13" t="s">
        <v>23</v>
      </c>
      <c r="B9" s="4">
        <v>-1363.64123569</v>
      </c>
      <c r="C9" s="6">
        <f>(B9-$B$8)*627.51</f>
        <v>55.551031836294413</v>
      </c>
      <c r="E9" s="13"/>
      <c r="F9" s="30">
        <f>G9-B9</f>
        <v>0.26256368999997903</v>
      </c>
      <c r="G9" s="4">
        <v>-1363.3786720000001</v>
      </c>
      <c r="H9" s="6">
        <f>(G9-$G$8)*627.51</f>
        <v>52.514429370034179</v>
      </c>
      <c r="I9" s="4"/>
      <c r="J9" s="4"/>
      <c r="K9" s="4"/>
      <c r="L9" s="4"/>
      <c r="M9" s="4"/>
      <c r="N9" s="4"/>
      <c r="O9" s="4"/>
    </row>
    <row r="10" spans="1:23" x14ac:dyDescent="0.2">
      <c r="A10" s="13"/>
      <c r="C10" s="6"/>
    </row>
    <row r="11" spans="1:23" x14ac:dyDescent="0.2">
      <c r="A11" s="23" t="s">
        <v>77</v>
      </c>
      <c r="B11">
        <v>-1363.63497179</v>
      </c>
      <c r="C11" s="6">
        <f>(B11-$B$8)*627.51</f>
        <v>59.48169172530806</v>
      </c>
      <c r="D11" s="6"/>
      <c r="F11" s="30">
        <f>G11-B11</f>
        <v>0.26216679000003751</v>
      </c>
      <c r="G11">
        <v>-1363.372805</v>
      </c>
      <c r="H11" s="6">
        <f>(G11-$G$8)*627.51</f>
        <v>56.196030540084521</v>
      </c>
      <c r="I11" s="6"/>
      <c r="L11" s="28"/>
      <c r="M11" s="28"/>
      <c r="N11" s="28"/>
      <c r="P11" s="31"/>
      <c r="Q11" s="31"/>
      <c r="R11" s="32"/>
      <c r="S11" s="31"/>
      <c r="T11" s="31"/>
      <c r="U11" s="31"/>
      <c r="V11" s="31"/>
      <c r="W11" s="31"/>
    </row>
    <row r="12" spans="1:23" x14ac:dyDescent="0.2">
      <c r="A12" s="23"/>
      <c r="C12" s="6"/>
      <c r="H12" s="6"/>
      <c r="I12" s="15"/>
      <c r="L12" s="35"/>
      <c r="M12" s="35"/>
      <c r="N12" s="35"/>
      <c r="P12" s="33"/>
      <c r="Q12" s="33"/>
      <c r="R12" s="33"/>
      <c r="S12" s="33"/>
      <c r="T12" s="33"/>
      <c r="U12" s="33"/>
      <c r="V12" s="33"/>
      <c r="W12" s="33"/>
    </row>
    <row r="13" spans="1:23" x14ac:dyDescent="0.2">
      <c r="A13" s="23" t="s">
        <v>78</v>
      </c>
      <c r="B13">
        <v>-1363.6309838300001</v>
      </c>
      <c r="C13" s="6">
        <f>(B13-$B$8)*627.51</f>
        <v>61.984176504847809</v>
      </c>
      <c r="D13" s="6"/>
      <c r="F13" s="30">
        <f>G13-B13</f>
        <v>0.26040483000019776</v>
      </c>
      <c r="G13">
        <v>-1363.3705789999999</v>
      </c>
      <c r="H13" s="6">
        <f>(G13-$G$8)*627.51</f>
        <v>57.592867800124829</v>
      </c>
      <c r="P13" s="31"/>
      <c r="Q13" s="31"/>
      <c r="R13" s="32"/>
      <c r="S13" s="31"/>
      <c r="T13" s="31"/>
      <c r="U13" s="34"/>
      <c r="V13" s="31"/>
      <c r="W13" s="31"/>
    </row>
    <row r="14" spans="1:23" x14ac:dyDescent="0.2">
      <c r="A14" s="23"/>
      <c r="P14" s="31"/>
      <c r="Q14" s="31"/>
      <c r="R14" s="32"/>
      <c r="S14" s="31"/>
      <c r="T14" s="31"/>
      <c r="U14" s="31"/>
      <c r="V14" s="31"/>
      <c r="W14" s="31"/>
    </row>
    <row r="15" spans="1:23" ht="17" thickBot="1" x14ac:dyDescent="0.25">
      <c r="C15" s="6"/>
      <c r="H15" s="6"/>
      <c r="I15" s="6"/>
      <c r="L15" s="30"/>
    </row>
    <row r="16" spans="1:23" x14ac:dyDescent="0.2">
      <c r="A16" s="128" t="s">
        <v>73</v>
      </c>
      <c r="B16" s="128"/>
      <c r="C16" s="128"/>
      <c r="D16" s="128"/>
      <c r="E16" s="128"/>
      <c r="F16" s="128"/>
      <c r="G16" s="128"/>
      <c r="H16" s="128"/>
      <c r="P16" s="53" t="s">
        <v>101</v>
      </c>
      <c r="Q16" s="3"/>
      <c r="R16" s="3" t="s">
        <v>88</v>
      </c>
      <c r="S16" s="3"/>
      <c r="T16" s="3"/>
      <c r="U16" s="3"/>
      <c r="V16" s="3"/>
      <c r="W16" s="54"/>
    </row>
    <row r="17" spans="1:23" x14ac:dyDescent="0.2">
      <c r="A17" s="38"/>
      <c r="B17" s="38"/>
      <c r="C17" s="38"/>
      <c r="D17" s="38"/>
      <c r="E17" s="38"/>
      <c r="F17" s="38"/>
      <c r="G17" s="38"/>
      <c r="H17" s="38"/>
      <c r="P17" s="55" t="s">
        <v>89</v>
      </c>
      <c r="R17" t="s">
        <v>90</v>
      </c>
      <c r="W17" s="56"/>
    </row>
    <row r="18" spans="1:23" x14ac:dyDescent="0.2">
      <c r="A18" s="13" t="s">
        <v>24</v>
      </c>
      <c r="B18" s="30">
        <v>-1363.7275143100001</v>
      </c>
      <c r="C18" s="6"/>
      <c r="E18" s="30"/>
      <c r="F18" s="30">
        <f>G18-B18</f>
        <v>0.26688431000002311</v>
      </c>
      <c r="G18" s="30">
        <v>-1363.46063</v>
      </c>
      <c r="H18" s="6"/>
      <c r="P18" s="55" t="s">
        <v>91</v>
      </c>
      <c r="R18">
        <v>159.31200000000001</v>
      </c>
      <c r="T18" s="7" t="s">
        <v>92</v>
      </c>
      <c r="U18" s="57" t="s">
        <v>93</v>
      </c>
      <c r="V18" s="7" t="s">
        <v>102</v>
      </c>
      <c r="W18" s="56"/>
    </row>
    <row r="19" spans="1:23" x14ac:dyDescent="0.2">
      <c r="A19" s="13" t="s">
        <v>25</v>
      </c>
      <c r="B19" s="4">
        <v>-1363.6417336</v>
      </c>
      <c r="C19" s="6">
        <f>(B19-$B$18)*627.51</f>
        <v>53.828253332167911</v>
      </c>
      <c r="E19" s="13"/>
      <c r="F19" s="30">
        <f>G19-B19</f>
        <v>0.26144460000000436</v>
      </c>
      <c r="G19" s="4">
        <v>-1363.3802889999999</v>
      </c>
      <c r="H19" s="6">
        <f>(G19-$G$18)*627.51</f>
        <v>50.414780910056152</v>
      </c>
      <c r="I19" s="4"/>
      <c r="P19" s="55" t="s">
        <v>94</v>
      </c>
      <c r="R19" s="58">
        <v>2.1829999999999998</v>
      </c>
      <c r="T19">
        <v>-1363.293866</v>
      </c>
      <c r="U19">
        <f>-298.15*(R18-R24)/(1000*627.51)</f>
        <v>-7.3410249637455974E-2</v>
      </c>
      <c r="V19">
        <f>U19+T19</f>
        <v>-1363.3672762496374</v>
      </c>
      <c r="W19" s="56"/>
    </row>
    <row r="20" spans="1:23" ht="17" thickBot="1" x14ac:dyDescent="0.25">
      <c r="A20" s="13"/>
      <c r="C20" s="6"/>
      <c r="H20" s="6"/>
      <c r="P20" s="55" t="s">
        <v>95</v>
      </c>
      <c r="R20">
        <v>43.603000000000002</v>
      </c>
      <c r="W20" s="56"/>
    </row>
    <row r="21" spans="1:23" x14ac:dyDescent="0.2">
      <c r="A21" s="23" t="s">
        <v>77</v>
      </c>
      <c r="B21">
        <v>-1363.63017244</v>
      </c>
      <c r="C21" s="6">
        <f>(B21-$B$18)*627.51</f>
        <v>61.082996843722952</v>
      </c>
      <c r="D21" s="6"/>
      <c r="F21" s="30">
        <f>G21-B21</f>
        <v>0.26289619036265321</v>
      </c>
      <c r="G21">
        <f>V19</f>
        <v>-1363.3672762496374</v>
      </c>
      <c r="H21" s="6">
        <f>(G21-$G$18)*627.51</f>
        <v>58.580411890076974</v>
      </c>
      <c r="I21" s="6" t="s">
        <v>87</v>
      </c>
      <c r="L21" s="108" t="s">
        <v>124</v>
      </c>
      <c r="M21" s="109"/>
      <c r="N21" s="110"/>
      <c r="P21" s="55" t="s">
        <v>96</v>
      </c>
      <c r="R21" s="59">
        <v>35.58</v>
      </c>
      <c r="W21" s="56"/>
    </row>
    <row r="22" spans="1:23" ht="17" thickBot="1" x14ac:dyDescent="0.25">
      <c r="A22" s="23"/>
      <c r="B22">
        <v>-1363.63017244</v>
      </c>
      <c r="C22" s="6">
        <f>(B22-$B$18)*627.51</f>
        <v>61.082996843722952</v>
      </c>
      <c r="F22" s="30">
        <f>G22-B22</f>
        <v>0.26061243999993167</v>
      </c>
      <c r="G22">
        <v>-1363.3695600000001</v>
      </c>
      <c r="H22" s="6">
        <f>(G22-$G$18)*627.51</f>
        <v>57.147335699965573</v>
      </c>
      <c r="I22" s="15" t="s">
        <v>103</v>
      </c>
      <c r="L22" s="111"/>
      <c r="M22" s="112"/>
      <c r="N22" s="113"/>
      <c r="P22" s="55" t="s">
        <v>97</v>
      </c>
      <c r="R22" s="60">
        <v>77.947000000000003</v>
      </c>
      <c r="W22" s="56"/>
    </row>
    <row r="23" spans="1:23" x14ac:dyDescent="0.2">
      <c r="I23" s="18"/>
      <c r="P23" s="55" t="s">
        <v>98</v>
      </c>
      <c r="R23">
        <v>5.0259999999999998</v>
      </c>
      <c r="W23" s="56"/>
    </row>
    <row r="24" spans="1:23" x14ac:dyDescent="0.2">
      <c r="A24" s="23" t="s">
        <v>78</v>
      </c>
      <c r="B24">
        <v>-1363.63101136</v>
      </c>
      <c r="C24" s="6">
        <f>(B24-$B$18)*627.51</f>
        <v>60.556566154536561</v>
      </c>
      <c r="F24" s="30">
        <f>G24-B24</f>
        <v>0.26056835999997929</v>
      </c>
      <c r="G24">
        <v>-1363.370443</v>
      </c>
      <c r="H24" s="6">
        <f>(G24-$G$18)*627.51</f>
        <v>56.593244370009067</v>
      </c>
      <c r="P24" s="55" t="s">
        <v>99</v>
      </c>
      <c r="R24">
        <v>4.8070000000000004</v>
      </c>
      <c r="W24" s="56"/>
    </row>
    <row r="25" spans="1:23" ht="17" thickBot="1" x14ac:dyDescent="0.25">
      <c r="P25" s="61" t="s">
        <v>100</v>
      </c>
      <c r="Q25" s="62"/>
      <c r="R25" s="62">
        <v>4.0609999999999999</v>
      </c>
      <c r="S25" s="62"/>
      <c r="T25" s="62"/>
      <c r="U25" s="62"/>
      <c r="V25" s="62"/>
      <c r="W25" s="63"/>
    </row>
    <row r="26" spans="1:23" x14ac:dyDescent="0.2">
      <c r="A26" s="128" t="s">
        <v>76</v>
      </c>
      <c r="B26" s="128"/>
      <c r="C26" s="128"/>
      <c r="D26" s="128"/>
      <c r="E26" s="128"/>
      <c r="F26" s="128"/>
      <c r="G26" s="128"/>
      <c r="H26" s="128"/>
    </row>
    <row r="27" spans="1:23" x14ac:dyDescent="0.2">
      <c r="B27" s="12"/>
      <c r="C27" s="12"/>
      <c r="D27" s="12"/>
      <c r="F27" s="30"/>
    </row>
    <row r="28" spans="1:23" x14ac:dyDescent="0.2">
      <c r="A28" s="13" t="s">
        <v>79</v>
      </c>
      <c r="B28" s="4">
        <v>-1159.21805614</v>
      </c>
      <c r="C28" s="6"/>
      <c r="E28" s="30"/>
      <c r="F28" s="30">
        <f>G28-B28</f>
        <v>0.26887114000010115</v>
      </c>
      <c r="G28" s="30">
        <v>-1158.9491849999999</v>
      </c>
      <c r="H28" s="6"/>
    </row>
    <row r="29" spans="1:23" x14ac:dyDescent="0.2">
      <c r="A29" s="13" t="s">
        <v>80</v>
      </c>
      <c r="B29">
        <v>-1159.13175486</v>
      </c>
      <c r="C29" s="6">
        <f>(B29-$B$28)*627.51</f>
        <v>54.154916212827189</v>
      </c>
      <c r="E29" s="13"/>
      <c r="F29" s="30">
        <f>G29-B29</f>
        <v>0.26416685999993206</v>
      </c>
      <c r="G29" s="4">
        <v>-1158.8675880000001</v>
      </c>
      <c r="H29" s="6">
        <f>(G29-$G$28)*627.51</f>
        <v>51.202933469921085</v>
      </c>
      <c r="I29" s="4"/>
      <c r="J29" s="4"/>
      <c r="K29" s="4"/>
      <c r="L29" s="4"/>
      <c r="M29" s="4"/>
      <c r="N29" s="4"/>
      <c r="O29" s="4"/>
    </row>
    <row r="30" spans="1:23" x14ac:dyDescent="0.2">
      <c r="A30" s="13"/>
      <c r="C30" s="6"/>
    </row>
    <row r="31" spans="1:23" x14ac:dyDescent="0.2">
      <c r="A31" s="23" t="s">
        <v>77</v>
      </c>
      <c r="B31">
        <v>-1159.11839622</v>
      </c>
      <c r="C31" s="6">
        <f>(B31-$B$28)*627.51</f>
        <v>62.537596399213733</v>
      </c>
      <c r="D31" s="6"/>
      <c r="F31" s="30">
        <f>G31-B31</f>
        <v>0.26317422000010993</v>
      </c>
      <c r="G31">
        <v>-1158.8552219999999</v>
      </c>
      <c r="H31" s="6">
        <f>(G31-$G$28)*627.51</f>
        <v>58.962722130019237</v>
      </c>
      <c r="I31" s="6"/>
      <c r="L31" s="28"/>
      <c r="M31" s="28"/>
      <c r="N31" s="28"/>
      <c r="P31" s="31"/>
      <c r="Q31" s="31"/>
      <c r="R31" s="32"/>
      <c r="S31" s="31"/>
      <c r="T31" s="31"/>
      <c r="U31" s="31"/>
      <c r="V31" s="31"/>
      <c r="W31" s="31"/>
    </row>
    <row r="32" spans="1:23" x14ac:dyDescent="0.2">
      <c r="A32" s="23"/>
      <c r="C32" s="6"/>
      <c r="H32" s="6"/>
      <c r="I32" s="15"/>
      <c r="L32" s="35"/>
      <c r="M32" s="35"/>
      <c r="N32" s="35"/>
      <c r="P32" s="33"/>
      <c r="Q32" s="33"/>
      <c r="R32" s="33"/>
      <c r="S32" s="33"/>
      <c r="T32" s="33"/>
      <c r="U32" s="33"/>
      <c r="V32" s="33"/>
      <c r="W32" s="33"/>
    </row>
    <row r="33" spans="1:23" x14ac:dyDescent="0.2">
      <c r="A33" s="23" t="s">
        <v>78</v>
      </c>
      <c r="B33">
        <v>-1159.11344416</v>
      </c>
      <c r="C33" s="6">
        <f>(B33-$B$28)*627.51</f>
        <v>65.645063569845448</v>
      </c>
      <c r="D33" s="6"/>
      <c r="F33" s="30">
        <f>G33-B33</f>
        <v>0.2612721599998622</v>
      </c>
      <c r="G33">
        <v>-1158.8521720000001</v>
      </c>
      <c r="H33" s="6">
        <f>(G33-$G$28)*627.51</f>
        <v>60.876627629895509</v>
      </c>
      <c r="P33" s="31"/>
      <c r="Q33" s="31"/>
      <c r="R33" s="32"/>
      <c r="S33" s="31"/>
      <c r="T33" s="31"/>
      <c r="U33" s="34"/>
      <c r="V33" s="31"/>
      <c r="W33" s="31"/>
    </row>
    <row r="34" spans="1:23" x14ac:dyDescent="0.2">
      <c r="A34" s="23"/>
      <c r="P34" s="31"/>
      <c r="Q34" s="31"/>
      <c r="R34" s="32"/>
      <c r="S34" s="31"/>
      <c r="T34" s="31"/>
      <c r="U34" s="31"/>
      <c r="V34" s="31"/>
      <c r="W34" s="31"/>
    </row>
    <row r="35" spans="1:23" x14ac:dyDescent="0.2">
      <c r="C35" s="6"/>
      <c r="H35" s="6"/>
      <c r="I35" s="6"/>
      <c r="L35" s="30"/>
    </row>
    <row r="36" spans="1:23" x14ac:dyDescent="0.2">
      <c r="A36" s="128" t="s">
        <v>75</v>
      </c>
      <c r="B36" s="128"/>
      <c r="C36" s="128"/>
      <c r="D36" s="128"/>
      <c r="E36" s="128"/>
      <c r="F36" s="128"/>
      <c r="G36" s="128"/>
      <c r="H36" s="128"/>
    </row>
    <row r="37" spans="1:23" x14ac:dyDescent="0.2">
      <c r="A37" s="13" t="s">
        <v>81</v>
      </c>
      <c r="B37" s="30">
        <v>-1159.21612041</v>
      </c>
      <c r="C37" s="6"/>
      <c r="E37" s="30"/>
      <c r="F37" s="30">
        <f>G37-B37</f>
        <v>0.26799841000001834</v>
      </c>
      <c r="G37" s="30">
        <v>-1158.948122</v>
      </c>
      <c r="H37" s="6"/>
    </row>
    <row r="38" spans="1:23" x14ac:dyDescent="0.2">
      <c r="A38" s="13" t="s">
        <v>82</v>
      </c>
      <c r="B38" s="4">
        <v>-1159.1319148</v>
      </c>
      <c r="C38" s="6">
        <f>(B38-$B$37)*627.51</f>
        <v>52.839862331116535</v>
      </c>
      <c r="E38" s="13"/>
      <c r="F38" s="30">
        <f>G38-B38</f>
        <v>0.26265379999995275</v>
      </c>
      <c r="G38" s="4">
        <v>-1158.8692610000001</v>
      </c>
      <c r="H38" s="6">
        <f>(G38-$G$37)*627.51</f>
        <v>49.486066109975383</v>
      </c>
      <c r="I38" s="4"/>
    </row>
    <row r="39" spans="1:23" x14ac:dyDescent="0.2">
      <c r="A39" s="13"/>
      <c r="C39" s="6"/>
      <c r="H39" s="6"/>
    </row>
    <row r="40" spans="1:23" x14ac:dyDescent="0.2">
      <c r="A40" s="23" t="s">
        <v>77</v>
      </c>
      <c r="B40">
        <v>-1159.12267391</v>
      </c>
      <c r="C40" s="6">
        <f>(B40-$B$37)*627.51</f>
        <v>58.638613215017131</v>
      </c>
      <c r="D40" s="6"/>
      <c r="F40" s="30">
        <f>G40-B40</f>
        <v>0.2631019099999321</v>
      </c>
      <c r="G40">
        <v>-1158.8595720000001</v>
      </c>
      <c r="H40" s="6">
        <f>(G40-$G$37)*627.51</f>
        <v>55.566010499963014</v>
      </c>
      <c r="I40" s="6"/>
    </row>
    <row r="41" spans="1:23" x14ac:dyDescent="0.2">
      <c r="A41" s="23"/>
      <c r="C41" s="6"/>
      <c r="H41" s="6"/>
      <c r="I41" s="15"/>
    </row>
    <row r="42" spans="1:23" x14ac:dyDescent="0.2">
      <c r="A42" s="23" t="s">
        <v>78</v>
      </c>
      <c r="B42">
        <v>-1159.1146093</v>
      </c>
      <c r="C42" s="6">
        <f>(B42-$B$37)*627.51</f>
        <v>63.699236636129342</v>
      </c>
      <c r="F42" s="30">
        <f>G42-B42</f>
        <v>0.26185830000008536</v>
      </c>
      <c r="G42">
        <v>-1158.8527509999999</v>
      </c>
      <c r="H42" s="6">
        <f>(G42-$G$37)*627.51</f>
        <v>59.846256210071395</v>
      </c>
      <c r="I42" s="18"/>
    </row>
  </sheetData>
  <mergeCells count="8">
    <mergeCell ref="A36:H36"/>
    <mergeCell ref="A3:C3"/>
    <mergeCell ref="D3:H3"/>
    <mergeCell ref="L4:N4"/>
    <mergeCell ref="A6:H6"/>
    <mergeCell ref="A16:H16"/>
    <mergeCell ref="A26:H26"/>
    <mergeCell ref="L21:N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315C-B89D-FE40-9E0F-6D3EC60D53DD}">
  <dimension ref="A1:W42"/>
  <sheetViews>
    <sheetView workbookViewId="0"/>
  </sheetViews>
  <sheetFormatPr baseColWidth="10" defaultRowHeight="16" x14ac:dyDescent="0.2"/>
  <cols>
    <col min="1" max="1" width="27.6640625" customWidth="1"/>
    <col min="5" max="5" width="7.5" customWidth="1"/>
    <col min="6" max="6" width="16.33203125" customWidth="1"/>
    <col min="9" max="9" width="12.1640625" customWidth="1"/>
    <col min="15" max="15" width="12.1640625" bestFit="1" customWidth="1"/>
    <col min="16" max="16" width="16" customWidth="1"/>
    <col min="21" max="21" width="12.1640625" customWidth="1"/>
    <col min="22" max="22" width="15" customWidth="1"/>
  </cols>
  <sheetData>
    <row r="1" spans="1:23" ht="19" x14ac:dyDescent="0.25">
      <c r="A1" s="1" t="s">
        <v>21</v>
      </c>
      <c r="B1" s="30"/>
      <c r="C1" s="30"/>
      <c r="D1" s="30"/>
      <c r="E1" s="30"/>
      <c r="F1" s="30"/>
      <c r="G1" s="30"/>
      <c r="H1" s="30"/>
      <c r="I1" s="26"/>
      <c r="J1" s="26"/>
    </row>
    <row r="2" spans="1:23" s="20" customFormat="1" x14ac:dyDescent="0.2">
      <c r="B2" s="24"/>
      <c r="C2" s="36"/>
      <c r="D2" s="21"/>
      <c r="E2" s="36"/>
      <c r="G2" s="21"/>
      <c r="H2" s="21"/>
      <c r="J2" s="25"/>
    </row>
    <row r="3" spans="1:23" ht="17" thickBot="1" x14ac:dyDescent="0.25">
      <c r="A3" s="132" t="s">
        <v>0</v>
      </c>
      <c r="B3" s="132"/>
      <c r="C3" s="132"/>
      <c r="D3" s="132" t="s">
        <v>84</v>
      </c>
      <c r="E3" s="132"/>
      <c r="F3" s="132"/>
      <c r="G3" s="132"/>
      <c r="H3" s="132"/>
      <c r="J3" s="6"/>
    </row>
    <row r="4" spans="1:23" ht="35" thickBot="1" x14ac:dyDescent="0.25">
      <c r="A4" s="8" t="s">
        <v>2</v>
      </c>
      <c r="B4" s="5" t="s">
        <v>3</v>
      </c>
      <c r="C4" s="9" t="s">
        <v>4</v>
      </c>
      <c r="D4" s="9"/>
      <c r="E4" s="9"/>
      <c r="F4" s="9" t="s">
        <v>8</v>
      </c>
      <c r="G4" s="10" t="s">
        <v>5</v>
      </c>
      <c r="H4" s="11" t="s">
        <v>6</v>
      </c>
      <c r="L4" s="129" t="s">
        <v>7</v>
      </c>
      <c r="M4" s="130"/>
      <c r="N4" s="131"/>
    </row>
    <row r="6" spans="1:23" x14ac:dyDescent="0.2">
      <c r="A6" s="128" t="s">
        <v>74</v>
      </c>
      <c r="B6" s="128"/>
      <c r="C6" s="128"/>
      <c r="D6" s="128"/>
      <c r="E6" s="128"/>
      <c r="F6" s="128"/>
      <c r="G6" s="128"/>
      <c r="H6" s="128"/>
    </row>
    <row r="7" spans="1:23" x14ac:dyDescent="0.2">
      <c r="B7" s="12"/>
      <c r="C7" s="12"/>
      <c r="D7" s="12"/>
      <c r="F7" s="30"/>
    </row>
    <row r="8" spans="1:23" x14ac:dyDescent="0.2">
      <c r="A8" s="13" t="s">
        <v>22</v>
      </c>
      <c r="B8" s="30">
        <v>-1363.42153828</v>
      </c>
      <c r="C8" s="6"/>
      <c r="E8" s="30"/>
      <c r="F8" s="30">
        <f>G8-B8</f>
        <v>0.2705972799999472</v>
      </c>
      <c r="G8" s="30">
        <v>-1363.1509410000001</v>
      </c>
      <c r="H8" s="6"/>
    </row>
    <row r="9" spans="1:23" x14ac:dyDescent="0.2">
      <c r="A9" s="13" t="s">
        <v>23</v>
      </c>
      <c r="B9" s="4">
        <v>-1363.3281628499999</v>
      </c>
      <c r="C9" s="6">
        <f>(B9-$B$8)*627.51</f>
        <v>58.59401607939477</v>
      </c>
      <c r="E9" s="13"/>
      <c r="F9" s="30">
        <f>G9-B9</f>
        <v>0.26538784999979725</v>
      </c>
      <c r="G9" s="4">
        <v>-1363.0627750000001</v>
      </c>
      <c r="H9" s="6">
        <f>(G9-$G$8)*627.51</f>
        <v>55.325046660000673</v>
      </c>
      <c r="I9" s="4"/>
      <c r="J9" s="4"/>
      <c r="K9" s="4"/>
      <c r="L9" s="4"/>
      <c r="M9" s="4"/>
      <c r="N9" s="4"/>
      <c r="O9" s="4"/>
    </row>
    <row r="10" spans="1:23" x14ac:dyDescent="0.2">
      <c r="A10" s="13"/>
      <c r="C10" s="6"/>
    </row>
    <row r="11" spans="1:23" x14ac:dyDescent="0.2">
      <c r="A11" s="23" t="s">
        <v>77</v>
      </c>
      <c r="B11">
        <v>-1363.3253963100001</v>
      </c>
      <c r="C11" s="6">
        <f>(B11-$B$8)*627.51</f>
        <v>60.330047594676394</v>
      </c>
      <c r="D11" s="6"/>
      <c r="F11" s="30">
        <f>G11-B11</f>
        <v>0.26524331000018719</v>
      </c>
      <c r="G11">
        <v>-1363.0601529999999</v>
      </c>
      <c r="H11" s="6">
        <f>(G11-$G$8)*627.51</f>
        <v>56.970377880126989</v>
      </c>
      <c r="I11" s="6"/>
      <c r="L11" s="28"/>
      <c r="M11" s="28"/>
      <c r="N11" s="28"/>
      <c r="P11" s="31"/>
      <c r="Q11" s="31"/>
      <c r="R11" s="32"/>
      <c r="S11" s="31"/>
      <c r="T11" s="31"/>
      <c r="U11" s="31"/>
      <c r="V11" s="31"/>
      <c r="W11" s="31"/>
    </row>
    <row r="12" spans="1:23" x14ac:dyDescent="0.2">
      <c r="A12" s="23"/>
      <c r="C12" s="6"/>
      <c r="H12" s="6"/>
      <c r="I12" s="15"/>
      <c r="L12" s="35"/>
      <c r="M12" s="35"/>
      <c r="N12" s="35"/>
      <c r="P12" s="33"/>
      <c r="Q12" s="33"/>
      <c r="R12" s="33"/>
      <c r="S12" s="33"/>
      <c r="T12" s="33"/>
      <c r="U12" s="33"/>
      <c r="V12" s="33"/>
      <c r="W12" s="33"/>
    </row>
    <row r="13" spans="1:23" x14ac:dyDescent="0.2">
      <c r="A13" s="23" t="s">
        <v>78</v>
      </c>
      <c r="B13">
        <v>-1363.31877405</v>
      </c>
      <c r="C13" s="6">
        <f>(B13-$B$8)*627.51</f>
        <v>64.485581967330106</v>
      </c>
      <c r="D13" s="6"/>
      <c r="F13" s="30">
        <f>G13-B13</f>
        <v>0.26342705000001843</v>
      </c>
      <c r="G13">
        <v>-1363.055347</v>
      </c>
      <c r="H13" s="6">
        <f>(G13-$G$8)*627.51</f>
        <v>59.986190940074792</v>
      </c>
      <c r="P13" s="31"/>
      <c r="Q13" s="31"/>
      <c r="R13" s="32"/>
      <c r="S13" s="31"/>
      <c r="T13" s="31"/>
      <c r="U13" s="34"/>
      <c r="V13" s="31"/>
      <c r="W13" s="31"/>
    </row>
    <row r="14" spans="1:23" x14ac:dyDescent="0.2">
      <c r="A14" s="23"/>
      <c r="P14" s="31"/>
      <c r="Q14" s="31"/>
      <c r="R14" s="32"/>
      <c r="S14" s="31"/>
      <c r="T14" s="31"/>
      <c r="U14" s="31"/>
      <c r="V14" s="31"/>
      <c r="W14" s="31"/>
    </row>
    <row r="15" spans="1:23" ht="17" thickBot="1" x14ac:dyDescent="0.25">
      <c r="C15" s="6"/>
      <c r="H15" s="6"/>
      <c r="I15" s="6"/>
      <c r="L15" s="30"/>
    </row>
    <row r="16" spans="1:23" x14ac:dyDescent="0.2">
      <c r="A16" s="128" t="s">
        <v>73</v>
      </c>
      <c r="B16" s="128"/>
      <c r="C16" s="128"/>
      <c r="D16" s="128"/>
      <c r="E16" s="128"/>
      <c r="F16" s="128"/>
      <c r="G16" s="128"/>
      <c r="H16" s="128"/>
      <c r="P16" s="53" t="s">
        <v>101</v>
      </c>
      <c r="Q16" s="3"/>
      <c r="R16" s="3" t="s">
        <v>88</v>
      </c>
      <c r="S16" s="3"/>
      <c r="T16" s="3"/>
      <c r="U16" s="3"/>
      <c r="V16" s="3"/>
      <c r="W16" s="54"/>
    </row>
    <row r="17" spans="1:23" x14ac:dyDescent="0.2">
      <c r="A17" s="38"/>
      <c r="B17" s="38"/>
      <c r="C17" s="38"/>
      <c r="D17" s="38"/>
      <c r="E17" s="38"/>
      <c r="F17" s="38"/>
      <c r="G17" s="38"/>
      <c r="H17" s="38"/>
      <c r="P17" s="55" t="s">
        <v>89</v>
      </c>
      <c r="R17" t="s">
        <v>90</v>
      </c>
      <c r="W17" s="56"/>
    </row>
    <row r="18" spans="1:23" x14ac:dyDescent="0.2">
      <c r="A18" s="13" t="s">
        <v>24</v>
      </c>
      <c r="B18" s="30">
        <v>-1363.41945319</v>
      </c>
      <c r="C18" s="6"/>
      <c r="E18" s="30"/>
      <c r="F18" s="30">
        <f>G18-B18</f>
        <v>0.27008318999992298</v>
      </c>
      <c r="G18" s="30">
        <v>-1363.1493700000001</v>
      </c>
      <c r="H18" s="6"/>
      <c r="P18" s="55" t="s">
        <v>91</v>
      </c>
      <c r="R18">
        <v>157.51599999999999</v>
      </c>
      <c r="T18" s="7" t="s">
        <v>92</v>
      </c>
      <c r="U18" s="57" t="s">
        <v>93</v>
      </c>
      <c r="V18" s="7" t="s">
        <v>102</v>
      </c>
      <c r="W18" s="56"/>
    </row>
    <row r="19" spans="1:23" x14ac:dyDescent="0.2">
      <c r="A19" s="13" t="s">
        <v>25</v>
      </c>
      <c r="B19" s="4">
        <v>-1363.3293839299999</v>
      </c>
      <c r="C19" s="6">
        <f>(B19-$B$18)*627.51</f>
        <v>56.519361342640082</v>
      </c>
      <c r="E19" s="13"/>
      <c r="F19" s="30">
        <f>G19-B19</f>
        <v>0.26437093000004097</v>
      </c>
      <c r="G19" s="4">
        <v>-1363.0650129999999</v>
      </c>
      <c r="H19" s="6">
        <f>(G19-$G$18)*627.51</f>
        <v>52.934861070114124</v>
      </c>
      <c r="I19" s="4"/>
      <c r="P19" s="55" t="s">
        <v>94</v>
      </c>
      <c r="R19" s="58">
        <v>2.1829999999999998</v>
      </c>
      <c r="T19">
        <v>-1362.9793609999999</v>
      </c>
      <c r="U19">
        <f>-298.15*(R18-R24)/(1000*627.51)</f>
        <v>-7.2633409029338167E-2</v>
      </c>
      <c r="V19">
        <f>U19+T19</f>
        <v>-1363.0519944090292</v>
      </c>
      <c r="W19" s="56"/>
    </row>
    <row r="20" spans="1:23" ht="17" thickBot="1" x14ac:dyDescent="0.25">
      <c r="A20" s="13"/>
      <c r="C20" s="6"/>
      <c r="H20" s="6"/>
      <c r="P20" s="55" t="s">
        <v>95</v>
      </c>
      <c r="R20">
        <v>43.603000000000002</v>
      </c>
      <c r="W20" s="56"/>
    </row>
    <row r="21" spans="1:23" x14ac:dyDescent="0.2">
      <c r="A21" s="23" t="s">
        <v>77</v>
      </c>
      <c r="B21">
        <v>-1363.31756733</v>
      </c>
      <c r="C21" s="6">
        <f>(B21-$B$18)*627.51</f>
        <v>63.934396008624169</v>
      </c>
      <c r="D21" s="6"/>
      <c r="F21" s="30">
        <f>G22-B21</f>
        <v>0.26336532999994233</v>
      </c>
      <c r="G21">
        <f>V19</f>
        <v>-1363.0519944090292</v>
      </c>
      <c r="H21" s="6">
        <f>(G21-$G$18)*627.51</f>
        <v>61.1041570901128</v>
      </c>
      <c r="I21" s="6" t="s">
        <v>87</v>
      </c>
      <c r="L21" s="108" t="s">
        <v>124</v>
      </c>
      <c r="M21" s="109"/>
      <c r="N21" s="110"/>
      <c r="P21" s="55" t="s">
        <v>96</v>
      </c>
      <c r="R21" s="59">
        <v>35.58</v>
      </c>
      <c r="W21" s="56"/>
    </row>
    <row r="22" spans="1:23" ht="17" thickBot="1" x14ac:dyDescent="0.25">
      <c r="A22" s="23"/>
      <c r="C22" s="6"/>
      <c r="F22" s="30">
        <f>G22-B21</f>
        <v>0.26336532999994233</v>
      </c>
      <c r="G22">
        <v>-1363.054202</v>
      </c>
      <c r="H22" s="6">
        <f>(G22-$G$18)*627.51</f>
        <v>59.718871680036315</v>
      </c>
      <c r="I22" s="15" t="s">
        <v>103</v>
      </c>
      <c r="L22" s="111"/>
      <c r="M22" s="112"/>
      <c r="N22" s="113"/>
      <c r="P22" s="55" t="s">
        <v>97</v>
      </c>
      <c r="R22" s="60">
        <v>76.150999999999996</v>
      </c>
      <c r="W22" s="56"/>
    </row>
    <row r="23" spans="1:23" x14ac:dyDescent="0.2">
      <c r="I23" s="18"/>
      <c r="P23" s="55" t="s">
        <v>98</v>
      </c>
      <c r="R23">
        <v>4.8040000000000003</v>
      </c>
      <c r="W23" s="56"/>
    </row>
    <row r="24" spans="1:23" x14ac:dyDescent="0.2">
      <c r="A24" s="23" t="s">
        <v>78</v>
      </c>
      <c r="B24">
        <v>-1363.31880299</v>
      </c>
      <c r="C24" s="6">
        <f>(B24-$B$18)*627.51</f>
        <v>63.159007002011442</v>
      </c>
      <c r="F24" s="30">
        <f>G24-B24</f>
        <v>0.26361999000005198</v>
      </c>
      <c r="G24">
        <v>-1363.0551829999999</v>
      </c>
      <c r="H24" s="6">
        <f>(G24-$G$18)*627.51</f>
        <v>59.103284370092389</v>
      </c>
      <c r="P24" s="55" t="s">
        <v>99</v>
      </c>
      <c r="R24">
        <v>4.6459999999999999</v>
      </c>
      <c r="W24" s="56"/>
    </row>
    <row r="25" spans="1:23" ht="17" thickBot="1" x14ac:dyDescent="0.25">
      <c r="P25" s="61" t="s">
        <v>100</v>
      </c>
      <c r="Q25" s="62"/>
      <c r="R25" s="62">
        <v>3.9129999999999998</v>
      </c>
      <c r="S25" s="62"/>
      <c r="T25" s="62"/>
      <c r="U25" s="62"/>
      <c r="V25" s="62"/>
      <c r="W25" s="63"/>
    </row>
    <row r="26" spans="1:23" x14ac:dyDescent="0.2">
      <c r="A26" s="128" t="s">
        <v>76</v>
      </c>
      <c r="B26" s="128"/>
      <c r="C26" s="128"/>
      <c r="D26" s="128"/>
      <c r="E26" s="128"/>
      <c r="F26" s="128"/>
      <c r="G26" s="128"/>
      <c r="H26" s="128"/>
    </row>
    <row r="27" spans="1:23" x14ac:dyDescent="0.2">
      <c r="B27" s="12"/>
      <c r="C27" s="12"/>
      <c r="D27" s="12"/>
      <c r="F27" s="30"/>
    </row>
    <row r="28" spans="1:23" x14ac:dyDescent="0.2">
      <c r="A28" s="13" t="s">
        <v>79</v>
      </c>
      <c r="B28" s="30">
        <v>-1158.9735674900001</v>
      </c>
      <c r="C28" s="6"/>
      <c r="E28" s="30"/>
      <c r="F28" s="30">
        <f>G28-B28</f>
        <v>0.27163349000011294</v>
      </c>
      <c r="G28" s="30">
        <v>-1158.7019339999999</v>
      </c>
      <c r="H28" s="6"/>
    </row>
    <row r="29" spans="1:23" x14ac:dyDescent="0.2">
      <c r="A29" s="13" t="s">
        <v>80</v>
      </c>
      <c r="B29" s="4">
        <v>-1158.88217601</v>
      </c>
      <c r="C29" s="6">
        <f>(B29-$B$28)*627.51</f>
        <v>57.34906761485265</v>
      </c>
      <c r="E29" s="13"/>
      <c r="F29" s="30">
        <f>G29-B29</f>
        <v>0.26644600999998147</v>
      </c>
      <c r="G29" s="4">
        <v>-1158.61573</v>
      </c>
      <c r="H29" s="6">
        <f>(G29-$G$28)*627.51</f>
        <v>54.093872039970151</v>
      </c>
      <c r="I29" s="4"/>
      <c r="J29" s="4"/>
      <c r="K29" s="4"/>
      <c r="L29" s="4"/>
      <c r="M29" s="4"/>
      <c r="N29" s="4"/>
      <c r="O29" s="4"/>
    </row>
    <row r="30" spans="1:23" x14ac:dyDescent="0.2">
      <c r="A30" s="13"/>
      <c r="C30" s="6"/>
    </row>
    <row r="31" spans="1:23" x14ac:dyDescent="0.2">
      <c r="A31" s="23" t="s">
        <v>77</v>
      </c>
      <c r="B31">
        <v>-1158.8713621300001</v>
      </c>
      <c r="C31" s="6">
        <f>(B31-$B$28)*627.51</f>
        <v>64.134885453581688</v>
      </c>
      <c r="D31" s="6"/>
      <c r="F31" s="30">
        <f>G31-B31</f>
        <v>0.26585513000009087</v>
      </c>
      <c r="G31">
        <v>-1158.605507</v>
      </c>
      <c r="H31" s="6">
        <f>(G31-$G$28)*627.51</f>
        <v>60.508906769967837</v>
      </c>
      <c r="I31" s="6"/>
      <c r="L31" s="28"/>
      <c r="M31" s="28"/>
      <c r="N31" s="28"/>
      <c r="P31" s="31"/>
      <c r="Q31" s="31"/>
      <c r="R31" s="32"/>
      <c r="S31" s="31"/>
      <c r="T31" s="31"/>
      <c r="U31" s="31"/>
      <c r="V31" s="31"/>
      <c r="W31" s="31"/>
    </row>
    <row r="32" spans="1:23" x14ac:dyDescent="0.2">
      <c r="A32" s="23"/>
      <c r="C32" s="6"/>
      <c r="H32" s="6"/>
      <c r="I32" s="15"/>
      <c r="L32" s="35"/>
      <c r="M32" s="35"/>
      <c r="N32" s="35"/>
      <c r="P32" s="33"/>
      <c r="Q32" s="33"/>
      <c r="R32" s="33"/>
      <c r="S32" s="33"/>
      <c r="T32" s="33"/>
      <c r="U32" s="33"/>
      <c r="V32" s="33"/>
      <c r="W32" s="33"/>
    </row>
    <row r="33" spans="1:23" x14ac:dyDescent="0.2">
      <c r="A33" s="23" t="s">
        <v>78</v>
      </c>
      <c r="B33">
        <v>-1158.8642163</v>
      </c>
      <c r="C33" s="6">
        <f>(B33-$B$28)*627.51</f>
        <v>68.618965236961259</v>
      </c>
      <c r="D33" s="6"/>
      <c r="F33" s="30">
        <f>G33-B33</f>
        <v>0.26392229999987649</v>
      </c>
      <c r="G33">
        <v>-1158.6002940000001</v>
      </c>
      <c r="H33" s="6">
        <f>(G33-$G$28)*627.51</f>
        <v>63.780116399912885</v>
      </c>
      <c r="P33" s="31"/>
      <c r="Q33" s="31"/>
      <c r="R33" s="32"/>
      <c r="S33" s="31"/>
      <c r="T33" s="31"/>
      <c r="U33" s="34"/>
      <c r="V33" s="31"/>
      <c r="W33" s="31"/>
    </row>
    <row r="34" spans="1:23" x14ac:dyDescent="0.2">
      <c r="A34" s="23"/>
      <c r="P34" s="31"/>
      <c r="Q34" s="31"/>
      <c r="R34" s="32"/>
      <c r="S34" s="31"/>
      <c r="T34" s="31"/>
      <c r="U34" s="31"/>
      <c r="V34" s="31"/>
      <c r="W34" s="31"/>
    </row>
    <row r="35" spans="1:23" x14ac:dyDescent="0.2">
      <c r="C35" s="6"/>
      <c r="H35" s="6"/>
      <c r="I35" s="6"/>
      <c r="L35" s="30"/>
    </row>
    <row r="36" spans="1:23" x14ac:dyDescent="0.2">
      <c r="A36" s="128" t="s">
        <v>75</v>
      </c>
      <c r="B36" s="128"/>
      <c r="C36" s="128"/>
      <c r="D36" s="128"/>
      <c r="E36" s="128"/>
      <c r="F36" s="128"/>
      <c r="G36" s="128"/>
      <c r="H36" s="128"/>
    </row>
    <row r="37" spans="1:23" x14ac:dyDescent="0.2">
      <c r="A37" s="13" t="s">
        <v>81</v>
      </c>
      <c r="B37" s="30">
        <v>-1158.97176773</v>
      </c>
      <c r="C37" s="6"/>
      <c r="E37" s="30"/>
      <c r="F37" s="30">
        <f>G37-B37</f>
        <v>0.27078473000005943</v>
      </c>
      <c r="G37" s="30">
        <v>-1158.700983</v>
      </c>
      <c r="H37" s="6"/>
      <c r="J37" s="30"/>
    </row>
    <row r="38" spans="1:23" x14ac:dyDescent="0.2">
      <c r="A38" s="13" t="s">
        <v>82</v>
      </c>
      <c r="B38" s="4">
        <v>-1158.8830814099999</v>
      </c>
      <c r="C38" s="6">
        <f>(B38-$B$37)*627.51</f>
        <v>55.651552663249525</v>
      </c>
      <c r="E38" s="13"/>
      <c r="F38" s="30">
        <f>G38-B38</f>
        <v>0.26512340999988737</v>
      </c>
      <c r="G38" s="4">
        <v>-1158.617958</v>
      </c>
      <c r="H38" s="6">
        <f>(G38-$G$37)*627.51</f>
        <v>52.099017749941559</v>
      </c>
      <c r="I38" s="4"/>
      <c r="J38" s="4"/>
    </row>
    <row r="39" spans="1:23" x14ac:dyDescent="0.2">
      <c r="A39" s="13"/>
      <c r="C39" s="6"/>
      <c r="H39" s="6"/>
    </row>
    <row r="40" spans="1:23" x14ac:dyDescent="0.2">
      <c r="A40" s="23" t="s">
        <v>77</v>
      </c>
      <c r="B40">
        <v>-1158.8761403399999</v>
      </c>
      <c r="C40" s="6">
        <f>(B40-$B$37)*627.51</f>
        <v>60.007143498973974</v>
      </c>
      <c r="D40" s="6"/>
      <c r="F40" s="30">
        <f>G40-B40</f>
        <v>0.26583333999997194</v>
      </c>
      <c r="G40">
        <v>-1158.6103069999999</v>
      </c>
      <c r="H40" s="6">
        <f>(G40-$G$37)*627.51</f>
        <v>56.900096760019075</v>
      </c>
      <c r="I40" s="6"/>
    </row>
    <row r="41" spans="1:23" x14ac:dyDescent="0.2">
      <c r="A41" s="23"/>
      <c r="C41" s="6"/>
      <c r="H41" s="6"/>
      <c r="I41" s="15"/>
    </row>
    <row r="42" spans="1:23" x14ac:dyDescent="0.2">
      <c r="A42" s="23" t="s">
        <v>78</v>
      </c>
      <c r="B42">
        <v>-1158.86550878</v>
      </c>
      <c r="C42" s="6">
        <f>(B42-$B$37)*627.51</f>
        <v>66.678553714489382</v>
      </c>
      <c r="F42" s="30">
        <f>G42-B42</f>
        <v>0.26449378000006618</v>
      </c>
      <c r="G42">
        <v>-1158.601015</v>
      </c>
      <c r="H42" s="6">
        <f>(G42-$G$37)*627.51</f>
        <v>62.730919679993626</v>
      </c>
      <c r="I42" s="18"/>
    </row>
  </sheetData>
  <mergeCells count="8">
    <mergeCell ref="A36:H36"/>
    <mergeCell ref="A3:C3"/>
    <mergeCell ref="D3:H3"/>
    <mergeCell ref="L4:N4"/>
    <mergeCell ref="A6:H6"/>
    <mergeCell ref="A16:H16"/>
    <mergeCell ref="A26:H26"/>
    <mergeCell ref="L21:N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BBCC-916F-A440-B88E-6A5251CD81FC}">
  <dimension ref="A1:J43"/>
  <sheetViews>
    <sheetView workbookViewId="0"/>
  </sheetViews>
  <sheetFormatPr baseColWidth="10" defaultRowHeight="16" x14ac:dyDescent="0.2"/>
  <cols>
    <col min="1" max="1" width="27.6640625" customWidth="1"/>
    <col min="2" max="2" width="13.1640625" customWidth="1"/>
    <col min="5" max="5" width="17.1640625" customWidth="1"/>
    <col min="6" max="6" width="16.33203125" customWidth="1"/>
    <col min="7" max="7" width="14.6640625" customWidth="1"/>
    <col min="8" max="8" width="12" customWidth="1"/>
    <col min="9" max="9" width="12.1640625" customWidth="1"/>
  </cols>
  <sheetData>
    <row r="1" spans="1:10" ht="19" x14ac:dyDescent="0.25">
      <c r="A1" s="1" t="s">
        <v>21</v>
      </c>
      <c r="B1" s="30"/>
      <c r="C1" s="30"/>
      <c r="D1" s="30"/>
      <c r="E1" s="30"/>
      <c r="F1" s="30"/>
      <c r="G1" s="30"/>
      <c r="H1" s="30"/>
      <c r="I1" s="26"/>
      <c r="J1" s="26"/>
    </row>
    <row r="2" spans="1:10" s="20" customFormat="1" x14ac:dyDescent="0.2">
      <c r="B2" s="24"/>
      <c r="C2" s="133"/>
      <c r="D2" s="133"/>
      <c r="E2" s="133"/>
      <c r="F2" s="133"/>
      <c r="G2" s="133"/>
      <c r="H2" s="133"/>
      <c r="I2" s="133"/>
      <c r="J2" s="25"/>
    </row>
    <row r="3" spans="1:10" ht="17" thickBot="1" x14ac:dyDescent="0.25">
      <c r="A3" s="132" t="s">
        <v>146</v>
      </c>
      <c r="B3" s="132"/>
      <c r="C3" s="132"/>
      <c r="D3" s="132"/>
      <c r="E3" s="132"/>
      <c r="F3" s="132"/>
      <c r="G3" s="132"/>
      <c r="H3" s="132"/>
      <c r="J3" s="6"/>
    </row>
    <row r="4" spans="1:10" ht="35" thickBot="1" x14ac:dyDescent="0.25">
      <c r="A4" s="8" t="s">
        <v>2</v>
      </c>
      <c r="B4" s="5" t="s">
        <v>3</v>
      </c>
      <c r="C4" s="9" t="s">
        <v>4</v>
      </c>
      <c r="D4" s="9"/>
      <c r="E4" s="9"/>
      <c r="F4" s="9" t="s">
        <v>8</v>
      </c>
      <c r="G4" s="10" t="s">
        <v>5</v>
      </c>
      <c r="H4" s="11" t="s">
        <v>6</v>
      </c>
    </row>
    <row r="6" spans="1:10" x14ac:dyDescent="0.2">
      <c r="A6" s="128" t="s">
        <v>74</v>
      </c>
      <c r="B6" s="128"/>
      <c r="C6" s="128"/>
      <c r="D6" s="128"/>
      <c r="E6" s="128"/>
      <c r="F6" s="128"/>
      <c r="G6" s="128"/>
      <c r="H6" s="128"/>
    </row>
    <row r="7" spans="1:10" x14ac:dyDescent="0.2">
      <c r="B7" s="12"/>
      <c r="C7" s="12"/>
      <c r="D7" s="12"/>
      <c r="F7" s="30"/>
    </row>
    <row r="8" spans="1:10" x14ac:dyDescent="0.2">
      <c r="A8" s="13" t="s">
        <v>22</v>
      </c>
      <c r="B8" s="30">
        <v>-1363.9041867927001</v>
      </c>
      <c r="C8" s="6"/>
      <c r="E8" s="30"/>
      <c r="F8" s="30">
        <v>0.26685949599996095</v>
      </c>
      <c r="G8" s="4">
        <f>B8+F8</f>
        <v>-1363.6373272967001</v>
      </c>
      <c r="H8" s="6"/>
    </row>
    <row r="9" spans="1:10" x14ac:dyDescent="0.2">
      <c r="A9" s="13" t="s">
        <v>23</v>
      </c>
      <c r="B9" s="4">
        <v>-1363.8127812403</v>
      </c>
      <c r="C9" s="6">
        <f>(B9-$B$8)*627.51</f>
        <v>57.35789818661619</v>
      </c>
      <c r="E9" s="13"/>
      <c r="F9" s="30">
        <v>0.26202677000001129</v>
      </c>
      <c r="G9" s="4">
        <f>B9+F9</f>
        <v>-1363.5507544703</v>
      </c>
      <c r="H9" s="6">
        <f>(G9-$G$8)*627.51</f>
        <v>54.32531429427366</v>
      </c>
      <c r="I9" s="4"/>
      <c r="J9" s="4"/>
    </row>
    <row r="10" spans="1:10" x14ac:dyDescent="0.2">
      <c r="A10" s="13"/>
      <c r="C10" s="6"/>
      <c r="F10" t="s">
        <v>117</v>
      </c>
    </row>
    <row r="11" spans="1:10" x14ac:dyDescent="0.2">
      <c r="A11" s="23" t="s">
        <v>77</v>
      </c>
      <c r="B11">
        <v>-1363.8073263109</v>
      </c>
      <c r="C11" s="6">
        <f>(B11-$B$8)*627.51</f>
        <v>60.78092093441181</v>
      </c>
      <c r="D11" s="6"/>
      <c r="F11" s="30">
        <v>0.26172294600005441</v>
      </c>
      <c r="G11" s="4">
        <f>B11+F11</f>
        <v>-1363.5456033649</v>
      </c>
      <c r="H11" s="6">
        <f>(G11-$G$8)*627.51</f>
        <v>57.557684443856346</v>
      </c>
      <c r="I11" s="6"/>
    </row>
    <row r="12" spans="1:10" x14ac:dyDescent="0.2">
      <c r="A12" s="23"/>
      <c r="C12" s="6"/>
      <c r="F12" t="s">
        <v>117</v>
      </c>
      <c r="H12" s="6"/>
      <c r="I12" s="15"/>
    </row>
    <row r="13" spans="1:10" x14ac:dyDescent="0.2">
      <c r="A13" s="23" t="s">
        <v>78</v>
      </c>
      <c r="B13">
        <v>-1363.8008879009999</v>
      </c>
      <c r="C13" s="6">
        <f>(B13-$B$8)*627.51</f>
        <v>64.821087530796135</v>
      </c>
      <c r="D13" s="6"/>
      <c r="F13" s="30">
        <v>0.25992762600003516</v>
      </c>
      <c r="G13" s="4">
        <f>B13+F13</f>
        <v>-1363.5409602749999</v>
      </c>
      <c r="H13" s="6">
        <f>(G13-$G$8)*627.51</f>
        <v>60.471269787085646</v>
      </c>
    </row>
    <row r="14" spans="1:10" x14ac:dyDescent="0.2">
      <c r="A14" s="23"/>
    </row>
    <row r="15" spans="1:10" x14ac:dyDescent="0.2">
      <c r="C15" s="6"/>
      <c r="H15" s="6"/>
      <c r="I15" s="6"/>
    </row>
    <row r="16" spans="1:10" x14ac:dyDescent="0.2">
      <c r="A16" s="128" t="s">
        <v>73</v>
      </c>
      <c r="B16" s="128"/>
      <c r="C16" s="128"/>
      <c r="D16" s="128"/>
      <c r="E16" s="128"/>
      <c r="F16" s="128"/>
      <c r="G16" s="128"/>
      <c r="H16" s="128"/>
    </row>
    <row r="17" spans="1:10" x14ac:dyDescent="0.2">
      <c r="A17" s="38"/>
      <c r="B17" s="38"/>
      <c r="C17" s="38"/>
      <c r="D17" s="38"/>
      <c r="E17" s="38"/>
      <c r="F17" s="38"/>
      <c r="G17" s="38"/>
      <c r="H17" s="38"/>
    </row>
    <row r="18" spans="1:10" x14ac:dyDescent="0.2">
      <c r="A18" s="13" t="s">
        <v>24</v>
      </c>
      <c r="B18" s="30">
        <v>-1363.9021230962001</v>
      </c>
      <c r="C18" s="6"/>
      <c r="E18" s="30"/>
      <c r="F18" s="30">
        <v>0.26641517999996722</v>
      </c>
      <c r="G18" s="4">
        <f>B18+F18</f>
        <v>-1363.6357079162001</v>
      </c>
      <c r="H18" s="6"/>
    </row>
    <row r="19" spans="1:10" x14ac:dyDescent="0.2">
      <c r="A19" s="13" t="s">
        <v>25</v>
      </c>
      <c r="B19" s="4">
        <v>-1363.812998995</v>
      </c>
      <c r="C19" s="6">
        <f>(B19-$B$18)*627.51</f>
        <v>55.926264744020585</v>
      </c>
      <c r="E19" s="13"/>
      <c r="F19" s="30">
        <v>0.26105588400000668</v>
      </c>
      <c r="G19" s="4">
        <f>B19+F19</f>
        <v>-1363.5519431110001</v>
      </c>
      <c r="H19" s="6">
        <f>(G19-$G$18)*627.51</f>
        <v>52.563252911028286</v>
      </c>
      <c r="I19" s="4"/>
    </row>
    <row r="20" spans="1:10" x14ac:dyDescent="0.2">
      <c r="A20" s="13"/>
      <c r="C20" s="6"/>
      <c r="F20" t="s">
        <v>117</v>
      </c>
      <c r="H20" s="6"/>
    </row>
    <row r="21" spans="1:10" x14ac:dyDescent="0.2">
      <c r="A21" s="23" t="s">
        <v>77</v>
      </c>
      <c r="B21">
        <v>-1363.8025884132001</v>
      </c>
      <c r="C21" s="6">
        <f>(B21-$B$18)*627.51</f>
        <v>62.459008929331056</v>
      </c>
      <c r="F21" s="30">
        <v>0.26201470672235699</v>
      </c>
      <c r="G21" s="4">
        <f>B21+F21</f>
        <v>-1363.5405737064777</v>
      </c>
      <c r="H21" s="6">
        <f>(G21-$G$18)*627.51</f>
        <v>59.69766794286933</v>
      </c>
      <c r="I21" s="6" t="s">
        <v>87</v>
      </c>
    </row>
    <row r="22" spans="1:10" x14ac:dyDescent="0.2">
      <c r="A22" s="23"/>
      <c r="B22">
        <v>-1363.8025884132001</v>
      </c>
      <c r="C22" s="6"/>
      <c r="F22" s="30">
        <v>0.26014423799997533</v>
      </c>
      <c r="G22" s="4">
        <f>B22+F22</f>
        <v>-1363.5424441752</v>
      </c>
      <c r="H22" s="6">
        <f>(G22-$G$18)*627.51</f>
        <v>58.523930114973197</v>
      </c>
      <c r="I22" s="15" t="s">
        <v>103</v>
      </c>
    </row>
    <row r="23" spans="1:10" x14ac:dyDescent="0.2">
      <c r="F23" t="s">
        <v>117</v>
      </c>
      <c r="I23" s="18"/>
    </row>
    <row r="24" spans="1:10" x14ac:dyDescent="0.2">
      <c r="A24" s="23" t="s">
        <v>78</v>
      </c>
      <c r="B24">
        <v>-1363.8019719967001</v>
      </c>
      <c r="C24" s="6">
        <f>(B24-$B$18)*627.51</f>
        <v>62.84581644721581</v>
      </c>
      <c r="F24" s="30">
        <v>0.26011412600005313</v>
      </c>
      <c r="G24" s="4">
        <f>B24+F24</f>
        <v>-1363.5418578707001</v>
      </c>
      <c r="H24" s="6">
        <f>(G24-$G$18)*627.51</f>
        <v>58.891842051672661</v>
      </c>
    </row>
    <row r="26" spans="1:10" x14ac:dyDescent="0.2">
      <c r="A26" s="128" t="s">
        <v>76</v>
      </c>
      <c r="B26" s="128"/>
      <c r="C26" s="128"/>
      <c r="D26" s="128"/>
      <c r="E26" s="128"/>
      <c r="F26" s="128"/>
      <c r="G26" s="128"/>
      <c r="H26" s="128"/>
    </row>
    <row r="27" spans="1:10" x14ac:dyDescent="0.2">
      <c r="B27" s="12"/>
      <c r="C27" s="12"/>
      <c r="D27" s="12"/>
      <c r="F27" s="30"/>
    </row>
    <row r="28" spans="1:10" x14ac:dyDescent="0.2">
      <c r="A28" s="13" t="s">
        <v>79</v>
      </c>
      <c r="B28" s="30">
        <v>-1159.365268732</v>
      </c>
      <c r="C28" s="6"/>
      <c r="E28" s="30"/>
      <c r="F28" s="30">
        <v>0.2676120860000083</v>
      </c>
      <c r="G28" s="4">
        <f>B28+F28</f>
        <v>-1159.0976566459999</v>
      </c>
      <c r="H28" s="6"/>
    </row>
    <row r="29" spans="1:10" x14ac:dyDescent="0.2">
      <c r="A29" s="13" t="s">
        <v>80</v>
      </c>
      <c r="B29" s="4">
        <v>-1159.2759361676999</v>
      </c>
      <c r="C29" s="6">
        <f>(B29-$B$28)*627.51</f>
        <v>56.057077423951675</v>
      </c>
      <c r="E29" s="13"/>
      <c r="F29" s="30">
        <v>0.26321663000003354</v>
      </c>
      <c r="G29" s="4">
        <f>B29+F29</f>
        <v>-1159.0127195376999</v>
      </c>
      <c r="H29" s="6">
        <f>(G29-$G$28)*627.51</f>
        <v>53.298884829321928</v>
      </c>
      <c r="I29" s="4"/>
      <c r="J29" s="4"/>
    </row>
    <row r="30" spans="1:10" x14ac:dyDescent="0.2">
      <c r="A30" s="13"/>
      <c r="C30" s="6"/>
      <c r="F30" t="s">
        <v>117</v>
      </c>
    </row>
    <row r="31" spans="1:10" x14ac:dyDescent="0.2">
      <c r="A31" s="23" t="s">
        <v>77</v>
      </c>
      <c r="B31">
        <v>-1159.2628843177999</v>
      </c>
      <c r="C31" s="6">
        <f>(B31-$B$28)*627.51</f>
        <v>64.247243754679545</v>
      </c>
      <c r="D31" s="6"/>
      <c r="F31" s="30">
        <v>0.26247778600009042</v>
      </c>
      <c r="G31" s="4">
        <f>B31+F31</f>
        <v>-1159.0004065317999</v>
      </c>
      <c r="H31" s="6">
        <f>(G31-$G$28)*627.51</f>
        <v>61.025419161674023</v>
      </c>
      <c r="I31" s="6"/>
    </row>
    <row r="32" spans="1:10" x14ac:dyDescent="0.2">
      <c r="A32" s="23"/>
      <c r="C32" s="6"/>
      <c r="F32" t="s">
        <v>117</v>
      </c>
      <c r="G32" s="4"/>
      <c r="H32" s="6"/>
      <c r="I32" s="15"/>
    </row>
    <row r="33" spans="1:9" x14ac:dyDescent="0.2">
      <c r="A33" s="23" t="s">
        <v>78</v>
      </c>
      <c r="B33">
        <v>-1159.2567609795001</v>
      </c>
      <c r="C33" s="6">
        <f>(B33-$B$28)*627.51</f>
        <v>68.089699771223451</v>
      </c>
      <c r="D33" s="6"/>
      <c r="F33" s="30">
        <v>0.26058746799999427</v>
      </c>
      <c r="G33" s="4">
        <f>B33+F33</f>
        <v>-1158.9961735115</v>
      </c>
      <c r="H33" s="6">
        <f>(G33-$G$28)*627.51</f>
        <v>63.681681730006112</v>
      </c>
    </row>
    <row r="34" spans="1:9" x14ac:dyDescent="0.2">
      <c r="A34" s="23"/>
      <c r="F34" t="s">
        <v>117</v>
      </c>
      <c r="G34" s="4"/>
    </row>
    <row r="35" spans="1:9" x14ac:dyDescent="0.2">
      <c r="C35" s="6"/>
      <c r="H35" s="6"/>
      <c r="I35" s="6"/>
    </row>
    <row r="36" spans="1:9" x14ac:dyDescent="0.2">
      <c r="A36" s="128" t="s">
        <v>75</v>
      </c>
      <c r="B36" s="128"/>
      <c r="C36" s="128"/>
      <c r="D36" s="128"/>
      <c r="E36" s="128"/>
      <c r="F36" s="128"/>
      <c r="G36" s="128"/>
      <c r="H36" s="128"/>
    </row>
    <row r="37" spans="1:9" x14ac:dyDescent="0.2">
      <c r="A37" s="13" t="s">
        <v>81</v>
      </c>
      <c r="B37" s="30">
        <v>-1159.3635077228</v>
      </c>
      <c r="C37" s="6"/>
      <c r="E37" s="30"/>
      <c r="F37" s="30">
        <v>0.26802520400005958</v>
      </c>
      <c r="G37" s="4">
        <f>B37+F37</f>
        <v>-1159.0954825188001</v>
      </c>
      <c r="H37" s="6"/>
    </row>
    <row r="38" spans="1:9" x14ac:dyDescent="0.2">
      <c r="A38" s="13" t="s">
        <v>82</v>
      </c>
      <c r="B38" s="4">
        <v>-1159.276016629</v>
      </c>
      <c r="C38" s="6">
        <f>(B38-$B$37)*627.51</f>
        <v>54.901536270471844</v>
      </c>
      <c r="E38" s="13"/>
      <c r="F38" s="30">
        <v>0.26242634799991721</v>
      </c>
      <c r="G38" s="4">
        <f>B38+F38</f>
        <v>-1159.013590281</v>
      </c>
      <c r="H38" s="6">
        <f>(G38-$G$37)*627.51</f>
        <v>51.388198141908092</v>
      </c>
      <c r="I38" s="4"/>
    </row>
    <row r="39" spans="1:9" x14ac:dyDescent="0.2">
      <c r="A39" s="13"/>
      <c r="C39" s="6"/>
      <c r="H39" s="6"/>
    </row>
    <row r="40" spans="1:9" x14ac:dyDescent="0.2">
      <c r="A40" s="23" t="s">
        <v>77</v>
      </c>
      <c r="B40">
        <v>-1159.2681889426999</v>
      </c>
      <c r="C40" s="6">
        <f>(B40-$B$37)*627.51</f>
        <v>59.813487700623142</v>
      </c>
      <c r="D40" s="6"/>
      <c r="F40" s="30">
        <v>0.26266961999999694</v>
      </c>
      <c r="G40" s="4">
        <f>B40+F40</f>
        <v>-1159.0055193226999</v>
      </c>
      <c r="H40" s="6">
        <f>(G40-$G$37)*627.51</f>
        <v>56.452805184800887</v>
      </c>
      <c r="I40" s="6"/>
    </row>
    <row r="41" spans="1:9" x14ac:dyDescent="0.2">
      <c r="A41" s="23"/>
      <c r="C41" s="6"/>
      <c r="G41" s="4"/>
      <c r="H41" s="6"/>
      <c r="I41" s="15"/>
    </row>
    <row r="42" spans="1:9" x14ac:dyDescent="0.2">
      <c r="A42" s="23" t="s">
        <v>78</v>
      </c>
      <c r="B42">
        <v>-1159.2588730401999</v>
      </c>
      <c r="C42" s="6">
        <f>(B42-$B$37)*627.51</f>
        <v>65.659309678410978</v>
      </c>
      <c r="F42" s="30">
        <v>0.26126934000008079</v>
      </c>
      <c r="G42" s="4">
        <f>B42+F42</f>
        <v>-1158.9976037001998</v>
      </c>
      <c r="H42" s="6">
        <f>(G42-$G$37)*627.51</f>
        <v>61.419937459869871</v>
      </c>
      <c r="I42" s="18"/>
    </row>
    <row r="43" spans="1:9" x14ac:dyDescent="0.2">
      <c r="G43" s="4"/>
    </row>
  </sheetData>
  <mergeCells count="6">
    <mergeCell ref="C2:I2"/>
    <mergeCell ref="A3:H3"/>
    <mergeCell ref="A36:H36"/>
    <mergeCell ref="A6:H6"/>
    <mergeCell ref="A16:H16"/>
    <mergeCell ref="A26:H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2A76-22BA-784D-A0B6-A3FE7EF96EAF}">
  <dimension ref="A1:N37"/>
  <sheetViews>
    <sheetView workbookViewId="0">
      <pane ySplit="3" topLeftCell="A4" activePane="bottomLeft" state="frozen"/>
      <selection pane="bottomLeft" sqref="A1:L1"/>
    </sheetView>
  </sheetViews>
  <sheetFormatPr baseColWidth="10" defaultRowHeight="16" x14ac:dyDescent="0.2"/>
  <cols>
    <col min="1" max="1" width="28.83203125" customWidth="1"/>
    <col min="2" max="2" width="12.1640625" customWidth="1"/>
  </cols>
  <sheetData>
    <row r="1" spans="1:14" ht="19" x14ac:dyDescent="0.2">
      <c r="A1" s="117" t="s">
        <v>113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4" ht="19" x14ac:dyDescent="0.2">
      <c r="A2" s="70" t="s">
        <v>114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4" x14ac:dyDescent="0.2">
      <c r="A3" s="107" t="s">
        <v>74</v>
      </c>
      <c r="B3" s="107"/>
      <c r="C3" s="14" t="s">
        <v>37</v>
      </c>
      <c r="D3" s="14" t="s">
        <v>105</v>
      </c>
      <c r="E3" s="14" t="s">
        <v>106</v>
      </c>
      <c r="F3" s="14" t="s">
        <v>107</v>
      </c>
      <c r="G3" s="14" t="s">
        <v>108</v>
      </c>
      <c r="H3" s="14"/>
      <c r="I3" s="14"/>
      <c r="J3" s="14" t="s">
        <v>110</v>
      </c>
      <c r="K3" s="14" t="s">
        <v>112</v>
      </c>
      <c r="L3" s="14" t="s">
        <v>111</v>
      </c>
      <c r="N3" s="14"/>
    </row>
    <row r="4" spans="1:14" x14ac:dyDescent="0.2">
      <c r="A4" s="13" t="s">
        <v>22</v>
      </c>
      <c r="C4" s="67">
        <v>0.26751016999992316</v>
      </c>
      <c r="D4" s="67">
        <v>0.26470661999996992</v>
      </c>
      <c r="E4">
        <v>0.26408059000004869</v>
      </c>
      <c r="F4">
        <v>0.26740281999991566</v>
      </c>
      <c r="G4">
        <v>0.2705972799999472</v>
      </c>
      <c r="H4" s="67"/>
      <c r="J4" s="67">
        <f t="array" ref="J4">IF(ISNUMBER(C4:H4),AVERAGE(C4:H4),"")</f>
        <v>0.26685949599996095</v>
      </c>
      <c r="K4" s="67">
        <f t="array" ref="K4">IF(ISNUMBER(C4:H4),MAX(C4:H4),"")</f>
        <v>0.2705972799999472</v>
      </c>
      <c r="L4" s="67">
        <f t="array" ref="L4">IF(ISNUMBER(C4:H4),MIN(C4:H4),"")</f>
        <v>0.26408059000004869</v>
      </c>
      <c r="N4" s="13"/>
    </row>
    <row r="5" spans="1:14" x14ac:dyDescent="0.2">
      <c r="A5" s="13" t="s">
        <v>23</v>
      </c>
      <c r="C5" s="67">
        <v>0.26302408000015021</v>
      </c>
      <c r="D5" s="67">
        <v>0.25981838000006974</v>
      </c>
      <c r="E5">
        <v>0.25933985000006032</v>
      </c>
      <c r="F5">
        <v>0.26256368999997903</v>
      </c>
      <c r="G5">
        <v>0.26538784999979725</v>
      </c>
      <c r="H5" s="67"/>
      <c r="J5" s="67">
        <f t="array" ref="J5">IF(ISNUMBER(C5:H5),AVERAGE(C5:H5),"")</f>
        <v>0.26202677000001129</v>
      </c>
      <c r="K5" s="67">
        <f t="array" ref="K5">IF(ISNUMBER(C5:H5),MAX(C5:H5),"")</f>
        <v>0.26538784999979725</v>
      </c>
      <c r="L5" s="67">
        <f t="array" ref="L5">IF(ISNUMBER(C5:H5),MIN(C5:H5),"")</f>
        <v>0.25933985000006032</v>
      </c>
    </row>
    <row r="6" spans="1:14" x14ac:dyDescent="0.2">
      <c r="A6" s="13"/>
      <c r="C6" s="67"/>
      <c r="D6" s="67"/>
      <c r="H6" s="67"/>
      <c r="J6" s="67" t="str">
        <f t="array" ref="J6">IF(ISNUMBER(C6:H6),AVERAGE(C6:H6),"")</f>
        <v/>
      </c>
      <c r="K6" s="67" t="str">
        <f t="array" ref="K6">IF(ISNUMBER(C6:H6),MAX(C6:H6),"")</f>
        <v/>
      </c>
      <c r="L6" s="67" t="str">
        <f t="array" ref="L6">IF(ISNUMBER(C6:H6),MIN(C6:H6),"")</f>
        <v/>
      </c>
    </row>
    <row r="7" spans="1:14" x14ac:dyDescent="0.2">
      <c r="A7" s="23" t="s">
        <v>116</v>
      </c>
      <c r="C7" s="67">
        <v>0.26247301000012158</v>
      </c>
      <c r="D7" s="67">
        <v>0.25955477999991672</v>
      </c>
      <c r="E7">
        <v>0.25917684000000918</v>
      </c>
      <c r="F7">
        <v>0.26216679000003751</v>
      </c>
      <c r="G7">
        <v>0.26524331000018719</v>
      </c>
      <c r="H7" s="67"/>
      <c r="J7" s="67">
        <f t="array" ref="J7">IF(ISNUMBER(C7:H7),AVERAGE(C7:H7),"")</f>
        <v>0.26172294600005441</v>
      </c>
      <c r="K7" s="67">
        <f t="array" ref="K7">IF(ISNUMBER(C7:H7),MAX(C7:H7),"")</f>
        <v>0.26524331000018719</v>
      </c>
      <c r="L7" s="67">
        <f t="array" ref="L7">IF(ISNUMBER(C7:H7),MIN(C7:H7),"")</f>
        <v>0.25917684000000918</v>
      </c>
    </row>
    <row r="8" spans="1:14" x14ac:dyDescent="0.2">
      <c r="A8" s="23"/>
      <c r="C8" s="67"/>
      <c r="D8" s="67"/>
      <c r="H8" s="67"/>
      <c r="J8" s="67" t="str">
        <f t="array" ref="J8">IF(ISNUMBER(C8:H8),AVERAGE(C8:H8),"")</f>
        <v/>
      </c>
      <c r="K8" s="67" t="str">
        <f t="array" ref="K8">IF(ISNUMBER(C8:H8),MAX(C8:H8),"")</f>
        <v/>
      </c>
      <c r="L8" s="67" t="str">
        <f t="array" ref="L8">IF(ISNUMBER(C8:H8),MIN(C8:H8),"")</f>
        <v/>
      </c>
    </row>
    <row r="9" spans="1:14" x14ac:dyDescent="0.2">
      <c r="A9" s="23" t="s">
        <v>78</v>
      </c>
      <c r="C9" s="67">
        <v>0.26085034999982781</v>
      </c>
      <c r="D9" s="67">
        <v>0.25772746000006919</v>
      </c>
      <c r="E9">
        <v>0.25722844000006262</v>
      </c>
      <c r="F9">
        <v>0.26040483000019776</v>
      </c>
      <c r="G9">
        <v>0.26342705000001843</v>
      </c>
      <c r="H9" s="67"/>
      <c r="J9" s="67">
        <f t="array" ref="J9">IF(ISNUMBER(C9:H9),AVERAGE(C9:H9),"")</f>
        <v>0.25992762600003516</v>
      </c>
      <c r="K9" s="67">
        <f t="array" ref="K9">IF(ISNUMBER(C9:H9),MAX(C9:H9),"")</f>
        <v>0.26342705000001843</v>
      </c>
      <c r="L9" s="67">
        <f t="array" ref="L9">IF(ISNUMBER(C9:H9),MIN(C9:H9),"")</f>
        <v>0.25722844000006262</v>
      </c>
    </row>
    <row r="10" spans="1:14" x14ac:dyDescent="0.2">
      <c r="A10" s="23"/>
      <c r="C10" s="67"/>
      <c r="D10" s="67"/>
      <c r="H10" s="67"/>
      <c r="J10" s="67" t="str">
        <f t="array" ref="J10">IF(ISNUMBER(C10:H10),AVERAGE(C10:H10),"")</f>
        <v/>
      </c>
      <c r="K10" s="67" t="str">
        <f t="array" ref="K10">IF(ISNUMBER(C10:H10),MAX(C10:H10),"")</f>
        <v/>
      </c>
      <c r="L10" s="67" t="str">
        <f t="array" ref="L10">IF(ISNUMBER(C10:H10),MIN(C10:H10),"")</f>
        <v/>
      </c>
    </row>
    <row r="11" spans="1:14" x14ac:dyDescent="0.2">
      <c r="A11" s="107" t="s">
        <v>73</v>
      </c>
      <c r="B11" s="107"/>
      <c r="C11" s="46"/>
      <c r="D11" s="67"/>
      <c r="J11" s="67"/>
      <c r="K11" s="67"/>
      <c r="L11" s="67"/>
    </row>
    <row r="12" spans="1:14" x14ac:dyDescent="0.2">
      <c r="A12" s="7"/>
      <c r="C12" s="67"/>
      <c r="D12" s="67"/>
      <c r="J12" s="67"/>
      <c r="K12" s="67"/>
      <c r="L12" s="67"/>
    </row>
    <row r="13" spans="1:14" x14ac:dyDescent="0.2">
      <c r="A13" t="s">
        <v>121</v>
      </c>
      <c r="C13" s="67">
        <v>0.26711423000006107</v>
      </c>
      <c r="D13" s="67">
        <v>0.26435646999993878</v>
      </c>
      <c r="E13">
        <v>0.26363769999989017</v>
      </c>
      <c r="F13">
        <v>0.26688431000002311</v>
      </c>
      <c r="G13">
        <v>0.27008318999992298</v>
      </c>
      <c r="J13" s="67">
        <f t="array" ref="J13">IF(ISNUMBER(C13:H13),AVERAGE(C13:H13),"")</f>
        <v>0.26641517999996722</v>
      </c>
      <c r="K13" s="67">
        <f t="array" ref="K13">IF(ISNUMBER(C13:H13),MAX(C13:H13),"")</f>
        <v>0.27008318999992298</v>
      </c>
      <c r="L13" s="67">
        <f t="array" ref="L13">IF(ISNUMBER(C13:H13),MIN(C13:H13),"")</f>
        <v>0.26363769999989017</v>
      </c>
    </row>
    <row r="14" spans="1:14" x14ac:dyDescent="0.2">
      <c r="A14" t="s">
        <v>122</v>
      </c>
      <c r="C14" s="67">
        <v>0.26225062000003163</v>
      </c>
      <c r="D14" s="67">
        <v>0.25878263000004154</v>
      </c>
      <c r="E14">
        <v>0.258430639999915</v>
      </c>
      <c r="F14">
        <v>0.26144460000000436</v>
      </c>
      <c r="G14">
        <v>0.26437093000004097</v>
      </c>
      <c r="J14" s="67">
        <f t="array" ref="J14">IF(ISNUMBER(C14:H14),AVERAGE(C14:H14),"")</f>
        <v>0.26105588400000668</v>
      </c>
      <c r="K14" s="67">
        <f t="array" ref="K14">IF(ISNUMBER(C14:H14),MAX(C14:H14),"")</f>
        <v>0.26437093000004097</v>
      </c>
      <c r="L14" s="67">
        <f t="array" ref="L14">IF(ISNUMBER(C14:H14),MIN(C14:H14),"")</f>
        <v>0.258430639999915</v>
      </c>
    </row>
    <row r="15" spans="1:14" x14ac:dyDescent="0.2">
      <c r="C15" s="67"/>
      <c r="D15" s="67"/>
      <c r="J15" s="67" t="str">
        <f t="array" ref="J15">IF(ISNUMBER(C15:H15),AVERAGE(C15:H15),"")</f>
        <v/>
      </c>
      <c r="K15" s="67" t="str">
        <f t="array" ref="K15">IF(ISNUMBER(C15:H15),MAX(C15:H15),"")</f>
        <v/>
      </c>
      <c r="L15" s="67" t="str">
        <f t="array" ref="L15">IF(ISNUMBER(C15:H15),MIN(C15:H15),"")</f>
        <v/>
      </c>
    </row>
    <row r="16" spans="1:14" x14ac:dyDescent="0.2">
      <c r="A16" s="23" t="s">
        <v>118</v>
      </c>
      <c r="C16" s="67">
        <v>0.26343373831900863</v>
      </c>
      <c r="D16" s="67">
        <v>0.26014068974018301</v>
      </c>
      <c r="E16">
        <v>0.26023758518999784</v>
      </c>
      <c r="F16">
        <v>0.26289619036265321</v>
      </c>
      <c r="G16">
        <v>0.26336532999994233</v>
      </c>
      <c r="J16" s="67">
        <f t="array" ref="J16">IF(ISNUMBER(C16:H16),AVERAGE(C16:H16),"")</f>
        <v>0.26201470672235699</v>
      </c>
      <c r="K16" s="67">
        <f t="array" ref="K16">IF(ISNUMBER(C16:H16),MAX(C16:H16),"")</f>
        <v>0.26343373831900863</v>
      </c>
      <c r="L16" s="67">
        <f t="array" ref="L16">IF(ISNUMBER(C16:H16),MIN(C16:H16),"")</f>
        <v>0.26014068974018301</v>
      </c>
      <c r="N16" t="s">
        <v>120</v>
      </c>
    </row>
    <row r="17" spans="1:12" x14ac:dyDescent="0.2">
      <c r="A17" s="23" t="s">
        <v>119</v>
      </c>
      <c r="C17" s="67">
        <v>0.26116225999999187</v>
      </c>
      <c r="D17" s="67">
        <v>0.25772839000001113</v>
      </c>
      <c r="E17">
        <v>0.25785276999999951</v>
      </c>
      <c r="F17">
        <v>0.26061243999993167</v>
      </c>
      <c r="G17">
        <v>0.26336532999994233</v>
      </c>
      <c r="J17" s="67">
        <f t="array" ref="J17">IF(ISNUMBER(C17:H17),AVERAGE(C17:H17),"")</f>
        <v>0.26014423799997533</v>
      </c>
      <c r="K17" s="67">
        <f t="array" ref="K17">IF(ISNUMBER(C17:H17),MAX(C17:H17),"")</f>
        <v>0.26336532999994233</v>
      </c>
      <c r="L17" s="67">
        <f t="array" ref="L17">IF(ISNUMBER(C17:H17),MIN(C17:H17),"")</f>
        <v>0.25772839000001113</v>
      </c>
    </row>
    <row r="18" spans="1:12" x14ac:dyDescent="0.2">
      <c r="C18" s="67"/>
      <c r="D18" s="67"/>
      <c r="J18" s="67" t="str">
        <f t="array" ref="J18">IF(ISNUMBER(C18:H18),AVERAGE(C18:H18),"")</f>
        <v/>
      </c>
      <c r="K18" s="67" t="str">
        <f t="array" ref="K18">IF(ISNUMBER(C18:H18),MAX(C18:H18),"")</f>
        <v/>
      </c>
      <c r="L18" s="67" t="str">
        <f t="array" ref="L18">IF(ISNUMBER(C18:H18),MIN(C18:H18),"")</f>
        <v/>
      </c>
    </row>
    <row r="19" spans="1:12" x14ac:dyDescent="0.2">
      <c r="A19" s="23" t="s">
        <v>78</v>
      </c>
      <c r="C19" s="67">
        <v>0.26095905000011044</v>
      </c>
      <c r="D19" s="67">
        <v>0.25791903999993337</v>
      </c>
      <c r="E19">
        <v>0.25750419000019065</v>
      </c>
      <c r="F19" s="19">
        <v>0.26056835999997929</v>
      </c>
      <c r="G19">
        <v>0.26361999000005198</v>
      </c>
      <c r="J19" s="67">
        <f t="array" ref="J19">IF(ISNUMBER(C19:H19),AVERAGE(C19:H19),"")</f>
        <v>0.26011412600005313</v>
      </c>
      <c r="K19" s="67">
        <f t="array" ref="K19">IF(ISNUMBER(C19:H19),MAX(C19:H19),"")</f>
        <v>0.26361999000005198</v>
      </c>
      <c r="L19" s="67">
        <f t="array" ref="L19">IF(ISNUMBER(C19:H19),MIN(C19:H19),"")</f>
        <v>0.25750419000019065</v>
      </c>
    </row>
    <row r="20" spans="1:12" x14ac:dyDescent="0.2">
      <c r="C20" s="67"/>
      <c r="D20" s="67"/>
      <c r="J20" s="67" t="str">
        <f t="array" ref="J20">IF(ISNUMBER(C20:H20),AVERAGE(C20:H20),"")</f>
        <v/>
      </c>
      <c r="K20" s="67" t="str">
        <f t="array" ref="K20">IF(ISNUMBER(C20:H20),MAX(C20:H20),"")</f>
        <v/>
      </c>
      <c r="L20" s="67" t="str">
        <f t="array" ref="L20">IF(ISNUMBER(C20:H20),MIN(C20:H20),"")</f>
        <v/>
      </c>
    </row>
    <row r="21" spans="1:12" x14ac:dyDescent="0.2">
      <c r="A21" s="107" t="s">
        <v>76</v>
      </c>
      <c r="B21" s="107"/>
      <c r="C21" s="67"/>
      <c r="D21" s="67"/>
      <c r="J21" s="67"/>
      <c r="K21" s="67"/>
      <c r="L21" s="67"/>
    </row>
    <row r="22" spans="1:12" ht="17" customHeight="1" x14ac:dyDescent="0.2">
      <c r="C22" s="67"/>
      <c r="D22" s="67"/>
      <c r="J22" s="67" t="str">
        <f t="array" ref="J22">IF(ISNUMBER(C22:H22),AVERAGE(C22:H22),"")</f>
        <v/>
      </c>
      <c r="K22" s="67" t="str">
        <f t="array" ref="K22">IF(ISNUMBER(C22:H22),MAX(C22:H22),"")</f>
        <v/>
      </c>
      <c r="L22" s="67" t="str">
        <f t="array" ref="L22">IF(ISNUMBER(C22:H22),MIN(C22:H22),"")</f>
        <v/>
      </c>
    </row>
    <row r="23" spans="1:12" x14ac:dyDescent="0.2">
      <c r="A23" s="13" t="s">
        <v>22</v>
      </c>
      <c r="C23" s="67">
        <v>0.26858627999990858</v>
      </c>
      <c r="D23" s="67">
        <v>0.26326391999987209</v>
      </c>
      <c r="E23">
        <v>0.26570560000004662</v>
      </c>
      <c r="F23">
        <v>0.26887114000010115</v>
      </c>
      <c r="G23">
        <v>0.27163349000011294</v>
      </c>
      <c r="J23" s="67">
        <f t="array" ref="J23">IF(ISNUMBER(C23:H23),AVERAGE(C23:H23),"")</f>
        <v>0.2676120860000083</v>
      </c>
      <c r="K23" s="67">
        <f t="array" ref="K23">IF(ISNUMBER(C23:H23),MAX(C23:H23),"")</f>
        <v>0.27163349000011294</v>
      </c>
      <c r="L23" s="67">
        <f t="array" ref="L23">IF(ISNUMBER(C23:H23),MIN(C23:H23),"")</f>
        <v>0.26326391999987209</v>
      </c>
    </row>
    <row r="24" spans="1:12" x14ac:dyDescent="0.2">
      <c r="A24" s="13" t="s">
        <v>23</v>
      </c>
      <c r="C24" s="67">
        <v>0.26424423000003117</v>
      </c>
      <c r="D24" s="67">
        <v>0.26008761000002778</v>
      </c>
      <c r="E24">
        <v>0.26113844000019526</v>
      </c>
      <c r="F24">
        <v>0.26416685999993206</v>
      </c>
      <c r="G24">
        <v>0.26644600999998147</v>
      </c>
      <c r="J24" s="67">
        <f t="array" ref="J24">IF(ISNUMBER(C24:H24),AVERAGE(C24:H24),"")</f>
        <v>0.26321663000003354</v>
      </c>
      <c r="K24" s="67">
        <f t="array" ref="K24">IF(ISNUMBER(C24:H24),MAX(C24:H24),"")</f>
        <v>0.26644600999998147</v>
      </c>
      <c r="L24" s="67">
        <f t="array" ref="L24">IF(ISNUMBER(C24:H24),MIN(C24:H24),"")</f>
        <v>0.26008761000002778</v>
      </c>
    </row>
    <row r="25" spans="1:12" x14ac:dyDescent="0.2">
      <c r="A25" s="13"/>
      <c r="C25" s="67"/>
      <c r="D25" s="67"/>
      <c r="J25" s="67" t="str">
        <f t="array" ref="J25">IF(ISNUMBER(C25:H25),AVERAGE(C25:H25),"")</f>
        <v/>
      </c>
      <c r="K25" s="67" t="str">
        <f t="array" ref="K25">IF(ISNUMBER(C25:H25),MAX(C25:H25),"")</f>
        <v/>
      </c>
      <c r="L25" s="67" t="str">
        <f t="array" ref="L25">IF(ISNUMBER(C25:H25),MIN(C25:H25),"")</f>
        <v/>
      </c>
    </row>
    <row r="26" spans="1:12" x14ac:dyDescent="0.2">
      <c r="A26" s="23" t="s">
        <v>116</v>
      </c>
      <c r="C26" s="67">
        <v>0.26346331000013379</v>
      </c>
      <c r="D26" s="67">
        <v>0.25995005999993737</v>
      </c>
      <c r="E26">
        <v>0.25994621000018014</v>
      </c>
      <c r="F26">
        <v>0.26317422000010993</v>
      </c>
      <c r="G26">
        <v>0.26585513000009087</v>
      </c>
      <c r="J26" s="67">
        <f t="array" ref="J26">IF(ISNUMBER(C26:H26),AVERAGE(C26:H26),"")</f>
        <v>0.26247778600009042</v>
      </c>
      <c r="K26" s="67">
        <f t="array" ref="K26">IF(ISNUMBER(C26:H26),MAX(C26:H26),"")</f>
        <v>0.26585513000009087</v>
      </c>
      <c r="L26" s="67">
        <f t="array" ref="L26">IF(ISNUMBER(C26:H26),MIN(C26:H26),"")</f>
        <v>0.25994621000018014</v>
      </c>
    </row>
    <row r="27" spans="1:12" x14ac:dyDescent="0.2">
      <c r="A27" s="23"/>
      <c r="C27" s="67"/>
      <c r="D27" s="67"/>
      <c r="J27" s="67" t="str">
        <f t="array" ref="J27">IF(ISNUMBER(C27:H27),AVERAGE(C27:H27),"")</f>
        <v/>
      </c>
      <c r="K27" s="67" t="str">
        <f t="array" ref="K27">IF(ISNUMBER(C27:H27),MAX(C27:H27),"")</f>
        <v/>
      </c>
      <c r="L27" s="67" t="str">
        <f t="array" ref="L27">IF(ISNUMBER(C27:H27),MIN(C27:H27),"")</f>
        <v/>
      </c>
    </row>
    <row r="28" spans="1:12" x14ac:dyDescent="0.2">
      <c r="A28" s="23" t="s">
        <v>78</v>
      </c>
      <c r="C28" s="67">
        <v>0.26160028000003877</v>
      </c>
      <c r="D28" s="67">
        <v>0.25794493000012153</v>
      </c>
      <c r="E28">
        <v>0.25819767000007232</v>
      </c>
      <c r="F28">
        <v>0.2612721599998622</v>
      </c>
      <c r="G28">
        <v>0.26392229999987649</v>
      </c>
      <c r="J28" s="67">
        <f t="array" ref="J28">IF(ISNUMBER(C28:H28),AVERAGE(C28:H28),"")</f>
        <v>0.26058746799999427</v>
      </c>
      <c r="K28" s="67">
        <f t="array" ref="K28">IF(ISNUMBER(C28:H28),MAX(C28:H28),"")</f>
        <v>0.26392229999987649</v>
      </c>
      <c r="L28" s="67">
        <f t="array" ref="L28">IF(ISNUMBER(C28:H28),MIN(C28:H28),"")</f>
        <v>0.25794493000012153</v>
      </c>
    </row>
    <row r="29" spans="1:12" x14ac:dyDescent="0.2">
      <c r="C29" s="67"/>
      <c r="D29" s="67"/>
      <c r="J29" s="67" t="str">
        <f t="array" ref="J29">IF(ISNUMBER(C29:H29),AVERAGE(C29:H29),"")</f>
        <v/>
      </c>
      <c r="K29" s="67" t="str">
        <f t="array" ref="K29">IF(ISNUMBER(C29:H29),MAX(C29:H29),"")</f>
        <v/>
      </c>
      <c r="L29" s="67" t="str">
        <f t="array" ref="L29">IF(ISNUMBER(C29:H29),MIN(C29:H29),"")</f>
        <v/>
      </c>
    </row>
    <row r="30" spans="1:12" x14ac:dyDescent="0.2">
      <c r="A30" s="107" t="s">
        <v>75</v>
      </c>
      <c r="B30" s="107"/>
      <c r="C30" s="67"/>
      <c r="D30" s="67"/>
      <c r="J30" s="67"/>
      <c r="K30" s="67"/>
      <c r="L30" s="67"/>
    </row>
    <row r="31" spans="1:12" x14ac:dyDescent="0.2">
      <c r="C31" s="67"/>
      <c r="D31" s="67"/>
      <c r="J31" s="67"/>
      <c r="K31" s="67"/>
      <c r="L31" s="67"/>
    </row>
    <row r="32" spans="1:12" x14ac:dyDescent="0.2">
      <c r="A32" t="s">
        <v>121</v>
      </c>
      <c r="C32" s="67">
        <v>0.26805497999998806</v>
      </c>
      <c r="D32" s="67">
        <v>0.26833871000008003</v>
      </c>
      <c r="E32">
        <v>0.26494919000015216</v>
      </c>
      <c r="F32">
        <v>0.26799841000001834</v>
      </c>
      <c r="G32">
        <v>0.27078473000005943</v>
      </c>
      <c r="J32" s="67">
        <f t="array" ref="J32">IF(ISNUMBER(C32:H32),AVERAGE(C32:H32),"")</f>
        <v>0.26802520400005958</v>
      </c>
      <c r="K32" s="67">
        <f t="array" ref="K32">IF(ISNUMBER(C32:H32),MAX(C32:H32),"")</f>
        <v>0.27078473000005943</v>
      </c>
      <c r="L32" s="67">
        <f t="array" ref="L32">IF(ISNUMBER(C32:H32),MIN(C32:H32),"")</f>
        <v>0.26494919000015216</v>
      </c>
    </row>
    <row r="33" spans="1:12" x14ac:dyDescent="0.2">
      <c r="A33" t="s">
        <v>122</v>
      </c>
      <c r="C33" s="67">
        <v>0.26324017000001732</v>
      </c>
      <c r="D33" s="67">
        <v>0.26125699999988683</v>
      </c>
      <c r="E33">
        <v>0.25985735999984172</v>
      </c>
      <c r="F33">
        <v>0.26265379999995275</v>
      </c>
      <c r="G33">
        <v>0.26512340999988737</v>
      </c>
      <c r="J33" s="67">
        <f t="array" ref="J33">IF(ISNUMBER(C33:H33),AVERAGE(C33:H33),"")</f>
        <v>0.26242634799991721</v>
      </c>
      <c r="K33" s="67">
        <f t="array" ref="K33">IF(ISNUMBER(C33:H33),MAX(C33:H33),"")</f>
        <v>0.26512340999988737</v>
      </c>
      <c r="L33" s="67">
        <f t="array" ref="L33">IF(ISNUMBER(C33:H33),MIN(C33:H33),"")</f>
        <v>0.25985735999984172</v>
      </c>
    </row>
    <row r="34" spans="1:12" x14ac:dyDescent="0.2">
      <c r="C34" s="67"/>
      <c r="D34" s="67"/>
      <c r="J34" s="67"/>
      <c r="K34" s="67"/>
      <c r="L34" s="67"/>
    </row>
    <row r="35" spans="1:12" x14ac:dyDescent="0.2">
      <c r="A35" s="23" t="s">
        <v>118</v>
      </c>
      <c r="C35" s="67">
        <v>0.26361358999997719</v>
      </c>
      <c r="D35" s="67">
        <v>0.26037036000002445</v>
      </c>
      <c r="E35">
        <v>0.26042890000007901</v>
      </c>
      <c r="F35">
        <v>0.2631019099999321</v>
      </c>
      <c r="G35">
        <v>0.26583333999997194</v>
      </c>
      <c r="J35" s="67">
        <f t="array" ref="J35">IF(ISNUMBER(C35:H35),AVERAGE(C35:H35),"")</f>
        <v>0.26266961999999694</v>
      </c>
      <c r="K35" s="67">
        <f t="array" ref="K35">IF(ISNUMBER(C35:H35),MAX(C35:H35),"")</f>
        <v>0.26583333999997194</v>
      </c>
      <c r="L35" s="67">
        <f t="array" ref="L35">IF(ISNUMBER(C35:H35),MIN(C35:H35),"")</f>
        <v>0.26037036000002445</v>
      </c>
    </row>
    <row r="36" spans="1:12" x14ac:dyDescent="0.2">
      <c r="C36" s="71"/>
      <c r="D36" s="67"/>
      <c r="J36" s="67"/>
      <c r="K36" s="67"/>
      <c r="L36" s="67"/>
    </row>
    <row r="37" spans="1:12" x14ac:dyDescent="0.2">
      <c r="A37" s="23" t="s">
        <v>78</v>
      </c>
      <c r="C37" s="67">
        <v>0.26199927000016032</v>
      </c>
      <c r="D37" s="67">
        <v>0.25898465000000215</v>
      </c>
      <c r="E37">
        <v>0.25901070000008986</v>
      </c>
      <c r="F37">
        <v>0.26185830000008536</v>
      </c>
      <c r="G37">
        <v>0.26449378000006618</v>
      </c>
      <c r="J37" s="67">
        <f t="array" ref="J37">IF(ISNUMBER(C37:H37),AVERAGE(C37:H37),"")</f>
        <v>0.26126934000008079</v>
      </c>
      <c r="K37" s="67">
        <f t="array" ref="K37">IF(ISNUMBER(C37:H37),MAX(C37:H37),"")</f>
        <v>0.26449378000006618</v>
      </c>
      <c r="L37" s="67">
        <f t="array" ref="L37">IF(ISNUMBER(C37:H37),MIN(C37:H37),"")</f>
        <v>0.25898465000000215</v>
      </c>
    </row>
  </sheetData>
  <mergeCells count="5">
    <mergeCell ref="A21:B21"/>
    <mergeCell ref="A1:L1"/>
    <mergeCell ref="A3:B3"/>
    <mergeCell ref="A11:B11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General_MDNI-Glu</vt:lpstr>
      <vt:lpstr>QY_Calculations</vt:lpstr>
      <vt:lpstr>ωB97X-D</vt:lpstr>
      <vt:lpstr>M11</vt:lpstr>
      <vt:lpstr>MN15</vt:lpstr>
      <vt:lpstr>CAM-B3LYP</vt:lpstr>
      <vt:lpstr>LC-ωHPBE</vt:lpstr>
      <vt:lpstr>ωB97M-V</vt:lpstr>
      <vt:lpstr>Gibbs_Corrections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Morgante</dc:creator>
  <cp:lastModifiedBy>Pierpaolo Morgante</cp:lastModifiedBy>
  <dcterms:created xsi:type="dcterms:W3CDTF">2020-05-27T14:38:30Z</dcterms:created>
  <dcterms:modified xsi:type="dcterms:W3CDTF">2020-09-17T18:27:01Z</dcterms:modified>
</cp:coreProperties>
</file>