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inail-my.sharepoint.com/personal/p_ferrante_inail_it/Documents/Pierpaolo/COVID-19/Dati/"/>
    </mc:Choice>
  </mc:AlternateContent>
  <xr:revisionPtr revIDLastSave="2" documentId="13_ncr:1_{6279AAEF-AF9F-47AE-9F23-4DDEE280C018}" xr6:coauthVersionLast="47" xr6:coauthVersionMax="47" xr10:uidLastSave="{A3D023B7-D153-4E03-82B0-B986D0D0490C}"/>
  <bookViews>
    <workbookView xWindow="-120" yWindow="-120" windowWidth="29040" windowHeight="15840" activeTab="3" xr2:uid="{00000000-000D-0000-FFFF-FFFF00000000}"/>
  </bookViews>
  <sheets>
    <sheet name="Foglio1" sheetId="1" r:id="rId1"/>
    <sheet name="NISTAT" sheetId="11" r:id="rId2"/>
    <sheet name="Foglio2" sheetId="2" r:id="rId3"/>
    <sheet name="Hazards" sheetId="12" r:id="rId4"/>
    <sheet name="EtaMed" sheetId="10" r:id="rId5"/>
    <sheet name="Foglio3" sheetId="4" r:id="rId6"/>
    <sheet name="Foglio6" sheetId="6" r:id="rId7"/>
    <sheet name="IFR age-gender" sheetId="7" r:id="rId8"/>
    <sheet name="IFRUsati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27" i="6" l="1"/>
  <c r="B23" i="4" s="1"/>
  <c r="N5" i="6"/>
  <c r="O5" i="6"/>
  <c r="Q5" i="6"/>
  <c r="P5" i="6"/>
  <c r="L21" i="1" l="1"/>
  <c r="M21" i="1"/>
  <c r="M19" i="1"/>
  <c r="M20" i="1"/>
  <c r="M18" i="1"/>
  <c r="M17" i="1"/>
  <c r="M16" i="1"/>
  <c r="M15" i="1"/>
  <c r="M14" i="1"/>
  <c r="M13" i="1"/>
  <c r="M12" i="1"/>
  <c r="M11" i="1"/>
  <c r="M10" i="1"/>
  <c r="M9" i="1"/>
  <c r="M8" i="1"/>
  <c r="M2" i="1"/>
  <c r="J3" i="1"/>
  <c r="K3" i="1"/>
  <c r="L3" i="1"/>
  <c r="M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" i="1"/>
  <c r="K2" i="1"/>
  <c r="J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C23" i="11" l="1"/>
  <c r="I33" i="9" l="1"/>
  <c r="AG8" i="9" s="1"/>
  <c r="I32" i="9"/>
  <c r="AF9" i="9" s="1"/>
  <c r="I31" i="9"/>
  <c r="AE9" i="9" s="1"/>
  <c r="I30" i="9"/>
  <c r="AD10" i="9" s="1"/>
  <c r="I29" i="9"/>
  <c r="AC11" i="9" s="1"/>
  <c r="I28" i="9"/>
  <c r="AB11" i="9" s="1"/>
  <c r="I27" i="9"/>
  <c r="AA12" i="9" s="1"/>
  <c r="I26" i="9"/>
  <c r="Z12" i="9" s="1"/>
  <c r="I25" i="9"/>
  <c r="Y12" i="9" s="1"/>
  <c r="I24" i="9"/>
  <c r="I23" i="9"/>
  <c r="W3" i="9" s="1"/>
  <c r="M26" i="9"/>
  <c r="AG3" i="9" l="1"/>
  <c r="AG4" i="9" s="1"/>
  <c r="AG5" i="9" s="1"/>
  <c r="AG6" i="9" s="1"/>
  <c r="AG7" i="9" s="1"/>
  <c r="AF3" i="9"/>
  <c r="AF4" i="9" s="1"/>
  <c r="AF5" i="9" s="1"/>
  <c r="AF6" i="9" s="1"/>
  <c r="AF7" i="9" s="1"/>
  <c r="AF8" i="9" s="1"/>
  <c r="X13" i="9"/>
  <c r="W13" i="9"/>
  <c r="I22" i="9"/>
  <c r="AA3" i="9"/>
  <c r="AA4" i="9" s="1"/>
  <c r="AA5" i="9" s="1"/>
  <c r="AA6" i="9" s="1"/>
  <c r="AA7" i="9" s="1"/>
  <c r="AA8" i="9" s="1"/>
  <c r="AA9" i="9" s="1"/>
  <c r="AA10" i="9" s="1"/>
  <c r="AA11" i="9" s="1"/>
  <c r="Z3" i="9"/>
  <c r="Z4" i="9" s="1"/>
  <c r="Z5" i="9" s="1"/>
  <c r="Z6" i="9" s="1"/>
  <c r="Z7" i="9" s="1"/>
  <c r="Z8" i="9" s="1"/>
  <c r="Z9" i="9" s="1"/>
  <c r="Z10" i="9" s="1"/>
  <c r="AE3" i="9"/>
  <c r="AE4" i="9" s="1"/>
  <c r="AE5" i="9" s="1"/>
  <c r="AE6" i="9" s="1"/>
  <c r="AE7" i="9" s="1"/>
  <c r="AE8" i="9" s="1"/>
  <c r="AD3" i="9"/>
  <c r="AD4" i="9" s="1"/>
  <c r="AD5" i="9" s="1"/>
  <c r="AD6" i="9" s="1"/>
  <c r="AD7" i="9" s="1"/>
  <c r="AD8" i="9" s="1"/>
  <c r="AD9" i="9" s="1"/>
  <c r="AC3" i="9"/>
  <c r="AC4" i="9" s="1"/>
  <c r="AC5" i="9" s="1"/>
  <c r="AC6" i="9" s="1"/>
  <c r="AC7" i="9" s="1"/>
  <c r="AC8" i="9" s="1"/>
  <c r="AC9" i="9" s="1"/>
  <c r="AC10" i="9" s="1"/>
  <c r="AB3" i="9"/>
  <c r="AB4" i="9" s="1"/>
  <c r="AB5" i="9" s="1"/>
  <c r="AB6" i="9" s="1"/>
  <c r="AB7" i="9" s="1"/>
  <c r="AB8" i="9" s="1"/>
  <c r="AB9" i="9" s="1"/>
  <c r="AB10" i="9" s="1"/>
  <c r="Y3" i="9"/>
  <c r="Y4" i="9" s="1"/>
  <c r="Y5" i="9" s="1"/>
  <c r="Y6" i="9" s="1"/>
  <c r="Y7" i="9" s="1"/>
  <c r="Y8" i="9" s="1"/>
  <c r="Y9" i="9" s="1"/>
  <c r="Y10" i="9" s="1"/>
  <c r="Y11" i="9" s="1"/>
  <c r="X3" i="9"/>
  <c r="X4" i="9" s="1"/>
  <c r="X5" i="9" s="1"/>
  <c r="X6" i="9" s="1"/>
  <c r="X7" i="9" s="1"/>
  <c r="X8" i="9" s="1"/>
  <c r="X9" i="9" s="1"/>
  <c r="X10" i="9" s="1"/>
  <c r="X11" i="9" s="1"/>
  <c r="X12" i="9" s="1"/>
  <c r="K21" i="9"/>
  <c r="K17" i="9"/>
  <c r="M17" i="9"/>
  <c r="O17" i="9"/>
  <c r="Q17" i="9"/>
  <c r="S17" i="9"/>
  <c r="U16" i="9"/>
  <c r="U15" i="9"/>
  <c r="U14" i="9"/>
  <c r="U13" i="9"/>
  <c r="U12" i="9"/>
  <c r="U11" i="9"/>
  <c r="U10" i="9"/>
  <c r="U9" i="9"/>
  <c r="U8" i="9"/>
  <c r="U7" i="9"/>
  <c r="U6" i="9"/>
  <c r="U5" i="9"/>
  <c r="U4" i="9"/>
  <c r="U3" i="9"/>
  <c r="S16" i="9"/>
  <c r="S15" i="9"/>
  <c r="S14" i="9"/>
  <c r="S13" i="9"/>
  <c r="S12" i="9"/>
  <c r="S11" i="9"/>
  <c r="S10" i="9"/>
  <c r="S9" i="9"/>
  <c r="S8" i="9"/>
  <c r="S7" i="9"/>
  <c r="S6" i="9"/>
  <c r="S5" i="9"/>
  <c r="S4" i="9"/>
  <c r="S3" i="9"/>
  <c r="Q18" i="9"/>
  <c r="Q16" i="9"/>
  <c r="Q15" i="9"/>
  <c r="Q14" i="9"/>
  <c r="Q13" i="9"/>
  <c r="Q12" i="9"/>
  <c r="Q11" i="9"/>
  <c r="Q10" i="9"/>
  <c r="Q9" i="9"/>
  <c r="Q8" i="9"/>
  <c r="Q7" i="9"/>
  <c r="Q6" i="9"/>
  <c r="Q5" i="9"/>
  <c r="Q4" i="9"/>
  <c r="Q3" i="9"/>
  <c r="Q19" i="9" s="1"/>
  <c r="O19" i="9"/>
  <c r="O18" i="9"/>
  <c r="O16" i="9"/>
  <c r="O15" i="9"/>
  <c r="O14" i="9"/>
  <c r="O13" i="9"/>
  <c r="O12" i="9"/>
  <c r="O11" i="9"/>
  <c r="O10" i="9"/>
  <c r="O9" i="9"/>
  <c r="O8" i="9"/>
  <c r="O7" i="9"/>
  <c r="O6" i="9"/>
  <c r="O5" i="9"/>
  <c r="O4" i="9"/>
  <c r="O3" i="9"/>
  <c r="O20" i="9" s="1"/>
  <c r="M20" i="9"/>
  <c r="M4" i="9"/>
  <c r="M3" i="9"/>
  <c r="M19" i="9"/>
  <c r="M18" i="9"/>
  <c r="M16" i="9"/>
  <c r="M15" i="9"/>
  <c r="M14" i="9"/>
  <c r="M13" i="9"/>
  <c r="M12" i="9"/>
  <c r="M11" i="9"/>
  <c r="M10" i="9"/>
  <c r="M9" i="9"/>
  <c r="M8" i="9"/>
  <c r="M7" i="9"/>
  <c r="M6" i="9"/>
  <c r="M5" i="9"/>
  <c r="K16" i="9"/>
  <c r="K20" i="9"/>
  <c r="K19" i="9"/>
  <c r="K18" i="9"/>
  <c r="K15" i="9"/>
  <c r="K14" i="9"/>
  <c r="K13" i="9"/>
  <c r="K12" i="9"/>
  <c r="K11" i="9"/>
  <c r="K10" i="9"/>
  <c r="K9" i="9"/>
  <c r="K8" i="9"/>
  <c r="K7" i="9"/>
  <c r="K6" i="9"/>
  <c r="K5" i="9"/>
  <c r="K4" i="9"/>
  <c r="K3" i="9"/>
  <c r="J4" i="9"/>
  <c r="J21" i="9"/>
  <c r="L20" i="9"/>
  <c r="J20" i="9"/>
  <c r="N19" i="9"/>
  <c r="L19" i="9"/>
  <c r="J19" i="9"/>
  <c r="P18" i="9"/>
  <c r="N18" i="9"/>
  <c r="L18" i="9"/>
  <c r="J18" i="9"/>
  <c r="R17" i="9"/>
  <c r="P17" i="9"/>
  <c r="N17" i="9"/>
  <c r="L17" i="9"/>
  <c r="J17" i="9"/>
  <c r="T16" i="9"/>
  <c r="R16" i="9"/>
  <c r="P16" i="9"/>
  <c r="N16" i="9"/>
  <c r="L16" i="9"/>
  <c r="J16" i="9"/>
  <c r="T15" i="9"/>
  <c r="R15" i="9"/>
  <c r="P15" i="9"/>
  <c r="N15" i="9"/>
  <c r="L15" i="9"/>
  <c r="J15" i="9"/>
  <c r="T14" i="9"/>
  <c r="R14" i="9"/>
  <c r="P14" i="9"/>
  <c r="N14" i="9"/>
  <c r="L14" i="9"/>
  <c r="J14" i="9"/>
  <c r="T13" i="9"/>
  <c r="R13" i="9"/>
  <c r="P13" i="9"/>
  <c r="N13" i="9"/>
  <c r="L13" i="9"/>
  <c r="J13" i="9"/>
  <c r="T12" i="9"/>
  <c r="R12" i="9"/>
  <c r="P12" i="9"/>
  <c r="N12" i="9"/>
  <c r="L12" i="9"/>
  <c r="J12" i="9"/>
  <c r="T11" i="9"/>
  <c r="R11" i="9"/>
  <c r="P11" i="9"/>
  <c r="N11" i="9"/>
  <c r="L11" i="9"/>
  <c r="J11" i="9"/>
  <c r="T10" i="9"/>
  <c r="R10" i="9"/>
  <c r="P10" i="9"/>
  <c r="N10" i="9"/>
  <c r="L10" i="9"/>
  <c r="J10" i="9"/>
  <c r="T9" i="9"/>
  <c r="R9" i="9"/>
  <c r="P9" i="9"/>
  <c r="N9" i="9"/>
  <c r="L9" i="9"/>
  <c r="J9" i="9"/>
  <c r="T8" i="9"/>
  <c r="R8" i="9"/>
  <c r="P8" i="9"/>
  <c r="N8" i="9"/>
  <c r="L8" i="9"/>
  <c r="J8" i="9"/>
  <c r="T7" i="9"/>
  <c r="R7" i="9"/>
  <c r="P7" i="9"/>
  <c r="N7" i="9"/>
  <c r="L7" i="9"/>
  <c r="J7" i="9"/>
  <c r="T6" i="9"/>
  <c r="R6" i="9"/>
  <c r="P6" i="9"/>
  <c r="N6" i="9"/>
  <c r="L6" i="9"/>
  <c r="J6" i="9"/>
  <c r="T5" i="9"/>
  <c r="R5" i="9"/>
  <c r="P5" i="9"/>
  <c r="N5" i="9"/>
  <c r="L5" i="9"/>
  <c r="J5" i="9"/>
  <c r="T4" i="9"/>
  <c r="R4" i="9"/>
  <c r="P4" i="9"/>
  <c r="N4" i="9"/>
  <c r="L4" i="9"/>
  <c r="T3" i="9"/>
  <c r="R3" i="9"/>
  <c r="P3" i="9"/>
  <c r="P19" i="9" s="1"/>
  <c r="N3" i="9"/>
  <c r="N20" i="9" s="1"/>
  <c r="L3" i="9"/>
  <c r="J3" i="9"/>
  <c r="V13" i="9" l="1"/>
  <c r="L26" i="9"/>
  <c r="N26" i="9" s="1"/>
  <c r="O26" i="9" s="1"/>
  <c r="V3" i="9"/>
  <c r="V4" i="9" s="1"/>
  <c r="V5" i="9" s="1"/>
  <c r="V6" i="9" s="1"/>
  <c r="V7" i="9" s="1"/>
  <c r="V8" i="9" s="1"/>
  <c r="V9" i="9" s="1"/>
  <c r="V10" i="9" s="1"/>
  <c r="V11" i="9" s="1"/>
  <c r="V12" i="9" s="1"/>
  <c r="R18" i="9"/>
  <c r="S18" i="9"/>
  <c r="K22" i="9"/>
  <c r="T17" i="9"/>
  <c r="U17" i="9"/>
  <c r="M21" i="9"/>
  <c r="W4" i="9"/>
  <c r="W5" i="9" s="1"/>
  <c r="W6" i="9" s="1"/>
  <c r="W7" i="9" s="1"/>
  <c r="W8" i="9" s="1"/>
  <c r="W9" i="9" s="1"/>
  <c r="W10" i="9" s="1"/>
  <c r="W11" i="9" s="1"/>
  <c r="W12" i="9" s="1"/>
  <c r="L21" i="9"/>
  <c r="Z11" i="9"/>
  <c r="J22" i="9"/>
  <c r="O24" i="6"/>
  <c r="Q24" i="6"/>
  <c r="P7" i="6"/>
  <c r="Q7" i="6"/>
  <c r="P8" i="6"/>
  <c r="Q8" i="6"/>
  <c r="P9" i="6"/>
  <c r="Q9" i="6"/>
  <c r="P10" i="6"/>
  <c r="Q10" i="6"/>
  <c r="P11" i="6"/>
  <c r="Q11" i="6"/>
  <c r="P12" i="6"/>
  <c r="Q12" i="6"/>
  <c r="P13" i="6"/>
  <c r="Q13" i="6"/>
  <c r="P14" i="6"/>
  <c r="Q14" i="6"/>
  <c r="P15" i="6"/>
  <c r="Q15" i="6"/>
  <c r="P16" i="6"/>
  <c r="Q16" i="6"/>
  <c r="P17" i="6"/>
  <c r="Q17" i="6"/>
  <c r="P18" i="6"/>
  <c r="Q18" i="6"/>
  <c r="P19" i="6"/>
  <c r="Q19" i="6"/>
  <c r="P20" i="6"/>
  <c r="Q20" i="6"/>
  <c r="P21" i="6"/>
  <c r="Q21" i="6"/>
  <c r="P22" i="6"/>
  <c r="Q22" i="6"/>
  <c r="P23" i="6"/>
  <c r="Q23" i="6"/>
  <c r="P24" i="6"/>
  <c r="P25" i="6"/>
  <c r="Q25" i="6"/>
  <c r="P6" i="6"/>
  <c r="Q6" i="6"/>
  <c r="N25" i="6"/>
  <c r="N6" i="6" l="1"/>
  <c r="O6" i="6"/>
  <c r="N7" i="6"/>
  <c r="O7" i="6"/>
  <c r="N8" i="6"/>
  <c r="O8" i="6"/>
  <c r="N9" i="6"/>
  <c r="O9" i="6"/>
  <c r="N10" i="6"/>
  <c r="O10" i="6"/>
  <c r="N11" i="6"/>
  <c r="O11" i="6"/>
  <c r="N12" i="6"/>
  <c r="O12" i="6"/>
  <c r="N13" i="6"/>
  <c r="O13" i="6"/>
  <c r="N14" i="6"/>
  <c r="O14" i="6"/>
  <c r="N15" i="6"/>
  <c r="O15" i="6"/>
  <c r="N16" i="6"/>
  <c r="O16" i="6"/>
  <c r="N17" i="6"/>
  <c r="O17" i="6"/>
  <c r="N18" i="6"/>
  <c r="O18" i="6"/>
  <c r="N19" i="6"/>
  <c r="O19" i="6"/>
  <c r="N20" i="6"/>
  <c r="O20" i="6"/>
  <c r="N21" i="6"/>
  <c r="O21" i="6"/>
  <c r="N22" i="6"/>
  <c r="O22" i="6"/>
  <c r="N23" i="6"/>
  <c r="O23" i="6"/>
  <c r="N24" i="6"/>
  <c r="O25" i="6"/>
  <c r="J25" i="6"/>
  <c r="I25" i="6"/>
  <c r="J24" i="6"/>
  <c r="I24" i="6"/>
  <c r="J23" i="6"/>
  <c r="I23" i="6"/>
  <c r="J22" i="6"/>
  <c r="I22" i="6"/>
  <c r="J21" i="6"/>
  <c r="I21" i="6"/>
  <c r="J20" i="6"/>
  <c r="I20" i="6"/>
  <c r="J19" i="6"/>
  <c r="I19" i="6"/>
  <c r="J18" i="6"/>
  <c r="I18" i="6"/>
  <c r="J17" i="6"/>
  <c r="I17" i="6"/>
  <c r="J16" i="6"/>
  <c r="I16" i="6"/>
  <c r="J15" i="6"/>
  <c r="I15" i="6"/>
  <c r="J14" i="6"/>
  <c r="I14" i="6"/>
  <c r="J13" i="6"/>
  <c r="I13" i="6"/>
  <c r="J12" i="6"/>
  <c r="I12" i="6"/>
  <c r="J11" i="6"/>
  <c r="I11" i="6"/>
  <c r="J10" i="6"/>
  <c r="I10" i="6"/>
  <c r="J9" i="6"/>
  <c r="I9" i="6"/>
  <c r="J8" i="6"/>
  <c r="I8" i="6"/>
  <c r="J7" i="6"/>
  <c r="I7" i="6"/>
  <c r="J6" i="6"/>
  <c r="I6" i="6"/>
  <c r="J5" i="6"/>
  <c r="I5" i="6"/>
  <c r="I26" i="6" l="1"/>
  <c r="O26" i="6"/>
  <c r="Q26" i="6"/>
  <c r="P26" i="6"/>
  <c r="N26" i="6"/>
  <c r="J26" i="6"/>
</calcChain>
</file>

<file path=xl/sharedStrings.xml><?xml version="1.0" encoding="utf-8"?>
<sst xmlns="http://schemas.openxmlformats.org/spreadsheetml/2006/main" count="329" uniqueCount="176">
  <si>
    <t>Age-Band (years)</t>
  </si>
  <si>
    <t>IFR1</t>
  </si>
  <si>
    <t>IFR1LB</t>
  </si>
  <si>
    <t>IFR1UB</t>
  </si>
  <si>
    <t>IFR2LB</t>
  </si>
  <si>
    <t>IFR2UB</t>
  </si>
  <si>
    <t>IFR2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</si>
  <si>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</si>
  <si>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</si>
  <si>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</si>
  <si>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</si>
  <si>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</si>
  <si>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</si>
  <si>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</si>
  <si>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</si>
  <si>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</si>
  <si>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</si>
  <si>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</si>
  <si>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</si>
  <si>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</si>
  <si>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</si>
  <si>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</si>
  <si>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</si>
  <si>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</si>
  <si>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</si>
  <si>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</si>
  <si>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Mean</t>
  </si>
  <si>
    <t>CodIFR</t>
  </si>
  <si>
    <t>IFR</t>
  </si>
  <si>
    <t>IFRLB</t>
  </si>
  <si>
    <t>IFRUB</t>
  </si>
  <si>
    <t>90+</t>
  </si>
  <si>
    <t>CEta</t>
  </si>
  <si>
    <t>Piemonte</t>
  </si>
  <si>
    <t>Liguria</t>
  </si>
  <si>
    <t>Lombardia</t>
  </si>
  <si>
    <t>Veneto</t>
  </si>
  <si>
    <t>Emilia-Romagna</t>
  </si>
  <si>
    <t>Toscana</t>
  </si>
  <si>
    <t>Umbria</t>
  </si>
  <si>
    <t>Marche</t>
  </si>
  <si>
    <t>Lazio</t>
  </si>
  <si>
    <t>Abruzzo</t>
  </si>
  <si>
    <t>Molise</t>
  </si>
  <si>
    <t>Campania</t>
  </si>
  <si>
    <t>Puglia</t>
  </si>
  <si>
    <t>Basilicata</t>
  </si>
  <si>
    <t>Calabria</t>
  </si>
  <si>
    <t>Sicilia</t>
  </si>
  <si>
    <t>Sardegna</t>
  </si>
  <si>
    <t>Italia</t>
  </si>
  <si>
    <t>IFRISTAT</t>
  </si>
  <si>
    <t>IFRISTATUB</t>
  </si>
  <si>
    <t>IFRISTATLB</t>
  </si>
  <si>
    <t>Valle d'Aosta</t>
  </si>
  <si>
    <t>Friuli Venezia Giulia</t>
  </si>
  <si>
    <t>P.A. Bolzano</t>
  </si>
  <si>
    <t>P.A. Trento</t>
  </si>
  <si>
    <t>region</t>
  </si>
  <si>
    <t>TA</t>
  </si>
  <si>
    <t>Trento</t>
  </si>
  <si>
    <t>Friuli-Venezia Giulia</t>
  </si>
  <si>
    <t>Estremo inferiore</t>
  </si>
  <si>
    <t>Estremo superiore</t>
  </si>
  <si>
    <t>Valle d'Aosta/Vallée d'Aoste</t>
  </si>
  <si>
    <t>Bolzano/Bozen</t>
  </si>
  <si>
    <r>
      <t>PERSONE PER ESITO AL TEST DI SIEROPREVALENZA, CASI DIAGNOSTICATI DURANTE LA PANDEMIA E DECESSI PER SARS-CoV-2 PER REGIONE. Anno 2020.</t>
    </r>
    <r>
      <rPr>
        <i/>
        <sz val="9"/>
        <color theme="1"/>
        <rFont val="Arial"/>
        <family val="2"/>
      </rPr>
      <t xml:space="preserve"> (valori assoluti e percentuali)</t>
    </r>
  </si>
  <si>
    <t>Regione</t>
  </si>
  <si>
    <t>V.A.</t>
  </si>
  <si>
    <t>per 100 persone con le stesse caratteristiche</t>
  </si>
  <si>
    <t>Intervallo di confidenza al 95%</t>
  </si>
  <si>
    <t>per 100 persone risultate positive</t>
  </si>
  <si>
    <t xml:space="preserve">Casi diagnosticati dai laboratori dai laboratori di riferimento regionale (v.a.)    (ISS, 16 luglio 2020) (a) </t>
  </si>
  <si>
    <t>Decessi (v.a.)  (ISS, 16 luglio 2020) (a)</t>
  </si>
  <si>
    <t xml:space="preserve">Casi diagnosticati dai laboratori di riferimento regionale  (%)  (ISS, 16 luglio 2020) (a) </t>
  </si>
  <si>
    <t>Decessi (%) (ISS, 16 luglio 2020) (a)</t>
  </si>
  <si>
    <t>Popolazione % (b)</t>
  </si>
  <si>
    <t>Popolazione 
valori assoluti (b)</t>
  </si>
  <si>
    <t xml:space="preserve">Esito IgG positivo </t>
  </si>
  <si>
    <t>decessi al 19/06/2020</t>
  </si>
  <si>
    <t>ITA</t>
  </si>
  <si>
    <t>(0,002-0,004)</t>
  </si>
  <si>
    <t>(0,002-0,003)</t>
  </si>
  <si>
    <t>(0-0,001)</t>
  </si>
  <si>
    <t>(0,001-0,002)</t>
  </si>
  <si>
    <t>(0,001-0,001)</t>
  </si>
  <si>
    <t>'20-24</t>
  </si>
  <si>
    <t>(0,007-0,009)</t>
  </si>
  <si>
    <t>(0,004-0,006)</t>
  </si>
  <si>
    <t>(0,005-0,008)</t>
  </si>
  <si>
    <t>(0,014-0,020)</t>
  </si>
  <si>
    <t>(0,008-0,011)</t>
  </si>
  <si>
    <t>(0,011-0,015)</t>
  </si>
  <si>
    <t>(0,028-0,038)</t>
  </si>
  <si>
    <t>(0,013-0,018)</t>
  </si>
  <si>
    <t>(0,021-0,028)</t>
  </si>
  <si>
    <t>(0,048-0,065)</t>
  </si>
  <si>
    <t>(0,021-0,029)</t>
  </si>
  <si>
    <t>(0,034-0,047)</t>
  </si>
  <si>
    <t>(0,091-0,123)</t>
  </si>
  <si>
    <t>(0,038-0,051)</t>
  </si>
  <si>
    <t>(0,064-0,087)</t>
  </si>
  <si>
    <t>(0,144-0,195)</t>
  </si>
  <si>
    <t>(0,063-0,085)</t>
  </si>
  <si>
    <t>(0,104-0,140)</t>
  </si>
  <si>
    <t>(0,250-0,336)</t>
  </si>
  <si>
    <t>(0,105-0,142)</t>
  </si>
  <si>
    <t>(0,177-0,239)</t>
  </si>
  <si>
    <t>(0,384-0,518)</t>
  </si>
  <si>
    <t>(0,169-0,228)</t>
  </si>
  <si>
    <t>(0,277-0,373)</t>
  </si>
  <si>
    <t>(0,511-0,688)</t>
  </si>
  <si>
    <t>(0,273-0,367)</t>
  </si>
  <si>
    <t>(0,392-0,527)</t>
  </si>
  <si>
    <t>(1,244-1,68)</t>
  </si>
  <si>
    <t>(0,598-0,807)</t>
  </si>
  <si>
    <t>(0,921-1,244)</t>
  </si>
  <si>
    <t>(1,976-2,668)</t>
  </si>
  <si>
    <t>(0,893-1,206)</t>
  </si>
  <si>
    <t>(1,435-1,937)</t>
  </si>
  <si>
    <t>(3,651-4,929)</t>
  </si>
  <si>
    <t>(1,838-2,482)</t>
  </si>
  <si>
    <t>(2,744-3,705)</t>
  </si>
  <si>
    <t>80+</t>
  </si>
  <si>
    <t>(9,276-12,523)</t>
  </si>
  <si>
    <t>(4,935-6,662)</t>
  </si>
  <si>
    <t>(7,105-9,593)</t>
  </si>
  <si>
    <t>Age</t>
  </si>
  <si>
    <t>Male</t>
  </si>
  <si>
    <t>Fenale</t>
  </si>
  <si>
    <t>oveall</t>
  </si>
  <si>
    <t>Male IC</t>
  </si>
  <si>
    <t>Fenale IC</t>
  </si>
  <si>
    <t>oveall IC</t>
  </si>
  <si>
    <t>Pop</t>
  </si>
  <si>
    <t>Età mediana</t>
  </si>
  <si>
    <t>PopGio</t>
  </si>
  <si>
    <t>PopGio1</t>
  </si>
  <si>
    <t>PopGio2</t>
  </si>
  <si>
    <t>PopGio3</t>
  </si>
  <si>
    <t>PopGio4</t>
  </si>
  <si>
    <t>PopGio5</t>
  </si>
  <si>
    <t>PopGio6</t>
  </si>
  <si>
    <t>PopGio7</t>
  </si>
  <si>
    <t>PopGio8</t>
  </si>
  <si>
    <t>PopGio9</t>
  </si>
  <si>
    <t>PopGio10</t>
  </si>
  <si>
    <t>PopGio11</t>
  </si>
  <si>
    <t>etamediana</t>
  </si>
  <si>
    <t>dateMed</t>
  </si>
  <si>
    <t>NISTAT</t>
  </si>
  <si>
    <t>codreg</t>
  </si>
  <si>
    <t>IFRa</t>
  </si>
  <si>
    <t>IFRb</t>
  </si>
  <si>
    <t>IFRg</t>
  </si>
  <si>
    <t>IFRd</t>
  </si>
  <si>
    <t>IFRo</t>
  </si>
  <si>
    <t>ha</t>
  </si>
  <si>
    <t>hb</t>
  </si>
  <si>
    <t>hg</t>
  </si>
  <si>
    <t>hd</t>
  </si>
  <si>
    <t>ho</t>
  </si>
  <si>
    <t>0-9</t>
  </si>
  <si>
    <t>10-19</t>
  </si>
  <si>
    <t>20-29</t>
  </si>
  <si>
    <t>30-39</t>
  </si>
  <si>
    <t>40-49</t>
  </si>
  <si>
    <t>50-59</t>
  </si>
  <si>
    <t>60-69</t>
  </si>
  <si>
    <t>80-89</t>
  </si>
  <si>
    <t>CEtaCod2</t>
  </si>
  <si>
    <t>70-79</t>
  </si>
  <si>
    <t>Ceta2</t>
  </si>
  <si>
    <t>Friuli</t>
  </si>
  <si>
    <t>Bolzano</t>
  </si>
  <si>
    <t>d'Aosta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</si>
</sst>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000000"/>
      <name val="Arial"/>
      <family val="2"/>
    </font>
    <font>
      <sz val="7"/>
      <color theme="1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b/>
      <sz val="7"/>
      <color rgb="FF000000"/>
      <name val="Arial"/>
      <family val="2"/>
    </font>
    <font>
      <b/>
      <sz val="7"/>
      <color theme="1"/>
      <name val="Arial"/>
      <family val="2"/>
    </font>
    <font>
      <sz val="11"/>
      <color rgb="FFFF0000"/>
      <name val="Calibri"/>
      <family val="2"/>
      <scheme val="minor"/>
    </font>
    <font>
      <sz val="12"/>
      <color theme="1"/>
      <name val="Calibri Light"/>
      <family val="2"/>
      <scheme val="major"/>
    </font>
    <font>
      <sz val="12"/>
      <color rgb="FF000000"/>
      <name val="Calibri Light"/>
      <family val="2"/>
      <scheme val="major"/>
    </font>
    <font>
      <sz val="12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" fontId="0" fillId="0" borderId="0" xfId="0" quotePrefix="1" applyNumberFormat="1" applyAlignment="1">
      <alignment horizontal="center"/>
    </xf>
    <xf numFmtId="0" fontId="1" fillId="0" borderId="0" xfId="0" applyFont="1"/>
    <xf numFmtId="0" fontId="2" fillId="0" borderId="0" xfId="0" applyFont="1" applyAlignment="1">
      <alignment vertical="top"/>
    </xf>
    <xf numFmtId="3" fontId="3" fillId="0" borderId="0" xfId="0" applyNumberFormat="1" applyFont="1" applyAlignment="1">
      <alignment horizontal="right" vertical="top" wrapText="1"/>
    </xf>
    <xf numFmtId="164" fontId="3" fillId="0" borderId="0" xfId="0" applyNumberFormat="1" applyFont="1" applyAlignment="1">
      <alignment horizontal="right" vertical="top" wrapText="1"/>
    </xf>
    <xf numFmtId="165" fontId="4" fillId="0" borderId="0" xfId="0" applyNumberFormat="1" applyFont="1" applyAlignment="1">
      <alignment horizontal="right" vertical="top" wrapText="1"/>
    </xf>
    <xf numFmtId="0" fontId="3" fillId="0" borderId="0" xfId="0" applyFont="1" applyAlignment="1">
      <alignment horizontal="right" vertical="top" wrapText="1"/>
    </xf>
    <xf numFmtId="165" fontId="2" fillId="0" borderId="0" xfId="0" applyNumberFormat="1" applyFont="1" applyAlignment="1">
      <alignment horizontal="right" vertical="top" wrapText="1"/>
    </xf>
    <xf numFmtId="0" fontId="5" fillId="0" borderId="1" xfId="0" applyFont="1" applyBorder="1" applyAlignment="1">
      <alignment vertical="top"/>
    </xf>
    <xf numFmtId="3" fontId="5" fillId="0" borderId="1" xfId="0" applyNumberFormat="1" applyFont="1" applyBorder="1" applyAlignment="1">
      <alignment horizontal="right" vertical="top" wrapText="1"/>
    </xf>
    <xf numFmtId="164" fontId="5" fillId="0" borderId="1" xfId="0" applyNumberFormat="1" applyFont="1" applyBorder="1" applyAlignment="1">
      <alignment horizontal="right" vertical="top" wrapText="1"/>
    </xf>
    <xf numFmtId="0" fontId="6" fillId="0" borderId="0" xfId="0" applyFont="1" applyAlignment="1">
      <alignment vertical="top"/>
    </xf>
    <xf numFmtId="0" fontId="0" fillId="0" borderId="2" xfId="0" applyBorder="1" applyAlignment="1">
      <alignment vertical="top"/>
    </xf>
    <xf numFmtId="0" fontId="8" fillId="0" borderId="1" xfId="0" applyFont="1" applyBorder="1" applyAlignment="1">
      <alignment horizontal="right" vertical="top" wrapText="1"/>
    </xf>
    <xf numFmtId="0" fontId="8" fillId="0" borderId="1" xfId="0" applyFont="1" applyBorder="1" applyAlignment="1">
      <alignment horizontal="center" vertical="top" wrapText="1"/>
    </xf>
    <xf numFmtId="0" fontId="8" fillId="0" borderId="0" xfId="0" applyFont="1" applyAlignment="1">
      <alignment vertical="top" wrapText="1"/>
    </xf>
    <xf numFmtId="0" fontId="5" fillId="0" borderId="0" xfId="0" applyFont="1" applyAlignment="1">
      <alignment horizontal="center" vertical="top" wrapText="1"/>
    </xf>
    <xf numFmtId="16" fontId="0" fillId="0" borderId="0" xfId="0" quotePrefix="1" applyNumberFormat="1"/>
    <xf numFmtId="17" fontId="0" fillId="0" borderId="0" xfId="0" quotePrefix="1" applyNumberFormat="1"/>
    <xf numFmtId="0" fontId="10" fillId="0" borderId="0" xfId="0" applyFont="1"/>
    <xf numFmtId="0" fontId="10" fillId="0" borderId="0" xfId="0" applyFont="1" applyAlignment="1">
      <alignment horizontal="center"/>
    </xf>
    <xf numFmtId="14" fontId="0" fillId="0" borderId="0" xfId="0" applyNumberFormat="1"/>
    <xf numFmtId="0" fontId="11" fillId="0" borderId="0" xfId="0" applyFont="1"/>
    <xf numFmtId="0" fontId="12" fillId="0" borderId="0" xfId="0" applyFont="1" applyAlignment="1">
      <alignment vertical="top"/>
    </xf>
    <xf numFmtId="1" fontId="11" fillId="0" borderId="0" xfId="0" applyNumberFormat="1" applyFont="1" applyAlignment="1">
      <alignment horizontal="right" vertical="top" wrapText="1"/>
    </xf>
    <xf numFmtId="0" fontId="13" fillId="0" borderId="0" xfId="0" applyFont="1" applyAlignment="1">
      <alignment vertical="top"/>
    </xf>
    <xf numFmtId="1" fontId="13" fillId="0" borderId="0" xfId="0" applyNumberFormat="1" applyFont="1" applyAlignment="1">
      <alignment horizontal="right" vertical="top" wrapText="1"/>
    </xf>
    <xf numFmtId="1" fontId="0" fillId="0" borderId="0" xfId="0" quotePrefix="1" applyNumberFormat="1" applyAlignment="1">
      <alignment horizontal="center"/>
    </xf>
    <xf numFmtId="0" fontId="5" fillId="0" borderId="2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0" fontId="8" fillId="0" borderId="2" xfId="0" applyFont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9" fillId="0" borderId="2" xfId="0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center" vertical="top" wrapText="1"/>
    </xf>
    <xf numFmtId="0" fontId="8" fillId="0" borderId="3" xfId="0" applyFont="1" applyBorder="1" applyAlignment="1">
      <alignment horizontal="center" vertical="top" wrapText="1"/>
    </xf>
    <xf numFmtId="2" fontId="1" fillId="0" borderId="0" xfId="0" applyNumberFormat="1" applyFont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workbookViewId="0">
      <selection activeCell="M2" sqref="M2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4</v>
      </c>
      <c r="G1" t="s">
        <v>5</v>
      </c>
      <c r="H1" t="s">
        <v>27</v>
      </c>
      <c r="I1" t="s">
        <v>152</v>
      </c>
      <c r="J1" t="s">
        <v>153</v>
      </c>
      <c r="K1" t="s">
        <v>154</v>
      </c>
      <c r="L1" t="s">
        <v>155</v>
      </c>
      <c r="M1" t="s">
        <v>156</v>
      </c>
    </row>
    <row r="2" spans="1:13" x14ac:dyDescent="0.25">
      <c r="A2" s="1" t="s">
        <v>7</v>
      </c>
      <c r="B2">
        <v>0</v>
      </c>
      <c r="C2">
        <v>0</v>
      </c>
      <c r="D2">
        <v>2.9999999999999997E-4</v>
      </c>
      <c r="E2">
        <v>0</v>
      </c>
      <c r="F2">
        <v>0</v>
      </c>
      <c r="G2">
        <v>2.9999999999999997E-4</v>
      </c>
      <c r="H2">
        <v>1</v>
      </c>
      <c r="I2">
        <f>1-(1-$E2)^1.37</f>
        <v>0</v>
      </c>
      <c r="J2">
        <f>1-(1-$E2)^1.5</f>
        <v>0</v>
      </c>
      <c r="K2">
        <f>1-(1-$E2)^1.06</f>
        <v>0</v>
      </c>
      <c r="L2">
        <f>1-(1-$E2)^2.33</f>
        <v>0</v>
      </c>
      <c r="M2">
        <f>1-(1-$E2)^2.33</f>
        <v>0</v>
      </c>
    </row>
    <row r="3" spans="1:13" x14ac:dyDescent="0.25">
      <c r="A3" s="1" t="s">
        <v>8</v>
      </c>
      <c r="B3">
        <v>1E-4</v>
      </c>
      <c r="C3">
        <v>0</v>
      </c>
      <c r="D3">
        <v>5.9999999999999995E-4</v>
      </c>
      <c r="E3">
        <v>1E-4</v>
      </c>
      <c r="F3">
        <v>0</v>
      </c>
      <c r="G3">
        <v>5.9999999999999995E-4</v>
      </c>
      <c r="H3">
        <v>2</v>
      </c>
      <c r="I3">
        <f t="shared" ref="I3:I21" si="0">1-(1-E3)^1.37</f>
        <v>1.3699746544670877E-4</v>
      </c>
      <c r="J3">
        <f t="shared" ref="J3:J21" si="1">1-(1-$E3)^1.5</f>
        <v>1.4999624993750071E-4</v>
      </c>
      <c r="K3">
        <f t="shared" ref="K3:K21" si="2">1-(1-$E3)^1.06</f>
        <v>1.0599968198998777E-4</v>
      </c>
      <c r="L3">
        <f t="shared" ref="L3:M20" si="3">1-(1-$E3)^2.33</f>
        <v>2.329845056704416E-4</v>
      </c>
      <c r="M3">
        <f t="shared" si="3"/>
        <v>2.329845056704416E-4</v>
      </c>
    </row>
    <row r="4" spans="1:13" x14ac:dyDescent="0.25">
      <c r="A4" s="1" t="s">
        <v>9</v>
      </c>
      <c r="B4">
        <v>1E-4</v>
      </c>
      <c r="C4">
        <v>0</v>
      </c>
      <c r="D4">
        <v>1.1000000000000001E-3</v>
      </c>
      <c r="E4">
        <v>1E-4</v>
      </c>
      <c r="F4">
        <v>0</v>
      </c>
      <c r="G4">
        <v>1E-3</v>
      </c>
      <c r="H4">
        <v>3</v>
      </c>
      <c r="I4">
        <f t="shared" si="0"/>
        <v>1.3699746544670877E-4</v>
      </c>
      <c r="J4">
        <f t="shared" si="1"/>
        <v>1.4999624993750071E-4</v>
      </c>
      <c r="K4">
        <f t="shared" si="2"/>
        <v>1.0599968198998777E-4</v>
      </c>
      <c r="L4">
        <f t="shared" si="3"/>
        <v>2.329845056704416E-4</v>
      </c>
      <c r="M4">
        <f t="shared" si="3"/>
        <v>2.329845056704416E-4</v>
      </c>
    </row>
    <row r="5" spans="1:13" x14ac:dyDescent="0.25">
      <c r="A5" s="1" t="s">
        <v>10</v>
      </c>
      <c r="B5">
        <v>2.0000000000000001E-4</v>
      </c>
      <c r="C5">
        <v>0</v>
      </c>
      <c r="D5">
        <v>1.8E-3</v>
      </c>
      <c r="E5">
        <v>2.0000000000000001E-4</v>
      </c>
      <c r="F5">
        <v>0</v>
      </c>
      <c r="G5">
        <v>1.7000000000000001E-3</v>
      </c>
      <c r="H5">
        <v>4</v>
      </c>
      <c r="I5">
        <f t="shared" si="0"/>
        <v>2.7398986157411986E-4</v>
      </c>
      <c r="J5">
        <f t="shared" si="1"/>
        <v>2.9998499949990265E-4</v>
      </c>
      <c r="K5">
        <f t="shared" si="2"/>
        <v>2.1199872792021512E-4</v>
      </c>
      <c r="L5">
        <f t="shared" si="3"/>
        <v>4.6593802336347689E-4</v>
      </c>
      <c r="M5">
        <f t="shared" si="3"/>
        <v>4.6593802336347689E-4</v>
      </c>
    </row>
    <row r="6" spans="1:13" x14ac:dyDescent="0.25">
      <c r="A6" s="1" t="s">
        <v>11</v>
      </c>
      <c r="B6">
        <v>2.9999999999999997E-4</v>
      </c>
      <c r="C6">
        <v>0</v>
      </c>
      <c r="D6">
        <v>3.0000000000000001E-3</v>
      </c>
      <c r="E6">
        <v>2.0000000000000001E-4</v>
      </c>
      <c r="F6">
        <v>0</v>
      </c>
      <c r="G6">
        <v>2.8000000000000004E-3</v>
      </c>
      <c r="H6">
        <v>5</v>
      </c>
      <c r="I6">
        <f t="shared" si="0"/>
        <v>2.7398986157411986E-4</v>
      </c>
      <c r="J6">
        <f t="shared" si="1"/>
        <v>2.9998499949990265E-4</v>
      </c>
      <c r="K6">
        <f t="shared" si="2"/>
        <v>2.1199872792021512E-4</v>
      </c>
      <c r="L6">
        <f t="shared" si="3"/>
        <v>4.6593802336347689E-4</v>
      </c>
      <c r="M6">
        <f t="shared" si="3"/>
        <v>4.6593802336347689E-4</v>
      </c>
    </row>
    <row r="7" spans="1:13" x14ac:dyDescent="0.25">
      <c r="A7" s="1" t="s">
        <v>12</v>
      </c>
      <c r="B7">
        <v>4.0000000000000002E-4</v>
      </c>
      <c r="C7">
        <v>0</v>
      </c>
      <c r="D7">
        <v>4.5999999999999999E-3</v>
      </c>
      <c r="E7">
        <v>4.0000000000000002E-4</v>
      </c>
      <c r="F7">
        <v>0</v>
      </c>
      <c r="G7">
        <v>4.4000000000000003E-3</v>
      </c>
      <c r="H7">
        <v>6</v>
      </c>
      <c r="I7">
        <f t="shared" si="0"/>
        <v>5.4795944459307133E-4</v>
      </c>
      <c r="J7">
        <f t="shared" si="1"/>
        <v>5.9993999599938785E-4</v>
      </c>
      <c r="K7">
        <f t="shared" si="2"/>
        <v>4.2399491136213552E-4</v>
      </c>
      <c r="L7">
        <f t="shared" si="3"/>
        <v>9.3175209890872246E-4</v>
      </c>
      <c r="M7">
        <f t="shared" si="3"/>
        <v>9.3175209890872246E-4</v>
      </c>
    </row>
    <row r="8" spans="1:13" x14ac:dyDescent="0.25">
      <c r="A8" s="1" t="s">
        <v>13</v>
      </c>
      <c r="B8">
        <v>5.9999999999999995E-4</v>
      </c>
      <c r="C8">
        <v>1E-4</v>
      </c>
      <c r="D8">
        <v>7.0999999999999995E-3</v>
      </c>
      <c r="E8">
        <v>5.9999999999999995E-4</v>
      </c>
      <c r="F8">
        <v>1E-4</v>
      </c>
      <c r="G8">
        <v>6.7000000000000002E-3</v>
      </c>
      <c r="H8">
        <v>7</v>
      </c>
      <c r="I8">
        <f t="shared" si="0"/>
        <v>8.2190874650078793E-4</v>
      </c>
      <c r="J8">
        <f t="shared" si="1"/>
        <v>8.9986498649707869E-4</v>
      </c>
      <c r="K8">
        <f t="shared" si="2"/>
        <v>6.3598854984714404E-4</v>
      </c>
      <c r="L8">
        <f t="shared" si="3"/>
        <v>1.3974422348187465E-3</v>
      </c>
      <c r="M8">
        <f>1-(1-$E8)^(2.33*0.13)</f>
        <v>1.8177802019181399E-4</v>
      </c>
    </row>
    <row r="9" spans="1:13" x14ac:dyDescent="0.25">
      <c r="A9" s="1" t="s">
        <v>14</v>
      </c>
      <c r="B9">
        <v>1E-3</v>
      </c>
      <c r="C9">
        <v>1E-4</v>
      </c>
      <c r="D9">
        <v>1.03E-2</v>
      </c>
      <c r="E9">
        <v>8.9999999999999998E-4</v>
      </c>
      <c r="F9">
        <v>1E-4</v>
      </c>
      <c r="G9">
        <v>9.7999999999999997E-3</v>
      </c>
      <c r="H9">
        <v>8</v>
      </c>
      <c r="I9">
        <f t="shared" si="0"/>
        <v>1.232794666685133E-3</v>
      </c>
      <c r="J9">
        <f t="shared" si="1"/>
        <v>1.3496962044221572E-3</v>
      </c>
      <c r="K9">
        <f t="shared" si="2"/>
        <v>9.539742347330904E-4</v>
      </c>
      <c r="L9">
        <f t="shared" si="3"/>
        <v>2.0957450697691726E-3</v>
      </c>
      <c r="M9">
        <f t="shared" ref="M9" si="4">1-(1-$E9)^(2.33*0.13)</f>
        <v>2.7269555995934613E-4</v>
      </c>
    </row>
    <row r="10" spans="1:13" x14ac:dyDescent="0.25">
      <c r="A10" s="1" t="s">
        <v>15</v>
      </c>
      <c r="B10">
        <v>1.6000000000000001E-3</v>
      </c>
      <c r="C10">
        <v>2.0000000000000001E-4</v>
      </c>
      <c r="D10">
        <v>1.47E-2</v>
      </c>
      <c r="E10">
        <v>1.5E-3</v>
      </c>
      <c r="F10">
        <v>2.0000000000000001E-4</v>
      </c>
      <c r="G10">
        <v>1.37E-2</v>
      </c>
      <c r="H10">
        <v>9</v>
      </c>
      <c r="I10">
        <f t="shared" si="0"/>
        <v>2.0544295577573646E-3</v>
      </c>
      <c r="J10">
        <f t="shared" si="1"/>
        <v>2.2491560389437115E-3</v>
      </c>
      <c r="K10">
        <f t="shared" si="2"/>
        <v>1.5899284163469751E-3</v>
      </c>
      <c r="L10">
        <f t="shared" si="3"/>
        <v>3.4915143128777526E-3</v>
      </c>
      <c r="M10">
        <f>1-(1-$E10)^(2.33*0.11)</f>
        <v>3.846646237478657E-4</v>
      </c>
    </row>
    <row r="11" spans="1:13" x14ac:dyDescent="0.25">
      <c r="A11" s="1" t="s">
        <v>16</v>
      </c>
      <c r="B11">
        <v>2.3999999999999998E-3</v>
      </c>
      <c r="C11">
        <v>2.9999999999999997E-4</v>
      </c>
      <c r="D11">
        <v>2.0299999999999999E-2</v>
      </c>
      <c r="E11">
        <v>2.3E-3</v>
      </c>
      <c r="F11">
        <v>2.9999999999999997E-4</v>
      </c>
      <c r="G11">
        <v>1.8799999999999997E-2</v>
      </c>
      <c r="H11">
        <v>10</v>
      </c>
      <c r="I11">
        <f t="shared" si="0"/>
        <v>3.1496586013097794E-3</v>
      </c>
      <c r="J11">
        <f t="shared" si="1"/>
        <v>3.4480154889058312E-3</v>
      </c>
      <c r="K11">
        <f t="shared" si="2"/>
        <v>2.4378316566325831E-3</v>
      </c>
      <c r="L11">
        <f t="shared" si="3"/>
        <v>5.3508054840368802E-3</v>
      </c>
      <c r="M11">
        <f>1-(1-$E11)^(2.33*0.11)</f>
        <v>5.8999483932031804E-4</v>
      </c>
    </row>
    <row r="12" spans="1:13" x14ac:dyDescent="0.25">
      <c r="A12" s="1" t="s">
        <v>17</v>
      </c>
      <c r="B12">
        <v>3.8E-3</v>
      </c>
      <c r="C12">
        <v>5.0000000000000001E-4</v>
      </c>
      <c r="D12">
        <v>2.7400000000000001E-2</v>
      </c>
      <c r="E12">
        <v>3.5999999999999999E-3</v>
      </c>
      <c r="F12">
        <v>5.0000000000000001E-4</v>
      </c>
      <c r="G12">
        <v>2.52E-2</v>
      </c>
      <c r="H12">
        <v>11</v>
      </c>
      <c r="I12">
        <f t="shared" si="0"/>
        <v>4.9287128011079595E-3</v>
      </c>
      <c r="J12">
        <f t="shared" si="1"/>
        <v>5.3951370800563447E-3</v>
      </c>
      <c r="K12">
        <f t="shared" si="2"/>
        <v>3.8155874063062756E-3</v>
      </c>
      <c r="L12">
        <f t="shared" si="3"/>
        <v>8.3679270848262544E-3</v>
      </c>
      <c r="M12">
        <f>1-(1-$E12)^(2.33*0.07)</f>
        <v>5.8804646426580121E-4</v>
      </c>
    </row>
    <row r="13" spans="1:13" x14ac:dyDescent="0.25">
      <c r="A13" s="1" t="s">
        <v>18</v>
      </c>
      <c r="B13">
        <v>6.0000000000000001E-3</v>
      </c>
      <c r="C13">
        <v>1E-3</v>
      </c>
      <c r="D13">
        <v>3.6400000000000002E-2</v>
      </c>
      <c r="E13">
        <v>5.6999999999999993E-3</v>
      </c>
      <c r="F13">
        <v>1E-3</v>
      </c>
      <c r="G13">
        <v>3.32E-2</v>
      </c>
      <c r="H13">
        <v>12</v>
      </c>
      <c r="I13">
        <f t="shared" si="0"/>
        <v>7.8007555297314735E-3</v>
      </c>
      <c r="J13">
        <f t="shared" si="1"/>
        <v>8.5378046506261462E-3</v>
      </c>
      <c r="K13">
        <f t="shared" si="2"/>
        <v>6.0409649676186339E-3</v>
      </c>
      <c r="L13">
        <f t="shared" si="3"/>
        <v>1.323068996389587E-2</v>
      </c>
      <c r="M13">
        <f>1-(1-$E13)^(2.33*0.07)</f>
        <v>9.3189518679559491E-4</v>
      </c>
    </row>
    <row r="14" spans="1:13" x14ac:dyDescent="0.25">
      <c r="A14" s="1" t="s">
        <v>19</v>
      </c>
      <c r="B14">
        <v>9.3999999999999986E-3</v>
      </c>
      <c r="C14">
        <v>1.8E-3</v>
      </c>
      <c r="D14">
        <v>4.7899999999999998E-2</v>
      </c>
      <c r="E14">
        <v>8.8999999999999999E-3</v>
      </c>
      <c r="F14">
        <v>1.8E-3</v>
      </c>
      <c r="G14">
        <v>4.3400000000000001E-2</v>
      </c>
      <c r="H14">
        <v>13</v>
      </c>
      <c r="I14">
        <f t="shared" si="0"/>
        <v>1.2172886567155428E-2</v>
      </c>
      <c r="J14">
        <f t="shared" si="1"/>
        <v>1.3320252041727598E-2</v>
      </c>
      <c r="K14">
        <f t="shared" si="2"/>
        <v>9.4314740672089004E-3</v>
      </c>
      <c r="L14">
        <f t="shared" si="3"/>
        <v>2.0614388399718853E-2</v>
      </c>
      <c r="M14">
        <f>1-(1-$E14)^(2.33*0.11)</f>
        <v>2.2886584127544962E-3</v>
      </c>
    </row>
    <row r="15" spans="1:13" x14ac:dyDescent="0.25">
      <c r="A15" s="1" t="s">
        <v>20</v>
      </c>
      <c r="B15">
        <v>1.47E-2</v>
      </c>
      <c r="C15">
        <v>3.4999999999999996E-3</v>
      </c>
      <c r="D15">
        <v>6.2699999999999992E-2</v>
      </c>
      <c r="E15">
        <v>1.3899999999999999E-2</v>
      </c>
      <c r="F15">
        <v>3.4000000000000002E-3</v>
      </c>
      <c r="G15">
        <v>5.6399999999999999E-2</v>
      </c>
      <c r="H15">
        <v>14</v>
      </c>
      <c r="I15">
        <f t="shared" si="0"/>
        <v>1.8993887169149626E-2</v>
      </c>
      <c r="J15">
        <f t="shared" si="1"/>
        <v>2.0777377517757767E-2</v>
      </c>
      <c r="K15">
        <f t="shared" si="2"/>
        <v>1.4727828980605095E-2</v>
      </c>
      <c r="L15">
        <f t="shared" si="3"/>
        <v>3.2088089571761014E-2</v>
      </c>
      <c r="M15">
        <f>1-(1-$E15)^(2.33*0.11)</f>
        <v>3.5811341109469597E-3</v>
      </c>
    </row>
    <row r="16" spans="1:13" x14ac:dyDescent="0.25">
      <c r="A16" s="1" t="s">
        <v>21</v>
      </c>
      <c r="B16">
        <v>2.3099999999999999E-2</v>
      </c>
      <c r="C16">
        <v>6.5000000000000006E-3</v>
      </c>
      <c r="D16">
        <v>8.2100000000000006E-2</v>
      </c>
      <c r="E16">
        <v>2.1700000000000001E-2</v>
      </c>
      <c r="F16">
        <v>6.4000000000000003E-3</v>
      </c>
      <c r="G16">
        <v>7.3499999999999996E-2</v>
      </c>
      <c r="H16">
        <v>15</v>
      </c>
      <c r="I16">
        <f t="shared" si="0"/>
        <v>2.9609104200016056E-2</v>
      </c>
      <c r="J16">
        <f t="shared" si="1"/>
        <v>3.2372772351356494E-2</v>
      </c>
      <c r="K16">
        <f t="shared" si="2"/>
        <v>2.2986922797304077E-2</v>
      </c>
      <c r="L16">
        <f t="shared" si="3"/>
        <v>4.9833127470283234E-2</v>
      </c>
      <c r="M16">
        <f>1-(1-$E16)^(2.33*0.16)</f>
        <v>8.1454691345163033E-3</v>
      </c>
    </row>
    <row r="17" spans="1:13" x14ac:dyDescent="0.25">
      <c r="A17" s="1" t="s">
        <v>22</v>
      </c>
      <c r="B17">
        <v>3.61E-2</v>
      </c>
      <c r="C17">
        <v>1.21E-2</v>
      </c>
      <c r="D17">
        <v>0.1081</v>
      </c>
      <c r="E17">
        <v>3.39E-2</v>
      </c>
      <c r="F17">
        <v>1.1899999999999999E-2</v>
      </c>
      <c r="G17">
        <v>9.6500000000000002E-2</v>
      </c>
      <c r="H17">
        <v>16</v>
      </c>
      <c r="I17">
        <f t="shared" si="0"/>
        <v>4.6149630028003319E-2</v>
      </c>
      <c r="J17">
        <f t="shared" si="1"/>
        <v>5.0416579872521239E-2</v>
      </c>
      <c r="K17">
        <f t="shared" si="2"/>
        <v>3.5897060429929128E-2</v>
      </c>
      <c r="L17">
        <f t="shared" si="3"/>
        <v>7.7213034722017904E-2</v>
      </c>
      <c r="M17">
        <f>1-(1-$E17)^(2.33*0.16)</f>
        <v>1.2774801046931961E-2</v>
      </c>
    </row>
    <row r="18" spans="1:13" x14ac:dyDescent="0.25">
      <c r="A18" s="1" t="s">
        <v>23</v>
      </c>
      <c r="B18">
        <v>5.6600000000000004E-2</v>
      </c>
      <c r="C18">
        <v>2.23E-2</v>
      </c>
      <c r="D18">
        <v>0.14369999999999999</v>
      </c>
      <c r="E18">
        <v>5.2999999999999999E-2</v>
      </c>
      <c r="F18">
        <v>2.1899999999999999E-2</v>
      </c>
      <c r="G18">
        <v>0.12809999999999999</v>
      </c>
      <c r="H18">
        <v>17</v>
      </c>
      <c r="I18">
        <f t="shared" si="0"/>
        <v>7.1889958980104307E-2</v>
      </c>
      <c r="J18">
        <f t="shared" si="1"/>
        <v>7.8437130196751137E-2</v>
      </c>
      <c r="K18">
        <f t="shared" si="2"/>
        <v>5.6089151027222783E-2</v>
      </c>
      <c r="L18">
        <f t="shared" si="3"/>
        <v>0.11916319881809356</v>
      </c>
      <c r="M18">
        <f>1-(1-$E18)^(2.33*0.36)</f>
        <v>4.465032018462145E-2</v>
      </c>
    </row>
    <row r="19" spans="1:13" x14ac:dyDescent="0.25">
      <c r="A19" s="1" t="s">
        <v>24</v>
      </c>
      <c r="B19">
        <v>8.8599999999999998E-2</v>
      </c>
      <c r="C19">
        <v>4.0599999999999997E-2</v>
      </c>
      <c r="D19">
        <v>0.19359999999999999</v>
      </c>
      <c r="E19">
        <v>8.2799999999999999E-2</v>
      </c>
      <c r="F19">
        <v>3.9800000000000002E-2</v>
      </c>
      <c r="G19">
        <v>0.17249999999999999</v>
      </c>
      <c r="H19">
        <v>18</v>
      </c>
      <c r="I19">
        <f t="shared" si="0"/>
        <v>0.11166710755304354</v>
      </c>
      <c r="J19">
        <f t="shared" si="1"/>
        <v>0.12159243147158616</v>
      </c>
      <c r="K19">
        <f t="shared" si="2"/>
        <v>8.7544089249266266E-2</v>
      </c>
      <c r="L19">
        <f t="shared" si="3"/>
        <v>0.18239935140056207</v>
      </c>
      <c r="M19">
        <f t="shared" ref="M19:M20" si="5">1-(1-$E19)^(2.33*0.36)</f>
        <v>6.9931701091694887E-2</v>
      </c>
    </row>
    <row r="20" spans="1:13" x14ac:dyDescent="0.25">
      <c r="A20" s="1" t="s">
        <v>25</v>
      </c>
      <c r="B20">
        <v>0.17370000000000002</v>
      </c>
      <c r="C20">
        <v>9.6999999999999989E-2</v>
      </c>
      <c r="D20">
        <v>0.31120000000000003</v>
      </c>
      <c r="E20">
        <v>0.16190000000000002</v>
      </c>
      <c r="F20">
        <v>9.4399999999999998E-2</v>
      </c>
      <c r="G20">
        <v>0.27779999999999999</v>
      </c>
      <c r="H20">
        <v>19</v>
      </c>
      <c r="I20">
        <f t="shared" si="0"/>
        <v>0.21491749107470481</v>
      </c>
      <c r="J20">
        <f t="shared" si="1"/>
        <v>0.23273787377389732</v>
      </c>
      <c r="K20">
        <f t="shared" si="2"/>
        <v>0.17073451274501239</v>
      </c>
      <c r="L20">
        <f t="shared" si="3"/>
        <v>0.33735746661769117</v>
      </c>
      <c r="M20">
        <f t="shared" si="5"/>
        <v>0.13769570125856945</v>
      </c>
    </row>
    <row r="21" spans="1:13" x14ac:dyDescent="0.25">
      <c r="A21" t="s">
        <v>26</v>
      </c>
      <c r="B21">
        <v>1.15E-2</v>
      </c>
      <c r="C21">
        <v>7.7999999999999996E-3</v>
      </c>
      <c r="D21">
        <v>1.7899999999999999E-2</v>
      </c>
      <c r="E21">
        <v>1.06E-2</v>
      </c>
      <c r="F21">
        <v>7.3000000000000001E-3</v>
      </c>
      <c r="G21">
        <v>1.6400000000000001E-2</v>
      </c>
      <c r="H21">
        <v>0</v>
      </c>
      <c r="I21">
        <f t="shared" si="0"/>
        <v>1.4493458691414052E-2</v>
      </c>
      <c r="J21">
        <f t="shared" si="1"/>
        <v>1.5857790264029004E-2</v>
      </c>
      <c r="K21">
        <f t="shared" si="2"/>
        <v>1.1232415023323949E-2</v>
      </c>
      <c r="L21">
        <f>1-(1-$E21)^2.33</f>
        <v>2.4524107155873387E-2</v>
      </c>
      <c r="M21">
        <f>1-(1-$E21)^(2.33*0.31)</f>
        <v>7.6676999190257167E-3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4"/>
  <sheetViews>
    <sheetView workbookViewId="0">
      <selection activeCell="J11" sqref="J11"/>
    </sheetView>
  </sheetViews>
  <sheetFormatPr defaultRowHeight="15.75" x14ac:dyDescent="0.25"/>
  <cols>
    <col min="1" max="1" width="7.42578125" style="26" bestFit="1" customWidth="1"/>
    <col min="2" max="2" width="19.85546875" style="26" bestFit="1" customWidth="1"/>
    <col min="3" max="3" width="10.28515625" style="26" bestFit="1" customWidth="1"/>
    <col min="4" max="4" width="9.140625" style="26"/>
  </cols>
  <sheetData>
    <row r="1" spans="1:3" x14ac:dyDescent="0.25">
      <c r="A1" s="26" t="s">
        <v>151</v>
      </c>
      <c r="B1" s="26" t="s">
        <v>67</v>
      </c>
      <c r="C1" s="26" t="s">
        <v>150</v>
      </c>
    </row>
    <row r="2" spans="1:3" x14ac:dyDescent="0.25">
      <c r="A2" s="26">
        <v>1</v>
      </c>
      <c r="B2" s="27" t="s">
        <v>33</v>
      </c>
      <c r="C2" s="28">
        <v>149727</v>
      </c>
    </row>
    <row r="3" spans="1:3" x14ac:dyDescent="0.25">
      <c r="A3" s="26">
        <v>2</v>
      </c>
      <c r="B3" s="27" t="s">
        <v>54</v>
      </c>
      <c r="C3" s="28">
        <v>4666</v>
      </c>
    </row>
    <row r="4" spans="1:3" x14ac:dyDescent="0.25">
      <c r="A4" s="26">
        <v>4</v>
      </c>
      <c r="B4" s="27" t="s">
        <v>34</v>
      </c>
      <c r="C4" s="28">
        <v>49922</v>
      </c>
    </row>
    <row r="5" spans="1:3" x14ac:dyDescent="0.25">
      <c r="A5" s="26">
        <v>3</v>
      </c>
      <c r="B5" s="27" t="s">
        <v>35</v>
      </c>
      <c r="C5" s="28">
        <v>742150</v>
      </c>
    </row>
    <row r="6" spans="1:3" x14ac:dyDescent="0.25">
      <c r="A6" s="26">
        <v>21</v>
      </c>
      <c r="B6" s="27" t="s">
        <v>56</v>
      </c>
      <c r="C6" s="28">
        <v>15712</v>
      </c>
    </row>
    <row r="7" spans="1:3" x14ac:dyDescent="0.25">
      <c r="A7" s="26">
        <v>22</v>
      </c>
      <c r="B7" s="27" t="s">
        <v>57</v>
      </c>
      <c r="C7" s="28">
        <v>18582</v>
      </c>
    </row>
    <row r="8" spans="1:3" x14ac:dyDescent="0.25">
      <c r="A8" s="26">
        <v>7</v>
      </c>
      <c r="B8" s="27" t="s">
        <v>36</v>
      </c>
      <c r="C8" s="28">
        <v>94416</v>
      </c>
    </row>
    <row r="9" spans="1:3" x14ac:dyDescent="0.25">
      <c r="A9" s="26">
        <v>6</v>
      </c>
      <c r="B9" s="27" t="s">
        <v>55</v>
      </c>
      <c r="C9" s="28">
        <v>12302</v>
      </c>
    </row>
    <row r="10" spans="1:3" x14ac:dyDescent="0.25">
      <c r="A10" s="26">
        <v>8</v>
      </c>
      <c r="B10" s="27" t="s">
        <v>37</v>
      </c>
      <c r="C10" s="28">
        <v>129603</v>
      </c>
    </row>
    <row r="11" spans="1:3" x14ac:dyDescent="0.25">
      <c r="A11" s="26">
        <v>9</v>
      </c>
      <c r="B11" s="27" t="s">
        <v>38</v>
      </c>
      <c r="C11" s="28">
        <v>33402</v>
      </c>
    </row>
    <row r="12" spans="1:3" x14ac:dyDescent="0.25">
      <c r="A12" s="26">
        <v>10</v>
      </c>
      <c r="B12" s="27" t="s">
        <v>39</v>
      </c>
      <c r="C12" s="28">
        <v>5892</v>
      </c>
    </row>
    <row r="13" spans="1:3" x14ac:dyDescent="0.25">
      <c r="A13" s="26">
        <v>11</v>
      </c>
      <c r="B13" s="27" t="s">
        <v>40</v>
      </c>
      <c r="C13" s="28">
        <v>39350</v>
      </c>
    </row>
    <row r="14" spans="1:3" x14ac:dyDescent="0.25">
      <c r="A14" s="26">
        <v>12</v>
      </c>
      <c r="B14" s="27" t="s">
        <v>41</v>
      </c>
      <c r="C14" s="28">
        <v>59545</v>
      </c>
    </row>
    <row r="15" spans="1:3" x14ac:dyDescent="0.25">
      <c r="A15" s="26">
        <v>14</v>
      </c>
      <c r="B15" s="27" t="s">
        <v>42</v>
      </c>
      <c r="C15" s="28">
        <v>16878</v>
      </c>
    </row>
    <row r="16" spans="1:3" x14ac:dyDescent="0.25">
      <c r="A16" s="26">
        <v>13</v>
      </c>
      <c r="B16" s="27" t="s">
        <v>43</v>
      </c>
      <c r="C16" s="28">
        <v>2537</v>
      </c>
    </row>
    <row r="17" spans="1:3" x14ac:dyDescent="0.25">
      <c r="A17" s="26">
        <v>15</v>
      </c>
      <c r="B17" s="27" t="s">
        <v>44</v>
      </c>
      <c r="C17" s="28">
        <v>51416</v>
      </c>
    </row>
    <row r="18" spans="1:3" x14ac:dyDescent="0.25">
      <c r="A18" s="26">
        <v>16</v>
      </c>
      <c r="B18" s="27" t="s">
        <v>45</v>
      </c>
      <c r="C18" s="28">
        <v>35306</v>
      </c>
    </row>
    <row r="19" spans="1:3" x14ac:dyDescent="0.25">
      <c r="A19" s="26">
        <v>17</v>
      </c>
      <c r="B19" s="27" t="s">
        <v>46</v>
      </c>
      <c r="C19" s="28">
        <v>3984</v>
      </c>
    </row>
    <row r="20" spans="1:3" x14ac:dyDescent="0.25">
      <c r="A20" s="26">
        <v>18</v>
      </c>
      <c r="B20" s="27" t="s">
        <v>47</v>
      </c>
      <c r="C20" s="28">
        <v>9828</v>
      </c>
    </row>
    <row r="21" spans="1:3" x14ac:dyDescent="0.25">
      <c r="A21" s="26">
        <v>19</v>
      </c>
      <c r="B21" s="27" t="s">
        <v>48</v>
      </c>
      <c r="C21" s="28">
        <v>18249</v>
      </c>
    </row>
    <row r="22" spans="1:3" x14ac:dyDescent="0.25">
      <c r="A22" s="26">
        <v>20</v>
      </c>
      <c r="B22" s="27" t="s">
        <v>49</v>
      </c>
      <c r="C22" s="28">
        <v>8071</v>
      </c>
    </row>
    <row r="23" spans="1:3" x14ac:dyDescent="0.25">
      <c r="A23" s="26">
        <v>5</v>
      </c>
      <c r="B23" s="27" t="s">
        <v>59</v>
      </c>
      <c r="C23" s="28">
        <f>C6+C7</f>
        <v>34294</v>
      </c>
    </row>
    <row r="24" spans="1:3" x14ac:dyDescent="0.25">
      <c r="A24" s="26">
        <v>23</v>
      </c>
      <c r="B24" s="29" t="s">
        <v>80</v>
      </c>
      <c r="C24" s="30">
        <v>1501537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0"/>
  <sheetViews>
    <sheetView workbookViewId="0">
      <selection activeCell="N21" sqref="N21"/>
    </sheetView>
  </sheetViews>
  <sheetFormatPr defaultRowHeight="15" x14ac:dyDescent="0.25"/>
  <cols>
    <col min="2" max="2" width="21.28515625" customWidth="1"/>
  </cols>
  <sheetData>
    <row r="1" spans="1:4" x14ac:dyDescent="0.25">
      <c r="A1" s="3" t="s">
        <v>32</v>
      </c>
      <c r="B1" s="3" t="s">
        <v>28</v>
      </c>
      <c r="C1" s="3" t="s">
        <v>29</v>
      </c>
      <c r="D1" s="3" t="s">
        <v>30</v>
      </c>
    </row>
    <row r="2" spans="1:4" x14ac:dyDescent="0.25">
      <c r="A2" s="4" t="s">
        <v>7</v>
      </c>
      <c r="B2" s="2">
        <v>0</v>
      </c>
      <c r="C2" s="2">
        <v>0</v>
      </c>
      <c r="D2" s="2">
        <v>0.03</v>
      </c>
    </row>
    <row r="3" spans="1:4" x14ac:dyDescent="0.25">
      <c r="A3" s="4" t="s">
        <v>8</v>
      </c>
      <c r="B3" s="2">
        <v>1E-4</v>
      </c>
      <c r="C3" s="2">
        <v>0</v>
      </c>
      <c r="D3" s="2">
        <v>0.06</v>
      </c>
    </row>
    <row r="4" spans="1:4" x14ac:dyDescent="0.25">
      <c r="A4" s="4" t="s">
        <v>9</v>
      </c>
      <c r="B4" s="2">
        <v>1E-4</v>
      </c>
      <c r="C4" s="2">
        <v>0</v>
      </c>
      <c r="D4" s="2">
        <v>0.11</v>
      </c>
    </row>
    <row r="5" spans="1:4" x14ac:dyDescent="0.25">
      <c r="A5" s="4" t="s">
        <v>10</v>
      </c>
      <c r="B5" s="2">
        <v>2.0000000000000001E-4</v>
      </c>
      <c r="C5" s="2">
        <v>0</v>
      </c>
      <c r="D5" s="2">
        <v>0.18</v>
      </c>
    </row>
    <row r="6" spans="1:4" x14ac:dyDescent="0.25">
      <c r="A6" s="4" t="s">
        <v>11</v>
      </c>
      <c r="B6" s="2">
        <v>2.9999999999999997E-4</v>
      </c>
      <c r="C6" s="2">
        <v>0</v>
      </c>
      <c r="D6" s="2">
        <v>0.3</v>
      </c>
    </row>
    <row r="7" spans="1:4" x14ac:dyDescent="0.25">
      <c r="A7" s="4" t="s">
        <v>12</v>
      </c>
      <c r="B7" s="2">
        <v>4.0000000000000002E-4</v>
      </c>
      <c r="C7" s="2">
        <v>0</v>
      </c>
      <c r="D7" s="2">
        <v>0.46</v>
      </c>
    </row>
    <row r="8" spans="1:4" x14ac:dyDescent="0.25">
      <c r="A8" s="4" t="s">
        <v>13</v>
      </c>
      <c r="B8" s="2">
        <v>5.9999999999999995E-4</v>
      </c>
      <c r="C8" s="2">
        <v>0.01</v>
      </c>
      <c r="D8" s="2">
        <v>0.71</v>
      </c>
    </row>
    <row r="9" spans="1:4" x14ac:dyDescent="0.25">
      <c r="A9" s="4" t="s">
        <v>14</v>
      </c>
      <c r="B9" s="2">
        <v>1E-3</v>
      </c>
      <c r="C9" s="2">
        <v>0.01</v>
      </c>
      <c r="D9" s="2">
        <v>1.03</v>
      </c>
    </row>
    <row r="10" spans="1:4" x14ac:dyDescent="0.25">
      <c r="A10" s="4" t="s">
        <v>15</v>
      </c>
      <c r="B10" s="2">
        <v>1.6000000000000001E-3</v>
      </c>
      <c r="C10" s="2">
        <v>0.02</v>
      </c>
      <c r="D10" s="2">
        <v>1.47</v>
      </c>
    </row>
    <row r="11" spans="1:4" x14ac:dyDescent="0.25">
      <c r="A11" s="4" t="s">
        <v>16</v>
      </c>
      <c r="B11" s="2">
        <v>2.3999999999999998E-3</v>
      </c>
      <c r="C11" s="2">
        <v>0.03</v>
      </c>
      <c r="D11" s="2">
        <v>2.0299999999999998</v>
      </c>
    </row>
    <row r="12" spans="1:4" x14ac:dyDescent="0.25">
      <c r="A12" s="4" t="s">
        <v>17</v>
      </c>
      <c r="B12" s="2">
        <v>3.8E-3</v>
      </c>
      <c r="C12" s="2">
        <v>0.05</v>
      </c>
      <c r="D12" s="2">
        <v>2.74</v>
      </c>
    </row>
    <row r="13" spans="1:4" x14ac:dyDescent="0.25">
      <c r="A13" s="4" t="s">
        <v>18</v>
      </c>
      <c r="B13" s="2">
        <v>6.0000000000000001E-3</v>
      </c>
      <c r="C13" s="2">
        <v>0.1</v>
      </c>
      <c r="D13" s="2">
        <v>3.64</v>
      </c>
    </row>
    <row r="14" spans="1:4" x14ac:dyDescent="0.25">
      <c r="A14" s="4" t="s">
        <v>19</v>
      </c>
      <c r="B14" s="2">
        <v>9.4000000000000004E-3</v>
      </c>
      <c r="C14" s="2">
        <v>0.18</v>
      </c>
      <c r="D14" s="2">
        <v>4.79</v>
      </c>
    </row>
    <row r="15" spans="1:4" x14ac:dyDescent="0.25">
      <c r="A15" s="4" t="s">
        <v>20</v>
      </c>
      <c r="B15" s="2">
        <v>1.47E-2</v>
      </c>
      <c r="C15" s="2">
        <v>0.35</v>
      </c>
      <c r="D15" s="2">
        <v>6.27</v>
      </c>
    </row>
    <row r="16" spans="1:4" x14ac:dyDescent="0.25">
      <c r="A16" s="4" t="s">
        <v>21</v>
      </c>
      <c r="B16" s="2">
        <v>2.3099999999999999E-2</v>
      </c>
      <c r="C16" s="2">
        <v>0.65</v>
      </c>
      <c r="D16" s="2">
        <v>8.2100000000000009</v>
      </c>
    </row>
    <row r="17" spans="1:4" x14ac:dyDescent="0.25">
      <c r="A17" s="4" t="s">
        <v>22</v>
      </c>
      <c r="B17" s="2">
        <v>3.61E-2</v>
      </c>
      <c r="C17" s="2">
        <v>1.21</v>
      </c>
      <c r="D17" s="2">
        <v>10.81</v>
      </c>
    </row>
    <row r="18" spans="1:4" x14ac:dyDescent="0.25">
      <c r="A18" s="4" t="s">
        <v>23</v>
      </c>
      <c r="B18" s="2">
        <v>5.6599999999999998E-2</v>
      </c>
      <c r="C18" s="2">
        <v>2.23</v>
      </c>
      <c r="D18" s="2">
        <v>14.37</v>
      </c>
    </row>
    <row r="19" spans="1:4" x14ac:dyDescent="0.25">
      <c r="A19" s="4" t="s">
        <v>24</v>
      </c>
      <c r="B19" s="2">
        <v>8.8599999999999998E-2</v>
      </c>
      <c r="C19" s="2">
        <v>4.0599999999999996</v>
      </c>
      <c r="D19" s="2">
        <v>19.36</v>
      </c>
    </row>
    <row r="20" spans="1:4" x14ac:dyDescent="0.25">
      <c r="A20" s="4" t="s">
        <v>31</v>
      </c>
      <c r="B20" s="2">
        <v>0.17369999999999999</v>
      </c>
      <c r="C20" s="2">
        <v>9.6999999999999993</v>
      </c>
      <c r="D20" s="2">
        <v>31.12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1"/>
  <sheetViews>
    <sheetView tabSelected="1" workbookViewId="0">
      <selection activeCell="H2" sqref="H2"/>
    </sheetView>
  </sheetViews>
  <sheetFormatPr defaultRowHeight="15" x14ac:dyDescent="0.25"/>
  <sheetData>
    <row r="1" spans="1:7" x14ac:dyDescent="0.25">
      <c r="A1" s="3" t="s">
        <v>172</v>
      </c>
      <c r="B1" s="3" t="s">
        <v>170</v>
      </c>
      <c r="C1" t="s">
        <v>157</v>
      </c>
      <c r="D1" t="s">
        <v>158</v>
      </c>
      <c r="E1" t="s">
        <v>159</v>
      </c>
      <c r="F1" t="s">
        <v>160</v>
      </c>
      <c r="G1" t="s">
        <v>161</v>
      </c>
    </row>
    <row r="2" spans="1:7" x14ac:dyDescent="0.25">
      <c r="A2" s="4" t="s">
        <v>162</v>
      </c>
      <c r="B2" s="31">
        <v>1</v>
      </c>
      <c r="C2">
        <v>1.37</v>
      </c>
      <c r="D2">
        <v>1.5</v>
      </c>
      <c r="E2">
        <v>1.06</v>
      </c>
      <c r="F2">
        <v>2.33</v>
      </c>
      <c r="G2">
        <v>0.3029</v>
      </c>
    </row>
    <row r="3" spans="1:7" x14ac:dyDescent="0.25">
      <c r="A3" s="4" t="s">
        <v>163</v>
      </c>
      <c r="B3" s="31">
        <v>2</v>
      </c>
      <c r="C3">
        <v>1.37</v>
      </c>
      <c r="D3">
        <v>1.5</v>
      </c>
      <c r="E3">
        <v>1.06</v>
      </c>
      <c r="F3">
        <v>2.33</v>
      </c>
      <c r="G3">
        <v>0.3029</v>
      </c>
    </row>
    <row r="4" spans="1:7" x14ac:dyDescent="0.25">
      <c r="A4" s="4" t="s">
        <v>164</v>
      </c>
      <c r="B4" s="31">
        <v>3</v>
      </c>
      <c r="C4">
        <v>1.37</v>
      </c>
      <c r="D4">
        <v>1.5</v>
      </c>
      <c r="E4">
        <v>1.06</v>
      </c>
      <c r="F4">
        <v>2.33</v>
      </c>
      <c r="G4">
        <v>0.3029</v>
      </c>
    </row>
    <row r="5" spans="1:7" x14ac:dyDescent="0.25">
      <c r="A5" s="4" t="s">
        <v>165</v>
      </c>
      <c r="B5" s="31">
        <v>4</v>
      </c>
      <c r="C5">
        <v>1.37</v>
      </c>
      <c r="D5">
        <v>1.5</v>
      </c>
      <c r="E5">
        <v>1.06</v>
      </c>
      <c r="F5">
        <v>2.33</v>
      </c>
      <c r="G5">
        <v>0.3029</v>
      </c>
    </row>
    <row r="6" spans="1:7" x14ac:dyDescent="0.25">
      <c r="A6" s="4" t="s">
        <v>166</v>
      </c>
      <c r="B6" s="31">
        <v>5</v>
      </c>
      <c r="C6">
        <v>1.37</v>
      </c>
      <c r="D6">
        <v>1.5</v>
      </c>
      <c r="E6">
        <v>1.06</v>
      </c>
      <c r="F6">
        <v>2.33</v>
      </c>
      <c r="G6">
        <v>0.25630000000000003</v>
      </c>
    </row>
    <row r="7" spans="1:7" x14ac:dyDescent="0.25">
      <c r="A7" s="4" t="s">
        <v>167</v>
      </c>
      <c r="B7" s="31">
        <v>6</v>
      </c>
      <c r="C7">
        <v>1.37</v>
      </c>
      <c r="D7">
        <v>1.5</v>
      </c>
      <c r="E7">
        <v>1.06</v>
      </c>
      <c r="F7">
        <v>2.33</v>
      </c>
      <c r="G7">
        <v>0.16310000000000002</v>
      </c>
    </row>
    <row r="8" spans="1:7" x14ac:dyDescent="0.25">
      <c r="A8" s="4" t="s">
        <v>168</v>
      </c>
      <c r="B8" s="31">
        <v>7</v>
      </c>
      <c r="C8">
        <v>1.37</v>
      </c>
      <c r="D8">
        <v>1.5</v>
      </c>
      <c r="E8">
        <v>1.06</v>
      </c>
      <c r="F8">
        <v>2.33</v>
      </c>
      <c r="G8">
        <v>0.25630000000000003</v>
      </c>
    </row>
    <row r="9" spans="1:7" x14ac:dyDescent="0.25">
      <c r="A9" s="4" t="s">
        <v>171</v>
      </c>
      <c r="B9" s="31">
        <v>8</v>
      </c>
      <c r="C9">
        <v>1.37</v>
      </c>
      <c r="D9">
        <v>1.5</v>
      </c>
      <c r="E9">
        <v>1.06</v>
      </c>
      <c r="F9">
        <v>2.33</v>
      </c>
      <c r="G9">
        <v>0.37280000000000002</v>
      </c>
    </row>
    <row r="10" spans="1:7" x14ac:dyDescent="0.25">
      <c r="A10" s="4" t="s">
        <v>169</v>
      </c>
      <c r="B10" s="31">
        <v>9</v>
      </c>
      <c r="C10">
        <v>1.37</v>
      </c>
      <c r="D10">
        <v>1.5</v>
      </c>
      <c r="E10">
        <v>1.06</v>
      </c>
      <c r="F10">
        <v>2.33</v>
      </c>
      <c r="G10">
        <v>0.83879999999999999</v>
      </c>
    </row>
    <row r="11" spans="1:7" x14ac:dyDescent="0.25">
      <c r="A11" s="4" t="s">
        <v>31</v>
      </c>
      <c r="B11" s="31">
        <v>10</v>
      </c>
      <c r="C11">
        <v>1.37</v>
      </c>
      <c r="D11">
        <v>1.5</v>
      </c>
      <c r="E11">
        <v>1.06</v>
      </c>
      <c r="F11">
        <v>2.33</v>
      </c>
      <c r="G11">
        <v>0.83879999999999999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74"/>
  <sheetViews>
    <sheetView topLeftCell="A94" workbookViewId="0">
      <selection activeCell="A111" sqref="A111:D164"/>
    </sheetView>
  </sheetViews>
  <sheetFormatPr defaultRowHeight="15" x14ac:dyDescent="0.25"/>
  <cols>
    <col min="1" max="1" width="10.7109375" bestFit="1" customWidth="1"/>
    <col min="2" max="2" width="11.5703125" bestFit="1" customWidth="1"/>
  </cols>
  <sheetData>
    <row r="1" spans="1:2" x14ac:dyDescent="0.25">
      <c r="A1" t="s">
        <v>149</v>
      </c>
      <c r="B1" t="s">
        <v>148</v>
      </c>
    </row>
    <row r="2" spans="1:2" x14ac:dyDescent="0.25">
      <c r="A2" s="25">
        <v>43878</v>
      </c>
      <c r="B2">
        <v>58</v>
      </c>
    </row>
    <row r="3" spans="1:2" x14ac:dyDescent="0.25">
      <c r="A3" s="25">
        <v>43885</v>
      </c>
      <c r="B3">
        <v>63</v>
      </c>
    </row>
    <row r="4" spans="1:2" x14ac:dyDescent="0.25">
      <c r="A4" s="25">
        <v>43892</v>
      </c>
      <c r="B4">
        <v>65</v>
      </c>
    </row>
    <row r="5" spans="1:2" x14ac:dyDescent="0.25">
      <c r="A5" s="25">
        <v>43899</v>
      </c>
      <c r="B5">
        <v>62</v>
      </c>
    </row>
    <row r="6" spans="1:2" x14ac:dyDescent="0.25">
      <c r="A6" s="25">
        <v>43906</v>
      </c>
      <c r="B6">
        <v>61</v>
      </c>
    </row>
    <row r="7" spans="1:2" x14ac:dyDescent="0.25">
      <c r="A7" s="25">
        <v>43913</v>
      </c>
      <c r="B7">
        <v>61</v>
      </c>
    </row>
    <row r="8" spans="1:2" x14ac:dyDescent="0.25">
      <c r="A8" s="25">
        <v>43920</v>
      </c>
      <c r="B8">
        <v>60</v>
      </c>
    </row>
    <row r="9" spans="1:2" x14ac:dyDescent="0.25">
      <c r="A9" s="25">
        <v>43927</v>
      </c>
      <c r="B9">
        <v>64</v>
      </c>
    </row>
    <row r="10" spans="1:2" x14ac:dyDescent="0.25">
      <c r="A10" s="25">
        <v>43934</v>
      </c>
      <c r="B10">
        <v>68</v>
      </c>
    </row>
    <row r="11" spans="1:2" x14ac:dyDescent="0.25">
      <c r="A11" s="25">
        <v>43941</v>
      </c>
      <c r="B11">
        <v>64</v>
      </c>
    </row>
    <row r="12" spans="1:2" x14ac:dyDescent="0.25">
      <c r="A12" s="25">
        <v>43948</v>
      </c>
      <c r="B12">
        <v>60</v>
      </c>
    </row>
    <row r="13" spans="1:2" x14ac:dyDescent="0.25">
      <c r="A13" s="25">
        <v>43955</v>
      </c>
      <c r="B13">
        <v>58</v>
      </c>
    </row>
    <row r="14" spans="1:2" x14ac:dyDescent="0.25">
      <c r="A14" s="25">
        <v>43962</v>
      </c>
      <c r="B14">
        <v>56</v>
      </c>
    </row>
    <row r="15" spans="1:2" x14ac:dyDescent="0.25">
      <c r="A15" s="25">
        <v>43969</v>
      </c>
      <c r="B15">
        <v>55</v>
      </c>
    </row>
    <row r="16" spans="1:2" x14ac:dyDescent="0.25">
      <c r="A16" s="25">
        <v>43976</v>
      </c>
      <c r="B16">
        <v>54</v>
      </c>
    </row>
    <row r="17" spans="1:2" x14ac:dyDescent="0.25">
      <c r="A17" s="25">
        <v>43983</v>
      </c>
      <c r="B17">
        <v>54</v>
      </c>
    </row>
    <row r="18" spans="1:2" x14ac:dyDescent="0.25">
      <c r="A18" s="25">
        <v>43990</v>
      </c>
      <c r="B18">
        <v>53</v>
      </c>
    </row>
    <row r="19" spans="1:2" x14ac:dyDescent="0.25">
      <c r="A19" s="25">
        <v>43997</v>
      </c>
      <c r="B19">
        <v>49</v>
      </c>
    </row>
    <row r="20" spans="1:2" x14ac:dyDescent="0.25">
      <c r="A20" s="25">
        <v>44004</v>
      </c>
      <c r="B20">
        <v>47</v>
      </c>
    </row>
    <row r="21" spans="1:2" x14ac:dyDescent="0.25">
      <c r="A21" s="25">
        <v>44011</v>
      </c>
      <c r="B21">
        <v>44</v>
      </c>
    </row>
    <row r="22" spans="1:2" x14ac:dyDescent="0.25">
      <c r="A22" s="25">
        <v>44018</v>
      </c>
      <c r="B22">
        <v>43</v>
      </c>
    </row>
    <row r="23" spans="1:2" x14ac:dyDescent="0.25">
      <c r="A23" s="25">
        <v>44025</v>
      </c>
      <c r="B23">
        <v>41</v>
      </c>
    </row>
    <row r="24" spans="1:2" x14ac:dyDescent="0.25">
      <c r="A24" s="25">
        <v>44032</v>
      </c>
      <c r="B24">
        <v>41</v>
      </c>
    </row>
    <row r="25" spans="1:2" x14ac:dyDescent="0.25">
      <c r="A25" s="25">
        <v>44039</v>
      </c>
      <c r="B25">
        <v>38</v>
      </c>
    </row>
    <row r="26" spans="1:2" x14ac:dyDescent="0.25">
      <c r="A26" s="25">
        <v>44046</v>
      </c>
      <c r="B26">
        <v>34</v>
      </c>
    </row>
    <row r="27" spans="1:2" x14ac:dyDescent="0.25">
      <c r="A27" s="25">
        <v>44053</v>
      </c>
      <c r="B27">
        <v>30</v>
      </c>
    </row>
    <row r="28" spans="1:2" x14ac:dyDescent="0.25">
      <c r="A28" s="25">
        <v>44060</v>
      </c>
      <c r="B28">
        <v>28</v>
      </c>
    </row>
    <row r="29" spans="1:2" x14ac:dyDescent="0.25">
      <c r="A29" s="25">
        <v>44067</v>
      </c>
      <c r="B29">
        <v>32</v>
      </c>
    </row>
    <row r="30" spans="1:2" x14ac:dyDescent="0.25">
      <c r="A30" s="25">
        <v>44074</v>
      </c>
      <c r="B30">
        <v>39</v>
      </c>
    </row>
    <row r="31" spans="1:2" x14ac:dyDescent="0.25">
      <c r="A31" s="25">
        <v>44081</v>
      </c>
      <c r="B31">
        <v>41</v>
      </c>
    </row>
    <row r="32" spans="1:2" x14ac:dyDescent="0.25">
      <c r="A32" s="25">
        <v>44088</v>
      </c>
      <c r="B32">
        <v>42</v>
      </c>
    </row>
    <row r="33" spans="1:2" x14ac:dyDescent="0.25">
      <c r="A33" s="25">
        <v>44095</v>
      </c>
      <c r="B33">
        <v>43</v>
      </c>
    </row>
    <row r="34" spans="1:2" x14ac:dyDescent="0.25">
      <c r="A34" s="25">
        <v>44102</v>
      </c>
      <c r="B34">
        <v>41</v>
      </c>
    </row>
    <row r="35" spans="1:2" x14ac:dyDescent="0.25">
      <c r="A35" s="25">
        <v>44109</v>
      </c>
      <c r="B35">
        <v>41</v>
      </c>
    </row>
    <row r="36" spans="1:2" x14ac:dyDescent="0.25">
      <c r="A36" s="25">
        <v>44116</v>
      </c>
      <c r="B36">
        <v>42</v>
      </c>
    </row>
    <row r="37" spans="1:2" x14ac:dyDescent="0.25">
      <c r="A37" s="25">
        <v>44123</v>
      </c>
      <c r="B37">
        <v>43</v>
      </c>
    </row>
    <row r="38" spans="1:2" x14ac:dyDescent="0.25">
      <c r="A38" s="25">
        <v>44130</v>
      </c>
      <c r="B38">
        <v>45</v>
      </c>
    </row>
    <row r="39" spans="1:2" x14ac:dyDescent="0.25">
      <c r="A39" s="25">
        <v>44137</v>
      </c>
      <c r="B39">
        <v>47</v>
      </c>
    </row>
    <row r="40" spans="1:2" x14ac:dyDescent="0.25">
      <c r="A40" s="25">
        <v>44144</v>
      </c>
      <c r="B40">
        <v>48</v>
      </c>
    </row>
    <row r="41" spans="1:2" x14ac:dyDescent="0.25">
      <c r="A41" s="25">
        <v>44151</v>
      </c>
      <c r="B41">
        <v>49</v>
      </c>
    </row>
    <row r="42" spans="1:2" x14ac:dyDescent="0.25">
      <c r="A42" s="25">
        <v>44158</v>
      </c>
      <c r="B42">
        <v>49</v>
      </c>
    </row>
    <row r="43" spans="1:2" x14ac:dyDescent="0.25">
      <c r="A43" s="25">
        <v>44165</v>
      </c>
      <c r="B43">
        <v>49</v>
      </c>
    </row>
    <row r="44" spans="1:2" x14ac:dyDescent="0.25">
      <c r="A44" s="25">
        <v>44172</v>
      </c>
      <c r="B44">
        <v>49</v>
      </c>
    </row>
    <row r="45" spans="1:2" x14ac:dyDescent="0.25">
      <c r="A45" s="25">
        <v>44179</v>
      </c>
      <c r="B45">
        <v>48</v>
      </c>
    </row>
    <row r="46" spans="1:2" x14ac:dyDescent="0.25">
      <c r="A46" s="25">
        <v>44186</v>
      </c>
      <c r="B46">
        <v>48</v>
      </c>
    </row>
    <row r="47" spans="1:2" x14ac:dyDescent="0.25">
      <c r="A47" s="25">
        <v>44193</v>
      </c>
      <c r="B47">
        <v>48</v>
      </c>
    </row>
    <row r="48" spans="1:2" x14ac:dyDescent="0.25">
      <c r="A48" s="25">
        <v>44200</v>
      </c>
      <c r="B48">
        <v>47</v>
      </c>
    </row>
    <row r="49" spans="1:2" x14ac:dyDescent="0.25">
      <c r="A49" s="25">
        <v>44207</v>
      </c>
      <c r="B49">
        <v>47</v>
      </c>
    </row>
    <row r="50" spans="1:2" x14ac:dyDescent="0.25">
      <c r="A50" s="25">
        <v>44214</v>
      </c>
      <c r="B50">
        <v>47</v>
      </c>
    </row>
    <row r="51" spans="1:2" x14ac:dyDescent="0.25">
      <c r="A51" s="25">
        <v>44221</v>
      </c>
      <c r="B51">
        <v>46</v>
      </c>
    </row>
    <row r="52" spans="1:2" x14ac:dyDescent="0.25">
      <c r="A52" s="25">
        <v>44228</v>
      </c>
      <c r="B52">
        <v>45</v>
      </c>
    </row>
    <row r="53" spans="1:2" x14ac:dyDescent="0.25">
      <c r="A53" s="25">
        <v>44235</v>
      </c>
      <c r="B53">
        <v>45</v>
      </c>
    </row>
    <row r="54" spans="1:2" x14ac:dyDescent="0.25">
      <c r="A54" s="25">
        <v>44242</v>
      </c>
      <c r="B54">
        <v>44</v>
      </c>
    </row>
    <row r="55" spans="1:2" x14ac:dyDescent="0.25">
      <c r="A55" s="25">
        <v>44249</v>
      </c>
      <c r="B55">
        <v>44</v>
      </c>
    </row>
    <row r="56" spans="1:2" x14ac:dyDescent="0.25">
      <c r="A56" s="25">
        <v>44256</v>
      </c>
      <c r="B56">
        <v>44</v>
      </c>
    </row>
    <row r="57" spans="1:2" x14ac:dyDescent="0.25">
      <c r="A57" s="25">
        <v>44263</v>
      </c>
      <c r="B57">
        <v>45</v>
      </c>
    </row>
    <row r="58" spans="1:2" x14ac:dyDescent="0.25">
      <c r="A58" s="25">
        <v>44270</v>
      </c>
      <c r="B58">
        <v>46</v>
      </c>
    </row>
    <row r="59" spans="1:2" x14ac:dyDescent="0.25">
      <c r="A59" s="25">
        <v>44277</v>
      </c>
      <c r="B59">
        <v>46</v>
      </c>
    </row>
    <row r="60" spans="1:2" x14ac:dyDescent="0.25">
      <c r="A60" s="25">
        <v>44284</v>
      </c>
      <c r="B60">
        <v>46</v>
      </c>
    </row>
    <row r="61" spans="1:2" x14ac:dyDescent="0.25">
      <c r="A61" s="25">
        <v>44291</v>
      </c>
      <c r="B61">
        <v>45</v>
      </c>
    </row>
    <row r="62" spans="1:2" x14ac:dyDescent="0.25">
      <c r="A62" s="25">
        <v>44298</v>
      </c>
      <c r="B62">
        <v>43</v>
      </c>
    </row>
    <row r="63" spans="1:2" x14ac:dyDescent="0.25">
      <c r="A63" s="25">
        <v>44305</v>
      </c>
      <c r="B63">
        <v>42</v>
      </c>
    </row>
    <row r="64" spans="1:2" x14ac:dyDescent="0.25">
      <c r="A64" s="25">
        <v>44312</v>
      </c>
      <c r="B64">
        <v>41</v>
      </c>
    </row>
    <row r="65" spans="1:2" x14ac:dyDescent="0.25">
      <c r="A65" s="25">
        <v>44319</v>
      </c>
      <c r="B65">
        <v>40</v>
      </c>
    </row>
    <row r="66" spans="1:2" x14ac:dyDescent="0.25">
      <c r="A66" s="25">
        <v>44326</v>
      </c>
      <c r="B66">
        <v>40</v>
      </c>
    </row>
    <row r="67" spans="1:2" x14ac:dyDescent="0.25">
      <c r="A67" s="25">
        <v>44333</v>
      </c>
      <c r="B67">
        <v>39</v>
      </c>
    </row>
    <row r="68" spans="1:2" x14ac:dyDescent="0.25">
      <c r="A68" s="25">
        <v>44340</v>
      </c>
      <c r="B68">
        <v>39</v>
      </c>
    </row>
    <row r="69" spans="1:2" x14ac:dyDescent="0.25">
      <c r="A69" s="25">
        <v>44347</v>
      </c>
      <c r="B69">
        <v>38</v>
      </c>
    </row>
    <row r="70" spans="1:2" x14ac:dyDescent="0.25">
      <c r="A70" s="25">
        <v>44354</v>
      </c>
      <c r="B70">
        <v>37</v>
      </c>
    </row>
    <row r="71" spans="1:2" x14ac:dyDescent="0.25">
      <c r="A71" s="25">
        <v>44361</v>
      </c>
      <c r="B71">
        <v>35</v>
      </c>
    </row>
    <row r="72" spans="1:2" x14ac:dyDescent="0.25">
      <c r="A72" s="25">
        <v>44368</v>
      </c>
      <c r="B72">
        <v>35</v>
      </c>
    </row>
    <row r="73" spans="1:2" x14ac:dyDescent="0.25">
      <c r="A73" s="25">
        <v>44375</v>
      </c>
      <c r="B73">
        <v>30</v>
      </c>
    </row>
    <row r="74" spans="1:2" x14ac:dyDescent="0.25">
      <c r="A74" s="25">
        <v>44382</v>
      </c>
      <c r="B74">
        <v>28</v>
      </c>
    </row>
    <row r="75" spans="1:2" x14ac:dyDescent="0.25">
      <c r="A75" s="25">
        <v>44389</v>
      </c>
      <c r="B75">
        <v>25</v>
      </c>
    </row>
    <row r="76" spans="1:2" x14ac:dyDescent="0.25">
      <c r="A76" s="25">
        <v>44396</v>
      </c>
      <c r="B76">
        <v>28</v>
      </c>
    </row>
    <row r="77" spans="1:2" x14ac:dyDescent="0.25">
      <c r="A77" s="25">
        <v>44403</v>
      </c>
      <c r="B77">
        <v>28</v>
      </c>
    </row>
    <row r="78" spans="1:2" x14ac:dyDescent="0.25">
      <c r="A78" s="25">
        <v>44410</v>
      </c>
      <c r="B78">
        <v>29</v>
      </c>
    </row>
    <row r="79" spans="1:2" x14ac:dyDescent="0.25">
      <c r="A79" s="25">
        <v>44417</v>
      </c>
      <c r="B79">
        <v>32</v>
      </c>
    </row>
    <row r="80" spans="1:2" x14ac:dyDescent="0.25">
      <c r="A80" s="25">
        <v>44424</v>
      </c>
      <c r="B80">
        <v>34</v>
      </c>
    </row>
    <row r="81" spans="1:2" x14ac:dyDescent="0.25">
      <c r="A81" s="25">
        <v>44431</v>
      </c>
      <c r="B81">
        <v>35</v>
      </c>
    </row>
    <row r="82" spans="1:2" x14ac:dyDescent="0.25">
      <c r="A82" s="25">
        <v>44438</v>
      </c>
      <c r="B82">
        <v>38</v>
      </c>
    </row>
    <row r="83" spans="1:2" x14ac:dyDescent="0.25">
      <c r="A83" s="25">
        <v>44445</v>
      </c>
      <c r="B83">
        <v>39</v>
      </c>
    </row>
    <row r="84" spans="1:2" x14ac:dyDescent="0.25">
      <c r="A84" s="25">
        <v>44452</v>
      </c>
      <c r="B84">
        <v>40</v>
      </c>
    </row>
    <row r="85" spans="1:2" x14ac:dyDescent="0.25">
      <c r="A85" s="25">
        <v>44459</v>
      </c>
      <c r="B85">
        <v>40</v>
      </c>
    </row>
    <row r="86" spans="1:2" x14ac:dyDescent="0.25">
      <c r="A86" s="25">
        <v>44466</v>
      </c>
      <c r="B86">
        <v>40</v>
      </c>
    </row>
    <row r="87" spans="1:2" x14ac:dyDescent="0.25">
      <c r="A87" s="25">
        <v>44473</v>
      </c>
      <c r="B87">
        <v>41</v>
      </c>
    </row>
    <row r="88" spans="1:2" x14ac:dyDescent="0.25">
      <c r="A88" s="25">
        <v>44480</v>
      </c>
      <c r="B88">
        <v>42</v>
      </c>
    </row>
    <row r="89" spans="1:2" x14ac:dyDescent="0.25">
      <c r="A89" s="25">
        <v>44487</v>
      </c>
      <c r="B89">
        <v>42</v>
      </c>
    </row>
    <row r="90" spans="1:2" x14ac:dyDescent="0.25">
      <c r="A90" s="25">
        <v>44494</v>
      </c>
      <c r="B90">
        <v>42</v>
      </c>
    </row>
    <row r="91" spans="1:2" x14ac:dyDescent="0.25">
      <c r="A91" s="25">
        <v>44501</v>
      </c>
      <c r="B91">
        <v>43</v>
      </c>
    </row>
    <row r="92" spans="1:2" x14ac:dyDescent="0.25">
      <c r="A92" s="25">
        <v>44508</v>
      </c>
      <c r="B92">
        <v>42</v>
      </c>
    </row>
    <row r="93" spans="1:2" x14ac:dyDescent="0.25">
      <c r="A93" s="25">
        <v>44515</v>
      </c>
      <c r="B93">
        <v>41</v>
      </c>
    </row>
    <row r="94" spans="1:2" x14ac:dyDescent="0.25">
      <c r="A94" s="25">
        <v>44522</v>
      </c>
      <c r="B94">
        <v>41</v>
      </c>
    </row>
    <row r="95" spans="1:2" x14ac:dyDescent="0.25">
      <c r="A95" s="25">
        <v>44529</v>
      </c>
      <c r="B95">
        <v>41</v>
      </c>
    </row>
    <row r="96" spans="1:2" x14ac:dyDescent="0.25">
      <c r="A96" s="25">
        <v>44536</v>
      </c>
      <c r="B96">
        <v>40</v>
      </c>
    </row>
    <row r="97" spans="1:2" x14ac:dyDescent="0.25">
      <c r="A97" s="25">
        <v>44543</v>
      </c>
      <c r="B97">
        <v>38</v>
      </c>
    </row>
    <row r="98" spans="1:2" x14ac:dyDescent="0.25">
      <c r="A98" s="25">
        <v>44550</v>
      </c>
      <c r="B98">
        <v>34</v>
      </c>
    </row>
    <row r="99" spans="1:2" x14ac:dyDescent="0.25">
      <c r="A99" s="25">
        <v>44557</v>
      </c>
      <c r="B99">
        <v>36</v>
      </c>
    </row>
    <row r="100" spans="1:2" x14ac:dyDescent="0.25">
      <c r="A100" s="25">
        <v>44564</v>
      </c>
      <c r="B100">
        <v>37</v>
      </c>
    </row>
    <row r="101" spans="1:2" x14ac:dyDescent="0.25">
      <c r="A101" s="25">
        <v>44571</v>
      </c>
      <c r="B101">
        <v>38</v>
      </c>
    </row>
    <row r="102" spans="1:2" x14ac:dyDescent="0.25">
      <c r="A102" s="25">
        <v>44578</v>
      </c>
      <c r="B102">
        <v>36</v>
      </c>
    </row>
    <row r="103" spans="1:2" x14ac:dyDescent="0.25">
      <c r="A103" s="25">
        <v>44585</v>
      </c>
      <c r="B103">
        <v>36</v>
      </c>
    </row>
    <row r="104" spans="1:2" x14ac:dyDescent="0.25">
      <c r="A104" s="25">
        <v>44592</v>
      </c>
      <c r="B104">
        <v>36</v>
      </c>
    </row>
    <row r="105" spans="1:2" x14ac:dyDescent="0.25">
      <c r="A105" s="25">
        <v>44599</v>
      </c>
      <c r="B105">
        <v>37</v>
      </c>
    </row>
    <row r="106" spans="1:2" x14ac:dyDescent="0.25">
      <c r="A106" s="25">
        <v>44606</v>
      </c>
      <c r="B106">
        <v>37</v>
      </c>
    </row>
    <row r="107" spans="1:2" x14ac:dyDescent="0.25">
      <c r="A107" s="25">
        <v>44613</v>
      </c>
      <c r="B107">
        <v>38</v>
      </c>
    </row>
    <row r="108" spans="1:2" x14ac:dyDescent="0.25">
      <c r="A108" s="25">
        <v>44620</v>
      </c>
      <c r="B108">
        <v>38</v>
      </c>
    </row>
    <row r="109" spans="1:2" x14ac:dyDescent="0.25">
      <c r="A109" s="25">
        <v>44627</v>
      </c>
      <c r="B109">
        <v>38</v>
      </c>
    </row>
    <row r="110" spans="1:2" x14ac:dyDescent="0.25">
      <c r="A110" s="25">
        <v>44634</v>
      </c>
      <c r="B110">
        <v>40</v>
      </c>
    </row>
    <row r="111" spans="1:2" x14ac:dyDescent="0.25">
      <c r="A111" s="25">
        <v>44641</v>
      </c>
      <c r="B111">
        <v>41</v>
      </c>
    </row>
    <row r="112" spans="1:2" x14ac:dyDescent="0.25">
      <c r="A112" s="25">
        <v>44648</v>
      </c>
      <c r="B112">
        <v>43</v>
      </c>
    </row>
    <row r="113" spans="1:2" x14ac:dyDescent="0.25">
      <c r="A113" s="25">
        <v>44655</v>
      </c>
      <c r="B113">
        <v>44</v>
      </c>
    </row>
    <row r="114" spans="1:2" x14ac:dyDescent="0.25">
      <c r="A114" s="25">
        <v>44662</v>
      </c>
      <c r="B114">
        <v>46</v>
      </c>
    </row>
    <row r="115" spans="1:2" x14ac:dyDescent="0.25">
      <c r="A115" s="25">
        <v>44669</v>
      </c>
      <c r="B115">
        <v>46</v>
      </c>
    </row>
    <row r="116" spans="1:2" x14ac:dyDescent="0.25">
      <c r="A116" s="25">
        <v>44676</v>
      </c>
      <c r="B116">
        <v>46</v>
      </c>
    </row>
    <row r="117" spans="1:2" x14ac:dyDescent="0.25">
      <c r="A117" s="25">
        <v>44683</v>
      </c>
      <c r="B117">
        <v>46</v>
      </c>
    </row>
    <row r="118" spans="1:2" x14ac:dyDescent="0.25">
      <c r="A118" s="25">
        <v>44690</v>
      </c>
      <c r="B118">
        <v>46</v>
      </c>
    </row>
    <row r="119" spans="1:2" x14ac:dyDescent="0.25">
      <c r="A119" s="25">
        <v>44697</v>
      </c>
      <c r="B119">
        <v>47</v>
      </c>
    </row>
    <row r="120" spans="1:2" x14ac:dyDescent="0.25">
      <c r="A120" s="25">
        <v>44704</v>
      </c>
      <c r="B120">
        <v>47</v>
      </c>
    </row>
    <row r="121" spans="1:2" x14ac:dyDescent="0.25">
      <c r="A121" s="25">
        <v>44711</v>
      </c>
      <c r="B121">
        <v>48</v>
      </c>
    </row>
    <row r="122" spans="1:2" x14ac:dyDescent="0.25">
      <c r="A122" s="25">
        <v>44718</v>
      </c>
      <c r="B122">
        <v>48</v>
      </c>
    </row>
    <row r="123" spans="1:2" x14ac:dyDescent="0.25">
      <c r="A123" s="25">
        <v>44725</v>
      </c>
      <c r="B123">
        <v>48</v>
      </c>
    </row>
    <row r="124" spans="1:2" x14ac:dyDescent="0.25">
      <c r="A124" s="25">
        <v>44732</v>
      </c>
      <c r="B124">
        <v>48</v>
      </c>
    </row>
    <row r="125" spans="1:2" x14ac:dyDescent="0.25">
      <c r="A125" s="25">
        <v>44739</v>
      </c>
      <c r="B125">
        <v>48</v>
      </c>
    </row>
    <row r="126" spans="1:2" x14ac:dyDescent="0.25">
      <c r="A126" s="25">
        <v>44746</v>
      </c>
      <c r="B126">
        <v>49</v>
      </c>
    </row>
    <row r="127" spans="1:2" x14ac:dyDescent="0.25">
      <c r="A127" s="25">
        <v>44753</v>
      </c>
      <c r="B127">
        <v>50</v>
      </c>
    </row>
    <row r="128" spans="1:2" x14ac:dyDescent="0.25">
      <c r="A128" s="25">
        <v>44760</v>
      </c>
      <c r="B128">
        <v>50</v>
      </c>
    </row>
    <row r="129" spans="1:2" x14ac:dyDescent="0.25">
      <c r="A129" s="25">
        <v>44767</v>
      </c>
      <c r="B129">
        <v>50</v>
      </c>
    </row>
    <row r="130" spans="1:2" x14ac:dyDescent="0.25">
      <c r="A130" s="25">
        <v>44774</v>
      </c>
      <c r="B130">
        <v>51</v>
      </c>
    </row>
    <row r="131" spans="1:2" x14ac:dyDescent="0.25">
      <c r="A131" s="25">
        <v>44781</v>
      </c>
      <c r="B131">
        <v>52</v>
      </c>
    </row>
    <row r="132" spans="1:2" x14ac:dyDescent="0.25">
      <c r="A132" s="25">
        <v>44788</v>
      </c>
      <c r="B132">
        <v>51</v>
      </c>
    </row>
    <row r="133" spans="1:2" x14ac:dyDescent="0.25">
      <c r="A133" s="25">
        <v>44795</v>
      </c>
      <c r="B133">
        <v>50</v>
      </c>
    </row>
    <row r="134" spans="1:2" x14ac:dyDescent="0.25">
      <c r="A134" s="25">
        <v>44802</v>
      </c>
      <c r="B134">
        <v>52</v>
      </c>
    </row>
    <row r="135" spans="1:2" x14ac:dyDescent="0.25">
      <c r="A135" s="25">
        <v>44809</v>
      </c>
      <c r="B135">
        <v>52</v>
      </c>
    </row>
    <row r="136" spans="1:2" x14ac:dyDescent="0.25">
      <c r="A136" s="25">
        <v>44816</v>
      </c>
      <c r="B136">
        <v>51</v>
      </c>
    </row>
    <row r="137" spans="1:2" x14ac:dyDescent="0.25">
      <c r="A137" s="25">
        <v>44823</v>
      </c>
      <c r="B137">
        <v>49</v>
      </c>
    </row>
    <row r="138" spans="1:2" x14ac:dyDescent="0.25">
      <c r="A138" s="25">
        <v>44830</v>
      </c>
      <c r="B138">
        <v>51</v>
      </c>
    </row>
    <row r="139" spans="1:2" x14ac:dyDescent="0.25">
      <c r="A139" s="25">
        <v>44837</v>
      </c>
      <c r="B139">
        <v>54</v>
      </c>
    </row>
    <row r="140" spans="1:2" x14ac:dyDescent="0.25">
      <c r="A140" s="25">
        <v>44844</v>
      </c>
      <c r="B140">
        <v>55</v>
      </c>
    </row>
    <row r="141" spans="1:2" x14ac:dyDescent="0.25">
      <c r="A141" s="25">
        <v>44851</v>
      </c>
      <c r="B141">
        <v>55</v>
      </c>
    </row>
    <row r="142" spans="1:2" x14ac:dyDescent="0.25">
      <c r="A142" s="25">
        <v>44858</v>
      </c>
      <c r="B142">
        <v>55</v>
      </c>
    </row>
    <row r="143" spans="1:2" x14ac:dyDescent="0.25">
      <c r="A143" s="25">
        <v>44865</v>
      </c>
      <c r="B143">
        <v>54</v>
      </c>
    </row>
    <row r="144" spans="1:2" x14ac:dyDescent="0.25">
      <c r="A144" s="25">
        <v>44872</v>
      </c>
      <c r="B144">
        <v>53</v>
      </c>
    </row>
    <row r="145" spans="1:2" x14ac:dyDescent="0.25">
      <c r="A145" s="25">
        <v>44879</v>
      </c>
      <c r="B145">
        <v>53</v>
      </c>
    </row>
    <row r="146" spans="1:2" x14ac:dyDescent="0.25">
      <c r="A146" s="25">
        <v>44886</v>
      </c>
      <c r="B146">
        <v>54</v>
      </c>
    </row>
    <row r="147" spans="1:2" x14ac:dyDescent="0.25">
      <c r="A147" s="25">
        <v>44893</v>
      </c>
      <c r="B147">
        <v>54</v>
      </c>
    </row>
    <row r="148" spans="1:2" x14ac:dyDescent="0.25">
      <c r="A148" s="25">
        <v>44900</v>
      </c>
      <c r="B148">
        <v>56</v>
      </c>
    </row>
    <row r="149" spans="1:2" x14ac:dyDescent="0.25">
      <c r="A149" s="25">
        <v>44907</v>
      </c>
      <c r="B149">
        <v>56</v>
      </c>
    </row>
    <row r="150" spans="1:2" x14ac:dyDescent="0.25">
      <c r="A150" s="25">
        <v>44914</v>
      </c>
      <c r="B150">
        <v>57</v>
      </c>
    </row>
    <row r="151" spans="1:2" x14ac:dyDescent="0.25">
      <c r="A151" s="25">
        <v>44921</v>
      </c>
      <c r="B151">
        <v>57</v>
      </c>
    </row>
    <row r="152" spans="1:2" x14ac:dyDescent="0.25">
      <c r="A152" s="25">
        <v>44928</v>
      </c>
      <c r="B152">
        <v>56</v>
      </c>
    </row>
    <row r="153" spans="1:2" x14ac:dyDescent="0.25">
      <c r="A153" s="25">
        <v>44935</v>
      </c>
      <c r="B153">
        <v>56</v>
      </c>
    </row>
    <row r="154" spans="1:2" x14ac:dyDescent="0.25">
      <c r="A154" s="25">
        <v>44942</v>
      </c>
      <c r="B154">
        <v>53</v>
      </c>
    </row>
    <row r="155" spans="1:2" x14ac:dyDescent="0.25">
      <c r="A155" s="25">
        <v>44949</v>
      </c>
      <c r="B155">
        <v>52</v>
      </c>
    </row>
    <row r="156" spans="1:2" x14ac:dyDescent="0.25">
      <c r="A156" s="25">
        <v>44956</v>
      </c>
      <c r="B156">
        <v>53</v>
      </c>
    </row>
    <row r="157" spans="1:2" x14ac:dyDescent="0.25">
      <c r="A157" s="25">
        <v>44963</v>
      </c>
      <c r="B157">
        <v>54</v>
      </c>
    </row>
    <row r="158" spans="1:2" x14ac:dyDescent="0.25">
      <c r="A158" s="25">
        <v>44970</v>
      </c>
      <c r="B158">
        <v>55</v>
      </c>
    </row>
    <row r="159" spans="1:2" x14ac:dyDescent="0.25">
      <c r="A159" s="25">
        <v>44977</v>
      </c>
      <c r="B159">
        <v>55</v>
      </c>
    </row>
    <row r="160" spans="1:2" x14ac:dyDescent="0.25">
      <c r="A160" s="25">
        <v>44984</v>
      </c>
      <c r="B160">
        <v>55</v>
      </c>
    </row>
    <row r="161" spans="1:2" x14ac:dyDescent="0.25">
      <c r="A161" s="25">
        <v>44991</v>
      </c>
      <c r="B161">
        <v>55</v>
      </c>
    </row>
    <row r="162" spans="1:2" x14ac:dyDescent="0.25">
      <c r="A162" s="25">
        <v>44998</v>
      </c>
      <c r="B162">
        <v>53</v>
      </c>
    </row>
    <row r="163" spans="1:2" x14ac:dyDescent="0.25">
      <c r="A163" s="25">
        <v>45005</v>
      </c>
      <c r="B163">
        <v>53</v>
      </c>
    </row>
    <row r="164" spans="1:2" x14ac:dyDescent="0.25">
      <c r="A164" s="25">
        <v>45012</v>
      </c>
      <c r="B164">
        <v>53</v>
      </c>
    </row>
    <row r="165" spans="1:2" x14ac:dyDescent="0.25">
      <c r="A165" s="25">
        <v>45019</v>
      </c>
      <c r="B165" s="5">
        <v>53</v>
      </c>
    </row>
    <row r="166" spans="1:2" x14ac:dyDescent="0.25">
      <c r="A166" s="25">
        <v>45026</v>
      </c>
      <c r="B166" s="5">
        <v>53</v>
      </c>
    </row>
    <row r="167" spans="1:2" x14ac:dyDescent="0.25">
      <c r="A167" s="25"/>
    </row>
    <row r="168" spans="1:2" x14ac:dyDescent="0.25">
      <c r="A168" s="25"/>
    </row>
    <row r="169" spans="1:2" x14ac:dyDescent="0.25">
      <c r="A169" s="25"/>
    </row>
    <row r="170" spans="1:2" x14ac:dyDescent="0.25">
      <c r="A170" s="25"/>
    </row>
    <row r="171" spans="1:2" x14ac:dyDescent="0.25">
      <c r="A171" s="25"/>
    </row>
    <row r="172" spans="1:2" x14ac:dyDescent="0.25">
      <c r="A172" s="25"/>
    </row>
    <row r="173" spans="1:2" x14ac:dyDescent="0.25">
      <c r="A173" s="25"/>
    </row>
    <row r="174" spans="1:2" x14ac:dyDescent="0.25">
      <c r="A174" s="2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4"/>
  <sheetViews>
    <sheetView workbookViewId="0">
      <selection activeCell="F27" sqref="F27"/>
    </sheetView>
  </sheetViews>
  <sheetFormatPr defaultRowHeight="15" x14ac:dyDescent="0.25"/>
  <cols>
    <col min="1" max="1" width="19" bestFit="1" customWidth="1"/>
    <col min="2" max="4" width="12" bestFit="1" customWidth="1"/>
  </cols>
  <sheetData>
    <row r="1" spans="1:4" s="5" customFormat="1" x14ac:dyDescent="0.25">
      <c r="A1" s="5" t="s">
        <v>58</v>
      </c>
      <c r="B1" s="5" t="s">
        <v>51</v>
      </c>
      <c r="C1" s="5" t="s">
        <v>52</v>
      </c>
      <c r="D1" s="5" t="s">
        <v>53</v>
      </c>
    </row>
    <row r="2" spans="1:4" x14ac:dyDescent="0.25">
      <c r="A2" t="s">
        <v>33</v>
      </c>
      <c r="B2">
        <v>2.6975762554515885</v>
      </c>
      <c r="C2">
        <v>3.432053951364197</v>
      </c>
      <c r="D2">
        <v>2.0525573874447147</v>
      </c>
    </row>
    <row r="3" spans="1:4" x14ac:dyDescent="0.25">
      <c r="A3" t="s">
        <v>54</v>
      </c>
      <c r="B3">
        <v>3.1290184312044578</v>
      </c>
      <c r="C3">
        <v>3.9210408572211777</v>
      </c>
      <c r="D3">
        <v>2.4941098169915121</v>
      </c>
    </row>
    <row r="4" spans="1:4" x14ac:dyDescent="0.25">
      <c r="A4" t="s">
        <v>34</v>
      </c>
      <c r="B4">
        <v>3.0848123071992308</v>
      </c>
      <c r="C4">
        <v>4.2979972353540736</v>
      </c>
      <c r="D4">
        <v>2.4700412335538497</v>
      </c>
    </row>
    <row r="5" spans="1:4" x14ac:dyDescent="0.25">
      <c r="A5" t="s">
        <v>35</v>
      </c>
      <c r="B5">
        <v>2.2278515124974736</v>
      </c>
      <c r="C5">
        <v>2.4885132782830177</v>
      </c>
      <c r="D5">
        <v>2.0078125073981683</v>
      </c>
    </row>
    <row r="6" spans="1:4" x14ac:dyDescent="0.25">
      <c r="A6" t="s">
        <v>56</v>
      </c>
      <c r="B6">
        <v>1.8584521384928716</v>
      </c>
      <c r="C6">
        <v>3.3634225917912541</v>
      </c>
      <c r="D6">
        <v>1.2275208116766507</v>
      </c>
    </row>
    <row r="7" spans="1:4" x14ac:dyDescent="0.25">
      <c r="A7" t="s">
        <v>57</v>
      </c>
      <c r="B7">
        <v>2.0449897750511248</v>
      </c>
      <c r="C7">
        <v>3.1967310793363715</v>
      </c>
      <c r="D7">
        <v>1.5885767743333847</v>
      </c>
    </row>
    <row r="8" spans="1:4" x14ac:dyDescent="0.25">
      <c r="A8" t="s">
        <v>36</v>
      </c>
      <c r="B8">
        <v>2.116166751398068</v>
      </c>
      <c r="C8">
        <v>3.0849268588763068</v>
      </c>
      <c r="D8">
        <v>1.6818986530715743</v>
      </c>
    </row>
    <row r="9" spans="1:4" x14ac:dyDescent="0.25">
      <c r="A9" t="s">
        <v>55</v>
      </c>
      <c r="B9">
        <v>2.7881645260933183</v>
      </c>
      <c r="C9">
        <v>4.6928783559544787</v>
      </c>
      <c r="D9">
        <v>2.0606123092717965</v>
      </c>
    </row>
    <row r="10" spans="1:4" x14ac:dyDescent="0.25">
      <c r="A10" t="s">
        <v>37</v>
      </c>
      <c r="B10">
        <v>3.3780082251182457</v>
      </c>
      <c r="C10">
        <v>4.4839832752660733</v>
      </c>
      <c r="D10">
        <v>2.6642887994716591</v>
      </c>
    </row>
    <row r="11" spans="1:4" x14ac:dyDescent="0.25">
      <c r="A11" t="s">
        <v>38</v>
      </c>
      <c r="B11">
        <v>3.2782468115681698</v>
      </c>
      <c r="C11">
        <v>6.1690633340447514</v>
      </c>
      <c r="D11">
        <v>2.2407388097822114</v>
      </c>
    </row>
    <row r="12" spans="1:4" x14ac:dyDescent="0.25">
      <c r="A12" t="s">
        <v>39</v>
      </c>
      <c r="B12">
        <v>1.3068567549219281</v>
      </c>
      <c r="C12">
        <v>2.3723174044322524</v>
      </c>
      <c r="D12">
        <v>0.8699304884485991</v>
      </c>
    </row>
    <row r="13" spans="1:4" x14ac:dyDescent="0.25">
      <c r="A13" t="s">
        <v>40</v>
      </c>
      <c r="B13">
        <v>2.508259212198221</v>
      </c>
      <c r="C13">
        <v>3.2240298838601484</v>
      </c>
      <c r="D13">
        <v>1.9709088158174912</v>
      </c>
    </row>
    <row r="14" spans="1:4" x14ac:dyDescent="0.25">
      <c r="A14" t="s">
        <v>41</v>
      </c>
      <c r="B14">
        <v>1.3871861617264254</v>
      </c>
      <c r="C14">
        <v>2.7474973992682798</v>
      </c>
      <c r="D14">
        <v>1.0418933702662232</v>
      </c>
    </row>
    <row r="15" spans="1:4" x14ac:dyDescent="0.25">
      <c r="A15" t="s">
        <v>42</v>
      </c>
      <c r="B15">
        <v>2.7195165303945967</v>
      </c>
      <c r="C15">
        <v>4.6109341234180263</v>
      </c>
      <c r="D15">
        <v>1.9248057421399443</v>
      </c>
    </row>
    <row r="16" spans="1:4" x14ac:dyDescent="0.25">
      <c r="A16" t="s">
        <v>43</v>
      </c>
      <c r="B16">
        <v>0.90658257784785179</v>
      </c>
      <c r="C16">
        <v>3.3749623779533184</v>
      </c>
      <c r="D16">
        <v>0.69417700369271707</v>
      </c>
    </row>
    <row r="17" spans="1:4" x14ac:dyDescent="0.25">
      <c r="A17" t="s">
        <v>44</v>
      </c>
      <c r="B17">
        <v>0.83826046366889684</v>
      </c>
      <c r="C17">
        <v>2.4140484496859616</v>
      </c>
      <c r="D17">
        <v>0.60733988480471324</v>
      </c>
    </row>
    <row r="18" spans="1:4" x14ac:dyDescent="0.25">
      <c r="A18" t="s">
        <v>45</v>
      </c>
      <c r="B18">
        <v>1.523820313827678</v>
      </c>
      <c r="C18">
        <v>2.7670891161244513</v>
      </c>
      <c r="D18">
        <v>1.0757250641465606</v>
      </c>
    </row>
    <row r="19" spans="1:4" x14ac:dyDescent="0.25">
      <c r="A19" t="s">
        <v>46</v>
      </c>
      <c r="B19">
        <v>0.67771084337349397</v>
      </c>
      <c r="C19">
        <v>1.3941662733193325</v>
      </c>
      <c r="D19">
        <v>0.51913293094808155</v>
      </c>
    </row>
    <row r="20" spans="1:4" x14ac:dyDescent="0.25">
      <c r="A20" t="s">
        <v>47</v>
      </c>
      <c r="B20">
        <v>0.97680097680097677</v>
      </c>
      <c r="C20">
        <v>2.8670092507352063</v>
      </c>
      <c r="D20">
        <v>0.65206347579898205</v>
      </c>
    </row>
    <row r="21" spans="1:4" x14ac:dyDescent="0.25">
      <c r="A21" t="s">
        <v>48</v>
      </c>
      <c r="B21">
        <v>1.5343306482546988</v>
      </c>
      <c r="C21">
        <v>82.434180468088741</v>
      </c>
      <c r="D21">
        <v>0.90836562499271356</v>
      </c>
    </row>
    <row r="22" spans="1:4" x14ac:dyDescent="0.25">
      <c r="A22" t="s">
        <v>49</v>
      </c>
      <c r="B22">
        <v>1.6354850700037169</v>
      </c>
      <c r="C22">
        <v>10.04959123077713</v>
      </c>
      <c r="D22">
        <v>0.91964285794322131</v>
      </c>
    </row>
    <row r="23" spans="1:4" x14ac:dyDescent="0.25">
      <c r="A23" t="s">
        <v>59</v>
      </c>
      <c r="B23">
        <f>Foglio6!X27</f>
        <v>1.4288213681693591</v>
      </c>
      <c r="C23">
        <v>3.2641355961809544</v>
      </c>
      <c r="D23">
        <v>1.4151426201205817</v>
      </c>
    </row>
    <row r="24" spans="1:4" x14ac:dyDescent="0.25">
      <c r="A24" t="s">
        <v>80</v>
      </c>
      <c r="B24">
        <v>2.3383373170291506</v>
      </c>
      <c r="C24">
        <v>2.4906897100372398</v>
      </c>
      <c r="D24">
        <v>2.1447089138707525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7"/>
  <sheetViews>
    <sheetView topLeftCell="A12" workbookViewId="0">
      <selection activeCell="A29" sqref="A29:XFD289"/>
    </sheetView>
  </sheetViews>
  <sheetFormatPr defaultRowHeight="15" x14ac:dyDescent="0.25"/>
  <sheetData>
    <row r="1" spans="1:23" x14ac:dyDescent="0.25">
      <c r="A1" s="15" t="s">
        <v>66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23" x14ac:dyDescent="0.25">
      <c r="A2" s="35" t="s">
        <v>67</v>
      </c>
      <c r="B2" s="37" t="s">
        <v>68</v>
      </c>
      <c r="C2" s="34" t="s">
        <v>69</v>
      </c>
      <c r="D2" s="40" t="s">
        <v>70</v>
      </c>
      <c r="E2" s="40"/>
      <c r="F2" s="34" t="s">
        <v>71</v>
      </c>
      <c r="G2" s="32" t="s">
        <v>72</v>
      </c>
      <c r="H2" s="32" t="s">
        <v>73</v>
      </c>
      <c r="I2" s="32" t="s">
        <v>74</v>
      </c>
      <c r="J2" s="32" t="s">
        <v>75</v>
      </c>
      <c r="K2" s="32" t="s">
        <v>76</v>
      </c>
      <c r="L2" s="32" t="s">
        <v>77</v>
      </c>
    </row>
    <row r="3" spans="1:23" ht="18" x14ac:dyDescent="0.25">
      <c r="A3" s="36"/>
      <c r="B3" s="38"/>
      <c r="C3" s="39"/>
      <c r="D3" s="17" t="s">
        <v>62</v>
      </c>
      <c r="E3" s="18" t="s">
        <v>63</v>
      </c>
      <c r="F3" s="39"/>
      <c r="G3" s="33"/>
      <c r="H3" s="33"/>
      <c r="I3" s="33"/>
      <c r="J3" s="33"/>
      <c r="K3" s="33"/>
      <c r="L3" s="33"/>
      <c r="M3" t="s">
        <v>79</v>
      </c>
    </row>
    <row r="4" spans="1:23" x14ac:dyDescent="0.25">
      <c r="A4" s="19"/>
      <c r="B4" s="34" t="s">
        <v>78</v>
      </c>
      <c r="C4" s="34"/>
      <c r="D4" s="34"/>
      <c r="E4" s="34"/>
      <c r="F4" s="34"/>
      <c r="G4" s="34"/>
      <c r="H4" s="34"/>
      <c r="I4" s="34"/>
      <c r="J4" s="34"/>
      <c r="K4" s="20"/>
      <c r="L4" s="20"/>
    </row>
    <row r="5" spans="1:23" x14ac:dyDescent="0.25">
      <c r="A5" s="6" t="s">
        <v>33</v>
      </c>
      <c r="B5" s="7">
        <v>149727</v>
      </c>
      <c r="C5" s="8">
        <v>3.4510000000000001</v>
      </c>
      <c r="D5" s="8">
        <v>2.5830000000000002</v>
      </c>
      <c r="E5" s="8">
        <v>4.319</v>
      </c>
      <c r="F5" s="8">
        <v>9.9715824518476737</v>
      </c>
      <c r="G5" s="7">
        <v>31339</v>
      </c>
      <c r="H5" s="7">
        <v>3952</v>
      </c>
      <c r="I5" s="9">
        <f t="shared" ref="I5:I25" si="0">G5/$G$26*100</f>
        <v>12.851963944456749</v>
      </c>
      <c r="J5" s="8">
        <f>H5/$H$26*100</f>
        <v>11.119864940911649</v>
      </c>
      <c r="K5" s="10">
        <v>7.2</v>
      </c>
      <c r="L5" s="7">
        <v>4341328</v>
      </c>
      <c r="M5">
        <v>4039</v>
      </c>
      <c r="N5">
        <f>100*M5/B5</f>
        <v>2.6975762554515885</v>
      </c>
      <c r="O5">
        <f>100*M5/L5*100/C5</f>
        <v>2.6959156173814218</v>
      </c>
      <c r="P5">
        <f>100*$M5/$L5*100/D5</f>
        <v>3.6018601608917096</v>
      </c>
      <c r="Q5">
        <f>100*$M5/$L5*100/E5</f>
        <v>2.1541108579725137</v>
      </c>
      <c r="R5">
        <v>4039</v>
      </c>
      <c r="U5" t="s">
        <v>33</v>
      </c>
      <c r="V5">
        <v>35123</v>
      </c>
      <c r="W5">
        <v>4039</v>
      </c>
    </row>
    <row r="6" spans="1:23" x14ac:dyDescent="0.25">
      <c r="A6" s="6" t="s">
        <v>64</v>
      </c>
      <c r="B6" s="7">
        <v>4666</v>
      </c>
      <c r="C6" s="8">
        <v>3.718</v>
      </c>
      <c r="D6" s="8">
        <v>2.891</v>
      </c>
      <c r="E6" s="8">
        <v>4.5449999999999999</v>
      </c>
      <c r="F6" s="8">
        <v>0.31074825328979572</v>
      </c>
      <c r="G6" s="7">
        <v>1207</v>
      </c>
      <c r="H6" s="7">
        <v>146</v>
      </c>
      <c r="I6" s="9">
        <f t="shared" si="0"/>
        <v>0.49498453942242232</v>
      </c>
      <c r="J6" s="8">
        <f t="shared" ref="J6:J25" si="1">H6/$H$26*100</f>
        <v>0.41080472706809229</v>
      </c>
      <c r="K6" s="10">
        <v>0.2</v>
      </c>
      <c r="L6" s="7">
        <v>125426</v>
      </c>
      <c r="M6">
        <v>146</v>
      </c>
      <c r="N6">
        <f t="shared" ref="N6:N24" si="2">100*M6/B6</f>
        <v>3.1290184312044578</v>
      </c>
      <c r="O6">
        <f t="shared" ref="O6:O25" si="3">100*M6/L6*100/C6</f>
        <v>3.1308041302288601</v>
      </c>
      <c r="P6">
        <f>100*$M6/$L6*100/D6</f>
        <v>4.0264025445143208</v>
      </c>
      <c r="Q6">
        <f>100*$M6/$L6*100/E6</f>
        <v>2.5611286592279212</v>
      </c>
      <c r="R6">
        <v>146</v>
      </c>
      <c r="U6" t="s">
        <v>175</v>
      </c>
      <c r="V6">
        <v>35123</v>
      </c>
      <c r="W6">
        <v>146</v>
      </c>
    </row>
    <row r="7" spans="1:23" x14ac:dyDescent="0.25">
      <c r="A7" s="6" t="s">
        <v>34</v>
      </c>
      <c r="B7" s="7">
        <v>49922</v>
      </c>
      <c r="C7" s="8">
        <v>3.2360000000000002</v>
      </c>
      <c r="D7" s="8">
        <v>2.3620000000000001</v>
      </c>
      <c r="E7" s="8">
        <v>4.1100000000000003</v>
      </c>
      <c r="F7" s="8">
        <v>3.3247265968137985</v>
      </c>
      <c r="G7" s="7">
        <v>10066</v>
      </c>
      <c r="H7" s="7">
        <v>1606</v>
      </c>
      <c r="I7" s="9">
        <f t="shared" si="0"/>
        <v>4.1280152227225377</v>
      </c>
      <c r="J7" s="11">
        <f t="shared" si="1"/>
        <v>4.5188519977490156</v>
      </c>
      <c r="K7" s="10">
        <v>2.6</v>
      </c>
      <c r="L7" s="7">
        <v>1540578</v>
      </c>
      <c r="M7">
        <v>1540</v>
      </c>
      <c r="N7">
        <f t="shared" si="2"/>
        <v>3.0848123071992308</v>
      </c>
      <c r="O7">
        <f t="shared" si="3"/>
        <v>3.0890754516082679</v>
      </c>
      <c r="P7">
        <f t="shared" ref="P7:P26" si="4">100*$M7/$L7*100/D7</f>
        <v>4.2321118380204723</v>
      </c>
      <c r="Q7">
        <f t="shared" ref="Q7:Q26" si="5">100*$M7/$L7*100/E7</f>
        <v>2.432177168224904</v>
      </c>
      <c r="R7">
        <v>16534</v>
      </c>
      <c r="U7" t="s">
        <v>34</v>
      </c>
      <c r="V7">
        <v>35123</v>
      </c>
      <c r="W7">
        <v>1540</v>
      </c>
    </row>
    <row r="8" spans="1:23" x14ac:dyDescent="0.25">
      <c r="A8" s="6" t="s">
        <v>35</v>
      </c>
      <c r="B8" s="7">
        <v>742150</v>
      </c>
      <c r="C8" s="8">
        <v>7.3520000000000003</v>
      </c>
      <c r="D8" s="8">
        <v>6.5659999999999998</v>
      </c>
      <c r="E8" s="8">
        <v>8.1379999999999999</v>
      </c>
      <c r="F8" s="8">
        <v>49.426021470000407</v>
      </c>
      <c r="G8" s="7">
        <v>95012</v>
      </c>
      <c r="H8" s="7">
        <v>16942</v>
      </c>
      <c r="I8" s="9">
        <f t="shared" si="0"/>
        <v>38.963936254849372</v>
      </c>
      <c r="J8" s="8">
        <f t="shared" si="1"/>
        <v>47.670230725942595</v>
      </c>
      <c r="K8" s="10">
        <v>16.7</v>
      </c>
      <c r="L8" s="7">
        <v>10097364</v>
      </c>
      <c r="M8">
        <v>16534</v>
      </c>
      <c r="N8">
        <f t="shared" si="2"/>
        <v>2.2278515124974736</v>
      </c>
      <c r="O8">
        <f t="shared" si="3"/>
        <v>2.2272266907661957</v>
      </c>
      <c r="P8">
        <f t="shared" si="4"/>
        <v>2.4938426181104285</v>
      </c>
      <c r="Q8">
        <f t="shared" si="5"/>
        <v>2.0121123900851652</v>
      </c>
      <c r="R8">
        <v>1540</v>
      </c>
      <c r="U8" t="s">
        <v>35</v>
      </c>
      <c r="V8">
        <v>35123</v>
      </c>
      <c r="W8">
        <v>16534</v>
      </c>
    </row>
    <row r="9" spans="1:23" x14ac:dyDescent="0.25">
      <c r="A9" s="6" t="s">
        <v>65</v>
      </c>
      <c r="B9" s="7">
        <v>15712</v>
      </c>
      <c r="C9" s="8">
        <v>2.9489999999999998</v>
      </c>
      <c r="D9" s="8">
        <v>1.577</v>
      </c>
      <c r="E9" s="8">
        <v>4.3209999999999997</v>
      </c>
      <c r="F9" s="8">
        <v>1.0463944611421496</v>
      </c>
      <c r="G9" s="7">
        <v>2631</v>
      </c>
      <c r="H9" s="7">
        <v>290</v>
      </c>
      <c r="I9" s="9">
        <f t="shared" si="0"/>
        <v>1.0789596712679312</v>
      </c>
      <c r="J9" s="8">
        <f t="shared" si="1"/>
        <v>0.81598199212155309</v>
      </c>
      <c r="K9" s="10">
        <v>0.9</v>
      </c>
      <c r="L9" s="7">
        <v>532438</v>
      </c>
      <c r="M9">
        <v>292</v>
      </c>
      <c r="N9">
        <f t="shared" si="2"/>
        <v>1.8584521384928716</v>
      </c>
      <c r="O9">
        <f t="shared" si="3"/>
        <v>1.8596834899456232</v>
      </c>
      <c r="P9">
        <f t="shared" si="4"/>
        <v>3.4776199187378838</v>
      </c>
      <c r="Q9">
        <f t="shared" si="5"/>
        <v>1.2691984753181307</v>
      </c>
      <c r="R9">
        <v>490</v>
      </c>
      <c r="U9" t="s">
        <v>174</v>
      </c>
      <c r="V9">
        <v>35123</v>
      </c>
      <c r="W9">
        <v>292</v>
      </c>
    </row>
    <row r="10" spans="1:23" x14ac:dyDescent="0.25">
      <c r="A10" s="6" t="s">
        <v>60</v>
      </c>
      <c r="B10" s="7">
        <v>18582</v>
      </c>
      <c r="C10" s="8">
        <v>3.4220000000000002</v>
      </c>
      <c r="D10" s="8">
        <v>2.2719999999999998</v>
      </c>
      <c r="E10" s="8">
        <v>4.5720000000000001</v>
      </c>
      <c r="F10" s="8">
        <v>1.237531942269821</v>
      </c>
      <c r="G10" s="7">
        <v>4859</v>
      </c>
      <c r="H10" s="7">
        <v>406</v>
      </c>
      <c r="I10" s="9">
        <f t="shared" si="0"/>
        <v>1.992651099464416</v>
      </c>
      <c r="J10" s="8">
        <f t="shared" si="1"/>
        <v>1.1423747889701745</v>
      </c>
      <c r="K10" s="10">
        <v>0.9</v>
      </c>
      <c r="L10" s="7">
        <v>544372</v>
      </c>
      <c r="M10">
        <v>380</v>
      </c>
      <c r="N10">
        <f t="shared" si="2"/>
        <v>2.0449897750511248</v>
      </c>
      <c r="O10">
        <f t="shared" si="3"/>
        <v>2.0398949951382428</v>
      </c>
      <c r="P10">
        <f t="shared" si="4"/>
        <v>3.0724122682055759</v>
      </c>
      <c r="Q10">
        <f t="shared" si="5"/>
        <v>1.5267980475422283</v>
      </c>
      <c r="R10">
        <v>343</v>
      </c>
      <c r="U10" t="s">
        <v>60</v>
      </c>
      <c r="V10">
        <v>35123</v>
      </c>
      <c r="W10">
        <v>380</v>
      </c>
    </row>
    <row r="11" spans="1:23" x14ac:dyDescent="0.25">
      <c r="A11" s="6" t="s">
        <v>36</v>
      </c>
      <c r="B11" s="7">
        <v>94416</v>
      </c>
      <c r="C11" s="8">
        <v>1.923</v>
      </c>
      <c r="D11" s="8">
        <v>1.357</v>
      </c>
      <c r="E11" s="8">
        <v>2.4889999999999999</v>
      </c>
      <c r="F11" s="8">
        <v>6.2879569401220223</v>
      </c>
      <c r="G11" s="7">
        <v>19518</v>
      </c>
      <c r="H11" s="7">
        <v>2113</v>
      </c>
      <c r="I11" s="9">
        <f t="shared" si="0"/>
        <v>8.004232179326296</v>
      </c>
      <c r="J11" s="8">
        <f t="shared" si="1"/>
        <v>5.9454136184580753</v>
      </c>
      <c r="K11" s="10">
        <v>8.1999999999999993</v>
      </c>
      <c r="L11" s="7">
        <v>4915401</v>
      </c>
      <c r="M11">
        <v>1998</v>
      </c>
      <c r="N11">
        <f t="shared" si="2"/>
        <v>2.116166751398068</v>
      </c>
      <c r="O11">
        <f t="shared" si="3"/>
        <v>2.113767645940591</v>
      </c>
      <c r="P11">
        <f t="shared" si="4"/>
        <v>2.9954128099806603</v>
      </c>
      <c r="Q11">
        <f t="shared" si="5"/>
        <v>1.6330956943124775</v>
      </c>
      <c r="R11">
        <v>1998</v>
      </c>
      <c r="U11" t="s">
        <v>36</v>
      </c>
      <c r="V11">
        <v>35123</v>
      </c>
      <c r="W11">
        <v>1998</v>
      </c>
    </row>
    <row r="12" spans="1:23" x14ac:dyDescent="0.25">
      <c r="A12" s="6" t="s">
        <v>61</v>
      </c>
      <c r="B12" s="7">
        <v>12302</v>
      </c>
      <c r="C12" s="8">
        <v>1.016</v>
      </c>
      <c r="D12" s="8">
        <v>0.62</v>
      </c>
      <c r="E12" s="8">
        <v>1.4119999999999999</v>
      </c>
      <c r="F12" s="8">
        <v>0.81929383025526514</v>
      </c>
      <c r="G12" s="7">
        <v>3365</v>
      </c>
      <c r="H12" s="7">
        <v>360</v>
      </c>
      <c r="I12" s="9">
        <f t="shared" si="0"/>
        <v>1.3799693249017821</v>
      </c>
      <c r="J12" s="8">
        <f t="shared" si="1"/>
        <v>1.0129431626336522</v>
      </c>
      <c r="K12" s="10">
        <v>2</v>
      </c>
      <c r="L12" s="7">
        <v>1204913</v>
      </c>
      <c r="M12">
        <v>343</v>
      </c>
      <c r="N12">
        <f t="shared" si="2"/>
        <v>2.7881645260933183</v>
      </c>
      <c r="O12">
        <f t="shared" si="3"/>
        <v>2.8018489733022247</v>
      </c>
      <c r="P12">
        <f t="shared" si="4"/>
        <v>4.5914170272178394</v>
      </c>
      <c r="Q12">
        <f t="shared" si="5"/>
        <v>2.0160613009030177</v>
      </c>
      <c r="R12">
        <v>4378</v>
      </c>
      <c r="U12" t="s">
        <v>173</v>
      </c>
      <c r="V12">
        <v>35123</v>
      </c>
      <c r="W12">
        <v>343</v>
      </c>
    </row>
    <row r="13" spans="1:23" x14ac:dyDescent="0.25">
      <c r="A13" s="6" t="s">
        <v>37</v>
      </c>
      <c r="B13" s="7">
        <v>129603</v>
      </c>
      <c r="C13" s="8">
        <v>2.903</v>
      </c>
      <c r="D13" s="8">
        <v>2.1640000000000001</v>
      </c>
      <c r="E13" s="8">
        <v>3.6419999999999999</v>
      </c>
      <c r="F13" s="8">
        <v>8.6313557374876542</v>
      </c>
      <c r="G13" s="7">
        <v>29057</v>
      </c>
      <c r="H13" s="7">
        <v>4436</v>
      </c>
      <c r="I13" s="9">
        <f t="shared" si="0"/>
        <v>11.916127391878481</v>
      </c>
      <c r="J13" s="8">
        <f t="shared" si="1"/>
        <v>12.481710748452448</v>
      </c>
      <c r="K13" s="10">
        <v>7.4</v>
      </c>
      <c r="L13" s="7">
        <v>4451993</v>
      </c>
      <c r="M13">
        <v>4378</v>
      </c>
      <c r="N13">
        <f t="shared" si="2"/>
        <v>3.3780082251182457</v>
      </c>
      <c r="O13">
        <f t="shared" si="3"/>
        <v>3.387460568921191</v>
      </c>
      <c r="P13">
        <f t="shared" si="4"/>
        <v>4.5442689609880853</v>
      </c>
      <c r="Q13">
        <f t="shared" si="5"/>
        <v>2.7001092892856171</v>
      </c>
      <c r="R13">
        <v>1095</v>
      </c>
      <c r="U13" t="s">
        <v>37</v>
      </c>
      <c r="V13">
        <v>35123</v>
      </c>
      <c r="W13">
        <v>4378</v>
      </c>
    </row>
    <row r="14" spans="1:23" x14ac:dyDescent="0.25">
      <c r="A14" s="6" t="s">
        <v>38</v>
      </c>
      <c r="B14" s="7">
        <v>33402</v>
      </c>
      <c r="C14" s="8">
        <v>0.89700000000000002</v>
      </c>
      <c r="D14" s="8">
        <v>0.47799999999999998</v>
      </c>
      <c r="E14" s="8">
        <v>1.3160000000000001</v>
      </c>
      <c r="F14" s="8">
        <v>2.2245206078837882</v>
      </c>
      <c r="G14" s="7">
        <v>9859</v>
      </c>
      <c r="H14" s="7">
        <v>1127</v>
      </c>
      <c r="I14" s="9">
        <f t="shared" si="0"/>
        <v>4.0431255792590406</v>
      </c>
      <c r="J14" s="8">
        <f t="shared" si="1"/>
        <v>3.1710748452447945</v>
      </c>
      <c r="K14" s="10">
        <v>6.2</v>
      </c>
      <c r="L14" s="7">
        <v>3721868</v>
      </c>
      <c r="M14">
        <v>1095</v>
      </c>
      <c r="N14">
        <f t="shared" si="2"/>
        <v>3.2782468115681698</v>
      </c>
      <c r="O14">
        <f t="shared" si="3"/>
        <v>3.2799008077480907</v>
      </c>
      <c r="P14">
        <f t="shared" si="4"/>
        <v>6.1549603024059367</v>
      </c>
      <c r="Q14">
        <f t="shared" si="5"/>
        <v>2.23561628005322</v>
      </c>
      <c r="R14">
        <v>77</v>
      </c>
      <c r="U14" t="s">
        <v>38</v>
      </c>
      <c r="V14">
        <v>35123</v>
      </c>
      <c r="W14">
        <v>1095</v>
      </c>
    </row>
    <row r="15" spans="1:23" x14ac:dyDescent="0.25">
      <c r="A15" s="6" t="s">
        <v>39</v>
      </c>
      <c r="B15" s="7">
        <v>5892</v>
      </c>
      <c r="C15" s="8">
        <v>0.66900000000000004</v>
      </c>
      <c r="D15" s="8">
        <v>0.35899999999999999</v>
      </c>
      <c r="E15" s="8">
        <v>0.97899999999999998</v>
      </c>
      <c r="F15" s="8">
        <v>0.39239792292830616</v>
      </c>
      <c r="G15" s="7">
        <v>1467</v>
      </c>
      <c r="H15" s="7">
        <v>77</v>
      </c>
      <c r="I15" s="9">
        <f t="shared" si="0"/>
        <v>0.60160921237174281</v>
      </c>
      <c r="J15" s="8">
        <f t="shared" si="1"/>
        <v>0.21665728756330893</v>
      </c>
      <c r="K15" s="10">
        <v>1.5</v>
      </c>
      <c r="L15" s="7">
        <v>880456</v>
      </c>
      <c r="M15">
        <v>77</v>
      </c>
      <c r="N15">
        <f t="shared" si="2"/>
        <v>1.3068567549219281</v>
      </c>
      <c r="O15">
        <f t="shared" si="3"/>
        <v>1.3072448815183186</v>
      </c>
      <c r="P15">
        <f t="shared" si="4"/>
        <v>2.436063581436644</v>
      </c>
      <c r="Q15">
        <f t="shared" si="5"/>
        <v>0.89330625713560285</v>
      </c>
      <c r="R15">
        <v>987</v>
      </c>
      <c r="U15" t="s">
        <v>39</v>
      </c>
      <c r="V15">
        <v>35123</v>
      </c>
      <c r="W15">
        <v>77</v>
      </c>
    </row>
    <row r="16" spans="1:23" x14ac:dyDescent="0.25">
      <c r="A16" s="6" t="s">
        <v>40</v>
      </c>
      <c r="B16" s="7">
        <v>39350</v>
      </c>
      <c r="C16" s="8">
        <v>2.5910000000000002</v>
      </c>
      <c r="D16" s="8">
        <v>1.966</v>
      </c>
      <c r="E16" s="8">
        <v>3.2160000000000002</v>
      </c>
      <c r="F16" s="8">
        <v>2.6206480426389756</v>
      </c>
      <c r="G16" s="7">
        <v>6824</v>
      </c>
      <c r="H16" s="7">
        <v>986</v>
      </c>
      <c r="I16" s="9">
        <f t="shared" si="0"/>
        <v>2.7984875700237035</v>
      </c>
      <c r="J16" s="8">
        <f t="shared" si="1"/>
        <v>2.7743387732132807</v>
      </c>
      <c r="K16" s="10">
        <v>2.5</v>
      </c>
      <c r="L16" s="7">
        <v>1514881</v>
      </c>
      <c r="M16">
        <v>987</v>
      </c>
      <c r="N16">
        <f t="shared" si="2"/>
        <v>2.508259212198221</v>
      </c>
      <c r="O16">
        <f t="shared" si="3"/>
        <v>2.5146133743555312</v>
      </c>
      <c r="P16">
        <f t="shared" si="4"/>
        <v>3.3140199658978546</v>
      </c>
      <c r="Q16">
        <f t="shared" si="5"/>
        <v>2.0259214095009894</v>
      </c>
      <c r="R16">
        <v>826</v>
      </c>
      <c r="U16" t="s">
        <v>40</v>
      </c>
      <c r="V16">
        <v>35123</v>
      </c>
      <c r="W16">
        <v>987</v>
      </c>
    </row>
    <row r="17" spans="1:24" x14ac:dyDescent="0.25">
      <c r="A17" s="6" t="s">
        <v>41</v>
      </c>
      <c r="B17" s="7">
        <v>59545</v>
      </c>
      <c r="C17" s="8">
        <v>1.002</v>
      </c>
      <c r="D17" s="8">
        <v>0.55100000000000005</v>
      </c>
      <c r="E17" s="8">
        <v>1.4530000000000001</v>
      </c>
      <c r="F17" s="8">
        <v>3.9656032452080767</v>
      </c>
      <c r="G17" s="7">
        <v>8485</v>
      </c>
      <c r="H17" s="7">
        <v>913</v>
      </c>
      <c r="I17" s="9">
        <f t="shared" si="0"/>
        <v>3.4796551922114776</v>
      </c>
      <c r="J17" s="8">
        <f t="shared" si="1"/>
        <v>2.5689364096792349</v>
      </c>
      <c r="K17" s="10">
        <v>9.6999999999999993</v>
      </c>
      <c r="L17" s="10">
        <v>5873082</v>
      </c>
      <c r="M17">
        <v>826</v>
      </c>
      <c r="N17">
        <f t="shared" si="2"/>
        <v>1.3871861617264254</v>
      </c>
      <c r="O17">
        <f t="shared" si="3"/>
        <v>1.4036093781854053</v>
      </c>
      <c r="P17">
        <f t="shared" si="4"/>
        <v>2.5524802122355283</v>
      </c>
      <c r="Q17">
        <f t="shared" si="5"/>
        <v>0.96793984648436071</v>
      </c>
      <c r="R17">
        <v>23</v>
      </c>
      <c r="U17" t="s">
        <v>41</v>
      </c>
      <c r="V17">
        <v>35123</v>
      </c>
      <c r="W17">
        <v>826</v>
      </c>
    </row>
    <row r="18" spans="1:24" x14ac:dyDescent="0.25">
      <c r="A18" s="6" t="s">
        <v>42</v>
      </c>
      <c r="B18" s="7">
        <v>16878</v>
      </c>
      <c r="C18" s="8">
        <v>1.292</v>
      </c>
      <c r="D18" s="8">
        <v>0.76100000000000001</v>
      </c>
      <c r="E18" s="8">
        <v>1.823</v>
      </c>
      <c r="F18" s="8">
        <v>1.1240482252518587</v>
      </c>
      <c r="G18" s="7">
        <v>3368</v>
      </c>
      <c r="H18" s="7">
        <v>470</v>
      </c>
      <c r="I18" s="9">
        <f t="shared" si="0"/>
        <v>1.381199609589659</v>
      </c>
      <c r="J18" s="8">
        <f t="shared" si="1"/>
        <v>1.3224535734383793</v>
      </c>
      <c r="K18" s="10">
        <v>2.2000000000000002</v>
      </c>
      <c r="L18" s="7">
        <v>1304393</v>
      </c>
      <c r="M18">
        <v>459</v>
      </c>
      <c r="N18">
        <f t="shared" si="2"/>
        <v>2.7195165303945967</v>
      </c>
      <c r="O18">
        <f t="shared" si="3"/>
        <v>2.7235898835300163</v>
      </c>
      <c r="P18">
        <f t="shared" si="4"/>
        <v>4.6240185670443905</v>
      </c>
      <c r="Q18">
        <f t="shared" si="5"/>
        <v>1.9302677616680095</v>
      </c>
      <c r="R18">
        <v>459</v>
      </c>
      <c r="U18" t="s">
        <v>42</v>
      </c>
      <c r="V18">
        <v>35123</v>
      </c>
      <c r="W18">
        <v>459</v>
      </c>
    </row>
    <row r="19" spans="1:24" x14ac:dyDescent="0.25">
      <c r="A19" s="6" t="s">
        <v>43</v>
      </c>
      <c r="B19" s="7">
        <v>2537</v>
      </c>
      <c r="C19" s="8">
        <v>0.80600000000000005</v>
      </c>
      <c r="D19" s="8">
        <v>0.27500000000000002</v>
      </c>
      <c r="E19" s="8">
        <v>1.337</v>
      </c>
      <c r="F19" s="8">
        <v>0.16896020544282292</v>
      </c>
      <c r="G19" s="7">
        <v>462</v>
      </c>
      <c r="H19" s="7">
        <v>29</v>
      </c>
      <c r="I19" s="9">
        <f t="shared" si="0"/>
        <v>0.18946384193302329</v>
      </c>
      <c r="J19" s="8">
        <f t="shared" si="1"/>
        <v>8.1598199212155317E-2</v>
      </c>
      <c r="K19" s="10">
        <v>0.5</v>
      </c>
      <c r="L19" s="7">
        <v>304285</v>
      </c>
      <c r="M19">
        <v>23</v>
      </c>
      <c r="N19">
        <f t="shared" si="2"/>
        <v>0.90658257784785179</v>
      </c>
      <c r="O19">
        <f t="shared" si="3"/>
        <v>0.93780436593599337</v>
      </c>
      <c r="P19">
        <f t="shared" si="4"/>
        <v>2.7486193416160387</v>
      </c>
      <c r="Q19">
        <f t="shared" si="5"/>
        <v>0.56534803211997808</v>
      </c>
      <c r="R19">
        <v>431</v>
      </c>
      <c r="U19" t="s">
        <v>43</v>
      </c>
      <c r="V19">
        <v>35123</v>
      </c>
      <c r="W19">
        <v>23</v>
      </c>
    </row>
    <row r="20" spans="1:24" x14ac:dyDescent="0.25">
      <c r="A20" s="6" t="s">
        <v>44</v>
      </c>
      <c r="B20" s="7">
        <v>51416</v>
      </c>
      <c r="C20" s="8">
        <v>0.88800000000000001</v>
      </c>
      <c r="D20" s="8">
        <v>0.35699999999999998</v>
      </c>
      <c r="E20" s="8">
        <v>1.419</v>
      </c>
      <c r="F20" s="8">
        <v>3.4242246444809554</v>
      </c>
      <c r="G20" s="7">
        <v>5216</v>
      </c>
      <c r="H20" s="7">
        <v>513</v>
      </c>
      <c r="I20" s="9">
        <f t="shared" si="0"/>
        <v>2.1390549773217522</v>
      </c>
      <c r="J20" s="8">
        <f t="shared" si="1"/>
        <v>1.4434440067529544</v>
      </c>
      <c r="K20" s="10">
        <v>9.6</v>
      </c>
      <c r="L20" s="7">
        <v>5796787</v>
      </c>
      <c r="M20">
        <v>431</v>
      </c>
      <c r="N20">
        <f t="shared" si="2"/>
        <v>0.83826046366889684</v>
      </c>
      <c r="O20">
        <f t="shared" si="3"/>
        <v>0.83729203843501643</v>
      </c>
      <c r="P20">
        <f t="shared" si="4"/>
        <v>2.08267599476273</v>
      </c>
      <c r="Q20">
        <f t="shared" si="5"/>
        <v>0.52397133906292781</v>
      </c>
      <c r="R20">
        <v>27</v>
      </c>
      <c r="U20" t="s">
        <v>44</v>
      </c>
      <c r="V20">
        <v>35123</v>
      </c>
      <c r="W20">
        <v>431</v>
      </c>
    </row>
    <row r="21" spans="1:24" x14ac:dyDescent="0.25">
      <c r="A21" s="6" t="s">
        <v>45</v>
      </c>
      <c r="B21" s="7">
        <v>35306</v>
      </c>
      <c r="C21" s="8">
        <v>0.877</v>
      </c>
      <c r="D21" s="8">
        <v>0.49099999999999999</v>
      </c>
      <c r="E21" s="8">
        <v>1.2629999999999999</v>
      </c>
      <c r="F21" s="8">
        <v>2.3513240099977555</v>
      </c>
      <c r="G21" s="7">
        <v>4629</v>
      </c>
      <c r="H21" s="7">
        <v>558</v>
      </c>
      <c r="I21" s="9">
        <f t="shared" si="0"/>
        <v>1.8983292733938635</v>
      </c>
      <c r="J21" s="8">
        <f t="shared" si="1"/>
        <v>1.5700619020821611</v>
      </c>
      <c r="K21" s="10">
        <v>6.6</v>
      </c>
      <c r="L21" s="7">
        <v>3999574</v>
      </c>
      <c r="M21">
        <v>538</v>
      </c>
      <c r="N21">
        <f t="shared" si="2"/>
        <v>1.523820313827678</v>
      </c>
      <c r="O21">
        <f t="shared" si="3"/>
        <v>1.533800750007926</v>
      </c>
      <c r="P21">
        <f t="shared" si="4"/>
        <v>2.739599302967314</v>
      </c>
      <c r="Q21">
        <f t="shared" si="5"/>
        <v>1.0650382088336905</v>
      </c>
      <c r="R21">
        <v>538</v>
      </c>
      <c r="U21" t="s">
        <v>45</v>
      </c>
      <c r="V21">
        <v>35123</v>
      </c>
      <c r="W21">
        <v>538</v>
      </c>
    </row>
    <row r="22" spans="1:24" x14ac:dyDescent="0.25">
      <c r="A22" s="6" t="s">
        <v>46</v>
      </c>
      <c r="B22" s="7">
        <v>3984</v>
      </c>
      <c r="C22" s="8">
        <v>0.71499999999999997</v>
      </c>
      <c r="D22" s="8">
        <v>0.38800000000000001</v>
      </c>
      <c r="E22" s="8">
        <v>1.042</v>
      </c>
      <c r="F22" s="8">
        <v>0.26532812711241882</v>
      </c>
      <c r="G22" s="7">
        <v>398</v>
      </c>
      <c r="H22" s="7">
        <v>31</v>
      </c>
      <c r="I22" s="9">
        <f t="shared" si="0"/>
        <v>0.1632177685916521</v>
      </c>
      <c r="J22" s="8">
        <f t="shared" si="1"/>
        <v>8.7225661226786724E-2</v>
      </c>
      <c r="K22" s="10">
        <v>0.9</v>
      </c>
      <c r="L22" s="7">
        <v>558084</v>
      </c>
      <c r="M22">
        <v>27</v>
      </c>
      <c r="N22">
        <f t="shared" si="2"/>
        <v>0.67771084337349397</v>
      </c>
      <c r="O22">
        <f t="shared" si="3"/>
        <v>0.67664075232828325</v>
      </c>
      <c r="P22">
        <f t="shared" si="4"/>
        <v>1.2469024173059857</v>
      </c>
      <c r="Q22">
        <f t="shared" si="5"/>
        <v>0.46429763715424421</v>
      </c>
      <c r="R22">
        <v>96</v>
      </c>
      <c r="U22" t="s">
        <v>46</v>
      </c>
      <c r="V22">
        <v>35123</v>
      </c>
      <c r="W22">
        <v>27</v>
      </c>
    </row>
    <row r="23" spans="1:24" x14ac:dyDescent="0.25">
      <c r="A23" s="6" t="s">
        <v>47</v>
      </c>
      <c r="B23" s="7">
        <v>9828</v>
      </c>
      <c r="C23" s="8">
        <v>0.51</v>
      </c>
      <c r="D23" s="8">
        <v>0.189</v>
      </c>
      <c r="E23" s="8">
        <v>0.83099999999999996</v>
      </c>
      <c r="F23" s="8">
        <v>0.65452932561768373</v>
      </c>
      <c r="G23" s="7">
        <v>1367</v>
      </c>
      <c r="H23" s="7">
        <v>108</v>
      </c>
      <c r="I23" s="9">
        <f t="shared" si="0"/>
        <v>0.56059972277585035</v>
      </c>
      <c r="J23" s="8">
        <f t="shared" si="1"/>
        <v>0.3038829487900957</v>
      </c>
      <c r="K23" s="10">
        <v>3.2</v>
      </c>
      <c r="L23" s="7">
        <v>1940962</v>
      </c>
      <c r="M23">
        <v>96</v>
      </c>
      <c r="N23">
        <f t="shared" si="2"/>
        <v>0.97680097680097677</v>
      </c>
      <c r="O23">
        <f t="shared" si="3"/>
        <v>0.96980411835804647</v>
      </c>
      <c r="P23">
        <f t="shared" si="4"/>
        <v>2.616931747950284</v>
      </c>
      <c r="Q23">
        <f t="shared" si="5"/>
        <v>0.59518664303562419</v>
      </c>
      <c r="R23">
        <v>280</v>
      </c>
      <c r="U23" t="s">
        <v>47</v>
      </c>
      <c r="V23">
        <v>35123</v>
      </c>
      <c r="W23">
        <v>96</v>
      </c>
    </row>
    <row r="24" spans="1:24" x14ac:dyDescent="0.25">
      <c r="A24" s="6" t="s">
        <v>48</v>
      </c>
      <c r="B24" s="7">
        <v>18249</v>
      </c>
      <c r="C24" s="8">
        <v>0.36699999999999999</v>
      </c>
      <c r="D24" s="8">
        <v>8.0000000000000002E-3</v>
      </c>
      <c r="E24" s="8">
        <v>0.72599999999999998</v>
      </c>
      <c r="F24" s="8">
        <v>1.2153546665849726</v>
      </c>
      <c r="G24" s="7">
        <v>3300</v>
      </c>
      <c r="H24" s="7">
        <v>337</v>
      </c>
      <c r="I24" s="9">
        <f t="shared" si="0"/>
        <v>1.3533131566644521</v>
      </c>
      <c r="J24" s="8">
        <f t="shared" si="1"/>
        <v>0.94822734946539111</v>
      </c>
      <c r="K24" s="10">
        <v>8.3000000000000007</v>
      </c>
      <c r="L24" s="7">
        <v>4976417</v>
      </c>
      <c r="M24">
        <v>280</v>
      </c>
      <c r="N24">
        <f t="shared" si="2"/>
        <v>1.5343306482546988</v>
      </c>
      <c r="O24">
        <f>100*M24/L24*100/C24</f>
        <v>1.5331166566056524</v>
      </c>
      <c r="P24">
        <f t="shared" si="4"/>
        <v>70.331726621784298</v>
      </c>
      <c r="Q24">
        <f>100*$M24/$L24*100/E24</f>
        <v>0.77500525203068105</v>
      </c>
      <c r="R24">
        <v>132</v>
      </c>
      <c r="U24" t="s">
        <v>48</v>
      </c>
      <c r="V24">
        <v>35123</v>
      </c>
      <c r="W24">
        <v>280</v>
      </c>
    </row>
    <row r="25" spans="1:24" x14ac:dyDescent="0.25">
      <c r="A25" s="6" t="s">
        <v>49</v>
      </c>
      <c r="B25" s="7">
        <v>8071</v>
      </c>
      <c r="C25" s="8">
        <v>0.495</v>
      </c>
      <c r="D25" s="8">
        <v>8.3000000000000004E-2</v>
      </c>
      <c r="E25" s="8">
        <v>0.90700000000000003</v>
      </c>
      <c r="F25" s="8">
        <v>0.53751589204928019</v>
      </c>
      <c r="G25" s="7">
        <v>1417</v>
      </c>
      <c r="H25" s="7">
        <v>140</v>
      </c>
      <c r="I25" s="9">
        <f t="shared" si="0"/>
        <v>0.58110446757379663</v>
      </c>
      <c r="J25" s="8">
        <f t="shared" si="1"/>
        <v>0.39392234102419804</v>
      </c>
      <c r="K25" s="10">
        <v>2.7</v>
      </c>
      <c r="L25" s="7">
        <v>1634503</v>
      </c>
      <c r="M25">
        <v>132</v>
      </c>
      <c r="N25">
        <f>100*M25/B25</f>
        <v>1.6354850700037169</v>
      </c>
      <c r="O25">
        <f t="shared" si="3"/>
        <v>1.6314847183924817</v>
      </c>
      <c r="P25">
        <f t="shared" si="4"/>
        <v>9.729938983184077</v>
      </c>
      <c r="Q25">
        <f t="shared" si="5"/>
        <v>0.89039132922191666</v>
      </c>
      <c r="R25">
        <v>292</v>
      </c>
      <c r="U25" t="s">
        <v>49</v>
      </c>
      <c r="V25">
        <v>35123</v>
      </c>
      <c r="W25">
        <v>132</v>
      </c>
    </row>
    <row r="26" spans="1:24" x14ac:dyDescent="0.25">
      <c r="A26" s="12" t="s">
        <v>50</v>
      </c>
      <c r="B26" s="13">
        <v>1501537</v>
      </c>
      <c r="C26" s="14">
        <v>2.492</v>
      </c>
      <c r="D26" s="14">
        <v>2.306</v>
      </c>
      <c r="E26" s="14">
        <v>2.6779999999999999</v>
      </c>
      <c r="F26" s="14">
        <v>100.00006659842551</v>
      </c>
      <c r="G26" s="13">
        <v>243846</v>
      </c>
      <c r="H26" s="13">
        <v>35540</v>
      </c>
      <c r="I26" s="14">
        <f>SUM(I5:I25)</f>
        <v>100</v>
      </c>
      <c r="J26" s="14">
        <f>SUM(J5:J25)</f>
        <v>99.999999999999972</v>
      </c>
      <c r="K26" s="14">
        <v>100</v>
      </c>
      <c r="L26" s="13">
        <v>60259104</v>
      </c>
      <c r="M26">
        <v>35111</v>
      </c>
      <c r="N26">
        <f>100*M26/B26</f>
        <v>2.3383373170291506</v>
      </c>
      <c r="O26">
        <f t="shared" ref="O26" si="6">100*M26/L26*100/C26</f>
        <v>2.3381506562627101</v>
      </c>
      <c r="P26">
        <f t="shared" si="4"/>
        <v>2.5267439008701964</v>
      </c>
      <c r="Q26">
        <f t="shared" si="5"/>
        <v>2.1757548302489447</v>
      </c>
      <c r="R26">
        <v>380</v>
      </c>
      <c r="U26" t="s">
        <v>80</v>
      </c>
      <c r="V26">
        <v>35123</v>
      </c>
      <c r="W26">
        <v>35111</v>
      </c>
    </row>
    <row r="27" spans="1:24" x14ac:dyDescent="0.25">
      <c r="R27">
        <v>35111</v>
      </c>
      <c r="U27" t="s">
        <v>59</v>
      </c>
      <c r="V27">
        <v>35123</v>
      </c>
      <c r="W27">
        <v>490</v>
      </c>
      <c r="X27">
        <f>100*W27/(B9+B10)</f>
        <v>1.4288213681693591</v>
      </c>
    </row>
  </sheetData>
  <mergeCells count="12">
    <mergeCell ref="K2:K3"/>
    <mergeCell ref="L2:L3"/>
    <mergeCell ref="B4:J4"/>
    <mergeCell ref="A2:A3"/>
    <mergeCell ref="B2:B3"/>
    <mergeCell ref="C2:C3"/>
    <mergeCell ref="D2:E2"/>
    <mergeCell ref="F2:F3"/>
    <mergeCell ref="G2:G3"/>
    <mergeCell ref="H2:H3"/>
    <mergeCell ref="I2:I3"/>
    <mergeCell ref="J2:J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0"/>
  <sheetViews>
    <sheetView workbookViewId="0">
      <selection activeCell="F2" sqref="F2:F18"/>
    </sheetView>
  </sheetViews>
  <sheetFormatPr defaultRowHeight="15" x14ac:dyDescent="0.25"/>
  <sheetData>
    <row r="1" spans="1:9" x14ac:dyDescent="0.25">
      <c r="A1" t="s">
        <v>127</v>
      </c>
      <c r="B1" t="s">
        <v>128</v>
      </c>
      <c r="C1" t="s">
        <v>131</v>
      </c>
      <c r="D1" t="s">
        <v>129</v>
      </c>
      <c r="E1" t="s">
        <v>132</v>
      </c>
      <c r="F1" t="s">
        <v>130</v>
      </c>
      <c r="G1" t="s">
        <v>133</v>
      </c>
    </row>
    <row r="2" spans="1:9" x14ac:dyDescent="0.25">
      <c r="A2" t="s">
        <v>7</v>
      </c>
      <c r="B2">
        <v>3.0000000000000001E-3</v>
      </c>
      <c r="C2" t="s">
        <v>81</v>
      </c>
      <c r="D2">
        <v>3.0000000000000001E-3</v>
      </c>
      <c r="E2" t="s">
        <v>82</v>
      </c>
      <c r="F2">
        <v>3.0000000000000001E-3</v>
      </c>
      <c r="G2" t="s">
        <v>82</v>
      </c>
      <c r="I2" s="2">
        <v>0</v>
      </c>
    </row>
    <row r="3" spans="1:9" x14ac:dyDescent="0.25">
      <c r="A3" s="21" t="s">
        <v>8</v>
      </c>
      <c r="B3">
        <v>1E-3</v>
      </c>
      <c r="C3" t="s">
        <v>83</v>
      </c>
      <c r="D3">
        <v>1E-3</v>
      </c>
      <c r="E3" t="s">
        <v>83</v>
      </c>
      <c r="F3">
        <v>1E-3</v>
      </c>
      <c r="G3" t="s">
        <v>83</v>
      </c>
      <c r="I3" s="2">
        <v>0.01</v>
      </c>
    </row>
    <row r="4" spans="1:9" x14ac:dyDescent="0.25">
      <c r="A4" s="22" t="s">
        <v>9</v>
      </c>
      <c r="B4">
        <v>1E-3</v>
      </c>
      <c r="C4" t="s">
        <v>84</v>
      </c>
      <c r="D4">
        <v>1E-3</v>
      </c>
      <c r="E4" t="s">
        <v>83</v>
      </c>
      <c r="F4">
        <v>1E-3</v>
      </c>
      <c r="G4" t="s">
        <v>85</v>
      </c>
      <c r="I4" s="2">
        <v>0.01</v>
      </c>
    </row>
    <row r="5" spans="1:9" x14ac:dyDescent="0.25">
      <c r="A5" s="1" t="s">
        <v>10</v>
      </c>
      <c r="B5">
        <v>3.0000000000000001E-3</v>
      </c>
      <c r="C5" t="s">
        <v>82</v>
      </c>
      <c r="D5">
        <v>2E-3</v>
      </c>
      <c r="E5" t="s">
        <v>82</v>
      </c>
      <c r="F5">
        <v>3.0000000000000001E-3</v>
      </c>
      <c r="G5" t="s">
        <v>82</v>
      </c>
      <c r="I5" s="2">
        <v>0.02</v>
      </c>
    </row>
    <row r="6" spans="1:9" x14ac:dyDescent="0.25">
      <c r="A6" s="1" t="s">
        <v>86</v>
      </c>
      <c r="B6">
        <v>8.0000000000000002E-3</v>
      </c>
      <c r="C6" t="s">
        <v>87</v>
      </c>
      <c r="D6">
        <v>5.0000000000000001E-3</v>
      </c>
      <c r="E6" t="s">
        <v>88</v>
      </c>
      <c r="F6">
        <v>6.0000000000000001E-3</v>
      </c>
      <c r="G6" t="s">
        <v>89</v>
      </c>
      <c r="I6" s="2">
        <v>0.03</v>
      </c>
    </row>
    <row r="7" spans="1:9" x14ac:dyDescent="0.25">
      <c r="A7" s="1" t="s">
        <v>12</v>
      </c>
      <c r="B7">
        <v>1.7000000000000001E-2</v>
      </c>
      <c r="C7" t="s">
        <v>90</v>
      </c>
      <c r="D7">
        <v>8.9999999999999993E-3</v>
      </c>
      <c r="E7" t="s">
        <v>91</v>
      </c>
      <c r="F7" s="23">
        <v>1.2999999999999999E-2</v>
      </c>
      <c r="G7" s="23" t="s">
        <v>92</v>
      </c>
      <c r="H7" s="23"/>
      <c r="I7" s="24">
        <v>0.04</v>
      </c>
    </row>
    <row r="8" spans="1:9" x14ac:dyDescent="0.25">
      <c r="A8" s="1" t="s">
        <v>13</v>
      </c>
      <c r="B8">
        <v>3.3000000000000002E-2</v>
      </c>
      <c r="C8" t="s">
        <v>93</v>
      </c>
      <c r="D8">
        <v>1.4999999999999999E-2</v>
      </c>
      <c r="E8" t="s">
        <v>94</v>
      </c>
      <c r="F8" s="23">
        <v>2.4E-2</v>
      </c>
      <c r="G8" s="23" t="s">
        <v>95</v>
      </c>
      <c r="H8" s="23"/>
      <c r="I8" s="24">
        <v>0.06</v>
      </c>
    </row>
    <row r="9" spans="1:9" x14ac:dyDescent="0.25">
      <c r="A9" s="1" t="s">
        <v>14</v>
      </c>
      <c r="B9">
        <v>5.6000000000000001E-2</v>
      </c>
      <c r="C9" t="s">
        <v>96</v>
      </c>
      <c r="D9">
        <v>2.5000000000000001E-2</v>
      </c>
      <c r="E9" t="s">
        <v>97</v>
      </c>
      <c r="F9" s="23">
        <v>0.04</v>
      </c>
      <c r="G9" s="23" t="s">
        <v>98</v>
      </c>
      <c r="H9" s="23"/>
      <c r="I9" s="24">
        <v>0.1</v>
      </c>
    </row>
    <row r="10" spans="1:9" x14ac:dyDescent="0.25">
      <c r="A10" s="1" t="s">
        <v>15</v>
      </c>
      <c r="B10">
        <v>0.106</v>
      </c>
      <c r="C10" t="s">
        <v>99</v>
      </c>
      <c r="D10">
        <v>4.3999999999999997E-2</v>
      </c>
      <c r="E10" t="s">
        <v>100</v>
      </c>
      <c r="F10" s="23">
        <v>7.4999999999999997E-2</v>
      </c>
      <c r="G10" s="23" t="s">
        <v>101</v>
      </c>
      <c r="H10" s="23"/>
      <c r="I10" s="24">
        <v>0.16</v>
      </c>
    </row>
    <row r="11" spans="1:9" x14ac:dyDescent="0.25">
      <c r="A11" s="1" t="s">
        <v>16</v>
      </c>
      <c r="B11">
        <v>0.16800000000000001</v>
      </c>
      <c r="C11" t="s">
        <v>102</v>
      </c>
      <c r="D11">
        <v>7.2999999999999995E-2</v>
      </c>
      <c r="E11" t="s">
        <v>103</v>
      </c>
      <c r="F11" s="23">
        <v>0.121</v>
      </c>
      <c r="G11" s="23" t="s">
        <v>104</v>
      </c>
      <c r="H11" s="23"/>
      <c r="I11" s="24">
        <v>0.24</v>
      </c>
    </row>
    <row r="12" spans="1:9" x14ac:dyDescent="0.25">
      <c r="A12" s="1" t="s">
        <v>17</v>
      </c>
      <c r="B12">
        <v>0.29099999999999998</v>
      </c>
      <c r="C12" t="s">
        <v>105</v>
      </c>
      <c r="D12">
        <v>0.123</v>
      </c>
      <c r="E12" t="s">
        <v>106</v>
      </c>
      <c r="F12" s="23">
        <v>0.20699999999999999</v>
      </c>
      <c r="G12" s="23" t="s">
        <v>107</v>
      </c>
      <c r="H12" s="23"/>
      <c r="I12" s="24">
        <v>0.38</v>
      </c>
    </row>
    <row r="13" spans="1:9" x14ac:dyDescent="0.25">
      <c r="A13" s="1" t="s">
        <v>18</v>
      </c>
      <c r="B13">
        <v>0.44800000000000001</v>
      </c>
      <c r="C13" t="s">
        <v>108</v>
      </c>
      <c r="D13">
        <v>0.19700000000000001</v>
      </c>
      <c r="E13" t="s">
        <v>109</v>
      </c>
      <c r="F13" s="23">
        <v>0.32300000000000001</v>
      </c>
      <c r="G13" s="23" t="s">
        <v>110</v>
      </c>
      <c r="H13" s="23"/>
      <c r="I13" s="24">
        <v>0.6</v>
      </c>
    </row>
    <row r="14" spans="1:9" x14ac:dyDescent="0.25">
      <c r="A14" s="1" t="s">
        <v>19</v>
      </c>
      <c r="B14">
        <v>0.59499999999999997</v>
      </c>
      <c r="C14" t="s">
        <v>111</v>
      </c>
      <c r="D14">
        <v>0.318</v>
      </c>
      <c r="E14" t="s">
        <v>112</v>
      </c>
      <c r="F14" s="23">
        <v>0.45600000000000002</v>
      </c>
      <c r="G14" s="23" t="s">
        <v>113</v>
      </c>
      <c r="H14" s="23"/>
      <c r="I14" s="24">
        <v>0.94</v>
      </c>
    </row>
    <row r="15" spans="1:9" x14ac:dyDescent="0.25">
      <c r="A15" s="1" t="s">
        <v>20</v>
      </c>
      <c r="B15">
        <v>1.452</v>
      </c>
      <c r="C15" t="s">
        <v>114</v>
      </c>
      <c r="D15">
        <v>0.69799999999999995</v>
      </c>
      <c r="E15" t="s">
        <v>115</v>
      </c>
      <c r="F15" s="23">
        <v>1.075</v>
      </c>
      <c r="G15" s="23" t="s">
        <v>116</v>
      </c>
      <c r="H15" s="23"/>
      <c r="I15" s="24">
        <v>1.47</v>
      </c>
    </row>
    <row r="16" spans="1:9" x14ac:dyDescent="0.25">
      <c r="A16" s="1" t="s">
        <v>21</v>
      </c>
      <c r="B16">
        <v>2.3069999999999999</v>
      </c>
      <c r="C16" t="s">
        <v>117</v>
      </c>
      <c r="D16">
        <v>1.042</v>
      </c>
      <c r="E16" t="s">
        <v>118</v>
      </c>
      <c r="F16" s="23">
        <v>1.6739999999999999</v>
      </c>
      <c r="G16" s="23" t="s">
        <v>119</v>
      </c>
      <c r="H16" s="23"/>
      <c r="I16" s="24">
        <v>2.31</v>
      </c>
    </row>
    <row r="17" spans="1:9" x14ac:dyDescent="0.25">
      <c r="A17" s="1" t="s">
        <v>22</v>
      </c>
      <c r="B17">
        <v>4.26</v>
      </c>
      <c r="C17" t="s">
        <v>120</v>
      </c>
      <c r="D17">
        <v>2.145</v>
      </c>
      <c r="E17" t="s">
        <v>121</v>
      </c>
      <c r="F17">
        <v>3.2029999999999998</v>
      </c>
      <c r="G17" t="s">
        <v>122</v>
      </c>
      <c r="I17" s="2">
        <v>3.61</v>
      </c>
    </row>
    <row r="18" spans="1:9" x14ac:dyDescent="0.25">
      <c r="A18" s="1" t="s">
        <v>123</v>
      </c>
      <c r="B18">
        <v>10.824999999999999</v>
      </c>
      <c r="C18" t="s">
        <v>124</v>
      </c>
      <c r="D18">
        <v>5.7590000000000003</v>
      </c>
      <c r="E18" t="s">
        <v>125</v>
      </c>
      <c r="F18">
        <v>8.2919999999999998</v>
      </c>
      <c r="G18" t="s">
        <v>126</v>
      </c>
      <c r="I18" s="2">
        <v>5.66</v>
      </c>
    </row>
    <row r="19" spans="1:9" x14ac:dyDescent="0.25">
      <c r="I19" s="2">
        <v>8.86</v>
      </c>
    </row>
    <row r="20" spans="1:9" x14ac:dyDescent="0.25">
      <c r="I20" s="2">
        <v>17.37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33"/>
  <sheetViews>
    <sheetView workbookViewId="0">
      <selection activeCell="B29" sqref="B29:C38"/>
    </sheetView>
  </sheetViews>
  <sheetFormatPr defaultRowHeight="15" x14ac:dyDescent="0.25"/>
  <cols>
    <col min="9" max="9" width="11" bestFit="1" customWidth="1"/>
    <col min="11" max="11" width="12" bestFit="1" customWidth="1"/>
    <col min="13" max="13" width="10" bestFit="1" customWidth="1"/>
    <col min="15" max="15" width="10" bestFit="1" customWidth="1"/>
    <col min="17" max="17" width="10" bestFit="1" customWidth="1"/>
    <col min="19" max="19" width="10" bestFit="1" customWidth="1"/>
    <col min="21" max="21" width="9.140625" customWidth="1"/>
    <col min="22" max="22" width="8.7109375" customWidth="1"/>
    <col min="25" max="25" width="11" bestFit="1" customWidth="1"/>
    <col min="27" max="27" width="12" bestFit="1" customWidth="1"/>
    <col min="28" max="28" width="11" bestFit="1" customWidth="1"/>
  </cols>
  <sheetData>
    <row r="1" spans="1:33" x14ac:dyDescent="0.25">
      <c r="V1" s="41" t="s">
        <v>135</v>
      </c>
      <c r="W1" s="41"/>
      <c r="X1" s="41"/>
      <c r="Y1" s="41"/>
      <c r="Z1" s="41"/>
      <c r="AA1" s="41"/>
      <c r="AB1" s="41"/>
    </row>
    <row r="2" spans="1:33" x14ac:dyDescent="0.25">
      <c r="A2" t="s">
        <v>0</v>
      </c>
      <c r="B2" t="s">
        <v>1</v>
      </c>
      <c r="C2" t="s">
        <v>2</v>
      </c>
      <c r="D2" t="s">
        <v>3</v>
      </c>
      <c r="E2" t="s">
        <v>6</v>
      </c>
      <c r="F2" t="s">
        <v>4</v>
      </c>
      <c r="G2" t="s">
        <v>5</v>
      </c>
      <c r="H2" t="s">
        <v>27</v>
      </c>
      <c r="I2" t="s">
        <v>134</v>
      </c>
      <c r="J2" t="s">
        <v>28</v>
      </c>
      <c r="K2" t="s">
        <v>136</v>
      </c>
      <c r="L2" t="s">
        <v>28</v>
      </c>
      <c r="M2" t="s">
        <v>137</v>
      </c>
      <c r="N2" t="s">
        <v>28</v>
      </c>
      <c r="O2" t="s">
        <v>138</v>
      </c>
      <c r="P2" t="s">
        <v>28</v>
      </c>
      <c r="Q2" t="s">
        <v>138</v>
      </c>
      <c r="R2" t="s">
        <v>28</v>
      </c>
      <c r="S2" t="s">
        <v>139</v>
      </c>
      <c r="T2" t="s">
        <v>28</v>
      </c>
      <c r="U2" t="s">
        <v>140</v>
      </c>
      <c r="V2" t="s">
        <v>134</v>
      </c>
      <c r="W2" t="s">
        <v>137</v>
      </c>
      <c r="X2" t="s">
        <v>138</v>
      </c>
      <c r="Y2" t="s">
        <v>139</v>
      </c>
      <c r="Z2" t="s">
        <v>140</v>
      </c>
      <c r="AA2" t="s">
        <v>141</v>
      </c>
      <c r="AB2" t="s">
        <v>142</v>
      </c>
      <c r="AC2" t="s">
        <v>143</v>
      </c>
      <c r="AD2" t="s">
        <v>144</v>
      </c>
      <c r="AE2" t="s">
        <v>145</v>
      </c>
      <c r="AF2" t="s">
        <v>146</v>
      </c>
      <c r="AG2" t="s">
        <v>147</v>
      </c>
    </row>
    <row r="3" spans="1:33" x14ac:dyDescent="0.25">
      <c r="A3" s="1" t="s">
        <v>7</v>
      </c>
      <c r="B3">
        <v>0</v>
      </c>
      <c r="C3">
        <v>0</v>
      </c>
      <c r="D3">
        <v>2.9999999999999997E-4</v>
      </c>
      <c r="E3">
        <v>0</v>
      </c>
      <c r="F3">
        <v>0</v>
      </c>
      <c r="G3">
        <v>2.9999999999999997E-4</v>
      </c>
      <c r="H3">
        <v>1</v>
      </c>
      <c r="I3">
        <v>2264538</v>
      </c>
      <c r="J3">
        <f>B3*I3</f>
        <v>0</v>
      </c>
      <c r="K3">
        <f>$I3*2</f>
        <v>4529076</v>
      </c>
      <c r="L3">
        <f t="shared" ref="L3:L20" si="0">$B3*$I3</f>
        <v>0</v>
      </c>
      <c r="M3">
        <f>$I3*2</f>
        <v>4529076</v>
      </c>
      <c r="N3">
        <f t="shared" ref="N3:N19" si="1">$B3*$I3</f>
        <v>0</v>
      </c>
      <c r="O3">
        <f>$I3*2</f>
        <v>4529076</v>
      </c>
      <c r="P3">
        <f t="shared" ref="P3:P18" si="2">$B3*$I3</f>
        <v>0</v>
      </c>
      <c r="Q3">
        <f>$I3*2</f>
        <v>4529076</v>
      </c>
      <c r="R3">
        <f t="shared" ref="R3:R17" si="3">$B3*$I3</f>
        <v>0</v>
      </c>
      <c r="S3">
        <f>$I3*2</f>
        <v>4529076</v>
      </c>
      <c r="T3">
        <f t="shared" ref="T3:T16" si="4">$B3*$I3</f>
        <v>0</v>
      </c>
      <c r="U3">
        <f>$I3*2</f>
        <v>4529076</v>
      </c>
      <c r="V3">
        <f>$I3/$I22</f>
        <v>3.7969173404929134E-2</v>
      </c>
      <c r="W3">
        <f>$I3/$I23</f>
        <v>3.8479866038957214E-2</v>
      </c>
      <c r="X3">
        <f>$I3/$I$24</f>
        <v>3.9415267221889573E-2</v>
      </c>
      <c r="Y3">
        <f>$I3/$I$25</f>
        <v>4.1008055063776007E-2</v>
      </c>
      <c r="Z3">
        <f>$I3/$I$26</f>
        <v>4.307025409901355E-2</v>
      </c>
      <c r="AA3">
        <f>$I3/$I$27</f>
        <v>4.5977281736339401E-2</v>
      </c>
      <c r="AB3">
        <f>$I3/$I$28</f>
        <v>4.9463070938311267E-2</v>
      </c>
      <c r="AC3">
        <f>$I3/$I$29</f>
        <v>5.4060383515996832E-2</v>
      </c>
      <c r="AD3">
        <f>$I3/$I$30</f>
        <v>6.0627673432729991E-2</v>
      </c>
      <c r="AE3">
        <f>$I3/$I$31</f>
        <v>6.9732047747837381E-2</v>
      </c>
      <c r="AF3">
        <f>$I3/$I$32</f>
        <v>8.167829800936971E-2</v>
      </c>
      <c r="AG3">
        <f>$I3/$I$33</f>
        <v>9.6209286034988073E-2</v>
      </c>
    </row>
    <row r="4" spans="1:33" x14ac:dyDescent="0.25">
      <c r="A4" s="1" t="s">
        <v>8</v>
      </c>
      <c r="B4">
        <v>1E-4</v>
      </c>
      <c r="C4">
        <v>0</v>
      </c>
      <c r="D4">
        <v>5.9999999999999995E-4</v>
      </c>
      <c r="E4">
        <v>1E-4</v>
      </c>
      <c r="F4">
        <v>0</v>
      </c>
      <c r="G4">
        <v>5.9999999999999995E-4</v>
      </c>
      <c r="H4">
        <v>2</v>
      </c>
      <c r="I4">
        <v>2627956</v>
      </c>
      <c r="J4">
        <f>B4*I4</f>
        <v>262.79560000000004</v>
      </c>
      <c r="K4">
        <f>$I4*7</f>
        <v>18395692</v>
      </c>
      <c r="L4">
        <f t="shared" si="0"/>
        <v>262.79560000000004</v>
      </c>
      <c r="M4">
        <f>$I4*7</f>
        <v>18395692</v>
      </c>
      <c r="N4">
        <f t="shared" si="1"/>
        <v>262.79560000000004</v>
      </c>
      <c r="O4">
        <f>$I4*7</f>
        <v>18395692</v>
      </c>
      <c r="P4">
        <f t="shared" si="2"/>
        <v>262.79560000000004</v>
      </c>
      <c r="Q4">
        <f>$I4*7</f>
        <v>18395692</v>
      </c>
      <c r="R4">
        <f t="shared" si="3"/>
        <v>262.79560000000004</v>
      </c>
      <c r="S4">
        <f>$I4*7</f>
        <v>18395692</v>
      </c>
      <c r="T4">
        <f t="shared" si="4"/>
        <v>262.79560000000004</v>
      </c>
      <c r="U4">
        <f>$I4*7</f>
        <v>18395692</v>
      </c>
      <c r="V4">
        <f t="shared" ref="V4:V12" si="5">I4/I$22+V3</f>
        <v>8.2031722615639638E-2</v>
      </c>
      <c r="W4">
        <f>$I4/$I$23+W3</f>
        <v>8.3135064952057303E-2</v>
      </c>
      <c r="X4">
        <f>$I4/$I$24+X3</f>
        <v>8.5155982541026659E-2</v>
      </c>
      <c r="Y4">
        <f>$I4/$I$25+Y3</f>
        <v>8.8597172293506998E-2</v>
      </c>
      <c r="Z4">
        <f t="shared" ref="Z4:Z11" si="6">$I4/$I$26+Z3</f>
        <v>9.3052516565365298E-2</v>
      </c>
      <c r="AA4">
        <f t="shared" ref="AA4:AA11" si="7">$I4/$I$27+AA3</f>
        <v>9.9333097979080104E-2</v>
      </c>
      <c r="AB4">
        <f>$I4/$I$28+AB3</f>
        <v>0.10686408344097659</v>
      </c>
      <c r="AC4">
        <f>$I4/$I$29+AC3</f>
        <v>0.11679649535124312</v>
      </c>
      <c r="AD4">
        <f>$I4/$I$30+AD3</f>
        <v>0.13098500820193384</v>
      </c>
      <c r="AE4">
        <f>$I4/$I$31+AE3</f>
        <v>0.15065484669014514</v>
      </c>
      <c r="AF4">
        <f>$I4/$I$32+AF3</f>
        <v>0.17646450752473716</v>
      </c>
      <c r="AG4">
        <f>$I4/$I$33+AG3</f>
        <v>0.20785844824439376</v>
      </c>
    </row>
    <row r="5" spans="1:33" x14ac:dyDescent="0.25">
      <c r="A5" s="1" t="s">
        <v>9</v>
      </c>
      <c r="B5">
        <v>1E-4</v>
      </c>
      <c r="C5">
        <v>0</v>
      </c>
      <c r="D5">
        <v>1.1000000000000001E-3</v>
      </c>
      <c r="E5">
        <v>1E-4</v>
      </c>
      <c r="F5">
        <v>0</v>
      </c>
      <c r="G5">
        <v>1E-3</v>
      </c>
      <c r="H5">
        <v>3</v>
      </c>
      <c r="I5">
        <v>2835060</v>
      </c>
      <c r="J5">
        <f t="shared" ref="J5:J20" si="8">B5*I5</f>
        <v>283.50600000000003</v>
      </c>
      <c r="K5">
        <f>$I5*12</f>
        <v>34020720</v>
      </c>
      <c r="L5">
        <f t="shared" si="0"/>
        <v>283.50600000000003</v>
      </c>
      <c r="M5">
        <f>$I5*12</f>
        <v>34020720</v>
      </c>
      <c r="N5">
        <f t="shared" si="1"/>
        <v>283.50600000000003</v>
      </c>
      <c r="O5">
        <f>$I5*12</f>
        <v>34020720</v>
      </c>
      <c r="P5">
        <f t="shared" si="2"/>
        <v>283.50600000000003</v>
      </c>
      <c r="Q5">
        <f>$I5*12</f>
        <v>34020720</v>
      </c>
      <c r="R5">
        <f t="shared" si="3"/>
        <v>283.50600000000003</v>
      </c>
      <c r="S5">
        <f>$I5*12</f>
        <v>34020720</v>
      </c>
      <c r="T5">
        <f t="shared" si="4"/>
        <v>283.50600000000003</v>
      </c>
      <c r="U5">
        <f>$I5*12</f>
        <v>34020720</v>
      </c>
      <c r="V5">
        <f t="shared" si="5"/>
        <v>0.12956675393477776</v>
      </c>
      <c r="W5">
        <f t="shared" ref="W5:W12" si="9">$I5/$I$23+W4</f>
        <v>0.13130945152115264</v>
      </c>
      <c r="X5">
        <f t="shared" ref="X5:X10" si="10">$I5/$I$24+X4</f>
        <v>0.13450143291107575</v>
      </c>
      <c r="Y5">
        <f t="shared" ref="Y5:Y11" si="11">$I5/$I$25+Y4</f>
        <v>0.13993669346255289</v>
      </c>
      <c r="Z5">
        <f t="shared" si="6"/>
        <v>0.14697378200050012</v>
      </c>
      <c r="AA5">
        <f t="shared" si="7"/>
        <v>0.15689378027252204</v>
      </c>
      <c r="AB5">
        <f t="shared" ref="AB5:AB10" si="12">$I5/$I$28+AB4</f>
        <v>0.16878875588823461</v>
      </c>
      <c r="AC5">
        <f t="shared" ref="AC5:AC9" si="13">$I5/$I$29+AC4</f>
        <v>0.18447671572770047</v>
      </c>
      <c r="AD5">
        <f t="shared" ref="AD5:AD9" si="14">$I5/$I$30+AD4</f>
        <v>0.20688706497563139</v>
      </c>
      <c r="AE5">
        <f t="shared" ref="AE5:AE8" si="15">$I5/$I$31+AE4</f>
        <v>0.23795501091259752</v>
      </c>
      <c r="AF5">
        <f t="shared" ref="AF5:AF8" si="16">$I5/$I$32+AF4</f>
        <v>0.27872063021044335</v>
      </c>
      <c r="AG5">
        <f t="shared" ref="AG5:AG7" si="17">$I5/$I$33+AG4</f>
        <v>0.32830645947951248</v>
      </c>
    </row>
    <row r="6" spans="1:33" x14ac:dyDescent="0.25">
      <c r="A6" s="1" t="s">
        <v>10</v>
      </c>
      <c r="B6">
        <v>2.0000000000000001E-4</v>
      </c>
      <c r="C6">
        <v>0</v>
      </c>
      <c r="D6">
        <v>1.8E-3</v>
      </c>
      <c r="E6">
        <v>2.0000000000000001E-4</v>
      </c>
      <c r="F6">
        <v>0</v>
      </c>
      <c r="G6">
        <v>1.7000000000000001E-3</v>
      </c>
      <c r="H6">
        <v>4</v>
      </c>
      <c r="I6">
        <v>2871056</v>
      </c>
      <c r="J6">
        <f t="shared" si="8"/>
        <v>574.21120000000008</v>
      </c>
      <c r="K6">
        <f>$I6*17</f>
        <v>48807952</v>
      </c>
      <c r="L6">
        <f t="shared" si="0"/>
        <v>574.21120000000008</v>
      </c>
      <c r="M6">
        <f>$I6*17</f>
        <v>48807952</v>
      </c>
      <c r="N6">
        <f t="shared" si="1"/>
        <v>574.21120000000008</v>
      </c>
      <c r="O6">
        <f>$I6*17</f>
        <v>48807952</v>
      </c>
      <c r="P6">
        <f t="shared" si="2"/>
        <v>574.21120000000008</v>
      </c>
      <c r="Q6">
        <f>$I6*17</f>
        <v>48807952</v>
      </c>
      <c r="R6">
        <f t="shared" si="3"/>
        <v>574.21120000000008</v>
      </c>
      <c r="S6">
        <f>$I6*17</f>
        <v>48807952</v>
      </c>
      <c r="T6">
        <f t="shared" si="4"/>
        <v>574.21120000000008</v>
      </c>
      <c r="U6">
        <f>$I6*17</f>
        <v>48807952</v>
      </c>
      <c r="V6">
        <f t="shared" si="5"/>
        <v>0.17770532485708607</v>
      </c>
      <c r="W6">
        <f t="shared" si="9"/>
        <v>0.18009549541635084</v>
      </c>
      <c r="X6">
        <f t="shared" si="10"/>
        <v>0.18447340929169265</v>
      </c>
      <c r="Y6">
        <f t="shared" si="11"/>
        <v>0.19192805882678368</v>
      </c>
      <c r="Z6">
        <f t="shared" si="6"/>
        <v>0.20157967134856911</v>
      </c>
      <c r="AA6">
        <f t="shared" si="7"/>
        <v>0.21518529518320478</v>
      </c>
      <c r="AB6">
        <f t="shared" si="12"/>
        <v>0.23149966937074812</v>
      </c>
      <c r="AC6">
        <f t="shared" si="13"/>
        <v>0.25301625379502535</v>
      </c>
      <c r="AD6">
        <f t="shared" si="14"/>
        <v>0.28375282990211093</v>
      </c>
      <c r="AE6">
        <f t="shared" si="15"/>
        <v>0.32636360201538095</v>
      </c>
      <c r="AF6">
        <f t="shared" si="16"/>
        <v>0.38227507158859153</v>
      </c>
      <c r="AG6">
        <f t="shared" si="17"/>
        <v>0.45028376695965577</v>
      </c>
    </row>
    <row r="7" spans="1:33" x14ac:dyDescent="0.25">
      <c r="A7" s="1" t="s">
        <v>11</v>
      </c>
      <c r="B7">
        <v>2.9999999999999997E-4</v>
      </c>
      <c r="C7">
        <v>0</v>
      </c>
      <c r="D7">
        <v>3.0000000000000001E-3</v>
      </c>
      <c r="E7">
        <v>2.0000000000000001E-4</v>
      </c>
      <c r="F7">
        <v>0</v>
      </c>
      <c r="G7">
        <v>2.8000000000000004E-3</v>
      </c>
      <c r="H7">
        <v>5</v>
      </c>
      <c r="I7">
        <v>2955888</v>
      </c>
      <c r="J7">
        <f t="shared" si="8"/>
        <v>886.76639999999998</v>
      </c>
      <c r="K7">
        <f>$I7*22</f>
        <v>65029536</v>
      </c>
      <c r="L7">
        <f t="shared" si="0"/>
        <v>886.76639999999998</v>
      </c>
      <c r="M7">
        <f>$I7*22</f>
        <v>65029536</v>
      </c>
      <c r="N7">
        <f t="shared" si="1"/>
        <v>886.76639999999998</v>
      </c>
      <c r="O7">
        <f>$I7*22</f>
        <v>65029536</v>
      </c>
      <c r="P7">
        <f t="shared" si="2"/>
        <v>886.76639999999998</v>
      </c>
      <c r="Q7">
        <f>$I7*22</f>
        <v>65029536</v>
      </c>
      <c r="R7">
        <f t="shared" si="3"/>
        <v>886.76639999999998</v>
      </c>
      <c r="S7">
        <f>$I7*22</f>
        <v>65029536</v>
      </c>
      <c r="T7">
        <f t="shared" si="4"/>
        <v>886.76639999999998</v>
      </c>
      <c r="U7">
        <f>$I7*22</f>
        <v>65029536</v>
      </c>
      <c r="V7">
        <f t="shared" si="5"/>
        <v>0.2272662613649076</v>
      </c>
      <c r="W7">
        <f t="shared" si="9"/>
        <v>0.230323035985845</v>
      </c>
      <c r="X7">
        <f t="shared" si="10"/>
        <v>0.23592192346896709</v>
      </c>
      <c r="Y7">
        <f t="shared" si="11"/>
        <v>0.24545562951288158</v>
      </c>
      <c r="Z7">
        <f t="shared" si="6"/>
        <v>0.25779901818585998</v>
      </c>
      <c r="AA7">
        <f t="shared" si="7"/>
        <v>0.27519916792769605</v>
      </c>
      <c r="AB7">
        <f t="shared" si="12"/>
        <v>0.29606352205491726</v>
      </c>
      <c r="AC7">
        <f t="shared" si="13"/>
        <v>0.32358095127872083</v>
      </c>
      <c r="AD7">
        <f t="shared" si="14"/>
        <v>0.36288977190428773</v>
      </c>
      <c r="AE7">
        <f t="shared" si="15"/>
        <v>0.41738442973090595</v>
      </c>
      <c r="AF7">
        <f t="shared" si="16"/>
        <v>0.48888926880953454</v>
      </c>
      <c r="AG7">
        <f t="shared" si="17"/>
        <v>0.57586517653608538</v>
      </c>
    </row>
    <row r="8" spans="1:33" x14ac:dyDescent="0.25">
      <c r="A8" s="1" t="s">
        <v>12</v>
      </c>
      <c r="B8">
        <v>4.0000000000000002E-4</v>
      </c>
      <c r="C8">
        <v>0</v>
      </c>
      <c r="D8">
        <v>4.5999999999999999E-3</v>
      </c>
      <c r="E8">
        <v>4.0000000000000002E-4</v>
      </c>
      <c r="F8">
        <v>0</v>
      </c>
      <c r="G8">
        <v>4.4000000000000003E-3</v>
      </c>
      <c r="H8">
        <v>6</v>
      </c>
      <c r="I8">
        <v>3128494</v>
      </c>
      <c r="J8">
        <f t="shared" si="8"/>
        <v>1251.3976</v>
      </c>
      <c r="K8">
        <f>$I8*27</f>
        <v>84469338</v>
      </c>
      <c r="L8">
        <f t="shared" si="0"/>
        <v>1251.3976</v>
      </c>
      <c r="M8">
        <f>$I8*27</f>
        <v>84469338</v>
      </c>
      <c r="N8">
        <f t="shared" si="1"/>
        <v>1251.3976</v>
      </c>
      <c r="O8">
        <f>$I8*27</f>
        <v>84469338</v>
      </c>
      <c r="P8">
        <f t="shared" si="2"/>
        <v>1251.3976</v>
      </c>
      <c r="Q8">
        <f>$I8*27</f>
        <v>84469338</v>
      </c>
      <c r="R8">
        <f t="shared" si="3"/>
        <v>1251.3976</v>
      </c>
      <c r="S8">
        <f>$I8*27</f>
        <v>84469338</v>
      </c>
      <c r="T8">
        <f t="shared" si="4"/>
        <v>1251.3976</v>
      </c>
      <c r="U8">
        <f>$I8*27</f>
        <v>84469338</v>
      </c>
      <c r="V8">
        <f t="shared" si="5"/>
        <v>0.2797212571222234</v>
      </c>
      <c r="W8">
        <f t="shared" si="9"/>
        <v>0.2834835614544754</v>
      </c>
      <c r="X8">
        <f t="shared" si="10"/>
        <v>0.29037472002706338</v>
      </c>
      <c r="Y8">
        <f t="shared" si="11"/>
        <v>0.30210888691845078</v>
      </c>
      <c r="Z8">
        <f t="shared" si="6"/>
        <v>0.31730123520639103</v>
      </c>
      <c r="AA8">
        <f t="shared" si="7"/>
        <v>0.33871748824223591</v>
      </c>
      <c r="AB8">
        <f t="shared" si="12"/>
        <v>0.36439751364705708</v>
      </c>
      <c r="AC8">
        <f t="shared" si="13"/>
        <v>0.39826620075013397</v>
      </c>
      <c r="AD8">
        <f t="shared" si="14"/>
        <v>0.44664783318135848</v>
      </c>
      <c r="AE8">
        <f t="shared" si="15"/>
        <v>0.5137203238456538</v>
      </c>
      <c r="AF8">
        <f t="shared" si="16"/>
        <v>0.6017290909951305</v>
      </c>
      <c r="AG8">
        <f>20+5*($I33/2-SUM($I3:$I6))/$I6</f>
        <v>22.037929598029436</v>
      </c>
    </row>
    <row r="9" spans="1:33" x14ac:dyDescent="0.25">
      <c r="A9" s="1" t="s">
        <v>13</v>
      </c>
      <c r="B9">
        <v>5.9999999999999995E-4</v>
      </c>
      <c r="C9">
        <v>1E-4</v>
      </c>
      <c r="D9">
        <v>7.0999999999999995E-3</v>
      </c>
      <c r="E9">
        <v>5.9999999999999995E-4</v>
      </c>
      <c r="F9">
        <v>1E-4</v>
      </c>
      <c r="G9">
        <v>6.7000000000000002E-3</v>
      </c>
      <c r="H9">
        <v>7</v>
      </c>
      <c r="I9">
        <v>3282441</v>
      </c>
      <c r="J9">
        <f t="shared" si="8"/>
        <v>1969.4645999999998</v>
      </c>
      <c r="K9">
        <f>$I9*32</f>
        <v>105038112</v>
      </c>
      <c r="L9">
        <f t="shared" si="0"/>
        <v>1969.4645999999998</v>
      </c>
      <c r="M9">
        <f>$I9*32</f>
        <v>105038112</v>
      </c>
      <c r="N9">
        <f t="shared" si="1"/>
        <v>1969.4645999999998</v>
      </c>
      <c r="O9">
        <f>$I9*32</f>
        <v>105038112</v>
      </c>
      <c r="P9">
        <f t="shared" si="2"/>
        <v>1969.4645999999998</v>
      </c>
      <c r="Q9">
        <f>$I9*32</f>
        <v>105038112</v>
      </c>
      <c r="R9">
        <f t="shared" si="3"/>
        <v>1969.4645999999998</v>
      </c>
      <c r="S9">
        <f>$I9*32</f>
        <v>105038112</v>
      </c>
      <c r="T9">
        <f t="shared" si="4"/>
        <v>1969.4645999999998</v>
      </c>
      <c r="U9">
        <f>$I9*32</f>
        <v>105038112</v>
      </c>
      <c r="V9">
        <f t="shared" si="5"/>
        <v>0.33475745943830243</v>
      </c>
      <c r="W9">
        <f t="shared" si="9"/>
        <v>0.33926001120306903</v>
      </c>
      <c r="X9">
        <f t="shared" si="10"/>
        <v>0.34750703096867108</v>
      </c>
      <c r="Y9">
        <f t="shared" si="11"/>
        <v>0.3615499390322135</v>
      </c>
      <c r="Z9">
        <f t="shared" si="6"/>
        <v>0.37973143860108793</v>
      </c>
      <c r="AA9">
        <f t="shared" si="7"/>
        <v>0.40536141942816062</v>
      </c>
      <c r="AB9">
        <f t="shared" si="12"/>
        <v>0.43609408576632441</v>
      </c>
      <c r="AC9">
        <f t="shared" si="13"/>
        <v>0.47662656358292022</v>
      </c>
      <c r="AD9">
        <f t="shared" si="14"/>
        <v>0.53452746293815823</v>
      </c>
      <c r="AE9">
        <f>25+5*($I31/2-SUM($I3:$I7))/$I7</f>
        <v>29.53827834478167</v>
      </c>
      <c r="AF9">
        <f>25+5*($I32/2-SUM($I3:$I7))/$I7</f>
        <v>25.521071840340365</v>
      </c>
    </row>
    <row r="10" spans="1:33" x14ac:dyDescent="0.25">
      <c r="A10" s="1" t="s">
        <v>14</v>
      </c>
      <c r="B10">
        <v>1E-3</v>
      </c>
      <c r="C10">
        <v>1E-4</v>
      </c>
      <c r="D10">
        <v>1.03E-2</v>
      </c>
      <c r="E10">
        <v>8.9999999999999998E-4</v>
      </c>
      <c r="F10">
        <v>1E-4</v>
      </c>
      <c r="G10">
        <v>9.7999999999999997E-3</v>
      </c>
      <c r="H10">
        <v>8</v>
      </c>
      <c r="I10">
        <v>3572191</v>
      </c>
      <c r="J10">
        <f t="shared" si="8"/>
        <v>3572.1910000000003</v>
      </c>
      <c r="K10">
        <f>$I10*37</f>
        <v>132171067</v>
      </c>
      <c r="L10">
        <f t="shared" si="0"/>
        <v>3572.1910000000003</v>
      </c>
      <c r="M10">
        <f>$I10*37</f>
        <v>132171067</v>
      </c>
      <c r="N10">
        <f t="shared" si="1"/>
        <v>3572.1910000000003</v>
      </c>
      <c r="O10">
        <f>$I10*37</f>
        <v>132171067</v>
      </c>
      <c r="P10">
        <f t="shared" si="2"/>
        <v>3572.1910000000003</v>
      </c>
      <c r="Q10">
        <f>$I10*37</f>
        <v>132171067</v>
      </c>
      <c r="R10">
        <f t="shared" si="3"/>
        <v>3572.1910000000003</v>
      </c>
      <c r="S10">
        <f>$I10*37</f>
        <v>132171067</v>
      </c>
      <c r="T10">
        <f t="shared" si="4"/>
        <v>3572.1910000000003</v>
      </c>
      <c r="U10">
        <f>$I10*37</f>
        <v>132171067</v>
      </c>
      <c r="V10">
        <f t="shared" si="5"/>
        <v>0.39465185710993667</v>
      </c>
      <c r="W10">
        <f t="shared" si="9"/>
        <v>0.39995999996261672</v>
      </c>
      <c r="X10">
        <f t="shared" si="10"/>
        <v>0.40968256647862011</v>
      </c>
      <c r="Y10">
        <f t="shared" si="11"/>
        <v>0.42623801458065874</v>
      </c>
      <c r="Z10">
        <f t="shared" si="6"/>
        <v>0.44767252594879831</v>
      </c>
      <c r="AA10">
        <f t="shared" si="7"/>
        <v>0.47788819178659137</v>
      </c>
      <c r="AB10">
        <f t="shared" si="12"/>
        <v>0.51411950942368723</v>
      </c>
      <c r="AC10">
        <f>$I10/$I$29+AC9</f>
        <v>0.56190400889511738</v>
      </c>
      <c r="AD10">
        <f>30+5*($I30/2-SUM($I3:$I8))/$I8</f>
        <v>33.184897429881602</v>
      </c>
    </row>
    <row r="11" spans="1:33" x14ac:dyDescent="0.25">
      <c r="A11" s="1" t="s">
        <v>15</v>
      </c>
      <c r="B11">
        <v>1.6000000000000001E-3</v>
      </c>
      <c r="C11">
        <v>2.0000000000000001E-4</v>
      </c>
      <c r="D11">
        <v>1.47E-2</v>
      </c>
      <c r="E11">
        <v>1.5E-3</v>
      </c>
      <c r="F11">
        <v>2.0000000000000001E-4</v>
      </c>
      <c r="G11">
        <v>1.37E-2</v>
      </c>
      <c r="H11">
        <v>9</v>
      </c>
      <c r="I11">
        <v>4187464</v>
      </c>
      <c r="J11">
        <f t="shared" si="8"/>
        <v>6699.9423999999999</v>
      </c>
      <c r="K11">
        <f>$I11*42</f>
        <v>175873488</v>
      </c>
      <c r="L11">
        <f t="shared" si="0"/>
        <v>6699.9423999999999</v>
      </c>
      <c r="M11">
        <f>$I11*42</f>
        <v>175873488</v>
      </c>
      <c r="N11">
        <f t="shared" si="1"/>
        <v>6699.9423999999999</v>
      </c>
      <c r="O11">
        <f>$I11*42</f>
        <v>175873488</v>
      </c>
      <c r="P11">
        <f t="shared" si="2"/>
        <v>6699.9423999999999</v>
      </c>
      <c r="Q11">
        <f>$I11*42</f>
        <v>175873488</v>
      </c>
      <c r="R11">
        <f t="shared" si="3"/>
        <v>6699.9423999999999</v>
      </c>
      <c r="S11">
        <f>$I11*42</f>
        <v>175873488</v>
      </c>
      <c r="T11">
        <f t="shared" si="4"/>
        <v>6699.9423999999999</v>
      </c>
      <c r="U11">
        <f>$I11*42</f>
        <v>175873488</v>
      </c>
      <c r="V11">
        <f t="shared" si="5"/>
        <v>0.46486244608786426</v>
      </c>
      <c r="W11">
        <f t="shared" si="9"/>
        <v>0.47111493477181665</v>
      </c>
      <c r="X11">
        <f>$I11/$I$24+X10</f>
        <v>0.4825671957239861</v>
      </c>
      <c r="Y11">
        <f t="shared" si="11"/>
        <v>0.50206794293230472</v>
      </c>
      <c r="Z11">
        <f t="shared" si="6"/>
        <v>0.52731576377941614</v>
      </c>
      <c r="AA11">
        <f t="shared" si="7"/>
        <v>0.56290695150216197</v>
      </c>
      <c r="AB11">
        <f>35+5*($I28/2-SUM($I3:$I9))/$I9</f>
        <v>39.456692443215275</v>
      </c>
      <c r="AC11">
        <f>35+5*($I29/2-SUM($I3:$I9))/$I9</f>
        <v>36.491406852400395</v>
      </c>
    </row>
    <row r="12" spans="1:33" x14ac:dyDescent="0.25">
      <c r="A12" s="1" t="s">
        <v>16</v>
      </c>
      <c r="B12">
        <v>2.3999999999999998E-3</v>
      </c>
      <c r="C12">
        <v>2.9999999999999997E-4</v>
      </c>
      <c r="D12">
        <v>2.0299999999999999E-2</v>
      </c>
      <c r="E12">
        <v>2.3E-3</v>
      </c>
      <c r="F12">
        <v>2.9999999999999997E-4</v>
      </c>
      <c r="G12">
        <v>1.8799999999999997E-2</v>
      </c>
      <c r="H12">
        <v>10</v>
      </c>
      <c r="I12">
        <v>4749765</v>
      </c>
      <c r="J12">
        <f t="shared" si="8"/>
        <v>11399.436</v>
      </c>
      <c r="K12">
        <f>$I12*47</f>
        <v>223238955</v>
      </c>
      <c r="L12">
        <f t="shared" si="0"/>
        <v>11399.436</v>
      </c>
      <c r="M12">
        <f>$I12*47</f>
        <v>223238955</v>
      </c>
      <c r="N12">
        <f t="shared" si="1"/>
        <v>11399.436</v>
      </c>
      <c r="O12">
        <f>$I12*47</f>
        <v>223238955</v>
      </c>
      <c r="P12">
        <f t="shared" si="2"/>
        <v>11399.436</v>
      </c>
      <c r="Q12">
        <f>$I12*47</f>
        <v>223238955</v>
      </c>
      <c r="R12">
        <f t="shared" si="3"/>
        <v>11399.436</v>
      </c>
      <c r="S12">
        <f>$I12*47</f>
        <v>223238955</v>
      </c>
      <c r="T12">
        <f t="shared" si="4"/>
        <v>11399.436</v>
      </c>
      <c r="U12">
        <f>$I12*47</f>
        <v>223238955</v>
      </c>
      <c r="V12">
        <f t="shared" si="5"/>
        <v>0.54450105269003357</v>
      </c>
      <c r="W12">
        <f t="shared" si="9"/>
        <v>0.55182469584296123</v>
      </c>
      <c r="X12">
        <f>$I12/$I$24+X11</f>
        <v>0.5652389180427011</v>
      </c>
      <c r="Y12">
        <f>40+5*($I25/2-SUM($I3:$I10))/$I10</f>
        <v>45.701358773928945</v>
      </c>
      <c r="Z12">
        <f>40+5*($I26/2-SUM($I3:$I10))/$I10</f>
        <v>43.850944700325371</v>
      </c>
      <c r="AA12">
        <f>40+5*($I27/2-SUM($I3:$I10))/$I10</f>
        <v>41.524389373356577</v>
      </c>
    </row>
    <row r="13" spans="1:33" x14ac:dyDescent="0.25">
      <c r="A13" s="1" t="s">
        <v>17</v>
      </c>
      <c r="B13">
        <v>3.8E-3</v>
      </c>
      <c r="C13">
        <v>5.0000000000000001E-4</v>
      </c>
      <c r="D13">
        <v>2.7400000000000001E-2</v>
      </c>
      <c r="E13">
        <v>3.5999999999999999E-3</v>
      </c>
      <c r="F13">
        <v>5.0000000000000001E-4</v>
      </c>
      <c r="G13">
        <v>2.52E-2</v>
      </c>
      <c r="H13">
        <v>11</v>
      </c>
      <c r="I13">
        <v>4876704</v>
      </c>
      <c r="J13">
        <f t="shared" si="8"/>
        <v>18531.475200000001</v>
      </c>
      <c r="K13">
        <f>$I13*52</f>
        <v>253588608</v>
      </c>
      <c r="L13">
        <f t="shared" si="0"/>
        <v>18531.475200000001</v>
      </c>
      <c r="M13">
        <f>$I13*52</f>
        <v>253588608</v>
      </c>
      <c r="N13">
        <f t="shared" si="1"/>
        <v>18531.475200000001</v>
      </c>
      <c r="O13">
        <f>$I13*52</f>
        <v>253588608</v>
      </c>
      <c r="P13">
        <f t="shared" si="2"/>
        <v>18531.475200000001</v>
      </c>
      <c r="Q13">
        <f>$I13*52</f>
        <v>253588608</v>
      </c>
      <c r="R13">
        <f t="shared" si="3"/>
        <v>18531.475200000001</v>
      </c>
      <c r="S13">
        <f>$I13*52</f>
        <v>253588608</v>
      </c>
      <c r="T13">
        <f t="shared" si="4"/>
        <v>18531.475200000001</v>
      </c>
      <c r="U13">
        <f>$I13*52</f>
        <v>253588608</v>
      </c>
      <c r="V13">
        <f>45+5*($I22/2-SUM($I3:$I11))/I11</f>
        <v>47.502297333183044</v>
      </c>
      <c r="W13">
        <f>45+5*($I23/2-SUM($I3:$I11))/$I11</f>
        <v>47.029730285442454</v>
      </c>
      <c r="X13">
        <f>45+5*($I24/2-SUM($I3:$I11))/$I11</f>
        <v>46.195917744009265</v>
      </c>
    </row>
    <row r="14" spans="1:33" x14ac:dyDescent="0.25">
      <c r="A14" s="1" t="s">
        <v>18</v>
      </c>
      <c r="B14">
        <v>6.0000000000000001E-3</v>
      </c>
      <c r="C14">
        <v>1E-3</v>
      </c>
      <c r="D14">
        <v>3.6400000000000002E-2</v>
      </c>
      <c r="E14">
        <v>5.6999999999999993E-3</v>
      </c>
      <c r="F14">
        <v>1E-3</v>
      </c>
      <c r="G14">
        <v>3.32E-2</v>
      </c>
      <c r="H14">
        <v>12</v>
      </c>
      <c r="I14">
        <v>4537491</v>
      </c>
      <c r="J14">
        <f t="shared" si="8"/>
        <v>27224.946</v>
      </c>
      <c r="K14">
        <f>$I14*57</f>
        <v>258636987</v>
      </c>
      <c r="L14">
        <f t="shared" si="0"/>
        <v>27224.946</v>
      </c>
      <c r="M14">
        <f>$I14*57</f>
        <v>258636987</v>
      </c>
      <c r="N14">
        <f t="shared" si="1"/>
        <v>27224.946</v>
      </c>
      <c r="O14">
        <f>$I14*57</f>
        <v>258636987</v>
      </c>
      <c r="P14">
        <f t="shared" si="2"/>
        <v>27224.946</v>
      </c>
      <c r="Q14">
        <f>$I14*57</f>
        <v>258636987</v>
      </c>
      <c r="R14">
        <f t="shared" si="3"/>
        <v>27224.946</v>
      </c>
      <c r="S14">
        <f>$I14*57</f>
        <v>258636987</v>
      </c>
      <c r="T14">
        <f t="shared" si="4"/>
        <v>27224.946</v>
      </c>
      <c r="U14">
        <f>$I14*57</f>
        <v>258636987</v>
      </c>
    </row>
    <row r="15" spans="1:33" x14ac:dyDescent="0.25">
      <c r="A15" s="1" t="s">
        <v>19</v>
      </c>
      <c r="B15">
        <v>9.3999999999999986E-3</v>
      </c>
      <c r="C15">
        <v>1.8E-3</v>
      </c>
      <c r="D15">
        <v>4.7899999999999998E-2</v>
      </c>
      <c r="E15">
        <v>8.8999999999999999E-3</v>
      </c>
      <c r="F15">
        <v>1.8E-3</v>
      </c>
      <c r="G15">
        <v>4.3400000000000001E-2</v>
      </c>
      <c r="H15">
        <v>13</v>
      </c>
      <c r="I15">
        <v>3893350</v>
      </c>
      <c r="J15">
        <f t="shared" si="8"/>
        <v>36597.49</v>
      </c>
      <c r="K15">
        <f>$I15*62</f>
        <v>241387700</v>
      </c>
      <c r="L15">
        <f t="shared" si="0"/>
        <v>36597.49</v>
      </c>
      <c r="M15">
        <f>$I15*62</f>
        <v>241387700</v>
      </c>
      <c r="N15">
        <f t="shared" si="1"/>
        <v>36597.49</v>
      </c>
      <c r="O15">
        <f>$I15*62</f>
        <v>241387700</v>
      </c>
      <c r="P15">
        <f t="shared" si="2"/>
        <v>36597.49</v>
      </c>
      <c r="Q15">
        <f>$I15*62</f>
        <v>241387700</v>
      </c>
      <c r="R15">
        <f t="shared" si="3"/>
        <v>36597.49</v>
      </c>
      <c r="S15">
        <f>$I15*62</f>
        <v>241387700</v>
      </c>
      <c r="T15">
        <f t="shared" si="4"/>
        <v>36597.49</v>
      </c>
      <c r="U15">
        <f>$I15*62</f>
        <v>241387700</v>
      </c>
    </row>
    <row r="16" spans="1:33" x14ac:dyDescent="0.25">
      <c r="A16" s="1" t="s">
        <v>20</v>
      </c>
      <c r="B16">
        <v>1.47E-2</v>
      </c>
      <c r="C16">
        <v>3.4999999999999996E-3</v>
      </c>
      <c r="D16">
        <v>6.2699999999999992E-2</v>
      </c>
      <c r="E16">
        <v>1.3899999999999999E-2</v>
      </c>
      <c r="F16">
        <v>3.4000000000000002E-3</v>
      </c>
      <c r="G16">
        <v>5.6399999999999999E-2</v>
      </c>
      <c r="H16">
        <v>14</v>
      </c>
      <c r="I16">
        <v>3471014</v>
      </c>
      <c r="J16">
        <f t="shared" si="8"/>
        <v>51023.9058</v>
      </c>
      <c r="K16">
        <f>$I16*67</f>
        <v>232557938</v>
      </c>
      <c r="L16">
        <f t="shared" si="0"/>
        <v>51023.9058</v>
      </c>
      <c r="M16">
        <f>$I16*67</f>
        <v>232557938</v>
      </c>
      <c r="N16">
        <f t="shared" si="1"/>
        <v>51023.9058</v>
      </c>
      <c r="O16">
        <f>$I16*67</f>
        <v>232557938</v>
      </c>
      <c r="P16">
        <f t="shared" si="2"/>
        <v>51023.9058</v>
      </c>
      <c r="Q16">
        <f>$I16*67</f>
        <v>232557938</v>
      </c>
      <c r="R16">
        <f t="shared" si="3"/>
        <v>51023.9058</v>
      </c>
      <c r="S16">
        <f>$I16*67</f>
        <v>232557938</v>
      </c>
      <c r="T16">
        <f t="shared" si="4"/>
        <v>51023.9058</v>
      </c>
      <c r="U16">
        <f>$I16*67</f>
        <v>232557938</v>
      </c>
    </row>
    <row r="17" spans="1:21" x14ac:dyDescent="0.25">
      <c r="A17" s="1" t="s">
        <v>21</v>
      </c>
      <c r="B17">
        <v>2.3099999999999999E-2</v>
      </c>
      <c r="C17">
        <v>6.5000000000000006E-3</v>
      </c>
      <c r="D17">
        <v>8.2100000000000006E-2</v>
      </c>
      <c r="E17">
        <v>2.1700000000000001E-2</v>
      </c>
      <c r="F17">
        <v>6.4000000000000003E-3</v>
      </c>
      <c r="G17">
        <v>7.3499999999999996E-2</v>
      </c>
      <c r="H17">
        <v>15</v>
      </c>
      <c r="I17">
        <v>3324360</v>
      </c>
      <c r="J17">
        <f t="shared" si="8"/>
        <v>76792.716</v>
      </c>
      <c r="K17">
        <f>$I17*72</f>
        <v>239353920</v>
      </c>
      <c r="L17">
        <f t="shared" si="0"/>
        <v>76792.716</v>
      </c>
      <c r="M17">
        <f>$I17*72</f>
        <v>239353920</v>
      </c>
      <c r="N17">
        <f t="shared" si="1"/>
        <v>76792.716</v>
      </c>
      <c r="O17">
        <f>$I17*72</f>
        <v>239353920</v>
      </c>
      <c r="P17">
        <f t="shared" si="2"/>
        <v>76792.716</v>
      </c>
      <c r="Q17">
        <f>$I17*72</f>
        <v>239353920</v>
      </c>
      <c r="R17">
        <f t="shared" si="3"/>
        <v>76792.716</v>
      </c>
      <c r="S17">
        <f>$I17*72</f>
        <v>239353920</v>
      </c>
      <c r="T17">
        <f>SUM(T3:T16)/SUM(I3:I16)</f>
        <v>3.2541406024825248E-3</v>
      </c>
      <c r="U17">
        <f>SUM(U3:U16)/SUM($I3:$I16)</f>
        <v>38.124164250793427</v>
      </c>
    </row>
    <row r="18" spans="1:21" x14ac:dyDescent="0.25">
      <c r="A18" s="1" t="s">
        <v>22</v>
      </c>
      <c r="B18">
        <v>3.61E-2</v>
      </c>
      <c r="C18">
        <v>1.21E-2</v>
      </c>
      <c r="D18">
        <v>0.1081</v>
      </c>
      <c r="E18">
        <v>3.39E-2</v>
      </c>
      <c r="F18">
        <v>1.1899999999999999E-2</v>
      </c>
      <c r="G18">
        <v>9.6500000000000002E-2</v>
      </c>
      <c r="H18">
        <v>16</v>
      </c>
      <c r="I18">
        <v>2644013</v>
      </c>
      <c r="J18">
        <f t="shared" si="8"/>
        <v>95448.869300000006</v>
      </c>
      <c r="K18">
        <f>$I18*77</f>
        <v>203589001</v>
      </c>
      <c r="L18">
        <f t="shared" si="0"/>
        <v>95448.869300000006</v>
      </c>
      <c r="M18">
        <f>$I18*77</f>
        <v>203589001</v>
      </c>
      <c r="N18">
        <f t="shared" si="1"/>
        <v>95448.869300000006</v>
      </c>
      <c r="O18">
        <f>$I18*77</f>
        <v>203589001</v>
      </c>
      <c r="P18">
        <f t="shared" si="2"/>
        <v>95448.869300000006</v>
      </c>
      <c r="Q18">
        <f>$I18*77</f>
        <v>203589001</v>
      </c>
      <c r="R18" s="23">
        <f>SUM(R3:R17)/SUM(I3:I17)</f>
        <v>4.5089442702136561E-3</v>
      </c>
      <c r="S18">
        <f>SUM(S3:S17)/SUM($I3:$I17)</f>
        <v>40.266047960343393</v>
      </c>
    </row>
    <row r="19" spans="1:21" x14ac:dyDescent="0.25">
      <c r="A19" s="1" t="s">
        <v>23</v>
      </c>
      <c r="B19">
        <v>5.6600000000000004E-2</v>
      </c>
      <c r="C19">
        <v>2.23E-2</v>
      </c>
      <c r="D19">
        <v>0.14369999999999999</v>
      </c>
      <c r="E19">
        <v>5.2999999999999999E-2</v>
      </c>
      <c r="F19">
        <v>2.1899999999999999E-2</v>
      </c>
      <c r="G19">
        <v>0.12809999999999999</v>
      </c>
      <c r="H19">
        <v>17</v>
      </c>
      <c r="I19">
        <v>2231536</v>
      </c>
      <c r="J19">
        <f t="shared" si="8"/>
        <v>126304.9376</v>
      </c>
      <c r="K19">
        <f>$I19*82</f>
        <v>182985952</v>
      </c>
      <c r="L19">
        <f t="shared" si="0"/>
        <v>126304.9376</v>
      </c>
      <c r="M19">
        <f>$I19*82</f>
        <v>182985952</v>
      </c>
      <c r="N19">
        <f t="shared" si="1"/>
        <v>126304.9376</v>
      </c>
      <c r="O19">
        <f>$I19*82</f>
        <v>182985952</v>
      </c>
      <c r="P19" s="23">
        <f>SUM(P3:P18)/SUM(I3:I18)</f>
        <v>6.0215205484574616E-3</v>
      </c>
      <c r="Q19">
        <f>SUM(Q3:Q18)/SUM($I3:$I18)</f>
        <v>42.024865548985787</v>
      </c>
    </row>
    <row r="20" spans="1:21" x14ac:dyDescent="0.25">
      <c r="A20" s="1" t="s">
        <v>24</v>
      </c>
      <c r="B20">
        <v>8.8599999999999998E-2</v>
      </c>
      <c r="C20">
        <v>4.0599999999999997E-2</v>
      </c>
      <c r="D20">
        <v>0.19359999999999999</v>
      </c>
      <c r="E20">
        <v>8.2799999999999999E-2</v>
      </c>
      <c r="F20">
        <v>3.9800000000000002E-2</v>
      </c>
      <c r="G20">
        <v>0.17249999999999999</v>
      </c>
      <c r="H20">
        <v>18</v>
      </c>
      <c r="I20">
        <v>1396624</v>
      </c>
      <c r="J20">
        <f t="shared" si="8"/>
        <v>123740.8864</v>
      </c>
      <c r="K20">
        <f>$I20*87</f>
        <v>121506288</v>
      </c>
      <c r="L20">
        <f t="shared" si="0"/>
        <v>123740.8864</v>
      </c>
      <c r="M20">
        <f>$I20*87</f>
        <v>121506288</v>
      </c>
      <c r="N20">
        <f>SUM(N3:N19)/I24</f>
        <v>7.9860318379158628E-3</v>
      </c>
      <c r="O20">
        <f>SUM(O3:O19)/SUM($I3:$I19)</f>
        <v>43.577533873107178</v>
      </c>
    </row>
    <row r="21" spans="1:21" x14ac:dyDescent="0.25">
      <c r="A21" s="1" t="s">
        <v>25</v>
      </c>
      <c r="B21">
        <v>0.17370000000000002</v>
      </c>
      <c r="C21">
        <v>9.6999999999999989E-2</v>
      </c>
      <c r="D21">
        <v>0.31120000000000003</v>
      </c>
      <c r="E21">
        <v>0.16190000000000002</v>
      </c>
      <c r="F21">
        <v>9.4399999999999998E-2</v>
      </c>
      <c r="G21">
        <v>0.27779999999999999</v>
      </c>
      <c r="H21">
        <v>19</v>
      </c>
      <c r="I21">
        <v>791543</v>
      </c>
      <c r="J21">
        <f>B21*I21</f>
        <v>137491.0191</v>
      </c>
      <c r="K21">
        <f>$I21*95</f>
        <v>75196585</v>
      </c>
      <c r="L21">
        <f>SUM(L3:L20)/I23</f>
        <v>9.8991585650589822E-3</v>
      </c>
      <c r="M21">
        <f>SUM(M3:M20)/SUM($I3:$I20)</f>
        <v>44.608033703345008</v>
      </c>
    </row>
    <row r="22" spans="1:21" x14ac:dyDescent="0.25">
      <c r="A22" t="s">
        <v>26</v>
      </c>
      <c r="B22">
        <v>1.15E-2</v>
      </c>
      <c r="C22">
        <v>7.7999999999999996E-3</v>
      </c>
      <c r="D22">
        <v>1.7899999999999999E-2</v>
      </c>
      <c r="E22">
        <v>1.06E-2</v>
      </c>
      <c r="F22">
        <v>7.3000000000000001E-3</v>
      </c>
      <c r="G22">
        <v>1.6400000000000001E-2</v>
      </c>
      <c r="H22">
        <v>0</v>
      </c>
      <c r="I22">
        <f>SUM(I3:I21)</f>
        <v>59641488</v>
      </c>
      <c r="J22" s="23">
        <f>SUM(J3:J21)/I22</f>
        <v>1.207307162088243E-2</v>
      </c>
      <c r="K22" s="23">
        <f>SUM(K3:K21)/SUM($I3:$I21)</f>
        <v>45.276819971359537</v>
      </c>
      <c r="M22" s="23"/>
    </row>
    <row r="23" spans="1:21" x14ac:dyDescent="0.25">
      <c r="H23" t="s">
        <v>137</v>
      </c>
      <c r="I23">
        <f>SUM(I3:I20)</f>
        <v>58849945</v>
      </c>
    </row>
    <row r="24" spans="1:21" x14ac:dyDescent="0.25">
      <c r="H24" t="s">
        <v>138</v>
      </c>
      <c r="I24">
        <f>SUM(I3:I19)</f>
        <v>57453321</v>
      </c>
    </row>
    <row r="25" spans="1:21" x14ac:dyDescent="0.25">
      <c r="H25" t="s">
        <v>139</v>
      </c>
      <c r="I25">
        <f>SUM(I3:I18)</f>
        <v>55221785</v>
      </c>
    </row>
    <row r="26" spans="1:21" x14ac:dyDescent="0.25">
      <c r="H26" t="s">
        <v>140</v>
      </c>
      <c r="I26">
        <f>SUM(I3:I17)</f>
        <v>52577772</v>
      </c>
      <c r="L26">
        <f>I22/2</f>
        <v>29820744</v>
      </c>
      <c r="M26">
        <f>SUM(I3:I11)</f>
        <v>27725088</v>
      </c>
      <c r="N26">
        <f>L26-M26</f>
        <v>2095656</v>
      </c>
      <c r="O26">
        <f>N26/5</f>
        <v>419131.2</v>
      </c>
    </row>
    <row r="27" spans="1:21" x14ac:dyDescent="0.25">
      <c r="H27" t="s">
        <v>141</v>
      </c>
      <c r="I27">
        <f>SUM(I3:I16)</f>
        <v>49253412</v>
      </c>
    </row>
    <row r="28" spans="1:21" x14ac:dyDescent="0.25">
      <c r="H28" t="s">
        <v>142</v>
      </c>
      <c r="I28">
        <f>SUM(I3:I15)</f>
        <v>45782398</v>
      </c>
    </row>
    <row r="29" spans="1:21" x14ac:dyDescent="0.25">
      <c r="H29" t="s">
        <v>143</v>
      </c>
      <c r="I29">
        <f>SUM(I3:I14)</f>
        <v>41889048</v>
      </c>
    </row>
    <row r="30" spans="1:21" x14ac:dyDescent="0.25">
      <c r="H30" t="s">
        <v>144</v>
      </c>
      <c r="I30">
        <f>SUM(I3:I13)</f>
        <v>37351557</v>
      </c>
    </row>
    <row r="31" spans="1:21" x14ac:dyDescent="0.25">
      <c r="H31" t="s">
        <v>145</v>
      </c>
      <c r="I31">
        <f>SUM(I3:I12)</f>
        <v>32474853</v>
      </c>
    </row>
    <row r="32" spans="1:21" x14ac:dyDescent="0.25">
      <c r="H32" t="s">
        <v>146</v>
      </c>
      <c r="I32">
        <f>SUM(I3:I11)</f>
        <v>27725088</v>
      </c>
    </row>
    <row r="33" spans="8:9" x14ac:dyDescent="0.25">
      <c r="H33" t="s">
        <v>147</v>
      </c>
      <c r="I33">
        <f>SUM(I3:I10)</f>
        <v>23537624</v>
      </c>
    </row>
  </sheetData>
  <mergeCells count="1">
    <mergeCell ref="V1:A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Foglio1</vt:lpstr>
      <vt:lpstr>NISTAT</vt:lpstr>
      <vt:lpstr>Foglio2</vt:lpstr>
      <vt:lpstr>Hazards</vt:lpstr>
      <vt:lpstr>EtaMed</vt:lpstr>
      <vt:lpstr>Foglio3</vt:lpstr>
      <vt:lpstr>Foglio6</vt:lpstr>
      <vt:lpstr>IFR age-gender</vt:lpstr>
      <vt:lpstr>IFRUsati</vt:lpstr>
    </vt:vector>
  </TitlesOfParts>
  <Company>INAIL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FERRANTE PIERPAOLO</dc:creator>
  <cp:lastModifiedBy>FERRANTE PIERPAOLO</cp:lastModifiedBy>
  <dcterms:created xsi:type="dcterms:W3CDTF">2020-11-06T17:38:03Z</dcterms:created>
  <dcterms:modified xsi:type="dcterms:W3CDTF">2023-06-20T14:21:30Z</dcterms:modified>
</cp:coreProperties>
</file>