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pietrodogliani/Downloads/"/>
    </mc:Choice>
  </mc:AlternateContent>
  <xr:revisionPtr revIDLastSave="0" documentId="13_ncr:1_{844BDC43-B54C-E642-9134-1D410A9DDFB0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Conventional" sheetId="2" r:id="rId1"/>
    <sheet name="Conventional + Post amine CCS" sheetId="3" r:id="rId2"/>
    <sheet name="Plasma heated in CO2 atmosphere" sheetId="4" r:id="rId3"/>
    <sheet name="General cement (Clara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5" l="1"/>
  <c r="B35" i="2"/>
  <c r="K14" i="5"/>
  <c r="B14" i="5" s="1"/>
  <c r="L6" i="5"/>
  <c r="D6" i="5" s="1"/>
  <c r="B42" i="4"/>
  <c r="F42" i="4" s="1"/>
  <c r="B41" i="4"/>
  <c r="F41" i="4" s="1"/>
  <c r="B40" i="4"/>
  <c r="F40" i="4" s="1"/>
  <c r="B39" i="4"/>
  <c r="F39" i="4" s="1"/>
  <c r="B37" i="4"/>
  <c r="F37" i="4" s="1"/>
  <c r="B36" i="4"/>
  <c r="F36" i="4" s="1"/>
  <c r="B30" i="4" s="1"/>
  <c r="B20" i="4"/>
  <c r="D20" i="4" s="1"/>
  <c r="L11" i="4"/>
  <c r="N11" i="4" s="1"/>
  <c r="D11" i="4"/>
  <c r="B38" i="4" s="1"/>
  <c r="F38" i="4" s="1"/>
  <c r="D7" i="4"/>
  <c r="D6" i="4"/>
  <c r="B42" i="3"/>
  <c r="F42" i="3" s="1"/>
  <c r="B36" i="3"/>
  <c r="B37" i="3" s="1"/>
  <c r="B32" i="3"/>
  <c r="B20" i="3"/>
  <c r="D15" i="3"/>
  <c r="B45" i="3" s="1"/>
  <c r="F45" i="3" s="1"/>
  <c r="D14" i="3"/>
  <c r="B44" i="3" s="1"/>
  <c r="F44" i="3" s="1"/>
  <c r="D13" i="3"/>
  <c r="B43" i="3" s="1"/>
  <c r="F43" i="3" s="1"/>
  <c r="D12" i="3"/>
  <c r="D11" i="3"/>
  <c r="B41" i="3" s="1"/>
  <c r="F41" i="3" s="1"/>
  <c r="B11" i="3"/>
  <c r="D10" i="3"/>
  <c r="B40" i="3" s="1"/>
  <c r="F40" i="3" s="1"/>
  <c r="D9" i="3"/>
  <c r="B39" i="3" s="1"/>
  <c r="F39" i="3" s="1"/>
  <c r="D7" i="3"/>
  <c r="D6" i="3"/>
  <c r="B39" i="2"/>
  <c r="F39" i="2" s="1"/>
  <c r="K36" i="2"/>
  <c r="K35" i="2"/>
  <c r="B34" i="2"/>
  <c r="K28" i="2"/>
  <c r="K30" i="2" s="1"/>
  <c r="D20" i="2"/>
  <c r="B20" i="2"/>
  <c r="D15" i="2"/>
  <c r="B45" i="2" s="1"/>
  <c r="F45" i="2" s="1"/>
  <c r="D14" i="2"/>
  <c r="B44" i="2" s="1"/>
  <c r="F44" i="2" s="1"/>
  <c r="D13" i="2"/>
  <c r="B43" i="2" s="1"/>
  <c r="F43" i="2" s="1"/>
  <c r="D12" i="2"/>
  <c r="B42" i="2" s="1"/>
  <c r="F42" i="2" s="1"/>
  <c r="D11" i="2"/>
  <c r="B41" i="2" s="1"/>
  <c r="F41" i="2" s="1"/>
  <c r="D10" i="2"/>
  <c r="B40" i="2" s="1"/>
  <c r="F40" i="2" s="1"/>
  <c r="D9" i="2"/>
  <c r="D7" i="2"/>
  <c r="D6" i="2"/>
  <c r="B16" i="5" l="1"/>
  <c r="B17" i="5" s="1"/>
  <c r="H21" i="5" s="1"/>
  <c r="B33" i="3"/>
  <c r="B34" i="3" s="1"/>
  <c r="K33" i="2"/>
  <c r="K34" i="2"/>
  <c r="B13" i="5"/>
  <c r="H18" i="5"/>
  <c r="B31" i="4"/>
  <c r="B24" i="4" s="1"/>
  <c r="B29" i="4"/>
  <c r="B18" i="5"/>
  <c r="B36" i="2"/>
  <c r="B26" i="2" s="1"/>
  <c r="D26" i="2" s="1"/>
  <c r="B24" i="3"/>
  <c r="D24" i="3" s="1"/>
  <c r="H19" i="5"/>
  <c r="H20" i="5"/>
  <c r="H22" i="5" l="1"/>
  <c r="B19" i="5"/>
  <c r="H17" i="5"/>
  <c r="B12" i="5"/>
  <c r="H16" i="5" l="1"/>
  <c r="B11" i="5"/>
  <c r="B20" i="5"/>
  <c r="H23" i="5"/>
  <c r="B21" i="5" l="1"/>
  <c r="H24" i="5"/>
  <c r="H15" i="5"/>
  <c r="H14" i="5" l="1"/>
  <c r="F34" i="2"/>
  <c r="B22" i="5"/>
  <c r="H25" i="5"/>
  <c r="H26" i="5" l="1"/>
  <c r="B23" i="5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5" authorId="0" shapeId="0" xr:uid="{00000000-0006-0000-0100-000002000000}">
      <text>
        <r>
          <rPr>
            <sz val="10"/>
            <color rgb="FF000000"/>
            <rFont val="Arial"/>
          </rPr>
          <t xml:space="preserve">Should make a lot of sense since process emission are 2/3 of total, confirm?
</t>
        </r>
        <r>
          <rPr>
            <sz val="10"/>
            <color rgb="FF000000"/>
            <rFont val="Arial"/>
          </rPr>
          <t xml:space="preserve">	-Pietro Dogliani</t>
        </r>
      </text>
    </comment>
    <comment ref="D41" authorId="0" shapeId="0" xr:uid="{00000000-0006-0000-0100-000001000000}">
      <text>
        <r>
          <rPr>
            <sz val="10"/>
            <color rgb="FF000000"/>
            <rFont val="Arial"/>
          </rPr>
          <t xml:space="preserve">0 since emission from electricity cannot be captured downstream!!
</t>
        </r>
        <r>
          <rPr>
            <sz val="10"/>
            <color rgb="FF000000"/>
            <rFont val="Arial"/>
          </rPr>
          <t xml:space="preserve">	-Pietro Dogliani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1" authorId="0" shapeId="0" xr:uid="{00000000-0006-0000-0200-000001000000}">
      <text>
        <r>
          <rPr>
            <sz val="10"/>
            <color rgb="FF000000"/>
            <rFont val="Arial"/>
          </rPr>
          <t xml:space="preserve">Was estimated from the % increase of Power-OPEX costs. Since Power-OPEX is about 7 times higher, we assume electricity requirement is about 7 times higher.
</t>
        </r>
        <r>
          <rPr>
            <sz val="10"/>
            <color rgb="FF000000"/>
            <rFont val="Arial"/>
          </rPr>
          <t xml:space="preserve">	-Oscar Stenström</t>
        </r>
      </text>
    </comment>
    <comment ref="B14" authorId="0" shapeId="0" xr:uid="{00000000-0006-0000-0200-000002000000}">
      <text>
        <r>
          <rPr>
            <sz val="10"/>
            <color rgb="FF000000"/>
            <rFont val="Arial"/>
          </rPr>
          <t xml:space="preserve">Alternative fuels in general, not specified
</t>
        </r>
        <r>
          <rPr>
            <sz val="10"/>
            <color rgb="FF000000"/>
            <rFont val="Arial"/>
          </rPr>
          <t xml:space="preserve">	-Inês Mendes Letra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" authorId="0" shapeId="0" xr:uid="{00000000-0006-0000-0400-000006000000}">
      <text>
        <r>
          <rPr>
            <sz val="10"/>
            <color rgb="FF000000"/>
            <rFont val="Arial"/>
          </rPr>
          <t xml:space="preserve">https://www.cementa.se/sv/skovde
</t>
        </r>
        <r>
          <rPr>
            <sz val="10"/>
            <color rgb="FF000000"/>
            <rFont val="Arial"/>
          </rPr>
          <t xml:space="preserve">	-Clara N</t>
        </r>
      </text>
    </comment>
    <comment ref="B6" authorId="0" shapeId="0" xr:uid="{00000000-0006-0000-0400-000002000000}">
      <text>
        <r>
          <rPr>
            <sz val="10"/>
            <color rgb="FF000000"/>
            <rFont val="Arial"/>
          </rPr>
          <t xml:space="preserve">Using average 100kr/ton
</t>
        </r>
        <r>
          <rPr>
            <sz val="10"/>
            <color rgb="FF000000"/>
            <rFont val="Arial"/>
          </rPr>
          <t xml:space="preserve">	-Clara N</t>
        </r>
      </text>
    </comment>
    <comment ref="J6" authorId="0" shapeId="0" xr:uid="{00000000-0006-0000-0400-000001000000}">
      <text>
        <r>
          <rPr>
            <sz val="10"/>
            <color rgb="FF000000"/>
            <rFont val="Arial"/>
          </rPr>
          <t>https://pxexternal.energimyndigheten.se/pxweb/sv/V%c3%a4rmev%c3%a4rden%20och%20densitet/-/Varmevarden.xlsx.px/table/tableViewLayout2/?rxid=fdcf28ed-235c-4455-8987-9c97d4189302
	-Clara N
Heating value
	-Clara N</t>
        </r>
      </text>
    </comment>
  </commentList>
</comments>
</file>

<file path=xl/sharedStrings.xml><?xml version="1.0" encoding="utf-8"?>
<sst xmlns="http://schemas.openxmlformats.org/spreadsheetml/2006/main" count="455" uniqueCount="141">
  <si>
    <t>PARAMETERS REFERING TO TECHNOLOGY</t>
  </si>
  <si>
    <t>Availability factor</t>
  </si>
  <si>
    <t>Capacity factor</t>
  </si>
  <si>
    <t>CapacityToActivityUnit</t>
  </si>
  <si>
    <t>CapitalCost</t>
  </si>
  <si>
    <t>FixedCost</t>
  </si>
  <si>
    <t>OperationalLife</t>
  </si>
  <si>
    <t>OutputActivityRatio</t>
  </si>
  <si>
    <t>TotalTechnologyAnnualActivityUpperLimit</t>
  </si>
  <si>
    <t>VariableCost</t>
  </si>
  <si>
    <t>Value</t>
  </si>
  <si>
    <t>Unit</t>
  </si>
  <si>
    <t>To OSeMOSYS</t>
  </si>
  <si>
    <t>Reference</t>
  </si>
  <si>
    <t>Date</t>
  </si>
  <si>
    <t>Page</t>
  </si>
  <si>
    <t>Comment</t>
  </si>
  <si>
    <t>Conventional cement production</t>
  </si>
  <si>
    <t>-</t>
  </si>
  <si>
    <t>https://publications.lib.chalmers.se/records/fulltext/241196/local_241196.pdf</t>
  </si>
  <si>
    <t>Table 3</t>
  </si>
  <si>
    <t>M€</t>
  </si>
  <si>
    <t>M€/Mt</t>
  </si>
  <si>
    <r>
      <rPr>
        <sz val="10"/>
        <color rgb="FF000000"/>
        <rFont val="Arial"/>
      </rPr>
      <t xml:space="preserve">CemZero: </t>
    </r>
    <r>
      <rPr>
        <u/>
        <sz val="10"/>
        <color rgb="FF1155CC"/>
        <rFont val="Arial"/>
      </rPr>
      <t>https://www.cementa.se/sites/default/files/assets/document/65/de/final_cemzero_2018_public_version_2.0.pdf.pdf</t>
    </r>
  </si>
  <si>
    <t>Table 9</t>
  </si>
  <si>
    <t>€/ton cem</t>
  </si>
  <si>
    <t>InputActivityRatios</t>
  </si>
  <si>
    <t>- Biomass</t>
  </si>
  <si>
    <t>kWh/ton cem</t>
  </si>
  <si>
    <t>PJ/Mt</t>
  </si>
  <si>
    <t>https://www.ivl.se/download/18.4447c37f16fa0999d192f8/1579514247120/B2367.pdf</t>
  </si>
  <si>
    <t>Table 4 (page 24)</t>
  </si>
  <si>
    <t>average nordic plant, Swedish part from 2007 to 2011</t>
  </si>
  <si>
    <t>- Petcoke</t>
  </si>
  <si>
    <t xml:space="preserve">- Electricity </t>
  </si>
  <si>
    <t>- Coal</t>
  </si>
  <si>
    <t>- Fuel oil</t>
  </si>
  <si>
    <t>- Alternative fuels (refined household/industry waste)</t>
  </si>
  <si>
    <t>- Alternative fuels (car tires)</t>
  </si>
  <si>
    <t>years</t>
  </si>
  <si>
    <t>CemZero</t>
  </si>
  <si>
    <t>Table 10</t>
  </si>
  <si>
    <t>ResidualCapacity</t>
  </si>
  <si>
    <t>Table 15</t>
  </si>
  <si>
    <r>
      <rPr>
        <sz val="10"/>
        <color theme="1"/>
        <rFont val="Arial"/>
      </rPr>
      <t>EmissionActivityRatio (</t>
    </r>
    <r>
      <rPr>
        <sz val="10"/>
        <color rgb="FFFF0000"/>
        <rFont val="Arial"/>
      </rPr>
      <t>Used in OSeMOSYS</t>
    </r>
    <r>
      <rPr>
        <sz val="10"/>
        <color theme="1"/>
        <rFont val="Arial"/>
      </rPr>
      <t>)</t>
    </r>
  </si>
  <si>
    <t>ktCO2/Mt</t>
  </si>
  <si>
    <t>This is a bit shady, but its the best we can do...</t>
  </si>
  <si>
    <t>Calculations for alternative fuels InputActivityRatios:</t>
  </si>
  <si>
    <t>Source</t>
  </si>
  <si>
    <t>Calculations for EAR</t>
  </si>
  <si>
    <t xml:space="preserve">Total kWh/ton = </t>
  </si>
  <si>
    <t>% "alternative" =</t>
  </si>
  <si>
    <t>file://ug.kth.se/dfs/home/o/s/ostenst/appdata/xp.V2/Documents/fardplan_cement-for_klimatneutralt_betongbyggande-20180424.pdf</t>
  </si>
  <si>
    <t>Clinker to cement ratio</t>
  </si>
  <si>
    <t>Mt_cement/Mt_clinker</t>
  </si>
  <si>
    <t xml:space="preserve">Alt. kWh/ton = </t>
  </si>
  <si>
    <t>Total emissions</t>
  </si>
  <si>
    <t>tCO2/year</t>
  </si>
  <si>
    <t>% of Alt. "waste"=</t>
  </si>
  <si>
    <t>50 %</t>
  </si>
  <si>
    <t>https://www.cementa.se/sv/sa-har-kommer-svenskarnas-avfall-till-anvandning</t>
  </si>
  <si>
    <t>Capacity</t>
  </si>
  <si>
    <t>Mt_clinker/year</t>
  </si>
  <si>
    <t>% of Alt. "tires"=</t>
  </si>
  <si>
    <t>7,5 %</t>
  </si>
  <si>
    <t xml:space="preserve">Alt. waste kWh/ton = </t>
  </si>
  <si>
    <t>Specific emissions</t>
  </si>
  <si>
    <t xml:space="preserve">Alt. tires kWh/ton = </t>
  </si>
  <si>
    <t>Fuel emissions (upstream)</t>
  </si>
  <si>
    <t>Process emissions (downstream)</t>
  </si>
  <si>
    <t>IAR</t>
  </si>
  <si>
    <t>Em Factor</t>
  </si>
  <si>
    <t>t CO2/PJ</t>
  </si>
  <si>
    <t>t CO2/Mt</t>
  </si>
  <si>
    <t>Conventional + Post amine CCS</t>
  </si>
  <si>
    <t>M€/Mton clinker</t>
  </si>
  <si>
    <r>
      <rPr>
        <sz val="10"/>
        <color rgb="FF000000"/>
        <rFont val="Arial"/>
      </rPr>
      <t xml:space="preserve">CemZero: </t>
    </r>
    <r>
      <rPr>
        <u/>
        <sz val="10"/>
        <color rgb="FF1155CC"/>
        <rFont val="Arial"/>
      </rPr>
      <t>https://www.cementa.se/sites/default/files/assets/document/65/de/final_cemzero_2018_public_version_2.0.pdf.pdf</t>
    </r>
  </si>
  <si>
    <t>Table 11</t>
  </si>
  <si>
    <t>Refers to unit of clinker, when calculating for cement --&gt; 1 t_clinker = 1.35 t_cement</t>
  </si>
  <si>
    <t>Table 5 (page 28)</t>
  </si>
  <si>
    <t>Table 12</t>
  </si>
  <si>
    <r>
      <rPr>
        <sz val="10"/>
        <color theme="1"/>
        <rFont val="Arial"/>
      </rPr>
      <t xml:space="preserve">VariableCost(Mode2) </t>
    </r>
    <r>
      <rPr>
        <i/>
        <sz val="10"/>
        <color theme="1"/>
        <rFont val="Arial"/>
      </rPr>
      <t>likely higher</t>
    </r>
  </si>
  <si>
    <t>EmissionActivityRatio</t>
  </si>
  <si>
    <t>kgCO2/ton cem</t>
  </si>
  <si>
    <t>kt CO2/Mt</t>
  </si>
  <si>
    <r>
      <rPr>
        <sz val="10"/>
        <color theme="1"/>
        <rFont val="Arial"/>
      </rPr>
      <t xml:space="preserve">EmissionActivityRatio(Mode2) </t>
    </r>
    <r>
      <rPr>
        <i/>
        <sz val="10"/>
        <color theme="1"/>
        <rFont val="Arial"/>
      </rPr>
      <t>likely lower</t>
    </r>
  </si>
  <si>
    <t>Specific emissions (before capture)</t>
  </si>
  <si>
    <t>Fuel emissions</t>
  </si>
  <si>
    <t>Process emissions</t>
  </si>
  <si>
    <t>CCS efficiency</t>
  </si>
  <si>
    <t>Capture emissions</t>
  </si>
  <si>
    <t>Small parenthesis: papers consulted below (Inês)</t>
  </si>
  <si>
    <t>https://www.cementa.se/sites/default/files/assets/document/65/de/final_cemzero_2018_public_version_2.0.pdf.pdf</t>
  </si>
  <si>
    <t>Managing the costs of CO2 abatement in the cement industry</t>
  </si>
  <si>
    <t>A climate neutral Swedish industry – An inventory of technologies</t>
  </si>
  <si>
    <t>Barriers and opportunities for application of CCS in Nordic industry—A sectorial approach</t>
  </si>
  <si>
    <t>https://www.sciencedirect.com/science/article/pii/S1750583615000638?casa_token=IHZ8mvROtSsAAAAA:d-6jMp28Cvnp0MqtizzzFa_o21wLq5sySVKa35HivlzVRt6crxB48Gz7z9quU44chW0XNaGBSA</t>
  </si>
  <si>
    <t>Simulating operational alternatives for future cement production</t>
  </si>
  <si>
    <t>https://www.sciencedirect.com/science/article/pii/S0959652605001162#bbib8</t>
  </si>
  <si>
    <t>Carbon Capture in the Cement Industry: Technologies, Progress, and Retrofitting</t>
  </si>
  <si>
    <t>https://pubs.acs.org/doi/10.1021/acs.est.5b03508</t>
  </si>
  <si>
    <t>Industrial implementation of Carbon Capture in Nordic industry sectors</t>
  </si>
  <si>
    <t>https://www.sintef.no/globalassets/sintef-energi/nordiccs/d4.2.1501-d18-co2-capture-cases.pdf</t>
  </si>
  <si>
    <t>fardplan_cement-for_klimatneutralt (Cementa)</t>
  </si>
  <si>
    <t>https://www.cementa.se/sites/default/files/assets/document/9a/c0/fardplan_cement-for_klimatneutralt_betongbyggande-20180424.pdf</t>
  </si>
  <si>
    <t>Plasma heated in CO2 atmosphere</t>
  </si>
  <si>
    <r>
      <rPr>
        <sz val="10"/>
        <color rgb="FF000000"/>
        <rFont val="Arial"/>
      </rPr>
      <t xml:space="preserve">CemZero: </t>
    </r>
    <r>
      <rPr>
        <u/>
        <sz val="10"/>
        <color rgb="FF1155CC"/>
        <rFont val="Arial"/>
      </rPr>
      <t>https://www.cementa.se/sites/default/files/assets/document/65/de/final_cemzero_2018_public_version_2.0.pdf.pdf</t>
    </r>
  </si>
  <si>
    <t>Table 13</t>
  </si>
  <si>
    <t>MJ/kg clink ??</t>
  </si>
  <si>
    <t>p. 59</t>
  </si>
  <si>
    <t>kWh/t cl</t>
  </si>
  <si>
    <t>PJ/Mt clinker</t>
  </si>
  <si>
    <t>PJ/Mt cement</t>
  </si>
  <si>
    <t>Table 14</t>
  </si>
  <si>
    <r>
      <rPr>
        <strike/>
        <sz val="10"/>
        <color theme="1"/>
        <rFont val="Arial"/>
      </rPr>
      <t>VariableCost(Mode2)</t>
    </r>
    <r>
      <rPr>
        <sz val="10"/>
        <color theme="1"/>
        <rFont val="Arial"/>
      </rPr>
      <t xml:space="preserve"> </t>
    </r>
    <r>
      <rPr>
        <i/>
        <sz val="10"/>
        <color theme="1"/>
        <rFont val="Arial"/>
      </rPr>
      <t>not useful, skip</t>
    </r>
  </si>
  <si>
    <r>
      <rPr>
        <strike/>
        <sz val="10"/>
        <color theme="1"/>
        <rFont val="Arial"/>
      </rPr>
      <t>EmissionActivityRatio(Mode2)</t>
    </r>
    <r>
      <rPr>
        <sz val="10"/>
        <color theme="1"/>
        <rFont val="Arial"/>
      </rPr>
      <t xml:space="preserve"> </t>
    </r>
    <r>
      <rPr>
        <i/>
        <sz val="10"/>
        <color theme="1"/>
        <rFont val="Arial"/>
      </rPr>
      <t>not useful, skip</t>
    </r>
  </si>
  <si>
    <t>Since CemZero states that no emissions, consider it 100% efficiency</t>
  </si>
  <si>
    <t>Captured emissions</t>
  </si>
  <si>
    <t>From CemZero</t>
  </si>
  <si>
    <t>Paremeter</t>
  </si>
  <si>
    <t>AccumulatedAnnualDemand (2020)</t>
  </si>
  <si>
    <t>Mt</t>
  </si>
  <si>
    <t>https://www.cementa.se/sv/nollvision2030</t>
  </si>
  <si>
    <t>ResidualCapacity (2020)</t>
  </si>
  <si>
    <t>https://www.cementa.se/sv/slite</t>
  </si>
  <si>
    <t xml:space="preserve">2,5 Mt year is produced in Slite and 0,7 Mt is produced in Skövde </t>
  </si>
  <si>
    <t>Cost for car tires</t>
  </si>
  <si>
    <t>0-200</t>
  </si>
  <si>
    <t>kr/ton</t>
  </si>
  <si>
    <t>€/kWh</t>
  </si>
  <si>
    <t>Email from SVDA</t>
  </si>
  <si>
    <t>Unit conversion from kr/ton to kr/PJ</t>
  </si>
  <si>
    <t>kWh/ton</t>
  </si>
  <si>
    <t>kr/kWh</t>
  </si>
  <si>
    <t>M€/PJ</t>
  </si>
  <si>
    <t>Kladdd</t>
  </si>
  <si>
    <t>Cemnta production 2010</t>
  </si>
  <si>
    <t>AccumulatedAnnualDemand (projection)</t>
  </si>
  <si>
    <t>Tot Emissions</t>
  </si>
  <si>
    <t>Cementa production 2020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</si>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</sst>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"/>
    <numFmt numFmtId="166" formatCode="0.000"/>
    <numFmt numFmtId="167" formatCode="d/m"/>
  </numFmts>
  <fonts count="11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trike/>
      <sz val="10"/>
      <color theme="1"/>
      <name val="Arial"/>
    </font>
    <font>
      <u/>
      <sz val="10"/>
      <color rgb="FF0000FF"/>
      <name val="Arial"/>
    </font>
    <font>
      <i/>
      <sz val="10"/>
      <color theme="1"/>
      <name val="Arial"/>
    </font>
    <font>
      <b/>
      <sz val="10"/>
      <color rgb="FF999999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FF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theme="4"/>
        <bgColor theme="4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2" fillId="2" borderId="0" xfId="0" applyFont="1" applyFill="1"/>
    <xf numFmtId="0" fontId="2" fillId="0" borderId="3" xfId="0" applyFont="1" applyBorder="1" applyAlignment="1"/>
    <xf numFmtId="0" fontId="3" fillId="0" borderId="0" xfId="0" applyFont="1" applyAlignment="1"/>
    <xf numFmtId="164" fontId="2" fillId="0" borderId="0" xfId="0" applyNumberFormat="1" applyFont="1" applyAlignment="1"/>
    <xf numFmtId="0" fontId="4" fillId="0" borderId="3" xfId="0" applyFont="1" applyBorder="1" applyAlignment="1"/>
    <xf numFmtId="0" fontId="2" fillId="0" borderId="0" xfId="0" applyFont="1"/>
    <xf numFmtId="0" fontId="5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>
      <alignment horizontal="right"/>
    </xf>
    <xf numFmtId="2" fontId="2" fillId="3" borderId="0" xfId="0" applyNumberFormat="1" applyFont="1" applyFill="1"/>
    <xf numFmtId="0" fontId="2" fillId="3" borderId="0" xfId="0" applyFont="1" applyFill="1" applyAlignment="1"/>
    <xf numFmtId="0" fontId="2" fillId="0" borderId="3" xfId="0" applyFont="1" applyBorder="1"/>
    <xf numFmtId="4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/>
    <xf numFmtId="9" fontId="2" fillId="0" borderId="0" xfId="0" applyNumberFormat="1" applyFont="1" applyAlignment="1"/>
    <xf numFmtId="0" fontId="2" fillId="0" borderId="0" xfId="0" applyFont="1" applyAlignment="1"/>
    <xf numFmtId="10" fontId="2" fillId="0" borderId="0" xfId="0" applyNumberFormat="1" applyFont="1" applyAlignment="1"/>
    <xf numFmtId="0" fontId="7" fillId="0" borderId="0" xfId="0" applyFont="1" applyAlignment="1"/>
    <xf numFmtId="0" fontId="7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2" fillId="4" borderId="0" xfId="0" applyFont="1" applyFill="1"/>
    <xf numFmtId="2" fontId="2" fillId="0" borderId="0" xfId="0" applyNumberFormat="1" applyFont="1"/>
    <xf numFmtId="165" fontId="2" fillId="0" borderId="0" xfId="0" applyNumberFormat="1" applyFont="1" applyAlignment="1"/>
    <xf numFmtId="0" fontId="6" fillId="0" borderId="3" xfId="0" applyFont="1" applyBorder="1" applyAlignment="1"/>
    <xf numFmtId="1" fontId="2" fillId="5" borderId="0" xfId="0" applyNumberFormat="1" applyFont="1" applyFill="1" applyAlignment="1"/>
    <xf numFmtId="165" fontId="2" fillId="0" borderId="0" xfId="0" applyNumberFormat="1" applyFont="1"/>
    <xf numFmtId="0" fontId="1" fillId="6" borderId="2" xfId="0" applyFont="1" applyFill="1" applyBorder="1" applyAlignment="1"/>
    <xf numFmtId="0" fontId="1" fillId="6" borderId="3" xfId="0" applyFont="1" applyFill="1" applyBorder="1" applyAlignment="1"/>
    <xf numFmtId="0" fontId="2" fillId="6" borderId="0" xfId="0" applyFont="1" applyFill="1"/>
    <xf numFmtId="166" fontId="2" fillId="0" borderId="0" xfId="0" applyNumberFormat="1" applyFont="1" applyAlignment="1"/>
    <xf numFmtId="166" fontId="2" fillId="0" borderId="0" xfId="0" applyNumberFormat="1" applyFont="1"/>
    <xf numFmtId="0" fontId="1" fillId="7" borderId="1" xfId="0" applyFont="1" applyFill="1" applyBorder="1" applyAlignment="1"/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0" fontId="0" fillId="0" borderId="0" xfId="0" applyFont="1" applyAlignment="1"/>
    <xf numFmtId="0" fontId="1" fillId="7" borderId="2" xfId="0" applyFont="1" applyFill="1" applyBorder="1" applyAlignment="1"/>
    <xf numFmtId="0" fontId="2" fillId="0" borderId="5" xfId="0" applyFont="1" applyBorder="1" applyAlignment="1"/>
    <xf numFmtId="0" fontId="2" fillId="0" borderId="6" xfId="0" applyFont="1" applyBorder="1"/>
    <xf numFmtId="0" fontId="2" fillId="0" borderId="7" xfId="0" applyFont="1" applyBorder="1" applyAlignment="1"/>
    <xf numFmtId="0" fontId="8" fillId="7" borderId="2" xfId="0" applyFont="1" applyFill="1" applyBorder="1" applyAlignment="1"/>
    <xf numFmtId="0" fontId="2" fillId="7" borderId="2" xfId="0" applyFont="1" applyFill="1" applyBorder="1"/>
    <xf numFmtId="0" fontId="2" fillId="0" borderId="8" xfId="0" applyFont="1" applyBorder="1" applyAlignment="1"/>
    <xf numFmtId="0" fontId="2" fillId="0" borderId="1" xfId="0" applyFont="1" applyBorder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vl.se/download/18.4447c37f16fa0999d192f8/1579514247120/B2367.pdf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www.ivl.se/download/18.4447c37f16fa0999d192f8/1579514247120/B2367.pdf" TargetMode="External"/><Relationship Id="rId7" Type="http://schemas.openxmlformats.org/officeDocument/2006/relationships/hyperlink" Target="https://www.ivl.se/download/18.4447c37f16fa0999d192f8/1579514247120/B2367.pdf" TargetMode="External"/><Relationship Id="rId12" Type="http://schemas.openxmlformats.org/officeDocument/2006/relationships/hyperlink" Target="https://www.cementa.se/sv/sa-har-kommer-svenskarnas-avfall-till-anvandning" TargetMode="External"/><Relationship Id="rId2" Type="http://schemas.openxmlformats.org/officeDocument/2006/relationships/hyperlink" Target="https://www.cementa.se/sites/default/files/assets/document/65/de/final_cemzero_2018_public_version_2.0.pdf.pdf" TargetMode="External"/><Relationship Id="rId1" Type="http://schemas.openxmlformats.org/officeDocument/2006/relationships/hyperlink" Target="https://publications.lib.chalmers.se/records/fulltext/241196/local_241196.pdf" TargetMode="External"/><Relationship Id="rId6" Type="http://schemas.openxmlformats.org/officeDocument/2006/relationships/hyperlink" Target="https://www.ivl.se/download/18.4447c37f16fa0999d192f8/1579514247120/B2367.pdf" TargetMode="External"/><Relationship Id="rId11" Type="http://schemas.openxmlformats.org/officeDocument/2006/relationships/hyperlink" Target="https://www.cementa.se/sv/sa-har-kommer-svenskarnas-avfall-till-anvandning" TargetMode="External"/><Relationship Id="rId5" Type="http://schemas.openxmlformats.org/officeDocument/2006/relationships/hyperlink" Target="https://www.ivl.se/download/18.4447c37f16fa0999d192f8/1579514247120/B2367.pdf" TargetMode="External"/><Relationship Id="rId10" Type="http://schemas.openxmlformats.org/officeDocument/2006/relationships/hyperlink" Target="https://www.ivl.se/download/18.4447c37f16fa0999d192f8/1579514247120/B2367.pdf" TargetMode="External"/><Relationship Id="rId4" Type="http://schemas.openxmlformats.org/officeDocument/2006/relationships/hyperlink" Target="https://www.ivl.se/download/18.4447c37f16fa0999d192f8/1579514247120/B2367.pdf" TargetMode="External"/><Relationship Id="rId9" Type="http://schemas.openxmlformats.org/officeDocument/2006/relationships/hyperlink" Target="https://publications.lib.chalmers.se/records/fulltext/241196/local_241196.pdf" TargetMode="Externa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vl.se/download/18.4447c37f16fa0999d192f8/1579514247120/B2367.pdf" TargetMode="External"/><Relationship Id="rId13" Type="http://schemas.openxmlformats.org/officeDocument/2006/relationships/hyperlink" Target="https://www.sciencedirect.com/science/article/pii/S1750583615000638?casa_token=IHZ8mvROtSsAAAAA:d-6jMp28Cvnp0MqtizzzFa_o21wLq5sySVKa35HivlzVRt6crxB48Gz7z9quU44chW0XNaGBSA" TargetMode="External"/><Relationship Id="rId18" Type="http://schemas.openxmlformats.org/officeDocument/2006/relationships/vmlDrawing" Target="../drawings/vmlDrawing2.vml"/><Relationship Id="rId3" Type="http://schemas.openxmlformats.org/officeDocument/2006/relationships/hyperlink" Target="https://www.ivl.se/download/18.4447c37f16fa0999d192f8/1579514247120/B2367.pdf" TargetMode="External"/><Relationship Id="rId7" Type="http://schemas.openxmlformats.org/officeDocument/2006/relationships/hyperlink" Target="https://www.ivl.se/download/18.4447c37f16fa0999d192f8/1579514247120/B2367.pdf" TargetMode="External"/><Relationship Id="rId12" Type="http://schemas.openxmlformats.org/officeDocument/2006/relationships/hyperlink" Target="https://www.ivl.se/download/18.4447c37f16fa0999d192f8/1579514247120/B2367.pdf" TargetMode="External"/><Relationship Id="rId17" Type="http://schemas.openxmlformats.org/officeDocument/2006/relationships/hyperlink" Target="https://www.cementa.se/sites/default/files/assets/document/9a/c0/fardplan_cement-for_klimatneutralt_betongbyggande-20180424.pdf" TargetMode="External"/><Relationship Id="rId2" Type="http://schemas.openxmlformats.org/officeDocument/2006/relationships/hyperlink" Target="https://www.cementa.se/sites/default/files/assets/document/65/de/final_cemzero_2018_public_version_2.0.pdf.pdf" TargetMode="External"/><Relationship Id="rId16" Type="http://schemas.openxmlformats.org/officeDocument/2006/relationships/hyperlink" Target="https://www.sintef.no/globalassets/sintef-energi/nordiccs/d4.2.1501-d18-co2-capture-cases.pdf" TargetMode="External"/><Relationship Id="rId1" Type="http://schemas.openxmlformats.org/officeDocument/2006/relationships/hyperlink" Target="https://publications.lib.chalmers.se/records/fulltext/241196/local_241196.pdf" TargetMode="External"/><Relationship Id="rId6" Type="http://schemas.openxmlformats.org/officeDocument/2006/relationships/hyperlink" Target="https://www.ivl.se/download/18.4447c37f16fa0999d192f8/1579514247120/B2367.pdf" TargetMode="External"/><Relationship Id="rId11" Type="http://schemas.openxmlformats.org/officeDocument/2006/relationships/hyperlink" Target="https://publications.lib.chalmers.se/records/fulltext/241196/local_241196.pdf" TargetMode="External"/><Relationship Id="rId5" Type="http://schemas.openxmlformats.org/officeDocument/2006/relationships/hyperlink" Target="https://www.ivl.se/download/18.4447c37f16fa0999d192f8/1579514247120/B2367.pdf" TargetMode="External"/><Relationship Id="rId15" Type="http://schemas.openxmlformats.org/officeDocument/2006/relationships/hyperlink" Target="https://pubs.acs.org/doi/10.1021/acs.est.5b03508" TargetMode="External"/><Relationship Id="rId10" Type="http://schemas.openxmlformats.org/officeDocument/2006/relationships/hyperlink" Target="https://www.cementa.se/sites/default/files/assets/document/65/de/final_cemzero_2018_public_version_2.0.pdf.pdf" TargetMode="External"/><Relationship Id="rId19" Type="http://schemas.openxmlformats.org/officeDocument/2006/relationships/comments" Target="../comments2.xml"/><Relationship Id="rId4" Type="http://schemas.openxmlformats.org/officeDocument/2006/relationships/hyperlink" Target="https://www.ivl.se/download/18.4447c37f16fa0999d192f8/1579514247120/B2367.pdf" TargetMode="External"/><Relationship Id="rId9" Type="http://schemas.openxmlformats.org/officeDocument/2006/relationships/hyperlink" Target="https://publications.lib.chalmers.se/records/fulltext/241196/local_241196.pdf" TargetMode="External"/><Relationship Id="rId14" Type="http://schemas.openxmlformats.org/officeDocument/2006/relationships/hyperlink" Target="https://www.sciencedirect.com/science/article/pii/S095965260500116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ublications.lib.chalmers.se/records/fulltext/241196/local_241196.pdf" TargetMode="External"/><Relationship Id="rId2" Type="http://schemas.openxmlformats.org/officeDocument/2006/relationships/hyperlink" Target="https://www.cementa.se/sites/default/files/assets/document/65/de/final_cemzero_2018_public_version_2.0.pdf.pdf" TargetMode="External"/><Relationship Id="rId1" Type="http://schemas.openxmlformats.org/officeDocument/2006/relationships/hyperlink" Target="https://publications.lib.chalmers.se/records/fulltext/241196/local_241196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menta.se/sv/nollvision2030" TargetMode="External"/><Relationship Id="rId2" Type="http://schemas.openxmlformats.org/officeDocument/2006/relationships/hyperlink" Target="https://www.cementa.se/sv/slite" TargetMode="External"/><Relationship Id="rId1" Type="http://schemas.openxmlformats.org/officeDocument/2006/relationships/hyperlink" Target="https://www.cementa.se/sv/nollvision2030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46"/>
  <sheetViews>
    <sheetView topLeftCell="A10" workbookViewId="0">
      <selection activeCell="G28" sqref="G28"/>
    </sheetView>
  </sheetViews>
  <sheetFormatPr baseColWidth="10" defaultColWidth="14.5" defaultRowHeight="15.75" customHeight="1" x14ac:dyDescent="0.15"/>
  <cols>
    <col min="1" max="1" width="45.6640625" customWidth="1"/>
    <col min="4" max="4" width="15.5" customWidth="1"/>
    <col min="8" max="8" width="16" customWidth="1"/>
    <col min="10" max="11" width="19" customWidth="1"/>
    <col min="12" max="12" width="16.83203125" customWidth="1"/>
  </cols>
  <sheetData>
    <row r="1" spans="1:12" ht="15.75" customHeight="1" x14ac:dyDescent="0.15">
      <c r="A1" s="3" t="s">
        <v>0</v>
      </c>
      <c r="B1" s="4" t="s">
        <v>10</v>
      </c>
      <c r="C1" s="4" t="s">
        <v>11</v>
      </c>
      <c r="D1" s="5" t="s">
        <v>12</v>
      </c>
      <c r="E1" s="4" t="s">
        <v>11</v>
      </c>
      <c r="F1" s="4" t="s">
        <v>13</v>
      </c>
      <c r="G1" s="4" t="s">
        <v>14</v>
      </c>
      <c r="H1" s="4" t="s">
        <v>15</v>
      </c>
      <c r="I1" s="4" t="s">
        <v>16</v>
      </c>
    </row>
    <row r="2" spans="1:12" ht="15.75" customHeight="1" x14ac:dyDescent="0.15">
      <c r="A2" s="6" t="s">
        <v>17</v>
      </c>
      <c r="B2" s="7"/>
      <c r="C2" s="7"/>
      <c r="D2" s="7"/>
      <c r="E2" s="7"/>
      <c r="F2" s="7"/>
      <c r="G2" s="7"/>
      <c r="H2" s="7"/>
    </row>
    <row r="3" spans="1:12" ht="15.75" customHeight="1" x14ac:dyDescent="0.15">
      <c r="A3" s="8" t="s">
        <v>1</v>
      </c>
      <c r="B3" s="2">
        <v>0.9</v>
      </c>
      <c r="C3" s="2" t="s">
        <v>18</v>
      </c>
      <c r="F3" s="9" t="s">
        <v>19</v>
      </c>
      <c r="G3" s="10">
        <v>44495</v>
      </c>
      <c r="H3" s="2" t="s">
        <v>20</v>
      </c>
    </row>
    <row r="4" spans="1:12" ht="15.75" customHeight="1" x14ac:dyDescent="0.15">
      <c r="A4" s="11"/>
    </row>
    <row r="5" spans="1:12" ht="15.75" customHeight="1" x14ac:dyDescent="0.15">
      <c r="A5" s="8" t="s">
        <v>3</v>
      </c>
      <c r="B5">
        <v>1</v>
      </c>
    </row>
    <row r="6" spans="1:12" ht="15.75" customHeight="1" x14ac:dyDescent="0.15">
      <c r="A6" s="8" t="s">
        <v>4</v>
      </c>
      <c r="B6" s="2">
        <v>231</v>
      </c>
      <c r="C6" s="2" t="s">
        <v>21</v>
      </c>
      <c r="D6" s="12">
        <f>ROUND(B6/1.35,1)</f>
        <v>171.1</v>
      </c>
      <c r="E6" s="2" t="s">
        <v>22</v>
      </c>
      <c r="F6" s="13" t="s">
        <v>23</v>
      </c>
      <c r="G6" s="10">
        <v>44495</v>
      </c>
      <c r="H6" s="2" t="s">
        <v>24</v>
      </c>
    </row>
    <row r="7" spans="1:12" ht="15.75" customHeight="1" x14ac:dyDescent="0.15">
      <c r="A7" s="8" t="s">
        <v>5</v>
      </c>
      <c r="B7" s="14">
        <v>14.9</v>
      </c>
      <c r="C7" s="2" t="s">
        <v>25</v>
      </c>
      <c r="D7" s="12">
        <f>B7</f>
        <v>14.9</v>
      </c>
      <c r="E7" s="2" t="s">
        <v>22</v>
      </c>
    </row>
    <row r="8" spans="1:12" ht="15.75" customHeight="1" x14ac:dyDescent="0.15">
      <c r="A8" s="6" t="s">
        <v>26</v>
      </c>
      <c r="B8" s="7"/>
      <c r="C8" s="7"/>
      <c r="D8" s="7"/>
      <c r="E8" s="7"/>
      <c r="F8" s="7"/>
      <c r="G8" s="7"/>
      <c r="H8" s="7"/>
    </row>
    <row r="9" spans="1:12" ht="15.75" customHeight="1" x14ac:dyDescent="0.15">
      <c r="A9" s="8" t="s">
        <v>27</v>
      </c>
      <c r="B9" s="2">
        <v>83</v>
      </c>
      <c r="C9" s="2" t="s">
        <v>28</v>
      </c>
      <c r="D9" s="2">
        <f t="shared" ref="D9:D15" si="0">B9*3.6/10^3</f>
        <v>0.29880000000000001</v>
      </c>
      <c r="E9" s="2" t="s">
        <v>29</v>
      </c>
      <c r="F9" s="9" t="s">
        <v>30</v>
      </c>
      <c r="G9" s="10">
        <v>44502</v>
      </c>
      <c r="H9" s="2" t="s">
        <v>31</v>
      </c>
      <c r="I9" s="2" t="s">
        <v>32</v>
      </c>
    </row>
    <row r="10" spans="1:12" ht="15.75" customHeight="1" x14ac:dyDescent="0.15">
      <c r="A10" s="8" t="s">
        <v>33</v>
      </c>
      <c r="B10" s="2">
        <v>167</v>
      </c>
      <c r="C10" s="2" t="s">
        <v>28</v>
      </c>
      <c r="D10" s="2">
        <f t="shared" si="0"/>
        <v>0.60120000000000007</v>
      </c>
      <c r="E10" s="2" t="s">
        <v>29</v>
      </c>
      <c r="F10" s="9" t="s">
        <v>30</v>
      </c>
      <c r="G10" s="10">
        <v>44502</v>
      </c>
      <c r="H10" s="2" t="s">
        <v>31</v>
      </c>
    </row>
    <row r="11" spans="1:12" ht="15.75" customHeight="1" x14ac:dyDescent="0.15">
      <c r="A11" s="8" t="s">
        <v>34</v>
      </c>
      <c r="B11" s="2">
        <v>120</v>
      </c>
      <c r="C11" s="2" t="s">
        <v>28</v>
      </c>
      <c r="D11" s="2">
        <f t="shared" si="0"/>
        <v>0.432</v>
      </c>
      <c r="E11" s="2" t="s">
        <v>29</v>
      </c>
      <c r="F11" s="9" t="s">
        <v>30</v>
      </c>
      <c r="G11" s="10">
        <v>44502</v>
      </c>
      <c r="H11" s="2" t="s">
        <v>31</v>
      </c>
    </row>
    <row r="12" spans="1:12" ht="15.75" customHeight="1" x14ac:dyDescent="0.15">
      <c r="A12" s="8" t="s">
        <v>35</v>
      </c>
      <c r="B12" s="2">
        <v>416</v>
      </c>
      <c r="C12" s="2" t="s">
        <v>28</v>
      </c>
      <c r="D12" s="2">
        <f t="shared" si="0"/>
        <v>1.4976</v>
      </c>
      <c r="E12" s="2" t="s">
        <v>29</v>
      </c>
      <c r="F12" s="9" t="s">
        <v>30</v>
      </c>
      <c r="G12" s="10">
        <v>44502</v>
      </c>
      <c r="H12" s="2" t="s">
        <v>31</v>
      </c>
    </row>
    <row r="13" spans="1:12" ht="15.75" customHeight="1" x14ac:dyDescent="0.15">
      <c r="A13" s="8" t="s">
        <v>36</v>
      </c>
      <c r="B13" s="15">
        <v>30</v>
      </c>
      <c r="C13" s="2" t="s">
        <v>28</v>
      </c>
      <c r="D13" s="2">
        <f t="shared" si="0"/>
        <v>0.108</v>
      </c>
      <c r="E13" s="2" t="s">
        <v>29</v>
      </c>
      <c r="F13" s="9" t="s">
        <v>30</v>
      </c>
      <c r="G13" s="10">
        <v>44502</v>
      </c>
      <c r="H13" s="2" t="s">
        <v>31</v>
      </c>
      <c r="K13" s="16"/>
      <c r="L13" s="17"/>
    </row>
    <row r="14" spans="1:12" ht="15.75" customHeight="1" x14ac:dyDescent="0.15">
      <c r="A14" s="8" t="s">
        <v>37</v>
      </c>
      <c r="B14" s="2">
        <v>55.5</v>
      </c>
      <c r="C14" s="2" t="s">
        <v>28</v>
      </c>
      <c r="D14" s="2">
        <f t="shared" si="0"/>
        <v>0.19980000000000001</v>
      </c>
      <c r="E14" s="2" t="s">
        <v>29</v>
      </c>
      <c r="F14" s="9" t="s">
        <v>30</v>
      </c>
      <c r="G14" s="10">
        <v>44502</v>
      </c>
      <c r="H14" s="2" t="s">
        <v>31</v>
      </c>
    </row>
    <row r="15" spans="1:12" ht="15.75" customHeight="1" x14ac:dyDescent="0.15">
      <c r="A15" s="8" t="s">
        <v>38</v>
      </c>
      <c r="B15" s="2">
        <v>8.3249999999999993</v>
      </c>
      <c r="C15" s="2" t="s">
        <v>28</v>
      </c>
      <c r="D15" s="2">
        <f t="shared" si="0"/>
        <v>2.997E-2</v>
      </c>
      <c r="E15" s="2" t="s">
        <v>29</v>
      </c>
      <c r="G15" s="10"/>
    </row>
    <row r="16" spans="1:12" ht="15.75" customHeight="1" x14ac:dyDescent="0.15">
      <c r="A16" s="18"/>
    </row>
    <row r="17" spans="1:13" ht="15.75" customHeight="1" x14ac:dyDescent="0.15">
      <c r="A17" s="8" t="s">
        <v>6</v>
      </c>
      <c r="B17" s="14">
        <v>25</v>
      </c>
      <c r="C17" s="2" t="s">
        <v>39</v>
      </c>
      <c r="F17" s="9" t="s">
        <v>19</v>
      </c>
      <c r="G17" s="10">
        <v>44495</v>
      </c>
      <c r="H17" s="2" t="s">
        <v>20</v>
      </c>
    </row>
    <row r="18" spans="1:13" ht="15.75" customHeight="1" x14ac:dyDescent="0.15">
      <c r="A18" s="8" t="s">
        <v>7</v>
      </c>
      <c r="B18" s="2">
        <v>1</v>
      </c>
      <c r="G18" s="10"/>
    </row>
    <row r="19" spans="1:13" ht="15.75" customHeight="1" x14ac:dyDescent="0.15">
      <c r="A19" s="8" t="s">
        <v>8</v>
      </c>
    </row>
    <row r="20" spans="1:13" ht="15.75" customHeight="1" x14ac:dyDescent="0.15">
      <c r="A20" s="8" t="s">
        <v>9</v>
      </c>
      <c r="B20" s="12">
        <f>52.6-3.9-24.3-14.9-4.2</f>
        <v>5.3000000000000016</v>
      </c>
      <c r="C20" s="2" t="s">
        <v>25</v>
      </c>
      <c r="D20" s="12">
        <f>B20</f>
        <v>5.3000000000000016</v>
      </c>
      <c r="E20" s="2" t="s">
        <v>22</v>
      </c>
      <c r="F20" s="2" t="s">
        <v>40</v>
      </c>
      <c r="G20" s="10">
        <v>44495</v>
      </c>
      <c r="H20" s="2" t="s">
        <v>41</v>
      </c>
    </row>
    <row r="21" spans="1:13" ht="15.75" customHeight="1" x14ac:dyDescent="0.15">
      <c r="A21" s="8"/>
    </row>
    <row r="22" spans="1:13" ht="15.75" customHeight="1" x14ac:dyDescent="0.15">
      <c r="A22" s="18"/>
      <c r="G22" s="10"/>
    </row>
    <row r="23" spans="1:13" ht="15.75" customHeight="1" x14ac:dyDescent="0.15">
      <c r="A23" s="8"/>
    </row>
    <row r="24" spans="1:13" ht="15.75" customHeight="1" x14ac:dyDescent="0.15">
      <c r="A24" s="8"/>
      <c r="F24" s="2"/>
      <c r="G24" s="10"/>
      <c r="H24" s="2"/>
    </row>
    <row r="25" spans="1:13" ht="15.75" customHeight="1" x14ac:dyDescent="0.15">
      <c r="A25" s="8"/>
    </row>
    <row r="26" spans="1:13" ht="15.75" customHeight="1" x14ac:dyDescent="0.15">
      <c r="A26" s="8" t="s">
        <v>44</v>
      </c>
      <c r="B26" s="19">
        <f>B36</f>
        <v>418.80981944000007</v>
      </c>
      <c r="C26" s="2" t="s">
        <v>45</v>
      </c>
      <c r="D26" s="20">
        <f>B26</f>
        <v>418.80981944000007</v>
      </c>
      <c r="E26" s="2" t="s">
        <v>45</v>
      </c>
      <c r="J26" s="21" t="s">
        <v>46</v>
      </c>
    </row>
    <row r="27" spans="1:13" ht="15.75" customHeight="1" x14ac:dyDescent="0.15">
      <c r="J27" s="1" t="s">
        <v>47</v>
      </c>
      <c r="M27" s="2" t="s">
        <v>48</v>
      </c>
    </row>
    <row r="28" spans="1:13" ht="15.75" customHeight="1" x14ac:dyDescent="0.15">
      <c r="A28" s="55" t="s">
        <v>49</v>
      </c>
      <c r="B28" s="56"/>
      <c r="J28" s="2" t="s">
        <v>50</v>
      </c>
      <c r="K28" s="12">
        <f>897+111+30</f>
        <v>1038</v>
      </c>
      <c r="M28" s="9" t="s">
        <v>30</v>
      </c>
    </row>
    <row r="29" spans="1:13" ht="15.75" customHeight="1" x14ac:dyDescent="0.15">
      <c r="J29" s="2" t="s">
        <v>51</v>
      </c>
      <c r="K29" s="22">
        <v>0.5</v>
      </c>
      <c r="M29" s="2" t="s">
        <v>52</v>
      </c>
    </row>
    <row r="30" spans="1:13" ht="15.75" customHeight="1" x14ac:dyDescent="0.15">
      <c r="A30" s="23" t="s">
        <v>53</v>
      </c>
      <c r="B30" s="24">
        <v>0.73699999999999999</v>
      </c>
      <c r="C30" s="2" t="s">
        <v>54</v>
      </c>
      <c r="J30" s="2" t="s">
        <v>55</v>
      </c>
      <c r="K30" s="12">
        <f>K28*0.5</f>
        <v>519</v>
      </c>
    </row>
    <row r="31" spans="1:13" ht="15.75" customHeight="1" x14ac:dyDescent="0.15">
      <c r="A31" s="2" t="s">
        <v>56</v>
      </c>
      <c r="B31" s="2">
        <v>850417</v>
      </c>
      <c r="C31" s="2" t="s">
        <v>57</v>
      </c>
      <c r="J31" s="2" t="s">
        <v>58</v>
      </c>
      <c r="K31" s="2" t="s">
        <v>59</v>
      </c>
      <c r="M31" s="9" t="s">
        <v>60</v>
      </c>
    </row>
    <row r="32" spans="1:13" ht="15.75" customHeight="1" x14ac:dyDescent="0.15">
      <c r="A32" s="2" t="s">
        <v>61</v>
      </c>
      <c r="B32" s="2">
        <v>1</v>
      </c>
      <c r="C32" s="2" t="s">
        <v>62</v>
      </c>
      <c r="J32" s="2" t="s">
        <v>63</v>
      </c>
      <c r="K32" s="2" t="s">
        <v>64</v>
      </c>
      <c r="M32" s="9" t="s">
        <v>60</v>
      </c>
    </row>
    <row r="33" spans="1:11" ht="15.75" customHeight="1" x14ac:dyDescent="0.15">
      <c r="J33" s="25" t="s">
        <v>65</v>
      </c>
      <c r="K33" s="26">
        <f>K30*0.5</f>
        <v>259.5</v>
      </c>
    </row>
    <row r="34" spans="1:11" ht="15.75" customHeight="1" x14ac:dyDescent="0.15">
      <c r="A34" s="2" t="s">
        <v>66</v>
      </c>
      <c r="B34" s="20">
        <f>B31*B30/B32/1000</f>
        <v>626.75732900000003</v>
      </c>
      <c r="C34" s="2" t="s">
        <v>45</v>
      </c>
      <c r="E34" s="2" t="s">
        <v>56</v>
      </c>
      <c r="F34" s="12">
        <f>B34*'General cement (Clara)'!B10</f>
        <v>1485.4148697299995</v>
      </c>
      <c r="J34" s="25" t="s">
        <v>67</v>
      </c>
      <c r="K34" s="26">
        <f>K30*0.075</f>
        <v>38.924999999999997</v>
      </c>
    </row>
    <row r="35" spans="1:11" ht="15.75" customHeight="1" x14ac:dyDescent="0.15">
      <c r="A35" s="2" t="s">
        <v>68</v>
      </c>
      <c r="B35" s="20">
        <f>SUM(F39:F45)</f>
        <v>207.94750955999999</v>
      </c>
      <c r="C35" s="2" t="s">
        <v>45</v>
      </c>
      <c r="J35" s="1" t="s">
        <v>65</v>
      </c>
      <c r="K35" s="27">
        <f>111*0.5</f>
        <v>55.5</v>
      </c>
    </row>
    <row r="36" spans="1:11" ht="15.75" customHeight="1" x14ac:dyDescent="0.15">
      <c r="A36" s="2" t="s">
        <v>69</v>
      </c>
      <c r="B36" s="20">
        <f>B34-B35</f>
        <v>418.80981944000007</v>
      </c>
      <c r="C36" s="2" t="s">
        <v>45</v>
      </c>
      <c r="J36" s="1" t="s">
        <v>67</v>
      </c>
      <c r="K36" s="27">
        <f>111*0.075</f>
        <v>8.3249999999999993</v>
      </c>
    </row>
    <row r="38" spans="1:11" ht="15.75" customHeight="1" x14ac:dyDescent="0.15">
      <c r="B38" s="57" t="s">
        <v>70</v>
      </c>
      <c r="C38" s="56"/>
      <c r="D38" s="57" t="s">
        <v>71</v>
      </c>
      <c r="E38" s="56"/>
    </row>
    <row r="39" spans="1:11" ht="15.75" customHeight="1" x14ac:dyDescent="0.15">
      <c r="A39" s="8" t="s">
        <v>27</v>
      </c>
      <c r="B39" s="12">
        <f t="shared" ref="B39:B45" si="1">D9</f>
        <v>0.29880000000000001</v>
      </c>
      <c r="C39" s="2" t="s">
        <v>29</v>
      </c>
      <c r="D39" s="2">
        <v>0</v>
      </c>
      <c r="E39" s="2" t="s">
        <v>72</v>
      </c>
      <c r="F39" s="20">
        <f t="shared" ref="F39:F45" si="2">B39*D39</f>
        <v>0</v>
      </c>
      <c r="G39" s="2" t="s">
        <v>73</v>
      </c>
    </row>
    <row r="40" spans="1:11" ht="15.75" customHeight="1" x14ac:dyDescent="0.15">
      <c r="A40" s="8" t="s">
        <v>33</v>
      </c>
      <c r="B40" s="12">
        <f t="shared" si="1"/>
        <v>0.60120000000000007</v>
      </c>
      <c r="C40" s="2" t="s">
        <v>29</v>
      </c>
      <c r="D40" s="2">
        <v>107.7383</v>
      </c>
      <c r="E40" s="2" t="s">
        <v>72</v>
      </c>
      <c r="F40" s="20">
        <f t="shared" si="2"/>
        <v>64.772265959999999</v>
      </c>
      <c r="G40" s="2" t="s">
        <v>73</v>
      </c>
    </row>
    <row r="41" spans="1:11" ht="15.75" customHeight="1" x14ac:dyDescent="0.15">
      <c r="A41" s="8" t="s">
        <v>34</v>
      </c>
      <c r="B41" s="12">
        <f t="shared" si="1"/>
        <v>0.432</v>
      </c>
      <c r="C41" s="2" t="s">
        <v>29</v>
      </c>
      <c r="D41" s="2">
        <v>0</v>
      </c>
      <c r="E41" s="2" t="s">
        <v>72</v>
      </c>
      <c r="F41" s="20">
        <f t="shared" si="2"/>
        <v>0</v>
      </c>
      <c r="G41" s="2" t="s">
        <v>73</v>
      </c>
    </row>
    <row r="42" spans="1:11" ht="15.75" customHeight="1" x14ac:dyDescent="0.15">
      <c r="A42" s="8" t="s">
        <v>35</v>
      </c>
      <c r="B42" s="12">
        <f t="shared" si="1"/>
        <v>1.4976</v>
      </c>
      <c r="C42" s="2" t="s">
        <v>29</v>
      </c>
      <c r="D42" s="2">
        <v>90.535499999999999</v>
      </c>
      <c r="E42" s="2" t="s">
        <v>72</v>
      </c>
      <c r="F42" s="20">
        <f t="shared" si="2"/>
        <v>135.5859648</v>
      </c>
      <c r="G42" s="2" t="s">
        <v>73</v>
      </c>
    </row>
    <row r="43" spans="1:11" ht="15.75" customHeight="1" x14ac:dyDescent="0.15">
      <c r="A43" s="8" t="s">
        <v>36</v>
      </c>
      <c r="B43" s="12">
        <f t="shared" si="1"/>
        <v>0.108</v>
      </c>
      <c r="C43" s="2" t="s">
        <v>29</v>
      </c>
      <c r="D43" s="2">
        <v>70.271100000000004</v>
      </c>
      <c r="E43" s="2" t="s">
        <v>72</v>
      </c>
      <c r="F43" s="20">
        <f t="shared" si="2"/>
        <v>7.5892788000000007</v>
      </c>
      <c r="G43" s="2" t="s">
        <v>73</v>
      </c>
    </row>
    <row r="44" spans="1:11" ht="15.75" customHeight="1" x14ac:dyDescent="0.15">
      <c r="A44" s="8" t="s">
        <v>37</v>
      </c>
      <c r="B44" s="12">
        <f t="shared" si="1"/>
        <v>0.19980000000000001</v>
      </c>
      <c r="C44" s="2" t="s">
        <v>29</v>
      </c>
      <c r="E44" s="2" t="s">
        <v>72</v>
      </c>
      <c r="F44" s="20">
        <f t="shared" si="2"/>
        <v>0</v>
      </c>
      <c r="G44" s="2" t="s">
        <v>73</v>
      </c>
    </row>
    <row r="45" spans="1:11" ht="15.75" customHeight="1" x14ac:dyDescent="0.15">
      <c r="A45" s="8" t="s">
        <v>38</v>
      </c>
      <c r="B45" s="12">
        <f t="shared" si="1"/>
        <v>2.997E-2</v>
      </c>
      <c r="C45" s="2" t="s">
        <v>29</v>
      </c>
      <c r="E45" s="2" t="s">
        <v>72</v>
      </c>
      <c r="F45" s="20">
        <f t="shared" si="2"/>
        <v>0</v>
      </c>
      <c r="G45" s="2" t="s">
        <v>73</v>
      </c>
    </row>
    <row r="46" spans="1:11" ht="13" x14ac:dyDescent="0.15">
      <c r="A46" s="2"/>
    </row>
  </sheetData>
  <mergeCells count="3">
    <mergeCell ref="A28:B28"/>
    <mergeCell ref="B38:C38"/>
    <mergeCell ref="D38:E38"/>
  </mergeCells>
  <hyperlinks>
    <hyperlink ref="F3" r:id="rId1" xr:uid="{00000000-0004-0000-0100-000000000000}"/>
    <hyperlink ref="F6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7" r:id="rId9" xr:uid="{00000000-0004-0000-0100-000008000000}"/>
    <hyperlink ref="M28" r:id="rId10" xr:uid="{00000000-0004-0000-0100-000009000000}"/>
    <hyperlink ref="M31" r:id="rId11" xr:uid="{00000000-0004-0000-0100-00000A000000}"/>
    <hyperlink ref="M32" r:id="rId12" xr:uid="{00000000-0004-0000-0100-00000B000000}"/>
  </hyperlinks>
  <pageMargins left="0.7" right="0.7" top="0.75" bottom="0.75" header="0.3" footer="0.3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6"/>
  <sheetViews>
    <sheetView topLeftCell="A17" workbookViewId="0">
      <selection activeCell="A48" sqref="A48"/>
    </sheetView>
  </sheetViews>
  <sheetFormatPr baseColWidth="10" defaultColWidth="14.5" defaultRowHeight="15.75" customHeight="1" x14ac:dyDescent="0.15"/>
  <cols>
    <col min="1" max="1" width="56.33203125" customWidth="1"/>
    <col min="4" max="4" width="15.5" customWidth="1"/>
    <col min="8" max="8" width="15.33203125" customWidth="1"/>
  </cols>
  <sheetData>
    <row r="1" spans="1:9" ht="15.75" customHeight="1" x14ac:dyDescent="0.15">
      <c r="A1" s="3" t="s">
        <v>0</v>
      </c>
      <c r="B1" s="4" t="s">
        <v>10</v>
      </c>
      <c r="C1" s="4" t="s">
        <v>11</v>
      </c>
      <c r="D1" s="29" t="s">
        <v>12</v>
      </c>
      <c r="E1" s="4" t="s">
        <v>11</v>
      </c>
      <c r="F1" s="4" t="s">
        <v>13</v>
      </c>
      <c r="G1" s="4" t="s">
        <v>14</v>
      </c>
      <c r="H1" s="4" t="s">
        <v>15</v>
      </c>
      <c r="I1" s="4" t="s">
        <v>16</v>
      </c>
    </row>
    <row r="2" spans="1:9" ht="15.75" customHeight="1" x14ac:dyDescent="0.15">
      <c r="A2" s="30" t="s">
        <v>74</v>
      </c>
      <c r="B2" s="31"/>
      <c r="C2" s="31"/>
      <c r="D2" s="31"/>
      <c r="E2" s="31"/>
      <c r="F2" s="31"/>
      <c r="G2" s="31"/>
      <c r="H2" s="31"/>
    </row>
    <row r="3" spans="1:9" ht="15.75" customHeight="1" x14ac:dyDescent="0.15">
      <c r="A3" s="8" t="s">
        <v>1</v>
      </c>
      <c r="B3" s="2">
        <v>0.9</v>
      </c>
      <c r="C3" s="2" t="s">
        <v>18</v>
      </c>
      <c r="F3" s="9" t="s">
        <v>19</v>
      </c>
      <c r="G3" s="10">
        <v>44495</v>
      </c>
      <c r="H3" s="2" t="s">
        <v>20</v>
      </c>
    </row>
    <row r="4" spans="1:9" ht="15.75" customHeight="1" x14ac:dyDescent="0.15">
      <c r="A4" s="11" t="s">
        <v>2</v>
      </c>
    </row>
    <row r="5" spans="1:9" ht="15.75" customHeight="1" x14ac:dyDescent="0.15">
      <c r="A5" s="8" t="s">
        <v>3</v>
      </c>
    </row>
    <row r="6" spans="1:9" ht="15.75" customHeight="1" x14ac:dyDescent="0.15">
      <c r="A6" s="8" t="s">
        <v>4</v>
      </c>
      <c r="B6" s="2">
        <v>374</v>
      </c>
      <c r="C6" s="2" t="s">
        <v>75</v>
      </c>
      <c r="D6" s="32">
        <f>ROUND(B6/1.35,2)</f>
        <v>277.04000000000002</v>
      </c>
      <c r="E6" s="2" t="s">
        <v>22</v>
      </c>
      <c r="F6" s="13" t="s">
        <v>76</v>
      </c>
      <c r="G6" s="10">
        <v>44495</v>
      </c>
      <c r="H6" s="2" t="s">
        <v>77</v>
      </c>
      <c r="I6" s="2" t="s">
        <v>78</v>
      </c>
    </row>
    <row r="7" spans="1:9" ht="15.75" customHeight="1" x14ac:dyDescent="0.15">
      <c r="A7" s="8" t="s">
        <v>5</v>
      </c>
      <c r="B7" s="14">
        <v>19.600000000000001</v>
      </c>
      <c r="C7" s="2" t="s">
        <v>25</v>
      </c>
      <c r="D7" s="12">
        <f>B7</f>
        <v>19.600000000000001</v>
      </c>
      <c r="E7" s="2" t="s">
        <v>22</v>
      </c>
    </row>
    <row r="8" spans="1:9" ht="15.75" customHeight="1" x14ac:dyDescent="0.15">
      <c r="A8" s="30" t="s">
        <v>26</v>
      </c>
      <c r="B8" s="31"/>
      <c r="C8" s="31"/>
      <c r="D8" s="31"/>
      <c r="E8" s="31"/>
      <c r="F8" s="31"/>
      <c r="G8" s="31"/>
      <c r="H8" s="31"/>
    </row>
    <row r="9" spans="1:9" ht="15.75" customHeight="1" x14ac:dyDescent="0.15">
      <c r="A9" s="8" t="s">
        <v>27</v>
      </c>
      <c r="B9" s="2">
        <v>83</v>
      </c>
      <c r="C9" s="2" t="s">
        <v>28</v>
      </c>
      <c r="D9" s="33">
        <f t="shared" ref="D9:D15" si="0">B9*3.6/1000</f>
        <v>0.29880000000000001</v>
      </c>
      <c r="E9" s="2" t="s">
        <v>29</v>
      </c>
      <c r="F9" s="9" t="s">
        <v>30</v>
      </c>
      <c r="G9" s="10">
        <v>44502</v>
      </c>
      <c r="H9" s="2" t="s">
        <v>31</v>
      </c>
    </row>
    <row r="10" spans="1:9" ht="15.75" customHeight="1" x14ac:dyDescent="0.15">
      <c r="A10" s="8" t="s">
        <v>33</v>
      </c>
      <c r="B10" s="2">
        <v>167</v>
      </c>
      <c r="C10" s="2" t="s">
        <v>28</v>
      </c>
      <c r="D10" s="33">
        <f t="shared" si="0"/>
        <v>0.60120000000000007</v>
      </c>
      <c r="E10" s="2" t="s">
        <v>29</v>
      </c>
      <c r="F10" s="9" t="s">
        <v>30</v>
      </c>
      <c r="G10" s="10">
        <v>44502</v>
      </c>
      <c r="H10" s="2" t="s">
        <v>31</v>
      </c>
    </row>
    <row r="11" spans="1:9" ht="15.75" customHeight="1" x14ac:dyDescent="0.15">
      <c r="A11" s="34" t="s">
        <v>34</v>
      </c>
      <c r="B11" s="35">
        <f>98*29.4/3.9</f>
        <v>738.76923076923072</v>
      </c>
      <c r="C11" s="2" t="s">
        <v>28</v>
      </c>
      <c r="D11" s="33">
        <f t="shared" si="0"/>
        <v>2.6595692307692307</v>
      </c>
      <c r="E11" s="2" t="s">
        <v>29</v>
      </c>
      <c r="F11" s="9" t="s">
        <v>30</v>
      </c>
      <c r="G11" s="10">
        <v>44502</v>
      </c>
      <c r="H11" s="2" t="s">
        <v>79</v>
      </c>
    </row>
    <row r="12" spans="1:9" ht="15.75" customHeight="1" x14ac:dyDescent="0.15">
      <c r="A12" s="8" t="s">
        <v>35</v>
      </c>
      <c r="B12" s="2">
        <v>416</v>
      </c>
      <c r="C12" s="2" t="s">
        <v>28</v>
      </c>
      <c r="D12" s="33">
        <f t="shared" si="0"/>
        <v>1.4976</v>
      </c>
      <c r="E12" s="2" t="s">
        <v>29</v>
      </c>
      <c r="F12" s="9" t="s">
        <v>30</v>
      </c>
      <c r="G12" s="10">
        <v>44502</v>
      </c>
      <c r="H12" s="2" t="s">
        <v>31</v>
      </c>
    </row>
    <row r="13" spans="1:9" ht="15.75" customHeight="1" x14ac:dyDescent="0.15">
      <c r="A13" s="8" t="s">
        <v>36</v>
      </c>
      <c r="B13" s="15">
        <v>30</v>
      </c>
      <c r="C13" s="2" t="s">
        <v>28</v>
      </c>
      <c r="D13" s="33">
        <f t="shared" si="0"/>
        <v>0.108</v>
      </c>
      <c r="E13" s="2" t="s">
        <v>29</v>
      </c>
      <c r="F13" s="9" t="s">
        <v>30</v>
      </c>
      <c r="G13" s="10">
        <v>44502</v>
      </c>
      <c r="H13" s="2" t="s">
        <v>31</v>
      </c>
    </row>
    <row r="14" spans="1:9" ht="15.75" customHeight="1" x14ac:dyDescent="0.15">
      <c r="A14" s="8" t="s">
        <v>37</v>
      </c>
      <c r="B14" s="2">
        <v>111</v>
      </c>
      <c r="C14" s="2" t="s">
        <v>28</v>
      </c>
      <c r="D14" s="33">
        <f t="shared" si="0"/>
        <v>0.39960000000000001</v>
      </c>
      <c r="E14" s="2" t="s">
        <v>29</v>
      </c>
      <c r="F14" s="9" t="s">
        <v>30</v>
      </c>
      <c r="G14" s="10">
        <v>44502</v>
      </c>
      <c r="H14" s="2" t="s">
        <v>31</v>
      </c>
    </row>
    <row r="15" spans="1:9" ht="15.75" customHeight="1" x14ac:dyDescent="0.15">
      <c r="A15" s="8" t="s">
        <v>38</v>
      </c>
      <c r="D15" s="19">
        <f t="shared" si="0"/>
        <v>0</v>
      </c>
      <c r="G15" s="10"/>
    </row>
    <row r="16" spans="1:9" ht="15.75" customHeight="1" x14ac:dyDescent="0.15">
      <c r="A16" s="18"/>
    </row>
    <row r="17" spans="1:8" ht="15.75" customHeight="1" x14ac:dyDescent="0.15">
      <c r="A17" s="8" t="s">
        <v>6</v>
      </c>
      <c r="B17" s="14">
        <v>25</v>
      </c>
      <c r="F17" s="9" t="s">
        <v>19</v>
      </c>
      <c r="G17" s="10">
        <v>44495</v>
      </c>
      <c r="H17" s="2" t="s">
        <v>20</v>
      </c>
    </row>
    <row r="18" spans="1:8" ht="15.75" customHeight="1" x14ac:dyDescent="0.15">
      <c r="A18" s="8" t="s">
        <v>7</v>
      </c>
      <c r="B18" s="2">
        <v>1</v>
      </c>
      <c r="G18" s="10"/>
    </row>
    <row r="19" spans="1:8" ht="15.75" customHeight="1" x14ac:dyDescent="0.15">
      <c r="A19" s="8" t="s">
        <v>8</v>
      </c>
    </row>
    <row r="20" spans="1:8" ht="15.75" customHeight="1" x14ac:dyDescent="0.15">
      <c r="A20" s="8" t="s">
        <v>9</v>
      </c>
      <c r="B20" s="12">
        <f>101.5-29.4-39.4-19.6-4.2</f>
        <v>8.899999999999995</v>
      </c>
      <c r="C20" s="2" t="s">
        <v>25</v>
      </c>
      <c r="F20" s="2" t="s">
        <v>40</v>
      </c>
      <c r="G20" s="10">
        <v>44495</v>
      </c>
      <c r="H20" s="2" t="s">
        <v>80</v>
      </c>
    </row>
    <row r="21" spans="1:8" ht="15.75" customHeight="1" x14ac:dyDescent="0.15">
      <c r="A21" s="8" t="s">
        <v>81</v>
      </c>
    </row>
    <row r="22" spans="1:8" ht="15.75" customHeight="1" x14ac:dyDescent="0.15">
      <c r="A22" s="18"/>
      <c r="G22" s="10"/>
    </row>
    <row r="23" spans="1:8" ht="15.75" customHeight="1" x14ac:dyDescent="0.15">
      <c r="A23" s="8" t="s">
        <v>42</v>
      </c>
    </row>
    <row r="24" spans="1:8" ht="15.75" customHeight="1" x14ac:dyDescent="0.15">
      <c r="A24" s="8" t="s">
        <v>82</v>
      </c>
      <c r="B24" s="19">
        <f>B32-B36-B33</f>
        <v>-145.27177666000003</v>
      </c>
      <c r="C24" s="2" t="s">
        <v>83</v>
      </c>
      <c r="D24" s="20">
        <f>B24</f>
        <v>-145.27177666000003</v>
      </c>
      <c r="E24" s="2" t="s">
        <v>84</v>
      </c>
      <c r="F24" s="2" t="s">
        <v>40</v>
      </c>
      <c r="G24" s="10">
        <v>44495</v>
      </c>
      <c r="H24" s="2" t="s">
        <v>43</v>
      </c>
    </row>
    <row r="25" spans="1:8" ht="15.75" customHeight="1" x14ac:dyDescent="0.15">
      <c r="A25" s="8" t="s">
        <v>85</v>
      </c>
    </row>
    <row r="27" spans="1:8" ht="15.75" customHeight="1" x14ac:dyDescent="0.15">
      <c r="A27" s="55" t="s">
        <v>49</v>
      </c>
      <c r="B27" s="56"/>
    </row>
    <row r="28" spans="1:8" ht="15.75" customHeight="1" x14ac:dyDescent="0.15">
      <c r="A28" s="23" t="s">
        <v>53</v>
      </c>
      <c r="B28" s="24">
        <v>0.73699999999999999</v>
      </c>
      <c r="C28" s="2" t="s">
        <v>54</v>
      </c>
    </row>
    <row r="29" spans="1:8" ht="15.75" customHeight="1" x14ac:dyDescent="0.15">
      <c r="A29" s="2" t="s">
        <v>56</v>
      </c>
      <c r="B29" s="2">
        <v>850417</v>
      </c>
      <c r="C29" s="2" t="s">
        <v>57</v>
      </c>
    </row>
    <row r="30" spans="1:8" ht="15.75" customHeight="1" x14ac:dyDescent="0.15">
      <c r="A30" s="2" t="s">
        <v>61</v>
      </c>
      <c r="B30" s="2">
        <v>1</v>
      </c>
      <c r="C30" s="2" t="s">
        <v>62</v>
      </c>
    </row>
    <row r="32" spans="1:8" ht="15.75" customHeight="1" x14ac:dyDescent="0.15">
      <c r="A32" s="2" t="s">
        <v>86</v>
      </c>
      <c r="B32" s="20">
        <f>B29*B28/B30/1000</f>
        <v>626.75732900000003</v>
      </c>
      <c r="C32" s="2" t="s">
        <v>45</v>
      </c>
    </row>
    <row r="33" spans="1:7" ht="15.75" customHeight="1" x14ac:dyDescent="0.15">
      <c r="A33" s="2" t="s">
        <v>87</v>
      </c>
      <c r="B33" s="20">
        <f>SUM(F39:F45)</f>
        <v>207.94750955999999</v>
      </c>
      <c r="C33" s="2" t="s">
        <v>45</v>
      </c>
    </row>
    <row r="34" spans="1:7" ht="15.75" customHeight="1" x14ac:dyDescent="0.15">
      <c r="A34" s="2" t="s">
        <v>88</v>
      </c>
      <c r="B34" s="20">
        <f>B32-B33</f>
        <v>418.80981944000007</v>
      </c>
      <c r="C34" s="2" t="s">
        <v>45</v>
      </c>
    </row>
    <row r="35" spans="1:7" ht="15.75" customHeight="1" x14ac:dyDescent="0.15">
      <c r="A35" s="2" t="s">
        <v>89</v>
      </c>
      <c r="B35" s="22">
        <v>0.9</v>
      </c>
    </row>
    <row r="36" spans="1:7" ht="15.75" customHeight="1" x14ac:dyDescent="0.15">
      <c r="A36" s="2" t="s">
        <v>90</v>
      </c>
      <c r="B36" s="20">
        <f>B35*B32</f>
        <v>564.08159610000007</v>
      </c>
      <c r="C36" s="2" t="s">
        <v>45</v>
      </c>
    </row>
    <row r="37" spans="1:7" ht="15.75" customHeight="1" x14ac:dyDescent="0.15">
      <c r="B37" s="20">
        <f>B32-B36</f>
        <v>62.675732899999957</v>
      </c>
    </row>
    <row r="38" spans="1:7" ht="15.75" customHeight="1" x14ac:dyDescent="0.15">
      <c r="B38" s="57" t="s">
        <v>70</v>
      </c>
      <c r="C38" s="56"/>
      <c r="D38" s="57" t="s">
        <v>71</v>
      </c>
      <c r="E38" s="56"/>
    </row>
    <row r="39" spans="1:7" ht="15.75" customHeight="1" x14ac:dyDescent="0.15">
      <c r="A39" s="8" t="s">
        <v>27</v>
      </c>
      <c r="B39" s="36">
        <f t="shared" ref="B39:B45" si="1">D9</f>
        <v>0.29880000000000001</v>
      </c>
      <c r="C39" s="2" t="s">
        <v>29</v>
      </c>
      <c r="D39" s="2">
        <v>0</v>
      </c>
      <c r="E39" s="2" t="s">
        <v>72</v>
      </c>
      <c r="F39" s="20">
        <f t="shared" ref="F39:F45" si="2">B39*D39</f>
        <v>0</v>
      </c>
      <c r="G39" s="2" t="s">
        <v>73</v>
      </c>
    </row>
    <row r="40" spans="1:7" ht="15.75" customHeight="1" x14ac:dyDescent="0.15">
      <c r="A40" s="8" t="s">
        <v>33</v>
      </c>
      <c r="B40" s="36">
        <f t="shared" si="1"/>
        <v>0.60120000000000007</v>
      </c>
      <c r="C40" s="2" t="s">
        <v>29</v>
      </c>
      <c r="D40" s="2">
        <v>107.7383</v>
      </c>
      <c r="E40" s="2" t="s">
        <v>72</v>
      </c>
      <c r="F40" s="20">
        <f t="shared" si="2"/>
        <v>64.772265959999999</v>
      </c>
      <c r="G40" s="2" t="s">
        <v>73</v>
      </c>
    </row>
    <row r="41" spans="1:7" ht="15.75" customHeight="1" x14ac:dyDescent="0.15">
      <c r="A41" s="8" t="s">
        <v>34</v>
      </c>
      <c r="B41" s="36">
        <f t="shared" si="1"/>
        <v>2.6595692307692307</v>
      </c>
      <c r="C41" s="2" t="s">
        <v>29</v>
      </c>
      <c r="D41" s="2">
        <v>0</v>
      </c>
      <c r="E41" s="2" t="s">
        <v>72</v>
      </c>
      <c r="F41" s="20">
        <f t="shared" si="2"/>
        <v>0</v>
      </c>
      <c r="G41" s="2" t="s">
        <v>73</v>
      </c>
    </row>
    <row r="42" spans="1:7" ht="15.75" customHeight="1" x14ac:dyDescent="0.15">
      <c r="A42" s="8" t="s">
        <v>35</v>
      </c>
      <c r="B42" s="36">
        <f t="shared" si="1"/>
        <v>1.4976</v>
      </c>
      <c r="C42" s="2" t="s">
        <v>29</v>
      </c>
      <c r="D42" s="2">
        <v>90.535499999999999</v>
      </c>
      <c r="E42" s="2" t="s">
        <v>72</v>
      </c>
      <c r="F42" s="20">
        <f t="shared" si="2"/>
        <v>135.5859648</v>
      </c>
      <c r="G42" s="2" t="s">
        <v>73</v>
      </c>
    </row>
    <row r="43" spans="1:7" ht="15.75" customHeight="1" x14ac:dyDescent="0.15">
      <c r="A43" s="8" t="s">
        <v>36</v>
      </c>
      <c r="B43" s="36">
        <f t="shared" si="1"/>
        <v>0.108</v>
      </c>
      <c r="C43" s="2" t="s">
        <v>29</v>
      </c>
      <c r="D43" s="2">
        <v>70.271100000000004</v>
      </c>
      <c r="E43" s="2" t="s">
        <v>72</v>
      </c>
      <c r="F43" s="20">
        <f t="shared" si="2"/>
        <v>7.5892788000000007</v>
      </c>
      <c r="G43" s="2" t="s">
        <v>73</v>
      </c>
    </row>
    <row r="44" spans="1:7" ht="15.75" customHeight="1" x14ac:dyDescent="0.15">
      <c r="A44" s="8" t="s">
        <v>37</v>
      </c>
      <c r="B44" s="36">
        <f t="shared" si="1"/>
        <v>0.39960000000000001</v>
      </c>
      <c r="C44" s="2" t="s">
        <v>29</v>
      </c>
      <c r="E44" s="2" t="s">
        <v>72</v>
      </c>
      <c r="F44" s="20">
        <f t="shared" si="2"/>
        <v>0</v>
      </c>
      <c r="G44" s="2" t="s">
        <v>73</v>
      </c>
    </row>
    <row r="45" spans="1:7" ht="15.75" customHeight="1" x14ac:dyDescent="0.15">
      <c r="A45" s="8" t="s">
        <v>38</v>
      </c>
      <c r="B45" s="20">
        <f t="shared" si="1"/>
        <v>0</v>
      </c>
      <c r="C45" s="2" t="s">
        <v>29</v>
      </c>
      <c r="E45" s="2" t="s">
        <v>72</v>
      </c>
      <c r="F45" s="20">
        <f t="shared" si="2"/>
        <v>0</v>
      </c>
      <c r="G45" s="2" t="s">
        <v>73</v>
      </c>
    </row>
    <row r="48" spans="1:7" ht="13" x14ac:dyDescent="0.15">
      <c r="A48" s="21" t="s">
        <v>91</v>
      </c>
    </row>
    <row r="49" spans="1:2" ht="13" x14ac:dyDescent="0.15">
      <c r="A49" s="2" t="s">
        <v>40</v>
      </c>
      <c r="B49" s="9" t="s">
        <v>92</v>
      </c>
    </row>
    <row r="50" spans="1:2" ht="13" x14ac:dyDescent="0.15">
      <c r="A50" s="2" t="s">
        <v>93</v>
      </c>
      <c r="B50" s="9" t="s">
        <v>19</v>
      </c>
    </row>
    <row r="51" spans="1:2" ht="13" x14ac:dyDescent="0.15">
      <c r="A51" s="2" t="s">
        <v>94</v>
      </c>
      <c r="B51" s="9" t="s">
        <v>30</v>
      </c>
    </row>
    <row r="52" spans="1:2" ht="13" x14ac:dyDescent="0.15">
      <c r="A52" s="2" t="s">
        <v>95</v>
      </c>
      <c r="B52" s="9" t="s">
        <v>96</v>
      </c>
    </row>
    <row r="53" spans="1:2" ht="13" x14ac:dyDescent="0.15">
      <c r="A53" s="2" t="s">
        <v>97</v>
      </c>
      <c r="B53" s="9" t="s">
        <v>98</v>
      </c>
    </row>
    <row r="54" spans="1:2" ht="13" x14ac:dyDescent="0.15">
      <c r="A54" s="2" t="s">
        <v>99</v>
      </c>
      <c r="B54" s="9" t="s">
        <v>100</v>
      </c>
    </row>
    <row r="55" spans="1:2" ht="13" x14ac:dyDescent="0.15">
      <c r="A55" s="2" t="s">
        <v>101</v>
      </c>
      <c r="B55" s="9" t="s">
        <v>102</v>
      </c>
    </row>
    <row r="56" spans="1:2" ht="13" x14ac:dyDescent="0.15">
      <c r="A56" s="2" t="s">
        <v>103</v>
      </c>
      <c r="B56" s="9" t="s">
        <v>104</v>
      </c>
    </row>
  </sheetData>
  <mergeCells count="3">
    <mergeCell ref="A27:B27"/>
    <mergeCell ref="B38:C38"/>
    <mergeCell ref="D38:E38"/>
  </mergeCells>
  <hyperlinks>
    <hyperlink ref="F3" r:id="rId1" xr:uid="{00000000-0004-0000-0200-000000000000}"/>
    <hyperlink ref="F6" r:id="rId2" xr:uid="{00000000-0004-0000-0200-000001000000}"/>
    <hyperlink ref="F9" r:id="rId3" xr:uid="{00000000-0004-0000-0200-000002000000}"/>
    <hyperlink ref="F10" r:id="rId4" xr:uid="{00000000-0004-0000-0200-000003000000}"/>
    <hyperlink ref="F11" r:id="rId5" xr:uid="{00000000-0004-0000-0200-000004000000}"/>
    <hyperlink ref="F12" r:id="rId6" xr:uid="{00000000-0004-0000-0200-000005000000}"/>
    <hyperlink ref="F13" r:id="rId7" xr:uid="{00000000-0004-0000-0200-000006000000}"/>
    <hyperlink ref="F14" r:id="rId8" xr:uid="{00000000-0004-0000-0200-000007000000}"/>
    <hyperlink ref="F17" r:id="rId9" xr:uid="{00000000-0004-0000-0200-000008000000}"/>
    <hyperlink ref="B49" r:id="rId10" xr:uid="{00000000-0004-0000-0200-000009000000}"/>
    <hyperlink ref="B50" r:id="rId11" xr:uid="{00000000-0004-0000-0200-00000A000000}"/>
    <hyperlink ref="B51" r:id="rId12" xr:uid="{00000000-0004-0000-0200-00000B000000}"/>
    <hyperlink ref="B52" r:id="rId13" xr:uid="{00000000-0004-0000-0200-00000C000000}"/>
    <hyperlink ref="B53" r:id="rId14" location="bbib8" xr:uid="{00000000-0004-0000-0200-00000D000000}"/>
    <hyperlink ref="B54" r:id="rId15" xr:uid="{00000000-0004-0000-0200-00000E000000}"/>
    <hyperlink ref="B55" r:id="rId16" xr:uid="{00000000-0004-0000-0200-00000F000000}"/>
    <hyperlink ref="B56" r:id="rId17" xr:uid="{00000000-0004-0000-0200-000010000000}"/>
  </hyperlinks>
  <pageMargins left="0.7" right="0.7" top="0.75" bottom="0.75" header="0.3" footer="0.3"/>
  <legacy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42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5.6640625" customWidth="1"/>
    <col min="4" max="4" width="15.5" customWidth="1"/>
  </cols>
  <sheetData>
    <row r="1" spans="1:15" ht="15.75" customHeight="1" x14ac:dyDescent="0.15">
      <c r="A1" s="3" t="s">
        <v>0</v>
      </c>
      <c r="B1" s="4" t="s">
        <v>10</v>
      </c>
      <c r="C1" s="4" t="s">
        <v>11</v>
      </c>
      <c r="D1" s="37" t="s">
        <v>12</v>
      </c>
      <c r="E1" s="4" t="s">
        <v>11</v>
      </c>
      <c r="F1" s="4" t="s">
        <v>13</v>
      </c>
      <c r="G1" s="4" t="s">
        <v>14</v>
      </c>
      <c r="H1" s="4" t="s">
        <v>15</v>
      </c>
      <c r="I1" s="4" t="s">
        <v>16</v>
      </c>
    </row>
    <row r="2" spans="1:15" ht="15.75" customHeight="1" x14ac:dyDescent="0.15">
      <c r="A2" s="38" t="s">
        <v>105</v>
      </c>
      <c r="B2" s="39"/>
      <c r="C2" s="39"/>
      <c r="D2" s="39"/>
      <c r="E2" s="39"/>
      <c r="F2" s="39"/>
      <c r="G2" s="39"/>
      <c r="H2" s="39"/>
    </row>
    <row r="3" spans="1:15" ht="15.75" customHeight="1" x14ac:dyDescent="0.15">
      <c r="A3" s="8" t="s">
        <v>1</v>
      </c>
      <c r="B3" s="2">
        <v>0.9</v>
      </c>
      <c r="C3" s="2" t="s">
        <v>18</v>
      </c>
      <c r="F3" s="9" t="s">
        <v>19</v>
      </c>
      <c r="G3" s="10">
        <v>44495</v>
      </c>
      <c r="H3" s="2" t="s">
        <v>20</v>
      </c>
    </row>
    <row r="4" spans="1:15" ht="15.75" customHeight="1" x14ac:dyDescent="0.15">
      <c r="A4" s="8" t="s">
        <v>2</v>
      </c>
    </row>
    <row r="5" spans="1:15" ht="15.75" customHeight="1" x14ac:dyDescent="0.15">
      <c r="A5" s="8" t="s">
        <v>3</v>
      </c>
    </row>
    <row r="6" spans="1:15" ht="15.75" customHeight="1" x14ac:dyDescent="0.15">
      <c r="A6" s="8" t="s">
        <v>4</v>
      </c>
      <c r="B6" s="2">
        <v>303.8</v>
      </c>
      <c r="C6" s="2" t="s">
        <v>21</v>
      </c>
      <c r="D6" s="12">
        <f>ROUND(B6/1.35,1)</f>
        <v>225</v>
      </c>
      <c r="E6" s="2" t="s">
        <v>22</v>
      </c>
      <c r="F6" s="13" t="s">
        <v>106</v>
      </c>
      <c r="G6" s="10">
        <v>44495</v>
      </c>
      <c r="H6" s="2" t="s">
        <v>107</v>
      </c>
    </row>
    <row r="7" spans="1:15" ht="15.75" customHeight="1" x14ac:dyDescent="0.15">
      <c r="A7" s="8" t="s">
        <v>5</v>
      </c>
      <c r="B7" s="14">
        <v>7.3</v>
      </c>
      <c r="C7" s="2" t="s">
        <v>25</v>
      </c>
      <c r="D7" s="12">
        <f>B7</f>
        <v>7.3</v>
      </c>
      <c r="E7" s="2" t="s">
        <v>22</v>
      </c>
    </row>
    <row r="8" spans="1:15" ht="15.75" customHeight="1" x14ac:dyDescent="0.15">
      <c r="A8" s="38" t="s">
        <v>26</v>
      </c>
      <c r="B8" s="39"/>
      <c r="C8" s="39"/>
      <c r="D8" s="39"/>
      <c r="E8" s="39"/>
      <c r="F8" s="39"/>
      <c r="G8" s="39"/>
      <c r="H8" s="39"/>
    </row>
    <row r="9" spans="1:15" ht="15.75" customHeight="1" x14ac:dyDescent="0.15">
      <c r="A9" s="8" t="s">
        <v>27</v>
      </c>
      <c r="B9" s="2">
        <v>0</v>
      </c>
      <c r="D9" s="2">
        <v>0</v>
      </c>
      <c r="E9" s="2" t="s">
        <v>29</v>
      </c>
      <c r="G9" s="10"/>
    </row>
    <row r="10" spans="1:15" ht="15.75" customHeight="1" x14ac:dyDescent="0.15">
      <c r="A10" s="8" t="s">
        <v>33</v>
      </c>
      <c r="B10" s="2">
        <v>0</v>
      </c>
      <c r="D10" s="2">
        <v>0</v>
      </c>
      <c r="E10" s="2" t="s">
        <v>29</v>
      </c>
      <c r="G10" s="10"/>
    </row>
    <row r="11" spans="1:15" ht="15.75" customHeight="1" x14ac:dyDescent="0.15">
      <c r="A11" s="8" t="s">
        <v>34</v>
      </c>
      <c r="B11" s="2">
        <v>4.4000000000000004</v>
      </c>
      <c r="C11" s="2" t="s">
        <v>108</v>
      </c>
      <c r="D11" s="40">
        <f>ROUND(B11/1.35,1)</f>
        <v>3.3</v>
      </c>
      <c r="E11" s="2" t="s">
        <v>29</v>
      </c>
      <c r="F11" s="2" t="s">
        <v>40</v>
      </c>
      <c r="G11" s="10">
        <v>44495</v>
      </c>
      <c r="H11" s="2" t="s">
        <v>109</v>
      </c>
      <c r="J11" s="2">
        <v>1250</v>
      </c>
      <c r="K11" s="2" t="s">
        <v>110</v>
      </c>
      <c r="L11" s="12">
        <f>J11*3.6/1000</f>
        <v>4.5</v>
      </c>
      <c r="M11" s="2" t="s">
        <v>111</v>
      </c>
      <c r="N11" s="12">
        <f>L11*0.737</f>
        <v>3.3165</v>
      </c>
      <c r="O11" s="2" t="s">
        <v>112</v>
      </c>
    </row>
    <row r="12" spans="1:15" ht="15.75" customHeight="1" x14ac:dyDescent="0.15">
      <c r="A12" s="8" t="s">
        <v>35</v>
      </c>
      <c r="B12" s="2">
        <v>0</v>
      </c>
      <c r="D12" s="2">
        <v>0</v>
      </c>
      <c r="E12" s="2" t="s">
        <v>29</v>
      </c>
      <c r="G12" s="10"/>
    </row>
    <row r="13" spans="1:15" ht="15.75" customHeight="1" x14ac:dyDescent="0.15">
      <c r="A13" s="8" t="s">
        <v>36</v>
      </c>
      <c r="B13" s="2">
        <v>0</v>
      </c>
      <c r="D13" s="2">
        <v>0</v>
      </c>
      <c r="E13" s="2" t="s">
        <v>29</v>
      </c>
    </row>
    <row r="14" spans="1:15" ht="15.75" customHeight="1" x14ac:dyDescent="0.15">
      <c r="A14" s="8" t="s">
        <v>37</v>
      </c>
      <c r="B14" s="2">
        <v>0</v>
      </c>
      <c r="D14" s="2">
        <v>0</v>
      </c>
      <c r="E14" s="2" t="s">
        <v>29</v>
      </c>
      <c r="G14" s="10"/>
    </row>
    <row r="15" spans="1:15" ht="15.75" customHeight="1" x14ac:dyDescent="0.15">
      <c r="A15" s="8" t="s">
        <v>38</v>
      </c>
      <c r="B15" s="2">
        <v>0</v>
      </c>
      <c r="D15" s="2">
        <v>0</v>
      </c>
      <c r="E15" s="2" t="s">
        <v>29</v>
      </c>
      <c r="G15" s="10"/>
    </row>
    <row r="16" spans="1:15" ht="15.75" customHeight="1" x14ac:dyDescent="0.15">
      <c r="A16" s="18"/>
    </row>
    <row r="17" spans="1:8" ht="15.75" customHeight="1" x14ac:dyDescent="0.15">
      <c r="A17" s="8" t="s">
        <v>6</v>
      </c>
      <c r="B17" s="14">
        <v>25</v>
      </c>
      <c r="F17" s="9" t="s">
        <v>19</v>
      </c>
      <c r="G17" s="10">
        <v>44495</v>
      </c>
      <c r="H17" s="2" t="s">
        <v>20</v>
      </c>
    </row>
    <row r="18" spans="1:8" ht="15.75" customHeight="1" x14ac:dyDescent="0.15">
      <c r="A18" s="8" t="s">
        <v>7</v>
      </c>
      <c r="B18" s="2">
        <v>1</v>
      </c>
      <c r="G18" s="10"/>
    </row>
    <row r="19" spans="1:8" ht="15.75" customHeight="1" x14ac:dyDescent="0.15">
      <c r="A19" s="8" t="s">
        <v>8</v>
      </c>
    </row>
    <row r="20" spans="1:8" ht="15.75" customHeight="1" x14ac:dyDescent="0.15">
      <c r="A20" s="8" t="s">
        <v>9</v>
      </c>
      <c r="B20" s="12">
        <f>100-41.7-32-19.1</f>
        <v>7.1999999999999957</v>
      </c>
      <c r="C20" s="2" t="s">
        <v>25</v>
      </c>
      <c r="D20" s="12">
        <f>B20</f>
        <v>7.1999999999999957</v>
      </c>
      <c r="E20" s="2" t="s">
        <v>22</v>
      </c>
      <c r="F20" s="2" t="s">
        <v>40</v>
      </c>
      <c r="G20" s="10">
        <v>44495</v>
      </c>
      <c r="H20" s="2" t="s">
        <v>113</v>
      </c>
    </row>
    <row r="21" spans="1:8" ht="15.75" customHeight="1" x14ac:dyDescent="0.15">
      <c r="A21" s="8" t="s">
        <v>114</v>
      </c>
    </row>
    <row r="22" spans="1:8" ht="15.75" customHeight="1" x14ac:dyDescent="0.15">
      <c r="A22" s="18"/>
      <c r="G22" s="10"/>
    </row>
    <row r="23" spans="1:8" ht="15.75" customHeight="1" x14ac:dyDescent="0.15">
      <c r="A23" s="8" t="s">
        <v>42</v>
      </c>
    </row>
    <row r="24" spans="1:8" ht="15.75" customHeight="1" x14ac:dyDescent="0.15">
      <c r="A24" s="8" t="s">
        <v>82</v>
      </c>
      <c r="B24" s="19">
        <f>B31-B33</f>
        <v>0</v>
      </c>
      <c r="C24" s="2" t="s">
        <v>83</v>
      </c>
      <c r="F24" s="2" t="s">
        <v>40</v>
      </c>
      <c r="G24" s="10">
        <v>44495</v>
      </c>
      <c r="H24" s="2" t="s">
        <v>43</v>
      </c>
    </row>
    <row r="25" spans="1:8" ht="15.75" customHeight="1" x14ac:dyDescent="0.15">
      <c r="A25" s="8" t="s">
        <v>115</v>
      </c>
    </row>
    <row r="27" spans="1:8" ht="15.75" customHeight="1" x14ac:dyDescent="0.15">
      <c r="A27" s="55" t="s">
        <v>49</v>
      </c>
      <c r="B27" s="56"/>
    </row>
    <row r="29" spans="1:8" ht="15.75" customHeight="1" x14ac:dyDescent="0.15">
      <c r="A29" s="2" t="s">
        <v>66</v>
      </c>
      <c r="B29" s="20">
        <f>B30+B31</f>
        <v>515</v>
      </c>
      <c r="C29" s="2" t="s">
        <v>45</v>
      </c>
    </row>
    <row r="30" spans="1:8" ht="15.75" customHeight="1" x14ac:dyDescent="0.15">
      <c r="A30" s="2" t="s">
        <v>87</v>
      </c>
      <c r="B30" s="20">
        <f>SUM(F36:F42)</f>
        <v>0</v>
      </c>
      <c r="C30" s="2" t="s">
        <v>45</v>
      </c>
    </row>
    <row r="31" spans="1:8" ht="15.75" customHeight="1" x14ac:dyDescent="0.15">
      <c r="A31" s="2" t="s">
        <v>88</v>
      </c>
      <c r="B31" s="20">
        <f>B33/B32-B30</f>
        <v>515</v>
      </c>
      <c r="C31" s="2" t="s">
        <v>45</v>
      </c>
    </row>
    <row r="32" spans="1:8" ht="15.75" customHeight="1" x14ac:dyDescent="0.15">
      <c r="A32" s="2" t="s">
        <v>89</v>
      </c>
      <c r="B32" s="22">
        <v>1</v>
      </c>
      <c r="D32" s="2" t="s">
        <v>116</v>
      </c>
    </row>
    <row r="33" spans="1:7" ht="15.75" customHeight="1" x14ac:dyDescent="0.15">
      <c r="A33" s="2" t="s">
        <v>117</v>
      </c>
      <c r="B33" s="19">
        <v>515</v>
      </c>
      <c r="C33" s="2" t="s">
        <v>45</v>
      </c>
      <c r="D33" s="2" t="s">
        <v>118</v>
      </c>
    </row>
    <row r="35" spans="1:7" ht="15.75" customHeight="1" x14ac:dyDescent="0.15">
      <c r="B35" s="57" t="s">
        <v>70</v>
      </c>
      <c r="C35" s="56"/>
      <c r="D35" s="57" t="s">
        <v>71</v>
      </c>
      <c r="E35" s="56"/>
    </row>
    <row r="36" spans="1:7" ht="15.75" customHeight="1" x14ac:dyDescent="0.15">
      <c r="A36" s="8" t="s">
        <v>27</v>
      </c>
      <c r="B36" s="12">
        <f t="shared" ref="B36:B42" si="0">D9</f>
        <v>0</v>
      </c>
      <c r="C36" s="2" t="s">
        <v>29</v>
      </c>
      <c r="D36" s="2">
        <v>0</v>
      </c>
      <c r="E36" s="2" t="s">
        <v>72</v>
      </c>
      <c r="F36" s="20">
        <f t="shared" ref="F36:F42" si="1">B36*D36</f>
        <v>0</v>
      </c>
      <c r="G36" s="2" t="s">
        <v>73</v>
      </c>
    </row>
    <row r="37" spans="1:7" ht="15.75" customHeight="1" x14ac:dyDescent="0.15">
      <c r="A37" s="8" t="s">
        <v>33</v>
      </c>
      <c r="B37" s="12">
        <f t="shared" si="0"/>
        <v>0</v>
      </c>
      <c r="C37" s="2" t="s">
        <v>29</v>
      </c>
      <c r="D37" s="2">
        <v>107.7383</v>
      </c>
      <c r="E37" s="2" t="s">
        <v>72</v>
      </c>
      <c r="F37" s="20">
        <f t="shared" si="1"/>
        <v>0</v>
      </c>
      <c r="G37" s="2" t="s">
        <v>73</v>
      </c>
    </row>
    <row r="38" spans="1:7" ht="15.75" customHeight="1" x14ac:dyDescent="0.15">
      <c r="A38" s="8" t="s">
        <v>34</v>
      </c>
      <c r="B38" s="41">
        <f t="shared" si="0"/>
        <v>3.3</v>
      </c>
      <c r="C38" s="2" t="s">
        <v>29</v>
      </c>
      <c r="D38" s="2">
        <v>0</v>
      </c>
      <c r="E38" s="2" t="s">
        <v>72</v>
      </c>
      <c r="F38" s="20">
        <f t="shared" si="1"/>
        <v>0</v>
      </c>
      <c r="G38" s="2" t="s">
        <v>73</v>
      </c>
    </row>
    <row r="39" spans="1:7" ht="15.75" customHeight="1" x14ac:dyDescent="0.15">
      <c r="A39" s="8" t="s">
        <v>35</v>
      </c>
      <c r="B39" s="12">
        <f t="shared" si="0"/>
        <v>0</v>
      </c>
      <c r="C39" s="2" t="s">
        <v>29</v>
      </c>
      <c r="D39" s="2">
        <v>90.535499999999999</v>
      </c>
      <c r="E39" s="2" t="s">
        <v>72</v>
      </c>
      <c r="F39" s="20">
        <f t="shared" si="1"/>
        <v>0</v>
      </c>
      <c r="G39" s="2" t="s">
        <v>73</v>
      </c>
    </row>
    <row r="40" spans="1:7" ht="15.75" customHeight="1" x14ac:dyDescent="0.15">
      <c r="A40" s="8" t="s">
        <v>36</v>
      </c>
      <c r="B40" s="12">
        <f t="shared" si="0"/>
        <v>0</v>
      </c>
      <c r="C40" s="2" t="s">
        <v>29</v>
      </c>
      <c r="D40" s="2">
        <v>70.271100000000004</v>
      </c>
      <c r="E40" s="2" t="s">
        <v>72</v>
      </c>
      <c r="F40" s="20">
        <f t="shared" si="1"/>
        <v>0</v>
      </c>
      <c r="G40" s="2" t="s">
        <v>73</v>
      </c>
    </row>
    <row r="41" spans="1:7" ht="15.75" customHeight="1" x14ac:dyDescent="0.15">
      <c r="A41" s="8" t="s">
        <v>37</v>
      </c>
      <c r="B41" s="12">
        <f t="shared" si="0"/>
        <v>0</v>
      </c>
      <c r="C41" s="2" t="s">
        <v>29</v>
      </c>
      <c r="E41" s="2" t="s">
        <v>72</v>
      </c>
      <c r="F41" s="20">
        <f t="shared" si="1"/>
        <v>0</v>
      </c>
      <c r="G41" s="2" t="s">
        <v>73</v>
      </c>
    </row>
    <row r="42" spans="1:7" ht="15.75" customHeight="1" x14ac:dyDescent="0.15">
      <c r="A42" s="8" t="s">
        <v>38</v>
      </c>
      <c r="B42" s="12">
        <f t="shared" si="0"/>
        <v>0</v>
      </c>
      <c r="C42" s="2" t="s">
        <v>29</v>
      </c>
      <c r="E42" s="2" t="s">
        <v>72</v>
      </c>
      <c r="F42" s="20">
        <f t="shared" si="1"/>
        <v>0</v>
      </c>
      <c r="G42" s="2" t="s">
        <v>73</v>
      </c>
    </row>
  </sheetData>
  <mergeCells count="3">
    <mergeCell ref="A27:B27"/>
    <mergeCell ref="B35:C35"/>
    <mergeCell ref="D35:E35"/>
  </mergeCells>
  <hyperlinks>
    <hyperlink ref="F3" r:id="rId1" xr:uid="{00000000-0004-0000-0300-000000000000}"/>
    <hyperlink ref="F6" r:id="rId2" xr:uid="{00000000-0004-0000-0300-000001000000}"/>
    <hyperlink ref="F17" r:id="rId3" xr:uid="{00000000-0004-0000-03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59"/>
  <sheetViews>
    <sheetView tabSelected="1" workbookViewId="0">
      <selection activeCell="J13" sqref="J13"/>
    </sheetView>
  </sheetViews>
  <sheetFormatPr baseColWidth="10" defaultColWidth="14.5" defaultRowHeight="15.75" customHeight="1" x14ac:dyDescent="0.15"/>
  <cols>
    <col min="1" max="1" width="36.1640625" customWidth="1"/>
  </cols>
  <sheetData>
    <row r="1" spans="1:13" ht="15.75" customHeight="1" x14ac:dyDescent="0.15">
      <c r="A1" s="42" t="s">
        <v>119</v>
      </c>
      <c r="B1" s="43" t="s">
        <v>10</v>
      </c>
      <c r="C1" s="43" t="s">
        <v>11</v>
      </c>
      <c r="D1" s="43" t="s">
        <v>12</v>
      </c>
      <c r="E1" s="43" t="s">
        <v>11</v>
      </c>
      <c r="F1" s="43" t="s">
        <v>13</v>
      </c>
      <c r="G1" s="43" t="s">
        <v>14</v>
      </c>
      <c r="H1" s="43" t="s">
        <v>15</v>
      </c>
      <c r="I1" s="44" t="s">
        <v>16</v>
      </c>
    </row>
    <row r="2" spans="1:13" ht="15.75" customHeight="1" x14ac:dyDescent="0.15">
      <c r="A2" s="2" t="s">
        <v>120</v>
      </c>
      <c r="B2" s="2">
        <v>2.44</v>
      </c>
      <c r="C2" s="2" t="s">
        <v>121</v>
      </c>
      <c r="D2" s="2">
        <v>2.8</v>
      </c>
      <c r="E2" s="2" t="s">
        <v>121</v>
      </c>
      <c r="F2" s="9" t="s">
        <v>122</v>
      </c>
      <c r="G2" s="10">
        <v>44498</v>
      </c>
    </row>
    <row r="3" spans="1:13" ht="15.75" customHeight="1" x14ac:dyDescent="0.15">
      <c r="A3" s="2" t="s">
        <v>123</v>
      </c>
      <c r="B3" s="2">
        <v>3.2</v>
      </c>
      <c r="C3" s="2" t="s">
        <v>121</v>
      </c>
      <c r="D3" s="2">
        <v>3.2</v>
      </c>
      <c r="E3" s="2" t="s">
        <v>121</v>
      </c>
      <c r="F3" s="9" t="s">
        <v>124</v>
      </c>
      <c r="G3" s="10">
        <v>44498</v>
      </c>
      <c r="I3" s="2" t="s">
        <v>125</v>
      </c>
    </row>
    <row r="4" spans="1:13" ht="15.75" customHeight="1" x14ac:dyDescent="0.15">
      <c r="B4" s="28"/>
      <c r="G4" s="45"/>
    </row>
    <row r="5" spans="1:13" ht="15.75" customHeight="1" x14ac:dyDescent="0.15">
      <c r="A5" s="2"/>
      <c r="B5" s="28"/>
      <c r="G5" s="45"/>
    </row>
    <row r="6" spans="1:13" ht="15.75" customHeight="1" x14ac:dyDescent="0.15">
      <c r="A6" s="2" t="s">
        <v>126</v>
      </c>
      <c r="B6" s="2" t="s">
        <v>127</v>
      </c>
      <c r="C6" s="2" t="s">
        <v>128</v>
      </c>
      <c r="D6" s="12">
        <f>L6/10</f>
        <v>1.0526315789473684E-3</v>
      </c>
      <c r="E6" s="46" t="s">
        <v>129</v>
      </c>
      <c r="F6" s="2" t="s">
        <v>130</v>
      </c>
      <c r="G6" s="10">
        <v>44498</v>
      </c>
      <c r="I6" s="2" t="s">
        <v>131</v>
      </c>
      <c r="J6" s="2">
        <v>9500</v>
      </c>
      <c r="K6" s="2" t="s">
        <v>132</v>
      </c>
      <c r="L6" s="12">
        <f>100/J6</f>
        <v>1.0526315789473684E-2</v>
      </c>
      <c r="M6" s="2" t="s">
        <v>133</v>
      </c>
    </row>
    <row r="7" spans="1:13" ht="15.75" customHeight="1" x14ac:dyDescent="0.15">
      <c r="D7" s="2" t="s">
        <v>134</v>
      </c>
    </row>
    <row r="9" spans="1:13" ht="15.75" customHeight="1" x14ac:dyDescent="0.15">
      <c r="A9" s="47" t="s">
        <v>137</v>
      </c>
      <c r="B9" s="51" t="s">
        <v>122</v>
      </c>
      <c r="C9" s="52"/>
      <c r="D9" s="52"/>
      <c r="E9" s="52"/>
      <c r="F9" s="52"/>
      <c r="G9" s="52"/>
      <c r="H9" s="27"/>
    </row>
    <row r="10" spans="1:13" ht="15.75" customHeight="1" x14ac:dyDescent="0.15">
      <c r="A10" s="2">
        <v>2015</v>
      </c>
      <c r="B10" s="12">
        <f>B11-$K$14</f>
        <v>2.3699999999999992</v>
      </c>
      <c r="C10" s="2" t="s">
        <v>121</v>
      </c>
    </row>
    <row r="11" spans="1:13" ht="15.75" customHeight="1" x14ac:dyDescent="0.15">
      <c r="A11" s="2">
        <v>2016</v>
      </c>
      <c r="B11" s="12">
        <f t="shared" ref="B10:B14" si="0">B12-$K$14</f>
        <v>2.3839999999999995</v>
      </c>
      <c r="C11" s="2" t="s">
        <v>121</v>
      </c>
      <c r="J11" s="48" t="s">
        <v>135</v>
      </c>
      <c r="K11" s="49"/>
    </row>
    <row r="12" spans="1:13" ht="15.75" customHeight="1" x14ac:dyDescent="0.15">
      <c r="A12" s="2">
        <v>2017</v>
      </c>
      <c r="B12" s="12">
        <f t="shared" si="0"/>
        <v>2.3979999999999997</v>
      </c>
      <c r="C12" s="2" t="s">
        <v>121</v>
      </c>
      <c r="J12" s="50" t="s">
        <v>136</v>
      </c>
      <c r="K12" s="8">
        <v>2.2999999999999998</v>
      </c>
    </row>
    <row r="13" spans="1:13" ht="15.75" customHeight="1" x14ac:dyDescent="0.15">
      <c r="A13" s="2">
        <v>2018</v>
      </c>
      <c r="B13" s="12">
        <f t="shared" si="0"/>
        <v>2.4119999999999999</v>
      </c>
      <c r="C13" s="2" t="s">
        <v>121</v>
      </c>
      <c r="H13" s="2" t="s">
        <v>138</v>
      </c>
      <c r="J13" s="50" t="s">
        <v>139</v>
      </c>
      <c r="K13" s="8">
        <v>2.44</v>
      </c>
    </row>
    <row r="14" spans="1:13" ht="15.75" customHeight="1" x14ac:dyDescent="0.15">
      <c r="A14" s="2">
        <v>2019</v>
      </c>
      <c r="B14" s="12">
        <f t="shared" si="0"/>
        <v>2.4260000000000002</v>
      </c>
      <c r="C14" s="2" t="s">
        <v>121</v>
      </c>
      <c r="H14" s="12">
        <f>B10*Conventional!$B$34</f>
        <v>1485.4148697299995</v>
      </c>
      <c r="J14" s="53" t="s">
        <v>140</v>
      </c>
      <c r="K14" s="54">
        <f>(K13-K12)/10</f>
        <v>1.4000000000000012E-2</v>
      </c>
    </row>
    <row r="15" spans="1:13" ht="15.75" customHeight="1" x14ac:dyDescent="0.15">
      <c r="A15" s="2">
        <v>2020</v>
      </c>
      <c r="B15" s="2">
        <v>2.44</v>
      </c>
      <c r="C15" s="2" t="s">
        <v>121</v>
      </c>
      <c r="H15" s="12">
        <f>B11*Conventional!$B$34</f>
        <v>1494.1894723359997</v>
      </c>
    </row>
    <row r="16" spans="1:13" ht="15.75" customHeight="1" x14ac:dyDescent="0.15">
      <c r="A16" s="2">
        <v>2021</v>
      </c>
      <c r="B16" s="12">
        <f t="shared" ref="B16:B55" si="1">B15+$K$14</f>
        <v>2.4539999999999997</v>
      </c>
      <c r="C16" s="2" t="s">
        <v>121</v>
      </c>
      <c r="H16" s="12">
        <f>B12*Conventional!$B$34</f>
        <v>1502.9640749419998</v>
      </c>
    </row>
    <row r="17" spans="1:8" ht="15.75" customHeight="1" x14ac:dyDescent="0.15">
      <c r="A17" s="2">
        <v>2022</v>
      </c>
      <c r="B17" s="12">
        <f t="shared" si="1"/>
        <v>2.468</v>
      </c>
      <c r="C17" s="2" t="s">
        <v>121</v>
      </c>
      <c r="H17" s="12">
        <f>B13*Conventional!$B$34</f>
        <v>1511.7386775479999</v>
      </c>
    </row>
    <row r="18" spans="1:8" ht="15.75" customHeight="1" x14ac:dyDescent="0.15">
      <c r="A18" s="2">
        <v>2023</v>
      </c>
      <c r="B18" s="12">
        <f t="shared" si="1"/>
        <v>2.4820000000000002</v>
      </c>
      <c r="C18" s="2" t="s">
        <v>121</v>
      </c>
      <c r="H18" s="12">
        <f>B14*Conventional!$B$34</f>
        <v>1520.5132801540001</v>
      </c>
    </row>
    <row r="19" spans="1:8" ht="15.75" customHeight="1" x14ac:dyDescent="0.15">
      <c r="A19" s="2">
        <v>2024</v>
      </c>
      <c r="B19" s="2">
        <f t="shared" si="1"/>
        <v>2.4960000000000004</v>
      </c>
      <c r="C19" s="2" t="s">
        <v>121</v>
      </c>
      <c r="H19" s="12">
        <f>B15*Conventional!$B$34</f>
        <v>1529.28788276</v>
      </c>
    </row>
    <row r="20" spans="1:8" ht="15.75" customHeight="1" x14ac:dyDescent="0.15">
      <c r="A20" s="2">
        <v>2025</v>
      </c>
      <c r="B20" s="12">
        <f t="shared" si="1"/>
        <v>2.5100000000000007</v>
      </c>
      <c r="C20" s="2" t="s">
        <v>121</v>
      </c>
      <c r="H20" s="12">
        <f>B16*Conventional!$B$34</f>
        <v>1538.0624853659999</v>
      </c>
    </row>
    <row r="21" spans="1:8" ht="15.75" customHeight="1" x14ac:dyDescent="0.15">
      <c r="A21" s="2">
        <v>2026</v>
      </c>
      <c r="B21" s="12">
        <f t="shared" si="1"/>
        <v>2.5240000000000009</v>
      </c>
      <c r="C21" s="2" t="s">
        <v>121</v>
      </c>
      <c r="H21" s="12">
        <f>B17*Conventional!$B$34</f>
        <v>1546.8370879720001</v>
      </c>
    </row>
    <row r="22" spans="1:8" ht="15.75" customHeight="1" x14ac:dyDescent="0.15">
      <c r="A22" s="2">
        <v>2027</v>
      </c>
      <c r="B22" s="12">
        <f t="shared" si="1"/>
        <v>2.5380000000000011</v>
      </c>
      <c r="C22" s="2" t="s">
        <v>121</v>
      </c>
      <c r="H22" s="12">
        <f>B18*Conventional!$B$34</f>
        <v>1555.6116905780002</v>
      </c>
    </row>
    <row r="23" spans="1:8" ht="15.75" customHeight="1" x14ac:dyDescent="0.15">
      <c r="A23" s="2">
        <v>2028</v>
      </c>
      <c r="B23" s="12">
        <f t="shared" si="1"/>
        <v>2.5520000000000014</v>
      </c>
      <c r="C23" s="2" t="s">
        <v>121</v>
      </c>
      <c r="H23" s="12">
        <f>B19*Conventional!$B$34</f>
        <v>1564.3862931840004</v>
      </c>
    </row>
    <row r="24" spans="1:8" ht="15.75" customHeight="1" x14ac:dyDescent="0.15">
      <c r="A24" s="2">
        <v>2029</v>
      </c>
      <c r="B24" s="12">
        <f t="shared" si="1"/>
        <v>2.5660000000000016</v>
      </c>
      <c r="C24" s="2" t="s">
        <v>121</v>
      </c>
      <c r="H24" s="12">
        <f>B20*Conventional!$B$34</f>
        <v>1573.1608957900005</v>
      </c>
    </row>
    <row r="25" spans="1:8" ht="15.75" customHeight="1" x14ac:dyDescent="0.15">
      <c r="A25" s="2">
        <v>2030</v>
      </c>
      <c r="B25" s="2">
        <f t="shared" si="1"/>
        <v>2.5800000000000018</v>
      </c>
      <c r="C25" s="2" t="s">
        <v>121</v>
      </c>
      <c r="H25" s="12">
        <f>B21*Conventional!$B$34</f>
        <v>1581.9354983960006</v>
      </c>
    </row>
    <row r="26" spans="1:8" ht="15.75" customHeight="1" x14ac:dyDescent="0.15">
      <c r="A26" s="2">
        <v>2031</v>
      </c>
      <c r="B26" s="12">
        <f t="shared" si="1"/>
        <v>2.5940000000000021</v>
      </c>
      <c r="C26" s="2" t="s">
        <v>121</v>
      </c>
      <c r="H26" s="12">
        <f>B22*Conventional!$B$34</f>
        <v>1590.7101010020008</v>
      </c>
    </row>
    <row r="27" spans="1:8" ht="15.75" customHeight="1" x14ac:dyDescent="0.15">
      <c r="A27" s="2">
        <v>2032</v>
      </c>
      <c r="B27" s="12">
        <f t="shared" si="1"/>
        <v>2.6080000000000023</v>
      </c>
      <c r="C27" s="2" t="s">
        <v>121</v>
      </c>
    </row>
    <row r="28" spans="1:8" ht="15.75" customHeight="1" x14ac:dyDescent="0.15">
      <c r="A28" s="2">
        <v>2033</v>
      </c>
      <c r="B28" s="12">
        <f t="shared" si="1"/>
        <v>2.6220000000000026</v>
      </c>
      <c r="C28" s="2" t="s">
        <v>121</v>
      </c>
    </row>
    <row r="29" spans="1:8" ht="15.75" customHeight="1" x14ac:dyDescent="0.15">
      <c r="A29" s="2">
        <v>2034</v>
      </c>
      <c r="B29" s="12">
        <f t="shared" si="1"/>
        <v>2.6360000000000028</v>
      </c>
      <c r="C29" s="2" t="s">
        <v>121</v>
      </c>
    </row>
    <row r="30" spans="1:8" ht="15.75" customHeight="1" x14ac:dyDescent="0.15">
      <c r="A30" s="2">
        <v>2035</v>
      </c>
      <c r="B30" s="12">
        <f t="shared" si="1"/>
        <v>2.650000000000003</v>
      </c>
      <c r="C30" s="2" t="s">
        <v>121</v>
      </c>
    </row>
    <row r="31" spans="1:8" ht="15.75" customHeight="1" x14ac:dyDescent="0.15">
      <c r="A31" s="2">
        <v>2036</v>
      </c>
      <c r="B31" s="12">
        <f t="shared" si="1"/>
        <v>2.6640000000000033</v>
      </c>
      <c r="C31" s="2" t="s">
        <v>121</v>
      </c>
    </row>
    <row r="32" spans="1:8" ht="15.75" customHeight="1" x14ac:dyDescent="0.15">
      <c r="A32" s="2">
        <v>2037</v>
      </c>
      <c r="B32" s="2">
        <f t="shared" si="1"/>
        <v>2.6780000000000035</v>
      </c>
      <c r="C32" s="2" t="s">
        <v>121</v>
      </c>
    </row>
    <row r="33" spans="1:3" ht="15.75" customHeight="1" x14ac:dyDescent="0.15">
      <c r="A33" s="2">
        <v>2038</v>
      </c>
      <c r="B33" s="12">
        <f t="shared" si="1"/>
        <v>2.6920000000000037</v>
      </c>
      <c r="C33" s="2" t="s">
        <v>121</v>
      </c>
    </row>
    <row r="34" spans="1:3" ht="15.75" customHeight="1" x14ac:dyDescent="0.15">
      <c r="A34" s="2">
        <v>2039</v>
      </c>
      <c r="B34" s="12">
        <f t="shared" si="1"/>
        <v>2.706000000000004</v>
      </c>
      <c r="C34" s="2" t="s">
        <v>121</v>
      </c>
    </row>
    <row r="35" spans="1:3" ht="15.75" customHeight="1" x14ac:dyDescent="0.15">
      <c r="A35" s="2">
        <v>2040</v>
      </c>
      <c r="B35" s="12">
        <f t="shared" si="1"/>
        <v>2.7200000000000042</v>
      </c>
      <c r="C35" s="2" t="s">
        <v>121</v>
      </c>
    </row>
    <row r="36" spans="1:3" ht="15.75" customHeight="1" x14ac:dyDescent="0.15">
      <c r="A36" s="2">
        <v>2041</v>
      </c>
      <c r="B36" s="12">
        <f t="shared" si="1"/>
        <v>2.7340000000000044</v>
      </c>
      <c r="C36" s="2" t="s">
        <v>121</v>
      </c>
    </row>
    <row r="37" spans="1:3" ht="15.75" customHeight="1" x14ac:dyDescent="0.15">
      <c r="A37" s="2">
        <v>2042</v>
      </c>
      <c r="B37" s="12">
        <f t="shared" si="1"/>
        <v>2.7480000000000047</v>
      </c>
      <c r="C37" s="2" t="s">
        <v>121</v>
      </c>
    </row>
    <row r="38" spans="1:3" ht="15.75" customHeight="1" x14ac:dyDescent="0.15">
      <c r="A38" s="2">
        <v>2043</v>
      </c>
      <c r="B38" s="2">
        <f t="shared" si="1"/>
        <v>2.7620000000000049</v>
      </c>
      <c r="C38" s="2" t="s">
        <v>121</v>
      </c>
    </row>
    <row r="39" spans="1:3" ht="15.75" customHeight="1" x14ac:dyDescent="0.15">
      <c r="A39" s="2">
        <v>2044</v>
      </c>
      <c r="B39" s="12">
        <f t="shared" si="1"/>
        <v>2.7760000000000051</v>
      </c>
      <c r="C39" s="2" t="s">
        <v>121</v>
      </c>
    </row>
    <row r="40" spans="1:3" ht="15.75" customHeight="1" x14ac:dyDescent="0.15">
      <c r="A40" s="2">
        <v>2045</v>
      </c>
      <c r="B40" s="12">
        <f t="shared" si="1"/>
        <v>2.7900000000000054</v>
      </c>
      <c r="C40" s="2" t="s">
        <v>121</v>
      </c>
    </row>
    <row r="41" spans="1:3" ht="15.75" customHeight="1" x14ac:dyDescent="0.15">
      <c r="A41" s="2">
        <v>2046</v>
      </c>
      <c r="B41" s="12">
        <f t="shared" si="1"/>
        <v>2.8040000000000056</v>
      </c>
      <c r="C41" s="2" t="s">
        <v>121</v>
      </c>
    </row>
    <row r="42" spans="1:3" ht="15.75" customHeight="1" x14ac:dyDescent="0.15">
      <c r="A42" s="2">
        <v>2047</v>
      </c>
      <c r="B42" s="12">
        <f t="shared" si="1"/>
        <v>2.8180000000000058</v>
      </c>
      <c r="C42" s="2" t="s">
        <v>121</v>
      </c>
    </row>
    <row r="43" spans="1:3" ht="15.75" customHeight="1" x14ac:dyDescent="0.15">
      <c r="A43" s="2">
        <v>2048</v>
      </c>
      <c r="B43" s="12">
        <f t="shared" si="1"/>
        <v>2.8320000000000061</v>
      </c>
      <c r="C43" s="2" t="s">
        <v>121</v>
      </c>
    </row>
    <row r="44" spans="1:3" ht="15.75" customHeight="1" x14ac:dyDescent="0.15">
      <c r="A44" s="2">
        <v>2049</v>
      </c>
      <c r="B44" s="12">
        <f t="shared" si="1"/>
        <v>2.8460000000000063</v>
      </c>
      <c r="C44" s="2" t="s">
        <v>121</v>
      </c>
    </row>
    <row r="45" spans="1:3" ht="15.75" customHeight="1" x14ac:dyDescent="0.15">
      <c r="A45" s="2">
        <v>2050</v>
      </c>
      <c r="B45" s="2">
        <f t="shared" si="1"/>
        <v>2.8600000000000065</v>
      </c>
      <c r="C45" s="2" t="s">
        <v>121</v>
      </c>
    </row>
    <row r="46" spans="1:3" ht="13" x14ac:dyDescent="0.15">
      <c r="A46" s="2">
        <v>2051</v>
      </c>
      <c r="B46" s="12">
        <f t="shared" si="1"/>
        <v>2.8740000000000068</v>
      </c>
      <c r="C46" s="2" t="s">
        <v>121</v>
      </c>
    </row>
    <row r="47" spans="1:3" ht="13" x14ac:dyDescent="0.15">
      <c r="A47" s="2">
        <v>2052</v>
      </c>
      <c r="B47" s="12">
        <f t="shared" si="1"/>
        <v>2.888000000000007</v>
      </c>
      <c r="C47" s="2" t="s">
        <v>121</v>
      </c>
    </row>
    <row r="48" spans="1:3" ht="13" x14ac:dyDescent="0.15">
      <c r="A48" s="2">
        <v>2053</v>
      </c>
      <c r="B48" s="12">
        <f t="shared" si="1"/>
        <v>2.9020000000000072</v>
      </c>
      <c r="C48" s="2" t="s">
        <v>121</v>
      </c>
    </row>
    <row r="49" spans="1:3" ht="13" x14ac:dyDescent="0.15">
      <c r="A49" s="2">
        <v>2054</v>
      </c>
      <c r="B49" s="12">
        <f t="shared" si="1"/>
        <v>2.9160000000000075</v>
      </c>
      <c r="C49" s="2" t="s">
        <v>121</v>
      </c>
    </row>
    <row r="50" spans="1:3" ht="13" x14ac:dyDescent="0.15">
      <c r="A50" s="2">
        <v>2055</v>
      </c>
      <c r="B50" s="12">
        <f t="shared" si="1"/>
        <v>2.9300000000000077</v>
      </c>
      <c r="C50" s="2" t="s">
        <v>121</v>
      </c>
    </row>
    <row r="51" spans="1:3" ht="13" x14ac:dyDescent="0.15">
      <c r="A51" s="2">
        <v>2056</v>
      </c>
      <c r="B51" s="2">
        <f t="shared" si="1"/>
        <v>2.9440000000000079</v>
      </c>
      <c r="C51" s="2" t="s">
        <v>121</v>
      </c>
    </row>
    <row r="52" spans="1:3" ht="13" x14ac:dyDescent="0.15">
      <c r="A52" s="2">
        <v>2057</v>
      </c>
      <c r="B52" s="12">
        <f t="shared" si="1"/>
        <v>2.9580000000000082</v>
      </c>
      <c r="C52" s="2" t="s">
        <v>121</v>
      </c>
    </row>
    <row r="53" spans="1:3" ht="13" x14ac:dyDescent="0.15">
      <c r="A53" s="2">
        <v>2058</v>
      </c>
      <c r="B53" s="12">
        <f t="shared" si="1"/>
        <v>2.9720000000000084</v>
      </c>
      <c r="C53" s="2" t="s">
        <v>121</v>
      </c>
    </row>
    <row r="54" spans="1:3" ht="13" x14ac:dyDescent="0.15">
      <c r="A54" s="2">
        <v>2059</v>
      </c>
      <c r="B54" s="12">
        <f t="shared" si="1"/>
        <v>2.9860000000000086</v>
      </c>
      <c r="C54" s="2" t="s">
        <v>121</v>
      </c>
    </row>
    <row r="55" spans="1:3" ht="13" x14ac:dyDescent="0.15">
      <c r="A55" s="2">
        <v>2060</v>
      </c>
      <c r="B55" s="12">
        <f t="shared" si="1"/>
        <v>3.0000000000000089</v>
      </c>
      <c r="C55" s="2" t="s">
        <v>121</v>
      </c>
    </row>
    <row r="56" spans="1:3" ht="13" x14ac:dyDescent="0.15"/>
    <row r="57" spans="1:3" ht="13" x14ac:dyDescent="0.15"/>
    <row r="58" spans="1:3" ht="13" x14ac:dyDescent="0.15"/>
    <row r="59" spans="1:3" ht="13" x14ac:dyDescent="0.15"/>
  </sheetData>
  <hyperlinks>
    <hyperlink ref="F2" r:id="rId1" xr:uid="{00000000-0004-0000-0400-000000000000}"/>
    <hyperlink ref="F3" r:id="rId2" xr:uid="{00000000-0004-0000-0400-000001000000}"/>
    <hyperlink ref="B9" r:id="rId3" xr:uid="{00000000-0004-0000-0400-000002000000}"/>
  </hyperlinks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Conventional</vt:lpstr>
      <vt:lpstr>Conventional + Post amine CCS</vt:lpstr>
      <vt:lpstr>Plasma heated in CO2 atmosphere</vt:lpstr>
      <vt:lpstr>General cement (Clara)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2021-12-15T17:55:18Z</dcterms:modified>
</cp:coreProperties>
</file>